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320" firstSheet="2" activeTab="9"/>
  </bookViews>
  <sheets>
    <sheet name="Details" sheetId="24" r:id="rId1"/>
    <sheet name="Assumptions" sheetId="1" r:id="rId2"/>
    <sheet name="Prices" sheetId="2" r:id="rId3"/>
    <sheet name="Sales &amp; Dispatches" sheetId="3" r:id="rId4"/>
    <sheet name="COGS" sheetId="4" r:id="rId5"/>
    <sheet name="AD&amp;S Exp" sheetId="5" r:id="rId6"/>
    <sheet name="Fixed Assets" sheetId="6" r:id="rId7"/>
    <sheet name="N.BS" sheetId="7" r:id="rId8"/>
    <sheet name="N.PL" sheetId="8" r:id="rId9"/>
    <sheet name="BS" sheetId="25" r:id="rId10"/>
    <sheet name="PNL" sheetId="11" r:id="rId11"/>
    <sheet name="Cash Flow" sheetId="12" r:id="rId12"/>
    <sheet name="Ammortization Schedule" sheetId="13" r:id="rId13"/>
    <sheet name="Finance Schedule" sheetId="17" r:id="rId14"/>
    <sheet name="Stock Prices" sheetId="18" r:id="rId15"/>
    <sheet name="Valuation" sheetId="20" r:id="rId16"/>
    <sheet name="Regression" sheetId="21" r:id="rId17"/>
    <sheet name="Market Prices" sheetId="19" r:id="rId18"/>
    <sheet name="Workings" sheetId="22" r:id="rId19"/>
  </sheets>
  <externalReferences>
    <externalReference r:id="rId20"/>
    <externalReference r:id="rId21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20"/>
  <c r="E5"/>
  <c r="F5"/>
  <c r="G5"/>
  <c r="C5"/>
  <c r="D3"/>
  <c r="E3"/>
  <c r="F3"/>
  <c r="G3"/>
  <c r="C3"/>
  <c r="D20"/>
  <c r="C148" i="7"/>
  <c r="D148"/>
  <c r="E148"/>
  <c r="F148"/>
  <c r="B148"/>
  <c r="C130"/>
  <c r="D130"/>
  <c r="E130"/>
  <c r="F130"/>
  <c r="B130"/>
  <c r="C73"/>
  <c r="D73"/>
  <c r="E73"/>
  <c r="F73"/>
  <c r="B73"/>
  <c r="C71"/>
  <c r="D71"/>
  <c r="E71"/>
  <c r="F71"/>
  <c r="B71"/>
  <c r="D69"/>
  <c r="E69"/>
  <c r="F69"/>
  <c r="B69"/>
  <c r="C69"/>
  <c r="H50" i="5"/>
  <c r="I50"/>
  <c r="G50"/>
  <c r="C51" i="4"/>
  <c r="D51"/>
  <c r="E51"/>
  <c r="F51"/>
  <c r="G51"/>
  <c r="H51"/>
  <c r="I51"/>
  <c r="B51"/>
  <c r="C47"/>
  <c r="D47"/>
  <c r="E47"/>
  <c r="F47"/>
  <c r="G47"/>
  <c r="H47"/>
  <c r="I47"/>
  <c r="B47"/>
  <c r="C44"/>
  <c r="D44"/>
  <c r="E44"/>
  <c r="F44"/>
  <c r="B44"/>
  <c r="C41"/>
  <c r="D41"/>
  <c r="E41"/>
  <c r="F41"/>
  <c r="B41"/>
  <c r="C38"/>
  <c r="D38"/>
  <c r="E38"/>
  <c r="F38"/>
  <c r="B38"/>
  <c r="C36"/>
  <c r="D36"/>
  <c r="E36"/>
  <c r="F36"/>
  <c r="B36"/>
  <c r="G20"/>
  <c r="C20"/>
  <c r="D20"/>
  <c r="E20"/>
  <c r="F20"/>
  <c r="H20"/>
  <c r="I20"/>
  <c r="B20"/>
  <c r="J28" i="21"/>
  <c r="J29"/>
  <c r="J30"/>
  <c r="J31"/>
  <c r="J32"/>
  <c r="J33"/>
  <c r="E26"/>
  <c r="E27"/>
  <c r="E28"/>
  <c r="E30"/>
  <c r="E32"/>
  <c r="E34"/>
  <c r="D26"/>
  <c r="D27"/>
  <c r="D28"/>
  <c r="D29"/>
  <c r="D31"/>
  <c r="D33"/>
  <c r="C28"/>
  <c r="C29"/>
  <c r="C30"/>
  <c r="C31"/>
  <c r="C32"/>
  <c r="C33"/>
  <c r="C6"/>
  <c r="C7"/>
  <c r="C8"/>
  <c r="C9"/>
  <c r="C10"/>
  <c r="C11"/>
  <c r="C3"/>
  <c r="C37" i="25"/>
  <c r="D37"/>
  <c r="E37"/>
  <c r="F37"/>
  <c r="G37"/>
  <c r="H37"/>
  <c r="I37"/>
  <c r="B37"/>
  <c r="G11" l="1"/>
  <c r="G14" s="1"/>
  <c r="F50"/>
  <c r="E50"/>
  <c r="D50"/>
  <c r="C50"/>
  <c r="B50"/>
  <c r="G49"/>
  <c r="H49" s="1"/>
  <c r="I49" s="1"/>
  <c r="G48"/>
  <c r="H48" s="1"/>
  <c r="I48" s="1"/>
  <c r="G47"/>
  <c r="H47" s="1"/>
  <c r="G46"/>
  <c r="G45"/>
  <c r="H45" s="1"/>
  <c r="I45" s="1"/>
  <c r="G44"/>
  <c r="H44" s="1"/>
  <c r="I44" s="1"/>
  <c r="G43"/>
  <c r="C41"/>
  <c r="C52" s="1"/>
  <c r="G38"/>
  <c r="F41"/>
  <c r="F52" s="1"/>
  <c r="E41"/>
  <c r="D41"/>
  <c r="D52" s="1"/>
  <c r="B41"/>
  <c r="B52" s="1"/>
  <c r="G29"/>
  <c r="H29" s="1"/>
  <c r="I29" s="1"/>
  <c r="G27"/>
  <c r="H27" s="1"/>
  <c r="I27" s="1"/>
  <c r="F30"/>
  <c r="E30"/>
  <c r="G23"/>
  <c r="I17"/>
  <c r="H17"/>
  <c r="G17"/>
  <c r="I16"/>
  <c r="H16"/>
  <c r="D14"/>
  <c r="C14"/>
  <c r="B14"/>
  <c r="G13"/>
  <c r="G12"/>
  <c r="F14"/>
  <c r="E14"/>
  <c r="B9"/>
  <c r="C9" s="1"/>
  <c r="D9" s="1"/>
  <c r="E9" s="1"/>
  <c r="F9" s="1"/>
  <c r="G9" s="1"/>
  <c r="H9" s="1"/>
  <c r="I9" s="1"/>
  <c r="C30" l="1"/>
  <c r="G50"/>
  <c r="D30"/>
  <c r="B21"/>
  <c r="C21"/>
  <c r="E21"/>
  <c r="G20"/>
  <c r="H20" s="1"/>
  <c r="D21"/>
  <c r="F21"/>
  <c r="F33" s="1"/>
  <c r="G24"/>
  <c r="H24" s="1"/>
  <c r="G28"/>
  <c r="G19"/>
  <c r="H19" s="1"/>
  <c r="I19" s="1"/>
  <c r="E52"/>
  <c r="I12"/>
  <c r="H11"/>
  <c r="I11" s="1"/>
  <c r="E33"/>
  <c r="H12"/>
  <c r="G25"/>
  <c r="H25" s="1"/>
  <c r="G26"/>
  <c r="H26" s="1"/>
  <c r="B30"/>
  <c r="G41"/>
  <c r="H13"/>
  <c r="I13" s="1"/>
  <c r="H23"/>
  <c r="I23" s="1"/>
  <c r="H38"/>
  <c r="I38" s="1"/>
  <c r="I41" s="1"/>
  <c r="I47"/>
  <c r="G16"/>
  <c r="H43"/>
  <c r="I43"/>
  <c r="H46"/>
  <c r="I46" s="1"/>
  <c r="D20" i="11"/>
  <c r="E20"/>
  <c r="F20"/>
  <c r="G20"/>
  <c r="C20"/>
  <c r="D18"/>
  <c r="E18"/>
  <c r="F18"/>
  <c r="G18"/>
  <c r="H18"/>
  <c r="I18"/>
  <c r="J18"/>
  <c r="C18"/>
  <c r="D15"/>
  <c r="E15"/>
  <c r="F15"/>
  <c r="G15"/>
  <c r="C15"/>
  <c r="D14"/>
  <c r="E14"/>
  <c r="F14"/>
  <c r="G14"/>
  <c r="H14"/>
  <c r="I14"/>
  <c r="J14"/>
  <c r="H39" i="8"/>
  <c r="I39" s="1"/>
  <c r="G39"/>
  <c r="H37"/>
  <c r="I37" s="1"/>
  <c r="H35"/>
  <c r="I35" s="1"/>
  <c r="G35"/>
  <c r="C14" i="11"/>
  <c r="D13"/>
  <c r="E13"/>
  <c r="F13"/>
  <c r="G13"/>
  <c r="C13"/>
  <c r="D12"/>
  <c r="E12"/>
  <c r="F12"/>
  <c r="G12"/>
  <c r="H12"/>
  <c r="I12"/>
  <c r="J12"/>
  <c r="C12"/>
  <c r="D8"/>
  <c r="E8"/>
  <c r="F8"/>
  <c r="G8"/>
  <c r="H8"/>
  <c r="I8"/>
  <c r="J8"/>
  <c r="C8"/>
  <c r="C33" i="25" l="1"/>
  <c r="D33"/>
  <c r="G21"/>
  <c r="B33"/>
  <c r="H21"/>
  <c r="I20"/>
  <c r="I21" s="1"/>
  <c r="I28"/>
  <c r="I24"/>
  <c r="I30" s="1"/>
  <c r="I26"/>
  <c r="H41"/>
  <c r="H52" s="1"/>
  <c r="G52"/>
  <c r="H28"/>
  <c r="H50"/>
  <c r="I14"/>
  <c r="I50"/>
  <c r="I52" s="1"/>
  <c r="H30"/>
  <c r="H14"/>
  <c r="I25"/>
  <c r="G30"/>
  <c r="H100" i="7"/>
  <c r="I100"/>
  <c r="G100"/>
  <c r="H93"/>
  <c r="I93"/>
  <c r="G93"/>
  <c r="I10" i="6"/>
  <c r="H10"/>
  <c r="G10"/>
  <c r="H56" i="5"/>
  <c r="I56"/>
  <c r="G56"/>
  <c r="H25"/>
  <c r="I25"/>
  <c r="G25"/>
  <c r="G15" i="4"/>
  <c r="H15" s="1"/>
  <c r="I15" s="1"/>
  <c r="H28" i="3"/>
  <c r="I28"/>
  <c r="G28"/>
  <c r="C28"/>
  <c r="D28"/>
  <c r="E28"/>
  <c r="F28"/>
  <c r="G17"/>
  <c r="H17" s="1"/>
  <c r="I17" s="1"/>
  <c r="C22" i="2"/>
  <c r="D22"/>
  <c r="E22"/>
  <c r="F22"/>
  <c r="B22"/>
  <c r="C21"/>
  <c r="D21"/>
  <c r="E21"/>
  <c r="F21"/>
  <c r="B21"/>
  <c r="F16"/>
  <c r="C14"/>
  <c r="D14"/>
  <c r="E14"/>
  <c r="E19" s="1"/>
  <c r="F14"/>
  <c r="F19" s="1"/>
  <c r="B14"/>
  <c r="C13"/>
  <c r="D13"/>
  <c r="E13"/>
  <c r="E18" s="1"/>
  <c r="F13"/>
  <c r="F18" s="1"/>
  <c r="B13"/>
  <c r="C12"/>
  <c r="D12"/>
  <c r="E12"/>
  <c r="F12"/>
  <c r="B12"/>
  <c r="J11"/>
  <c r="F11"/>
  <c r="E11"/>
  <c r="E16" s="1"/>
  <c r="D11"/>
  <c r="C11"/>
  <c r="B11"/>
  <c r="G34" i="1"/>
  <c r="H34"/>
  <c r="I34"/>
  <c r="G22"/>
  <c r="G29" i="3" s="1"/>
  <c r="C22" i="1"/>
  <c r="D22"/>
  <c r="E22"/>
  <c r="F22"/>
  <c r="B22"/>
  <c r="C21"/>
  <c r="D21"/>
  <c r="E21"/>
  <c r="F21"/>
  <c r="B21"/>
  <c r="F10"/>
  <c r="E10"/>
  <c r="M1238" i="22"/>
  <c r="M1237"/>
  <c r="H1237"/>
  <c r="M1236"/>
  <c r="H1236"/>
  <c r="M1235"/>
  <c r="H1235"/>
  <c r="M1234"/>
  <c r="H1234"/>
  <c r="M1233"/>
  <c r="H1233"/>
  <c r="M1232"/>
  <c r="H1232"/>
  <c r="M1231"/>
  <c r="H1231"/>
  <c r="M1230"/>
  <c r="H1230"/>
  <c r="M1229"/>
  <c r="H1229"/>
  <c r="M1228"/>
  <c r="H1228"/>
  <c r="M1227"/>
  <c r="H1227"/>
  <c r="M1226"/>
  <c r="H1226"/>
  <c r="M1225"/>
  <c r="H1225"/>
  <c r="M1224"/>
  <c r="H1224"/>
  <c r="M1223"/>
  <c r="H1223"/>
  <c r="M1222"/>
  <c r="H1222"/>
  <c r="M1221"/>
  <c r="H1221"/>
  <c r="M1220"/>
  <c r="H1220"/>
  <c r="M1219"/>
  <c r="H1219"/>
  <c r="M1218"/>
  <c r="H1218"/>
  <c r="M1217"/>
  <c r="H1217"/>
  <c r="M1216"/>
  <c r="H1216"/>
  <c r="M1215"/>
  <c r="H1215"/>
  <c r="M1214"/>
  <c r="H1214"/>
  <c r="M1213"/>
  <c r="H1213"/>
  <c r="M1212"/>
  <c r="H1212"/>
  <c r="M1211"/>
  <c r="H1211"/>
  <c r="M1210"/>
  <c r="H1210"/>
  <c r="M1209"/>
  <c r="H1209"/>
  <c r="M1208"/>
  <c r="H1208"/>
  <c r="M1207"/>
  <c r="H1207"/>
  <c r="M1206"/>
  <c r="H1206"/>
  <c r="M1205"/>
  <c r="H1205"/>
  <c r="M1204"/>
  <c r="H1204"/>
  <c r="M1203"/>
  <c r="H1203"/>
  <c r="M1202"/>
  <c r="H1202"/>
  <c r="M1201"/>
  <c r="H1201"/>
  <c r="M1200"/>
  <c r="H1200"/>
  <c r="M1199"/>
  <c r="H1199"/>
  <c r="M1198"/>
  <c r="H1198"/>
  <c r="M1197"/>
  <c r="H1197"/>
  <c r="M1196"/>
  <c r="H1196"/>
  <c r="M1195"/>
  <c r="H1195"/>
  <c r="M1194"/>
  <c r="H1194"/>
  <c r="M1193"/>
  <c r="H1193"/>
  <c r="M1192"/>
  <c r="H1192"/>
  <c r="M1191"/>
  <c r="H1191"/>
  <c r="M1190"/>
  <c r="H1190"/>
  <c r="M1189"/>
  <c r="H1189"/>
  <c r="M1188"/>
  <c r="H1188"/>
  <c r="M1187"/>
  <c r="H1187"/>
  <c r="M1186"/>
  <c r="H1186"/>
  <c r="M1185"/>
  <c r="H1185"/>
  <c r="M1184"/>
  <c r="H1184"/>
  <c r="M1183"/>
  <c r="H1183"/>
  <c r="M1182"/>
  <c r="H1182"/>
  <c r="M1181"/>
  <c r="H1181"/>
  <c r="M1180"/>
  <c r="H1180"/>
  <c r="M1179"/>
  <c r="H1179"/>
  <c r="M1178"/>
  <c r="H1178"/>
  <c r="M1177"/>
  <c r="H1177"/>
  <c r="M1176"/>
  <c r="H1176"/>
  <c r="M1175"/>
  <c r="H1175"/>
  <c r="M1174"/>
  <c r="H1174"/>
  <c r="M1173"/>
  <c r="H1173"/>
  <c r="M1172"/>
  <c r="H1172"/>
  <c r="M1171"/>
  <c r="H1171"/>
  <c r="M1170"/>
  <c r="H1170"/>
  <c r="M1169"/>
  <c r="H1169"/>
  <c r="M1168"/>
  <c r="H1168"/>
  <c r="M1167"/>
  <c r="H1167"/>
  <c r="M1166"/>
  <c r="H1166"/>
  <c r="M1165"/>
  <c r="H1165"/>
  <c r="M1164"/>
  <c r="H1164"/>
  <c r="M1163"/>
  <c r="H1163"/>
  <c r="M1162"/>
  <c r="H1162"/>
  <c r="M1161"/>
  <c r="H1161"/>
  <c r="M1160"/>
  <c r="H1160"/>
  <c r="M1159"/>
  <c r="H1159"/>
  <c r="M1158"/>
  <c r="H1158"/>
  <c r="M1157"/>
  <c r="H1157"/>
  <c r="M1156"/>
  <c r="H1156"/>
  <c r="M1155"/>
  <c r="H1155"/>
  <c r="M1154"/>
  <c r="H1154"/>
  <c r="M1153"/>
  <c r="H1153"/>
  <c r="M1152"/>
  <c r="H1152"/>
  <c r="M1151"/>
  <c r="H1151"/>
  <c r="M1150"/>
  <c r="H1150"/>
  <c r="M1149"/>
  <c r="H1149"/>
  <c r="M1148"/>
  <c r="H1148"/>
  <c r="M1147"/>
  <c r="H1147"/>
  <c r="M1146"/>
  <c r="H1146"/>
  <c r="M1145"/>
  <c r="H1145"/>
  <c r="M1144"/>
  <c r="H1144"/>
  <c r="M1143"/>
  <c r="H1143"/>
  <c r="M1142"/>
  <c r="H1142"/>
  <c r="M1141"/>
  <c r="H1141"/>
  <c r="M1140"/>
  <c r="H1140"/>
  <c r="M1139"/>
  <c r="H1139"/>
  <c r="M1138"/>
  <c r="H1138"/>
  <c r="M1137"/>
  <c r="H1137"/>
  <c r="M1136"/>
  <c r="H1136"/>
  <c r="M1135"/>
  <c r="H1135"/>
  <c r="M1134"/>
  <c r="H1134"/>
  <c r="M1133"/>
  <c r="H1133"/>
  <c r="M1132"/>
  <c r="H1132"/>
  <c r="M1131"/>
  <c r="H1131"/>
  <c r="M1130"/>
  <c r="H1130"/>
  <c r="M1129"/>
  <c r="H1129"/>
  <c r="M1128"/>
  <c r="H1128"/>
  <c r="M1127"/>
  <c r="H1127"/>
  <c r="M1126"/>
  <c r="H1126"/>
  <c r="M1125"/>
  <c r="H1125"/>
  <c r="M1124"/>
  <c r="H1124"/>
  <c r="M1123"/>
  <c r="H1123"/>
  <c r="M1122"/>
  <c r="H1122"/>
  <c r="M1121"/>
  <c r="H1121"/>
  <c r="M1120"/>
  <c r="H1120"/>
  <c r="M1119"/>
  <c r="H1119"/>
  <c r="M1118"/>
  <c r="H1118"/>
  <c r="M1117"/>
  <c r="H1117"/>
  <c r="M1116"/>
  <c r="H1116"/>
  <c r="M1115"/>
  <c r="H1115"/>
  <c r="M1114"/>
  <c r="H1114"/>
  <c r="M1113"/>
  <c r="H1113"/>
  <c r="M1112"/>
  <c r="H1112"/>
  <c r="M1111"/>
  <c r="H1111"/>
  <c r="M1110"/>
  <c r="H1110"/>
  <c r="M1109"/>
  <c r="H1109"/>
  <c r="M1108"/>
  <c r="H1108"/>
  <c r="M1107"/>
  <c r="H1107"/>
  <c r="M1106"/>
  <c r="H1106"/>
  <c r="M1105"/>
  <c r="H1105"/>
  <c r="M1104"/>
  <c r="H1104"/>
  <c r="M1103"/>
  <c r="H1103"/>
  <c r="M1102"/>
  <c r="H1102"/>
  <c r="M1101"/>
  <c r="H1101"/>
  <c r="M1100"/>
  <c r="H1100"/>
  <c r="M1099"/>
  <c r="H1099"/>
  <c r="M1098"/>
  <c r="H1098"/>
  <c r="M1097"/>
  <c r="H1097"/>
  <c r="M1096"/>
  <c r="H1096"/>
  <c r="M1095"/>
  <c r="H1095"/>
  <c r="M1094"/>
  <c r="H1094"/>
  <c r="M1093"/>
  <c r="H1093"/>
  <c r="M1092"/>
  <c r="H1092"/>
  <c r="M1091"/>
  <c r="H1091"/>
  <c r="M1090"/>
  <c r="H1090"/>
  <c r="M1089"/>
  <c r="H1089"/>
  <c r="M1088"/>
  <c r="H1088"/>
  <c r="M1087"/>
  <c r="H1087"/>
  <c r="M1086"/>
  <c r="H1086"/>
  <c r="M1085"/>
  <c r="H1085"/>
  <c r="M1084"/>
  <c r="H1084"/>
  <c r="M1083"/>
  <c r="H1083"/>
  <c r="M1082"/>
  <c r="H1082"/>
  <c r="M1081"/>
  <c r="H1081"/>
  <c r="M1080"/>
  <c r="H1080"/>
  <c r="M1079"/>
  <c r="H1079"/>
  <c r="M1078"/>
  <c r="H1078"/>
  <c r="M1077"/>
  <c r="H1077"/>
  <c r="M1076"/>
  <c r="H1076"/>
  <c r="M1075"/>
  <c r="H1075"/>
  <c r="M1074"/>
  <c r="H1074"/>
  <c r="M1073"/>
  <c r="H1073"/>
  <c r="M1072"/>
  <c r="H1072"/>
  <c r="M1071"/>
  <c r="H1071"/>
  <c r="M1070"/>
  <c r="H1070"/>
  <c r="M1069"/>
  <c r="H1069"/>
  <c r="M1068"/>
  <c r="H1068"/>
  <c r="M1067"/>
  <c r="H1067"/>
  <c r="M1066"/>
  <c r="H1066"/>
  <c r="M1065"/>
  <c r="H1065"/>
  <c r="M1064"/>
  <c r="H1064"/>
  <c r="M1063"/>
  <c r="H1063"/>
  <c r="M1062"/>
  <c r="H1062"/>
  <c r="M1061"/>
  <c r="H1061"/>
  <c r="M1060"/>
  <c r="H1060"/>
  <c r="M1059"/>
  <c r="H1059"/>
  <c r="M1058"/>
  <c r="H1058"/>
  <c r="M1057"/>
  <c r="H1057"/>
  <c r="M1056"/>
  <c r="H1056"/>
  <c r="M1055"/>
  <c r="H1055"/>
  <c r="M1054"/>
  <c r="H1054"/>
  <c r="M1053"/>
  <c r="H1053"/>
  <c r="M1052"/>
  <c r="H1052"/>
  <c r="M1051"/>
  <c r="H1051"/>
  <c r="M1050"/>
  <c r="H1050"/>
  <c r="M1049"/>
  <c r="H1049"/>
  <c r="M1048"/>
  <c r="H1048"/>
  <c r="M1047"/>
  <c r="H1047"/>
  <c r="M1046"/>
  <c r="H1046"/>
  <c r="M1045"/>
  <c r="H1045"/>
  <c r="M1044"/>
  <c r="H1044"/>
  <c r="M1043"/>
  <c r="H1043"/>
  <c r="M1042"/>
  <c r="H1042"/>
  <c r="M1041"/>
  <c r="H1041"/>
  <c r="M1040"/>
  <c r="H1040"/>
  <c r="M1039"/>
  <c r="H1039"/>
  <c r="M1038"/>
  <c r="H1038"/>
  <c r="M1037"/>
  <c r="H1037"/>
  <c r="M1036"/>
  <c r="H1036"/>
  <c r="M1035"/>
  <c r="H1035"/>
  <c r="M1034"/>
  <c r="H1034"/>
  <c r="M1033"/>
  <c r="H1033"/>
  <c r="M1032"/>
  <c r="H1032"/>
  <c r="M1031"/>
  <c r="H1031"/>
  <c r="M1030"/>
  <c r="H1030"/>
  <c r="M1029"/>
  <c r="H1029"/>
  <c r="M1028"/>
  <c r="H1028"/>
  <c r="M1027"/>
  <c r="H1027"/>
  <c r="M1026"/>
  <c r="H1026"/>
  <c r="M1025"/>
  <c r="H1025"/>
  <c r="M1024"/>
  <c r="H1024"/>
  <c r="M1023"/>
  <c r="H1023"/>
  <c r="M1022"/>
  <c r="H1022"/>
  <c r="M1021"/>
  <c r="H1021"/>
  <c r="M1020"/>
  <c r="H1020"/>
  <c r="M1019"/>
  <c r="H1019"/>
  <c r="M1018"/>
  <c r="H1018"/>
  <c r="M1017"/>
  <c r="H1017"/>
  <c r="M1016"/>
  <c r="H1016"/>
  <c r="M1015"/>
  <c r="H1015"/>
  <c r="M1014"/>
  <c r="H1014"/>
  <c r="M1013"/>
  <c r="H1013"/>
  <c r="M1012"/>
  <c r="H1012"/>
  <c r="M1011"/>
  <c r="H1011"/>
  <c r="M1010"/>
  <c r="H1010"/>
  <c r="M1009"/>
  <c r="H1009"/>
  <c r="M1008"/>
  <c r="H1008"/>
  <c r="M1007"/>
  <c r="H1007"/>
  <c r="M1006"/>
  <c r="H1006"/>
  <c r="M1005"/>
  <c r="H1005"/>
  <c r="M1004"/>
  <c r="H1004"/>
  <c r="M1003"/>
  <c r="H1003"/>
  <c r="M1002"/>
  <c r="H1002"/>
  <c r="M1001"/>
  <c r="H1001"/>
  <c r="M1000"/>
  <c r="H1000"/>
  <c r="M999"/>
  <c r="H999"/>
  <c r="M998"/>
  <c r="H998"/>
  <c r="M997"/>
  <c r="H997"/>
  <c r="M996"/>
  <c r="H996"/>
  <c r="M995"/>
  <c r="H995"/>
  <c r="M994"/>
  <c r="H994"/>
  <c r="M993"/>
  <c r="H993"/>
  <c r="M992"/>
  <c r="H992"/>
  <c r="M991"/>
  <c r="H991"/>
  <c r="M990"/>
  <c r="H990"/>
  <c r="M989"/>
  <c r="H989"/>
  <c r="M988"/>
  <c r="H988"/>
  <c r="M987"/>
  <c r="H987"/>
  <c r="M986"/>
  <c r="H986"/>
  <c r="M985"/>
  <c r="H985"/>
  <c r="M984"/>
  <c r="H984"/>
  <c r="M983"/>
  <c r="H983"/>
  <c r="M982"/>
  <c r="H982"/>
  <c r="M981"/>
  <c r="H981"/>
  <c r="M980"/>
  <c r="H980"/>
  <c r="M979"/>
  <c r="H979"/>
  <c r="M978"/>
  <c r="H978"/>
  <c r="M977"/>
  <c r="H977"/>
  <c r="M976"/>
  <c r="H976"/>
  <c r="M975"/>
  <c r="H975"/>
  <c r="M974"/>
  <c r="H974"/>
  <c r="M973"/>
  <c r="H973"/>
  <c r="M972"/>
  <c r="H972"/>
  <c r="M971"/>
  <c r="H971"/>
  <c r="M970"/>
  <c r="H970"/>
  <c r="M969"/>
  <c r="H969"/>
  <c r="M968"/>
  <c r="H968"/>
  <c r="M967"/>
  <c r="H967"/>
  <c r="M966"/>
  <c r="H966"/>
  <c r="M965"/>
  <c r="H965"/>
  <c r="M964"/>
  <c r="H964"/>
  <c r="M963"/>
  <c r="H963"/>
  <c r="M962"/>
  <c r="H962"/>
  <c r="M961"/>
  <c r="H961"/>
  <c r="M960"/>
  <c r="H960"/>
  <c r="M959"/>
  <c r="H959"/>
  <c r="M958"/>
  <c r="H958"/>
  <c r="M957"/>
  <c r="H957"/>
  <c r="M956"/>
  <c r="H956"/>
  <c r="M955"/>
  <c r="H955"/>
  <c r="M954"/>
  <c r="H954"/>
  <c r="M953"/>
  <c r="H953"/>
  <c r="M952"/>
  <c r="H952"/>
  <c r="M951"/>
  <c r="H951"/>
  <c r="M950"/>
  <c r="H950"/>
  <c r="M949"/>
  <c r="H949"/>
  <c r="M948"/>
  <c r="H948"/>
  <c r="M947"/>
  <c r="H947"/>
  <c r="M946"/>
  <c r="H946"/>
  <c r="M945"/>
  <c r="H945"/>
  <c r="M944"/>
  <c r="H944"/>
  <c r="M943"/>
  <c r="H943"/>
  <c r="M942"/>
  <c r="H942"/>
  <c r="M941"/>
  <c r="H941"/>
  <c r="M940"/>
  <c r="H940"/>
  <c r="M939"/>
  <c r="H939"/>
  <c r="M938"/>
  <c r="H938"/>
  <c r="M937"/>
  <c r="H937"/>
  <c r="M936"/>
  <c r="H936"/>
  <c r="M935"/>
  <c r="H935"/>
  <c r="M934"/>
  <c r="H934"/>
  <c r="M933"/>
  <c r="H933"/>
  <c r="M932"/>
  <c r="H932"/>
  <c r="M931"/>
  <c r="H931"/>
  <c r="M930"/>
  <c r="H930"/>
  <c r="M929"/>
  <c r="H929"/>
  <c r="M928"/>
  <c r="H928"/>
  <c r="M927"/>
  <c r="H927"/>
  <c r="M926"/>
  <c r="H926"/>
  <c r="M925"/>
  <c r="H925"/>
  <c r="M924"/>
  <c r="H924"/>
  <c r="M923"/>
  <c r="H923"/>
  <c r="M922"/>
  <c r="H922"/>
  <c r="M921"/>
  <c r="H921"/>
  <c r="M920"/>
  <c r="H920"/>
  <c r="M919"/>
  <c r="H919"/>
  <c r="M918"/>
  <c r="H918"/>
  <c r="M917"/>
  <c r="H917"/>
  <c r="M916"/>
  <c r="H916"/>
  <c r="M915"/>
  <c r="H915"/>
  <c r="M914"/>
  <c r="H914"/>
  <c r="M913"/>
  <c r="H913"/>
  <c r="M912"/>
  <c r="H912"/>
  <c r="M911"/>
  <c r="H911"/>
  <c r="M910"/>
  <c r="H910"/>
  <c r="M909"/>
  <c r="H909"/>
  <c r="M908"/>
  <c r="H908"/>
  <c r="M907"/>
  <c r="H907"/>
  <c r="M906"/>
  <c r="H906"/>
  <c r="M905"/>
  <c r="H905"/>
  <c r="M904"/>
  <c r="H904"/>
  <c r="M903"/>
  <c r="H903"/>
  <c r="M902"/>
  <c r="H902"/>
  <c r="M901"/>
  <c r="H901"/>
  <c r="M900"/>
  <c r="H900"/>
  <c r="M899"/>
  <c r="H899"/>
  <c r="M898"/>
  <c r="H898"/>
  <c r="M897"/>
  <c r="H897"/>
  <c r="M896"/>
  <c r="H896"/>
  <c r="M895"/>
  <c r="H895"/>
  <c r="M894"/>
  <c r="H894"/>
  <c r="M893"/>
  <c r="H893"/>
  <c r="M892"/>
  <c r="H892"/>
  <c r="M891"/>
  <c r="H891"/>
  <c r="M890"/>
  <c r="H890"/>
  <c r="M889"/>
  <c r="H889"/>
  <c r="M888"/>
  <c r="H888"/>
  <c r="M887"/>
  <c r="H887"/>
  <c r="M886"/>
  <c r="H886"/>
  <c r="M885"/>
  <c r="H885"/>
  <c r="M884"/>
  <c r="H884"/>
  <c r="M883"/>
  <c r="H883"/>
  <c r="M882"/>
  <c r="H882"/>
  <c r="M881"/>
  <c r="H881"/>
  <c r="M880"/>
  <c r="H880"/>
  <c r="M879"/>
  <c r="H879"/>
  <c r="M878"/>
  <c r="H878"/>
  <c r="M877"/>
  <c r="H877"/>
  <c r="M876"/>
  <c r="H876"/>
  <c r="M875"/>
  <c r="H875"/>
  <c r="M874"/>
  <c r="H874"/>
  <c r="M873"/>
  <c r="H873"/>
  <c r="M872"/>
  <c r="H872"/>
  <c r="M871"/>
  <c r="H871"/>
  <c r="M870"/>
  <c r="H870"/>
  <c r="M869"/>
  <c r="H869"/>
  <c r="M868"/>
  <c r="H868"/>
  <c r="M867"/>
  <c r="H867"/>
  <c r="M866"/>
  <c r="H866"/>
  <c r="M865"/>
  <c r="H865"/>
  <c r="M864"/>
  <c r="H864"/>
  <c r="M863"/>
  <c r="H863"/>
  <c r="M862"/>
  <c r="H862"/>
  <c r="M861"/>
  <c r="H861"/>
  <c r="M860"/>
  <c r="H860"/>
  <c r="M859"/>
  <c r="H859"/>
  <c r="M858"/>
  <c r="H858"/>
  <c r="M857"/>
  <c r="H857"/>
  <c r="M856"/>
  <c r="H856"/>
  <c r="M855"/>
  <c r="H855"/>
  <c r="M854"/>
  <c r="H854"/>
  <c r="M853"/>
  <c r="H853"/>
  <c r="M852"/>
  <c r="H852"/>
  <c r="M851"/>
  <c r="H851"/>
  <c r="M850"/>
  <c r="H850"/>
  <c r="M849"/>
  <c r="H849"/>
  <c r="M848"/>
  <c r="H848"/>
  <c r="M847"/>
  <c r="H847"/>
  <c r="M846"/>
  <c r="H846"/>
  <c r="M845"/>
  <c r="H845"/>
  <c r="M844"/>
  <c r="H844"/>
  <c r="M843"/>
  <c r="H843"/>
  <c r="M842"/>
  <c r="H842"/>
  <c r="M841"/>
  <c r="H841"/>
  <c r="M840"/>
  <c r="H840"/>
  <c r="M839"/>
  <c r="H839"/>
  <c r="M838"/>
  <c r="H838"/>
  <c r="M837"/>
  <c r="H837"/>
  <c r="M836"/>
  <c r="H836"/>
  <c r="M835"/>
  <c r="H835"/>
  <c r="M834"/>
  <c r="H834"/>
  <c r="M833"/>
  <c r="H833"/>
  <c r="M832"/>
  <c r="H832"/>
  <c r="M831"/>
  <c r="H831"/>
  <c r="M830"/>
  <c r="H830"/>
  <c r="M829"/>
  <c r="H829"/>
  <c r="M828"/>
  <c r="H828"/>
  <c r="M827"/>
  <c r="H827"/>
  <c r="M826"/>
  <c r="H826"/>
  <c r="M825"/>
  <c r="H825"/>
  <c r="M824"/>
  <c r="H824"/>
  <c r="M823"/>
  <c r="H823"/>
  <c r="M822"/>
  <c r="H822"/>
  <c r="M821"/>
  <c r="H821"/>
  <c r="M820"/>
  <c r="H820"/>
  <c r="M819"/>
  <c r="H819"/>
  <c r="M818"/>
  <c r="H818"/>
  <c r="M817"/>
  <c r="H817"/>
  <c r="M816"/>
  <c r="H816"/>
  <c r="M815"/>
  <c r="H815"/>
  <c r="M814"/>
  <c r="H814"/>
  <c r="M813"/>
  <c r="H813"/>
  <c r="M812"/>
  <c r="H812"/>
  <c r="M811"/>
  <c r="H811"/>
  <c r="M810"/>
  <c r="H810"/>
  <c r="M809"/>
  <c r="H809"/>
  <c r="M808"/>
  <c r="H808"/>
  <c r="M807"/>
  <c r="H807"/>
  <c r="M806"/>
  <c r="H806"/>
  <c r="M805"/>
  <c r="H805"/>
  <c r="M804"/>
  <c r="H804"/>
  <c r="M803"/>
  <c r="H803"/>
  <c r="M802"/>
  <c r="H802"/>
  <c r="M801"/>
  <c r="H801"/>
  <c r="M800"/>
  <c r="H800"/>
  <c r="M799"/>
  <c r="H799"/>
  <c r="M798"/>
  <c r="H798"/>
  <c r="M797"/>
  <c r="H797"/>
  <c r="M796"/>
  <c r="H796"/>
  <c r="M795"/>
  <c r="H795"/>
  <c r="M794"/>
  <c r="H794"/>
  <c r="M793"/>
  <c r="H793"/>
  <c r="M792"/>
  <c r="H792"/>
  <c r="M791"/>
  <c r="H791"/>
  <c r="M790"/>
  <c r="H790"/>
  <c r="M789"/>
  <c r="H789"/>
  <c r="M788"/>
  <c r="H788"/>
  <c r="M787"/>
  <c r="H787"/>
  <c r="M786"/>
  <c r="H786"/>
  <c r="M785"/>
  <c r="H785"/>
  <c r="M784"/>
  <c r="H784"/>
  <c r="M783"/>
  <c r="H783"/>
  <c r="M782"/>
  <c r="H782"/>
  <c r="M781"/>
  <c r="H781"/>
  <c r="M780"/>
  <c r="H780"/>
  <c r="M779"/>
  <c r="H779"/>
  <c r="M778"/>
  <c r="H778"/>
  <c r="M777"/>
  <c r="H777"/>
  <c r="M776"/>
  <c r="H776"/>
  <c r="M775"/>
  <c r="H775"/>
  <c r="M774"/>
  <c r="H774"/>
  <c r="M773"/>
  <c r="H773"/>
  <c r="M772"/>
  <c r="H772"/>
  <c r="M771"/>
  <c r="H771"/>
  <c r="M770"/>
  <c r="H770"/>
  <c r="M769"/>
  <c r="H769"/>
  <c r="M768"/>
  <c r="H768"/>
  <c r="M767"/>
  <c r="H767"/>
  <c r="M766"/>
  <c r="H766"/>
  <c r="M765"/>
  <c r="H765"/>
  <c r="M764"/>
  <c r="H764"/>
  <c r="M763"/>
  <c r="H763"/>
  <c r="M762"/>
  <c r="H762"/>
  <c r="M761"/>
  <c r="H761"/>
  <c r="M760"/>
  <c r="H760"/>
  <c r="M759"/>
  <c r="H759"/>
  <c r="M758"/>
  <c r="H758"/>
  <c r="M757"/>
  <c r="H757"/>
  <c r="M756"/>
  <c r="H756"/>
  <c r="M755"/>
  <c r="H755"/>
  <c r="M754"/>
  <c r="H754"/>
  <c r="M753"/>
  <c r="H753"/>
  <c r="M752"/>
  <c r="H752"/>
  <c r="M751"/>
  <c r="H751"/>
  <c r="M750"/>
  <c r="H750"/>
  <c r="M749"/>
  <c r="H749"/>
  <c r="M748"/>
  <c r="H748"/>
  <c r="M747"/>
  <c r="H747"/>
  <c r="M746"/>
  <c r="H746"/>
  <c r="M745"/>
  <c r="H745"/>
  <c r="M744"/>
  <c r="H744"/>
  <c r="M743"/>
  <c r="H743"/>
  <c r="M742"/>
  <c r="H742"/>
  <c r="M741"/>
  <c r="H741"/>
  <c r="M740"/>
  <c r="H740"/>
  <c r="M739"/>
  <c r="H739"/>
  <c r="M738"/>
  <c r="H738"/>
  <c r="M737"/>
  <c r="H737"/>
  <c r="M736"/>
  <c r="H736"/>
  <c r="M735"/>
  <c r="H735"/>
  <c r="M734"/>
  <c r="H734"/>
  <c r="M733"/>
  <c r="H733"/>
  <c r="M732"/>
  <c r="H732"/>
  <c r="M731"/>
  <c r="H731"/>
  <c r="M730"/>
  <c r="H730"/>
  <c r="M729"/>
  <c r="H729"/>
  <c r="M728"/>
  <c r="H728"/>
  <c r="M727"/>
  <c r="H727"/>
  <c r="M726"/>
  <c r="H726"/>
  <c r="M725"/>
  <c r="H725"/>
  <c r="M724"/>
  <c r="H724"/>
  <c r="M723"/>
  <c r="H723"/>
  <c r="M722"/>
  <c r="H722"/>
  <c r="M721"/>
  <c r="H721"/>
  <c r="M720"/>
  <c r="H720"/>
  <c r="M719"/>
  <c r="H719"/>
  <c r="M718"/>
  <c r="H718"/>
  <c r="M717"/>
  <c r="H717"/>
  <c r="M716"/>
  <c r="H716"/>
  <c r="M715"/>
  <c r="H715"/>
  <c r="M714"/>
  <c r="H714"/>
  <c r="M713"/>
  <c r="H713"/>
  <c r="M712"/>
  <c r="H712"/>
  <c r="M711"/>
  <c r="H711"/>
  <c r="M710"/>
  <c r="H710"/>
  <c r="M709"/>
  <c r="H709"/>
  <c r="M708"/>
  <c r="H708"/>
  <c r="M707"/>
  <c r="H707"/>
  <c r="M706"/>
  <c r="H706"/>
  <c r="M705"/>
  <c r="H705"/>
  <c r="M704"/>
  <c r="H704"/>
  <c r="M703"/>
  <c r="H703"/>
  <c r="M702"/>
  <c r="H702"/>
  <c r="M701"/>
  <c r="H701"/>
  <c r="M700"/>
  <c r="H700"/>
  <c r="M699"/>
  <c r="H699"/>
  <c r="M698"/>
  <c r="H698"/>
  <c r="M697"/>
  <c r="H697"/>
  <c r="M696"/>
  <c r="H696"/>
  <c r="M695"/>
  <c r="H695"/>
  <c r="M694"/>
  <c r="H694"/>
  <c r="M693"/>
  <c r="H693"/>
  <c r="M692"/>
  <c r="H692"/>
  <c r="M691"/>
  <c r="H691"/>
  <c r="M690"/>
  <c r="H690"/>
  <c r="M689"/>
  <c r="H689"/>
  <c r="M688"/>
  <c r="H688"/>
  <c r="M687"/>
  <c r="H687"/>
  <c r="M686"/>
  <c r="H686"/>
  <c r="M685"/>
  <c r="H685"/>
  <c r="M684"/>
  <c r="H684"/>
  <c r="M683"/>
  <c r="H683"/>
  <c r="M682"/>
  <c r="H682"/>
  <c r="M681"/>
  <c r="H681"/>
  <c r="M680"/>
  <c r="H680"/>
  <c r="M679"/>
  <c r="H679"/>
  <c r="M678"/>
  <c r="H678"/>
  <c r="M677"/>
  <c r="H677"/>
  <c r="M676"/>
  <c r="H676"/>
  <c r="M675"/>
  <c r="H675"/>
  <c r="M674"/>
  <c r="H674"/>
  <c r="M673"/>
  <c r="H673"/>
  <c r="M672"/>
  <c r="H672"/>
  <c r="M671"/>
  <c r="H671"/>
  <c r="M670"/>
  <c r="H670"/>
  <c r="M669"/>
  <c r="H669"/>
  <c r="M668"/>
  <c r="H668"/>
  <c r="M667"/>
  <c r="H667"/>
  <c r="M666"/>
  <c r="H666"/>
  <c r="M665"/>
  <c r="H665"/>
  <c r="M664"/>
  <c r="H664"/>
  <c r="M663"/>
  <c r="H663"/>
  <c r="M662"/>
  <c r="H662"/>
  <c r="M661"/>
  <c r="H661"/>
  <c r="M660"/>
  <c r="H660"/>
  <c r="M659"/>
  <c r="H659"/>
  <c r="M658"/>
  <c r="H658"/>
  <c r="M657"/>
  <c r="H657"/>
  <c r="M656"/>
  <c r="H656"/>
  <c r="M655"/>
  <c r="H655"/>
  <c r="M654"/>
  <c r="H654"/>
  <c r="M653"/>
  <c r="H653"/>
  <c r="M652"/>
  <c r="H652"/>
  <c r="M651"/>
  <c r="H651"/>
  <c r="M650"/>
  <c r="H650"/>
  <c r="M649"/>
  <c r="H649"/>
  <c r="M648"/>
  <c r="H648"/>
  <c r="M647"/>
  <c r="H647"/>
  <c r="M646"/>
  <c r="H646"/>
  <c r="M645"/>
  <c r="H645"/>
  <c r="M644"/>
  <c r="H644"/>
  <c r="M643"/>
  <c r="H643"/>
  <c r="M642"/>
  <c r="H642"/>
  <c r="M641"/>
  <c r="H641"/>
  <c r="M640"/>
  <c r="H640"/>
  <c r="M639"/>
  <c r="H639"/>
  <c r="M638"/>
  <c r="H638"/>
  <c r="M637"/>
  <c r="H637"/>
  <c r="M636"/>
  <c r="H636"/>
  <c r="M635"/>
  <c r="H635"/>
  <c r="M634"/>
  <c r="H634"/>
  <c r="M633"/>
  <c r="H633"/>
  <c r="M632"/>
  <c r="H632"/>
  <c r="M631"/>
  <c r="H631"/>
  <c r="M630"/>
  <c r="H630"/>
  <c r="M629"/>
  <c r="H629"/>
  <c r="M628"/>
  <c r="H628"/>
  <c r="M627"/>
  <c r="H627"/>
  <c r="M626"/>
  <c r="H626"/>
  <c r="M625"/>
  <c r="H625"/>
  <c r="M624"/>
  <c r="H624"/>
  <c r="M623"/>
  <c r="H623"/>
  <c r="M622"/>
  <c r="H622"/>
  <c r="M621"/>
  <c r="H621"/>
  <c r="M620"/>
  <c r="H620"/>
  <c r="M619"/>
  <c r="H619"/>
  <c r="M618"/>
  <c r="H618"/>
  <c r="M617"/>
  <c r="H617"/>
  <c r="M616"/>
  <c r="H616"/>
  <c r="M615"/>
  <c r="H615"/>
  <c r="M614"/>
  <c r="H614"/>
  <c r="M613"/>
  <c r="H613"/>
  <c r="M612"/>
  <c r="H612"/>
  <c r="M611"/>
  <c r="H611"/>
  <c r="M610"/>
  <c r="H610"/>
  <c r="M609"/>
  <c r="H609"/>
  <c r="M608"/>
  <c r="H608"/>
  <c r="M607"/>
  <c r="H607"/>
  <c r="M606"/>
  <c r="H606"/>
  <c r="M605"/>
  <c r="H605"/>
  <c r="M604"/>
  <c r="H604"/>
  <c r="M603"/>
  <c r="H603"/>
  <c r="M602"/>
  <c r="H602"/>
  <c r="M601"/>
  <c r="H601"/>
  <c r="M600"/>
  <c r="H600"/>
  <c r="M599"/>
  <c r="H599"/>
  <c r="M598"/>
  <c r="H598"/>
  <c r="M597"/>
  <c r="H597"/>
  <c r="M596"/>
  <c r="H596"/>
  <c r="M595"/>
  <c r="H595"/>
  <c r="M594"/>
  <c r="H594"/>
  <c r="M593"/>
  <c r="H593"/>
  <c r="M592"/>
  <c r="H592"/>
  <c r="M591"/>
  <c r="H591"/>
  <c r="M590"/>
  <c r="H590"/>
  <c r="M589"/>
  <c r="H589"/>
  <c r="M588"/>
  <c r="H588"/>
  <c r="M587"/>
  <c r="H587"/>
  <c r="M586"/>
  <c r="H586"/>
  <c r="M585"/>
  <c r="H585"/>
  <c r="M584"/>
  <c r="H584"/>
  <c r="M583"/>
  <c r="H583"/>
  <c r="M582"/>
  <c r="H582"/>
  <c r="M581"/>
  <c r="H581"/>
  <c r="M580"/>
  <c r="H580"/>
  <c r="M579"/>
  <c r="H579"/>
  <c r="M578"/>
  <c r="H578"/>
  <c r="M577"/>
  <c r="H577"/>
  <c r="M576"/>
  <c r="H576"/>
  <c r="M575"/>
  <c r="H575"/>
  <c r="M574"/>
  <c r="H574"/>
  <c r="M573"/>
  <c r="H573"/>
  <c r="M572"/>
  <c r="H572"/>
  <c r="M571"/>
  <c r="H571"/>
  <c r="M570"/>
  <c r="H570"/>
  <c r="M569"/>
  <c r="H569"/>
  <c r="M568"/>
  <c r="H568"/>
  <c r="M567"/>
  <c r="H567"/>
  <c r="M566"/>
  <c r="H566"/>
  <c r="M565"/>
  <c r="H565"/>
  <c r="M564"/>
  <c r="H564"/>
  <c r="M563"/>
  <c r="H563"/>
  <c r="M562"/>
  <c r="H562"/>
  <c r="M561"/>
  <c r="H561"/>
  <c r="M560"/>
  <c r="H560"/>
  <c r="M559"/>
  <c r="H559"/>
  <c r="M558"/>
  <c r="H558"/>
  <c r="M557"/>
  <c r="H557"/>
  <c r="M556"/>
  <c r="H556"/>
  <c r="M555"/>
  <c r="H555"/>
  <c r="M554"/>
  <c r="H554"/>
  <c r="M553"/>
  <c r="H553"/>
  <c r="M552"/>
  <c r="H552"/>
  <c r="M551"/>
  <c r="H551"/>
  <c r="M550"/>
  <c r="H550"/>
  <c r="M549"/>
  <c r="H549"/>
  <c r="M548"/>
  <c r="H548"/>
  <c r="M547"/>
  <c r="H547"/>
  <c r="M546"/>
  <c r="H546"/>
  <c r="M545"/>
  <c r="H545"/>
  <c r="M544"/>
  <c r="H544"/>
  <c r="M543"/>
  <c r="H543"/>
  <c r="M542"/>
  <c r="H542"/>
  <c r="M541"/>
  <c r="H541"/>
  <c r="M540"/>
  <c r="H540"/>
  <c r="M539"/>
  <c r="H539"/>
  <c r="M538"/>
  <c r="H538"/>
  <c r="M537"/>
  <c r="H537"/>
  <c r="M536"/>
  <c r="H536"/>
  <c r="M535"/>
  <c r="H535"/>
  <c r="M534"/>
  <c r="H534"/>
  <c r="M533"/>
  <c r="H533"/>
  <c r="M532"/>
  <c r="H532"/>
  <c r="M531"/>
  <c r="H531"/>
  <c r="M530"/>
  <c r="H530"/>
  <c r="M529"/>
  <c r="H529"/>
  <c r="M528"/>
  <c r="H528"/>
  <c r="M527"/>
  <c r="H527"/>
  <c r="M526"/>
  <c r="H526"/>
  <c r="M525"/>
  <c r="H525"/>
  <c r="M524"/>
  <c r="H524"/>
  <c r="M523"/>
  <c r="H523"/>
  <c r="M522"/>
  <c r="H522"/>
  <c r="M521"/>
  <c r="H521"/>
  <c r="M520"/>
  <c r="H520"/>
  <c r="M519"/>
  <c r="H519"/>
  <c r="M518"/>
  <c r="H518"/>
  <c r="M517"/>
  <c r="H517"/>
  <c r="M516"/>
  <c r="H516"/>
  <c r="M515"/>
  <c r="H515"/>
  <c r="M514"/>
  <c r="H514"/>
  <c r="M513"/>
  <c r="H513"/>
  <c r="M512"/>
  <c r="H512"/>
  <c r="M511"/>
  <c r="H511"/>
  <c r="M510"/>
  <c r="H510"/>
  <c r="M509"/>
  <c r="H509"/>
  <c r="M508"/>
  <c r="H508"/>
  <c r="M507"/>
  <c r="H507"/>
  <c r="M506"/>
  <c r="H506"/>
  <c r="M505"/>
  <c r="H505"/>
  <c r="M504"/>
  <c r="H504"/>
  <c r="M503"/>
  <c r="H503"/>
  <c r="M502"/>
  <c r="H502"/>
  <c r="M501"/>
  <c r="H501"/>
  <c r="M500"/>
  <c r="H500"/>
  <c r="M499"/>
  <c r="H499"/>
  <c r="M498"/>
  <c r="H498"/>
  <c r="M497"/>
  <c r="H497"/>
  <c r="M496"/>
  <c r="H496"/>
  <c r="M495"/>
  <c r="H495"/>
  <c r="M494"/>
  <c r="H494"/>
  <c r="M493"/>
  <c r="H493"/>
  <c r="M492"/>
  <c r="H492"/>
  <c r="M491"/>
  <c r="H491"/>
  <c r="M490"/>
  <c r="H490"/>
  <c r="M489"/>
  <c r="H489"/>
  <c r="M488"/>
  <c r="H488"/>
  <c r="M487"/>
  <c r="H487"/>
  <c r="M486"/>
  <c r="H486"/>
  <c r="M485"/>
  <c r="H485"/>
  <c r="M484"/>
  <c r="H484"/>
  <c r="M483"/>
  <c r="H483"/>
  <c r="M482"/>
  <c r="H482"/>
  <c r="M481"/>
  <c r="H481"/>
  <c r="M480"/>
  <c r="H480"/>
  <c r="M479"/>
  <c r="H479"/>
  <c r="M478"/>
  <c r="H478"/>
  <c r="M477"/>
  <c r="H477"/>
  <c r="M476"/>
  <c r="H476"/>
  <c r="M475"/>
  <c r="H475"/>
  <c r="M474"/>
  <c r="H474"/>
  <c r="M473"/>
  <c r="H473"/>
  <c r="M472"/>
  <c r="H472"/>
  <c r="M471"/>
  <c r="H471"/>
  <c r="M470"/>
  <c r="H470"/>
  <c r="M469"/>
  <c r="H469"/>
  <c r="M468"/>
  <c r="H468"/>
  <c r="M467"/>
  <c r="H467"/>
  <c r="M466"/>
  <c r="H466"/>
  <c r="M465"/>
  <c r="H465"/>
  <c r="M464"/>
  <c r="H464"/>
  <c r="M463"/>
  <c r="H463"/>
  <c r="M462"/>
  <c r="H462"/>
  <c r="M461"/>
  <c r="H461"/>
  <c r="M460"/>
  <c r="H460"/>
  <c r="M459"/>
  <c r="H459"/>
  <c r="M458"/>
  <c r="H458"/>
  <c r="M457"/>
  <c r="H457"/>
  <c r="M456"/>
  <c r="H456"/>
  <c r="M455"/>
  <c r="H455"/>
  <c r="M454"/>
  <c r="H454"/>
  <c r="M453"/>
  <c r="H453"/>
  <c r="M452"/>
  <c r="H452"/>
  <c r="M451"/>
  <c r="H451"/>
  <c r="M450"/>
  <c r="H450"/>
  <c r="M449"/>
  <c r="H449"/>
  <c r="M448"/>
  <c r="H448"/>
  <c r="M447"/>
  <c r="H447"/>
  <c r="M446"/>
  <c r="H446"/>
  <c r="M445"/>
  <c r="H445"/>
  <c r="M444"/>
  <c r="H444"/>
  <c r="M443"/>
  <c r="H443"/>
  <c r="M442"/>
  <c r="H442"/>
  <c r="M441"/>
  <c r="H441"/>
  <c r="M440"/>
  <c r="H440"/>
  <c r="M439"/>
  <c r="H439"/>
  <c r="M438"/>
  <c r="H438"/>
  <c r="M437"/>
  <c r="H437"/>
  <c r="M436"/>
  <c r="H436"/>
  <c r="M435"/>
  <c r="H435"/>
  <c r="M434"/>
  <c r="H434"/>
  <c r="M433"/>
  <c r="H433"/>
  <c r="M432"/>
  <c r="H432"/>
  <c r="M431"/>
  <c r="H431"/>
  <c r="M430"/>
  <c r="H430"/>
  <c r="M429"/>
  <c r="H429"/>
  <c r="M428"/>
  <c r="H428"/>
  <c r="M427"/>
  <c r="H427"/>
  <c r="M426"/>
  <c r="H426"/>
  <c r="M425"/>
  <c r="H425"/>
  <c r="M424"/>
  <c r="H424"/>
  <c r="M423"/>
  <c r="H423"/>
  <c r="M422"/>
  <c r="H422"/>
  <c r="M421"/>
  <c r="H421"/>
  <c r="M420"/>
  <c r="H420"/>
  <c r="M419"/>
  <c r="H419"/>
  <c r="M418"/>
  <c r="H418"/>
  <c r="M417"/>
  <c r="H417"/>
  <c r="M416"/>
  <c r="H416"/>
  <c r="M415"/>
  <c r="H415"/>
  <c r="M414"/>
  <c r="H414"/>
  <c r="M413"/>
  <c r="H413"/>
  <c r="M412"/>
  <c r="H412"/>
  <c r="M411"/>
  <c r="H411"/>
  <c r="M410"/>
  <c r="H410"/>
  <c r="M409"/>
  <c r="H409"/>
  <c r="M408"/>
  <c r="H408"/>
  <c r="M407"/>
  <c r="H407"/>
  <c r="M406"/>
  <c r="H406"/>
  <c r="M405"/>
  <c r="H405"/>
  <c r="M404"/>
  <c r="H404"/>
  <c r="M403"/>
  <c r="H403"/>
  <c r="M402"/>
  <c r="H402"/>
  <c r="M401"/>
  <c r="H401"/>
  <c r="M400"/>
  <c r="H400"/>
  <c r="M399"/>
  <c r="H399"/>
  <c r="M398"/>
  <c r="H398"/>
  <c r="M397"/>
  <c r="H397"/>
  <c r="M396"/>
  <c r="H396"/>
  <c r="M395"/>
  <c r="H395"/>
  <c r="M394"/>
  <c r="H394"/>
  <c r="M393"/>
  <c r="H393"/>
  <c r="M392"/>
  <c r="H392"/>
  <c r="M391"/>
  <c r="H391"/>
  <c r="M390"/>
  <c r="H390"/>
  <c r="M389"/>
  <c r="H389"/>
  <c r="M388"/>
  <c r="H388"/>
  <c r="M387"/>
  <c r="H387"/>
  <c r="M386"/>
  <c r="H386"/>
  <c r="M385"/>
  <c r="H385"/>
  <c r="M384"/>
  <c r="H384"/>
  <c r="M383"/>
  <c r="H383"/>
  <c r="M382"/>
  <c r="H382"/>
  <c r="M381"/>
  <c r="H381"/>
  <c r="M380"/>
  <c r="H380"/>
  <c r="M379"/>
  <c r="H379"/>
  <c r="M378"/>
  <c r="H378"/>
  <c r="M377"/>
  <c r="H377"/>
  <c r="M376"/>
  <c r="H376"/>
  <c r="M375"/>
  <c r="H375"/>
  <c r="M374"/>
  <c r="H374"/>
  <c r="M373"/>
  <c r="H373"/>
  <c r="M372"/>
  <c r="H372"/>
  <c r="M371"/>
  <c r="H371"/>
  <c r="M370"/>
  <c r="H370"/>
  <c r="M369"/>
  <c r="H369"/>
  <c r="M368"/>
  <c r="H368"/>
  <c r="M367"/>
  <c r="H367"/>
  <c r="M366"/>
  <c r="H366"/>
  <c r="M365"/>
  <c r="H365"/>
  <c r="M364"/>
  <c r="H364"/>
  <c r="M363"/>
  <c r="H363"/>
  <c r="M362"/>
  <c r="H362"/>
  <c r="M361"/>
  <c r="H361"/>
  <c r="M360"/>
  <c r="H360"/>
  <c r="M359"/>
  <c r="H359"/>
  <c r="M358"/>
  <c r="H358"/>
  <c r="M357"/>
  <c r="H357"/>
  <c r="M356"/>
  <c r="H356"/>
  <c r="M355"/>
  <c r="H355"/>
  <c r="M354"/>
  <c r="H354"/>
  <c r="M353"/>
  <c r="H353"/>
  <c r="M352"/>
  <c r="H352"/>
  <c r="M351"/>
  <c r="H351"/>
  <c r="M350"/>
  <c r="H350"/>
  <c r="M349"/>
  <c r="H349"/>
  <c r="M348"/>
  <c r="H348"/>
  <c r="M347"/>
  <c r="H347"/>
  <c r="M346"/>
  <c r="H346"/>
  <c r="M345"/>
  <c r="H345"/>
  <c r="M344"/>
  <c r="H344"/>
  <c r="M343"/>
  <c r="H343"/>
  <c r="M342"/>
  <c r="H342"/>
  <c r="M341"/>
  <c r="H341"/>
  <c r="M340"/>
  <c r="H340"/>
  <c r="M339"/>
  <c r="H339"/>
  <c r="M338"/>
  <c r="H338"/>
  <c r="M337"/>
  <c r="H337"/>
  <c r="M336"/>
  <c r="H336"/>
  <c r="M335"/>
  <c r="H335"/>
  <c r="M334"/>
  <c r="H334"/>
  <c r="M333"/>
  <c r="H333"/>
  <c r="M332"/>
  <c r="H332"/>
  <c r="M331"/>
  <c r="H331"/>
  <c r="M330"/>
  <c r="H330"/>
  <c r="M329"/>
  <c r="H329"/>
  <c r="M328"/>
  <c r="H328"/>
  <c r="M327"/>
  <c r="H327"/>
  <c r="M326"/>
  <c r="H326"/>
  <c r="M325"/>
  <c r="H325"/>
  <c r="M324"/>
  <c r="H324"/>
  <c r="M323"/>
  <c r="H323"/>
  <c r="M322"/>
  <c r="H322"/>
  <c r="M321"/>
  <c r="H321"/>
  <c r="M320"/>
  <c r="H320"/>
  <c r="M319"/>
  <c r="H319"/>
  <c r="M318"/>
  <c r="H318"/>
  <c r="M317"/>
  <c r="H317"/>
  <c r="M316"/>
  <c r="H316"/>
  <c r="M315"/>
  <c r="H315"/>
  <c r="M314"/>
  <c r="H314"/>
  <c r="M313"/>
  <c r="H313"/>
  <c r="M312"/>
  <c r="H312"/>
  <c r="M311"/>
  <c r="H311"/>
  <c r="M310"/>
  <c r="H310"/>
  <c r="M309"/>
  <c r="H309"/>
  <c r="M308"/>
  <c r="H308"/>
  <c r="M307"/>
  <c r="H307"/>
  <c r="M306"/>
  <c r="H306"/>
  <c r="M305"/>
  <c r="H305"/>
  <c r="M304"/>
  <c r="H304"/>
  <c r="M303"/>
  <c r="H303"/>
  <c r="M302"/>
  <c r="H302"/>
  <c r="M301"/>
  <c r="H301"/>
  <c r="M300"/>
  <c r="H300"/>
  <c r="M299"/>
  <c r="H299"/>
  <c r="M298"/>
  <c r="H298"/>
  <c r="M297"/>
  <c r="H297"/>
  <c r="M296"/>
  <c r="H296"/>
  <c r="M295"/>
  <c r="H295"/>
  <c r="M294"/>
  <c r="H294"/>
  <c r="M293"/>
  <c r="H293"/>
  <c r="M292"/>
  <c r="H292"/>
  <c r="M291"/>
  <c r="H291"/>
  <c r="M290"/>
  <c r="H290"/>
  <c r="M289"/>
  <c r="H289"/>
  <c r="M288"/>
  <c r="H288"/>
  <c r="M287"/>
  <c r="H287"/>
  <c r="M286"/>
  <c r="H286"/>
  <c r="M285"/>
  <c r="H285"/>
  <c r="M284"/>
  <c r="H284"/>
  <c r="M283"/>
  <c r="H283"/>
  <c r="M282"/>
  <c r="H282"/>
  <c r="M281"/>
  <c r="H281"/>
  <c r="M280"/>
  <c r="H280"/>
  <c r="M279"/>
  <c r="H279"/>
  <c r="M278"/>
  <c r="H278"/>
  <c r="M277"/>
  <c r="H277"/>
  <c r="M276"/>
  <c r="H276"/>
  <c r="M275"/>
  <c r="H275"/>
  <c r="M274"/>
  <c r="H274"/>
  <c r="M273"/>
  <c r="H273"/>
  <c r="M272"/>
  <c r="H272"/>
  <c r="M271"/>
  <c r="H271"/>
  <c r="M270"/>
  <c r="H270"/>
  <c r="M269"/>
  <c r="H269"/>
  <c r="M268"/>
  <c r="H268"/>
  <c r="M267"/>
  <c r="H267"/>
  <c r="M266"/>
  <c r="H266"/>
  <c r="M265"/>
  <c r="H265"/>
  <c r="M264"/>
  <c r="H264"/>
  <c r="M263"/>
  <c r="H263"/>
  <c r="M262"/>
  <c r="H262"/>
  <c r="M261"/>
  <c r="H261"/>
  <c r="M260"/>
  <c r="H260"/>
  <c r="M259"/>
  <c r="H259"/>
  <c r="M258"/>
  <c r="H258"/>
  <c r="M257"/>
  <c r="H257"/>
  <c r="M256"/>
  <c r="H256"/>
  <c r="M255"/>
  <c r="H255"/>
  <c r="M254"/>
  <c r="H254"/>
  <c r="M253"/>
  <c r="H253"/>
  <c r="M252"/>
  <c r="H252"/>
  <c r="M251"/>
  <c r="H251"/>
  <c r="M250"/>
  <c r="H250"/>
  <c r="M249"/>
  <c r="H249"/>
  <c r="M248"/>
  <c r="H248"/>
  <c r="M247"/>
  <c r="H247"/>
  <c r="M246"/>
  <c r="H246"/>
  <c r="M245"/>
  <c r="H245"/>
  <c r="M244"/>
  <c r="H244"/>
  <c r="M243"/>
  <c r="H243"/>
  <c r="M242"/>
  <c r="H242"/>
  <c r="M241"/>
  <c r="H241"/>
  <c r="M240"/>
  <c r="H240"/>
  <c r="M239"/>
  <c r="H239"/>
  <c r="M238"/>
  <c r="H238"/>
  <c r="M237"/>
  <c r="H237"/>
  <c r="M236"/>
  <c r="H236"/>
  <c r="M235"/>
  <c r="H235"/>
  <c r="M234"/>
  <c r="H234"/>
  <c r="M233"/>
  <c r="H233"/>
  <c r="M232"/>
  <c r="H232"/>
  <c r="M231"/>
  <c r="H231"/>
  <c r="M230"/>
  <c r="H230"/>
  <c r="M229"/>
  <c r="H229"/>
  <c r="M228"/>
  <c r="H228"/>
  <c r="M227"/>
  <c r="H227"/>
  <c r="M226"/>
  <c r="H226"/>
  <c r="M225"/>
  <c r="H225"/>
  <c r="M224"/>
  <c r="H224"/>
  <c r="M223"/>
  <c r="H223"/>
  <c r="M222"/>
  <c r="H222"/>
  <c r="M221"/>
  <c r="H221"/>
  <c r="M220"/>
  <c r="H220"/>
  <c r="M219"/>
  <c r="H219"/>
  <c r="M218"/>
  <c r="H218"/>
  <c r="M217"/>
  <c r="H217"/>
  <c r="M216"/>
  <c r="H216"/>
  <c r="M215"/>
  <c r="H215"/>
  <c r="M214"/>
  <c r="H214"/>
  <c r="M213"/>
  <c r="H213"/>
  <c r="M212"/>
  <c r="H212"/>
  <c r="M211"/>
  <c r="H211"/>
  <c r="M210"/>
  <c r="H210"/>
  <c r="M209"/>
  <c r="H209"/>
  <c r="M208"/>
  <c r="H208"/>
  <c r="M207"/>
  <c r="H207"/>
  <c r="M206"/>
  <c r="H206"/>
  <c r="M205"/>
  <c r="H205"/>
  <c r="M204"/>
  <c r="H204"/>
  <c r="M203"/>
  <c r="H203"/>
  <c r="M202"/>
  <c r="H202"/>
  <c r="M201"/>
  <c r="H201"/>
  <c r="M200"/>
  <c r="H200"/>
  <c r="M199"/>
  <c r="H199"/>
  <c r="M198"/>
  <c r="H198"/>
  <c r="M197"/>
  <c r="H197"/>
  <c r="M196"/>
  <c r="H196"/>
  <c r="M195"/>
  <c r="H195"/>
  <c r="M194"/>
  <c r="H194"/>
  <c r="M193"/>
  <c r="H193"/>
  <c r="M192"/>
  <c r="H192"/>
  <c r="M191"/>
  <c r="H191"/>
  <c r="M190"/>
  <c r="H190"/>
  <c r="M189"/>
  <c r="H189"/>
  <c r="M188"/>
  <c r="H188"/>
  <c r="M187"/>
  <c r="H187"/>
  <c r="M186"/>
  <c r="H186"/>
  <c r="M185"/>
  <c r="H185"/>
  <c r="M184"/>
  <c r="H184"/>
  <c r="M183"/>
  <c r="H183"/>
  <c r="M182"/>
  <c r="H182"/>
  <c r="M181"/>
  <c r="H181"/>
  <c r="M180"/>
  <c r="H180"/>
  <c r="M179"/>
  <c r="H179"/>
  <c r="M178"/>
  <c r="H178"/>
  <c r="M177"/>
  <c r="H177"/>
  <c r="M176"/>
  <c r="H176"/>
  <c r="M175"/>
  <c r="H175"/>
  <c r="M174"/>
  <c r="H174"/>
  <c r="M173"/>
  <c r="H173"/>
  <c r="M172"/>
  <c r="H172"/>
  <c r="M171"/>
  <c r="H171"/>
  <c r="M170"/>
  <c r="H170"/>
  <c r="M169"/>
  <c r="H169"/>
  <c r="M168"/>
  <c r="H168"/>
  <c r="M167"/>
  <c r="H167"/>
  <c r="M166"/>
  <c r="H166"/>
  <c r="M165"/>
  <c r="H165"/>
  <c r="M164"/>
  <c r="H164"/>
  <c r="M163"/>
  <c r="H163"/>
  <c r="M162"/>
  <c r="H162"/>
  <c r="M161"/>
  <c r="H161"/>
  <c r="M160"/>
  <c r="H160"/>
  <c r="M159"/>
  <c r="H159"/>
  <c r="M158"/>
  <c r="H158"/>
  <c r="M157"/>
  <c r="H157"/>
  <c r="M156"/>
  <c r="H156"/>
  <c r="M155"/>
  <c r="H155"/>
  <c r="M154"/>
  <c r="H154"/>
  <c r="M153"/>
  <c r="H153"/>
  <c r="M152"/>
  <c r="H152"/>
  <c r="M151"/>
  <c r="H151"/>
  <c r="M150"/>
  <c r="H150"/>
  <c r="M149"/>
  <c r="H149"/>
  <c r="M148"/>
  <c r="H148"/>
  <c r="M147"/>
  <c r="H147"/>
  <c r="M146"/>
  <c r="H146"/>
  <c r="M145"/>
  <c r="H145"/>
  <c r="M144"/>
  <c r="H144"/>
  <c r="M143"/>
  <c r="H143"/>
  <c r="M142"/>
  <c r="H142"/>
  <c r="M141"/>
  <c r="H141"/>
  <c r="M140"/>
  <c r="H140"/>
  <c r="M139"/>
  <c r="H139"/>
  <c r="M138"/>
  <c r="H138"/>
  <c r="M137"/>
  <c r="H137"/>
  <c r="M136"/>
  <c r="H136"/>
  <c r="M135"/>
  <c r="H135"/>
  <c r="M134"/>
  <c r="H134"/>
  <c r="M133"/>
  <c r="H133"/>
  <c r="M132"/>
  <c r="H132"/>
  <c r="M131"/>
  <c r="H131"/>
  <c r="M130"/>
  <c r="H130"/>
  <c r="M129"/>
  <c r="H129"/>
  <c r="M128"/>
  <c r="H128"/>
  <c r="M127"/>
  <c r="H127"/>
  <c r="M126"/>
  <c r="H126"/>
  <c r="M125"/>
  <c r="H125"/>
  <c r="M124"/>
  <c r="H124"/>
  <c r="M123"/>
  <c r="H123"/>
  <c r="M122"/>
  <c r="H122"/>
  <c r="M121"/>
  <c r="H121"/>
  <c r="M120"/>
  <c r="H120"/>
  <c r="M119"/>
  <c r="H119"/>
  <c r="M118"/>
  <c r="H118"/>
  <c r="M117"/>
  <c r="H117"/>
  <c r="M116"/>
  <c r="H116"/>
  <c r="M115"/>
  <c r="H115"/>
  <c r="M114"/>
  <c r="H114"/>
  <c r="M113"/>
  <c r="H113"/>
  <c r="M112"/>
  <c r="H112"/>
  <c r="M111"/>
  <c r="H111"/>
  <c r="M110"/>
  <c r="H110"/>
  <c r="M109"/>
  <c r="H109"/>
  <c r="M108"/>
  <c r="H108"/>
  <c r="M107"/>
  <c r="H107"/>
  <c r="M106"/>
  <c r="H106"/>
  <c r="M105"/>
  <c r="H105"/>
  <c r="M104"/>
  <c r="H104"/>
  <c r="C104"/>
  <c r="I10" i="1" s="1"/>
  <c r="M103" i="22"/>
  <c r="H103"/>
  <c r="M102"/>
  <c r="H102"/>
  <c r="M101"/>
  <c r="H101"/>
  <c r="M100"/>
  <c r="H100"/>
  <c r="M99"/>
  <c r="H99"/>
  <c r="M98"/>
  <c r="H98"/>
  <c r="M97"/>
  <c r="H97"/>
  <c r="M96"/>
  <c r="H96"/>
  <c r="M95"/>
  <c r="H95"/>
  <c r="M94"/>
  <c r="H94"/>
  <c r="M93"/>
  <c r="H93"/>
  <c r="M92"/>
  <c r="H92"/>
  <c r="M91"/>
  <c r="H91"/>
  <c r="C91"/>
  <c r="H10" i="1" s="1"/>
  <c r="M90" i="22"/>
  <c r="H90"/>
  <c r="M89"/>
  <c r="H89"/>
  <c r="M88"/>
  <c r="H88"/>
  <c r="M87"/>
  <c r="H87"/>
  <c r="M86"/>
  <c r="H86"/>
  <c r="M85"/>
  <c r="H85"/>
  <c r="M84"/>
  <c r="H84"/>
  <c r="M83"/>
  <c r="H83"/>
  <c r="M82"/>
  <c r="H82"/>
  <c r="M81"/>
  <c r="H81"/>
  <c r="M80"/>
  <c r="H80"/>
  <c r="M79"/>
  <c r="H79"/>
  <c r="M78"/>
  <c r="H78"/>
  <c r="C78"/>
  <c r="G10" i="1" s="1"/>
  <c r="M77" i="22"/>
  <c r="H77"/>
  <c r="M76"/>
  <c r="H76"/>
  <c r="M75"/>
  <c r="H75"/>
  <c r="M74"/>
  <c r="H74"/>
  <c r="M73"/>
  <c r="H73"/>
  <c r="M72"/>
  <c r="H72"/>
  <c r="M71"/>
  <c r="H71"/>
  <c r="M70"/>
  <c r="H70"/>
  <c r="M69"/>
  <c r="H69"/>
  <c r="M68"/>
  <c r="H68"/>
  <c r="M67"/>
  <c r="H67"/>
  <c r="M66"/>
  <c r="H66"/>
  <c r="M65"/>
  <c r="H65"/>
  <c r="C65"/>
  <c r="M64"/>
  <c r="H64"/>
  <c r="M63"/>
  <c r="H63"/>
  <c r="M62"/>
  <c r="H62"/>
  <c r="M61"/>
  <c r="H61"/>
  <c r="M60"/>
  <c r="H60"/>
  <c r="M59"/>
  <c r="H59"/>
  <c r="M58"/>
  <c r="H58"/>
  <c r="M57"/>
  <c r="H57"/>
  <c r="M56"/>
  <c r="H56"/>
  <c r="M55"/>
  <c r="H55"/>
  <c r="M54"/>
  <c r="H54"/>
  <c r="M53"/>
  <c r="H53"/>
  <c r="M52"/>
  <c r="H52"/>
  <c r="C52"/>
  <c r="M51"/>
  <c r="H51"/>
  <c r="M50"/>
  <c r="H50"/>
  <c r="M49"/>
  <c r="H49"/>
  <c r="M48"/>
  <c r="H48"/>
  <c r="M47"/>
  <c r="H47"/>
  <c r="M46"/>
  <c r="H46"/>
  <c r="M45"/>
  <c r="H45"/>
  <c r="M44"/>
  <c r="H44"/>
  <c r="M43"/>
  <c r="H43"/>
  <c r="M42"/>
  <c r="H42"/>
  <c r="M41"/>
  <c r="H41"/>
  <c r="M40"/>
  <c r="H40"/>
  <c r="M39"/>
  <c r="H39"/>
  <c r="C39"/>
  <c r="D10" i="1" s="1"/>
  <c r="M38" i="22"/>
  <c r="H38"/>
  <c r="M37"/>
  <c r="H37"/>
  <c r="M36"/>
  <c r="H36"/>
  <c r="M35"/>
  <c r="H35"/>
  <c r="M34"/>
  <c r="H34"/>
  <c r="M33"/>
  <c r="H33"/>
  <c r="M32"/>
  <c r="H32"/>
  <c r="M31"/>
  <c r="H31"/>
  <c r="M30"/>
  <c r="H30"/>
  <c r="M29"/>
  <c r="H29"/>
  <c r="M28"/>
  <c r="H28"/>
  <c r="M27"/>
  <c r="H27"/>
  <c r="M26"/>
  <c r="H26"/>
  <c r="C26"/>
  <c r="C10" i="1" s="1"/>
  <c r="M25" i="22"/>
  <c r="H25"/>
  <c r="M24"/>
  <c r="H24"/>
  <c r="M23"/>
  <c r="H23"/>
  <c r="M22"/>
  <c r="H22"/>
  <c r="M21"/>
  <c r="H21"/>
  <c r="M20"/>
  <c r="H20"/>
  <c r="M19"/>
  <c r="H19"/>
  <c r="M18"/>
  <c r="H18"/>
  <c r="M17"/>
  <c r="H17"/>
  <c r="M16"/>
  <c r="H16"/>
  <c r="M15"/>
  <c r="H15"/>
  <c r="M14"/>
  <c r="H14"/>
  <c r="M13"/>
  <c r="H13"/>
  <c r="C13"/>
  <c r="B10" i="1" s="1"/>
  <c r="M12" i="22"/>
  <c r="H12"/>
  <c r="M11"/>
  <c r="H11"/>
  <c r="M10"/>
  <c r="H10"/>
  <c r="M9"/>
  <c r="H9"/>
  <c r="M8"/>
  <c r="H8"/>
  <c r="M7"/>
  <c r="H7"/>
  <c r="M6"/>
  <c r="H6"/>
  <c r="M5"/>
  <c r="H5"/>
  <c r="M4"/>
  <c r="H4"/>
  <c r="M3"/>
  <c r="H3"/>
  <c r="C129" i="21"/>
  <c r="C128"/>
  <c r="C127"/>
  <c r="C126"/>
  <c r="C125"/>
  <c r="C109"/>
  <c r="C108"/>
  <c r="C107"/>
  <c r="C106"/>
  <c r="C105"/>
  <c r="C89"/>
  <c r="C88"/>
  <c r="C87"/>
  <c r="C86"/>
  <c r="C85"/>
  <c r="I74"/>
  <c r="I94" s="1"/>
  <c r="I114" s="1"/>
  <c r="I134" s="1"/>
  <c r="H74"/>
  <c r="I73"/>
  <c r="I93" s="1"/>
  <c r="I113" s="1"/>
  <c r="I133" s="1"/>
  <c r="H73"/>
  <c r="H93" s="1"/>
  <c r="I72"/>
  <c r="I92" s="1"/>
  <c r="I112" s="1"/>
  <c r="I132" s="1"/>
  <c r="H72"/>
  <c r="I71"/>
  <c r="I91" s="1"/>
  <c r="I111" s="1"/>
  <c r="I131" s="1"/>
  <c r="H71"/>
  <c r="H91" s="1"/>
  <c r="I70"/>
  <c r="I90" s="1"/>
  <c r="I110" s="1"/>
  <c r="I130" s="1"/>
  <c r="H70"/>
  <c r="I69"/>
  <c r="I89" s="1"/>
  <c r="I109" s="1"/>
  <c r="I129" s="1"/>
  <c r="H69"/>
  <c r="H89" s="1"/>
  <c r="H109" s="1"/>
  <c r="H129" s="1"/>
  <c r="C69"/>
  <c r="I68"/>
  <c r="I88" s="1"/>
  <c r="I108" s="1"/>
  <c r="I128" s="1"/>
  <c r="H68"/>
  <c r="H88" s="1"/>
  <c r="H108" s="1"/>
  <c r="H128" s="1"/>
  <c r="C68"/>
  <c r="I67"/>
  <c r="I87" s="1"/>
  <c r="I107" s="1"/>
  <c r="I127" s="1"/>
  <c r="H67"/>
  <c r="H87" s="1"/>
  <c r="H107" s="1"/>
  <c r="H127" s="1"/>
  <c r="C67"/>
  <c r="I66"/>
  <c r="I86" s="1"/>
  <c r="I106" s="1"/>
  <c r="I126" s="1"/>
  <c r="H66"/>
  <c r="H86" s="1"/>
  <c r="H106" s="1"/>
  <c r="H126" s="1"/>
  <c r="C66"/>
  <c r="I65"/>
  <c r="I85" s="1"/>
  <c r="I105" s="1"/>
  <c r="I125" s="1"/>
  <c r="H65"/>
  <c r="H85" s="1"/>
  <c r="H105" s="1"/>
  <c r="H125" s="1"/>
  <c r="C65"/>
  <c r="G33" i="25" l="1"/>
  <c r="I33"/>
  <c r="H33"/>
  <c r="C73" i="21"/>
  <c r="C70"/>
  <c r="H22" i="1"/>
  <c r="C71" i="21"/>
  <c r="H111"/>
  <c r="C91"/>
  <c r="C72"/>
  <c r="H92"/>
  <c r="H113"/>
  <c r="C93"/>
  <c r="C74"/>
  <c r="H94"/>
  <c r="H90"/>
  <c r="I22" i="1" l="1"/>
  <c r="C90" i="21"/>
  <c r="H110"/>
  <c r="H133"/>
  <c r="C133" s="1"/>
  <c r="C113"/>
  <c r="C92"/>
  <c r="H112"/>
  <c r="C94"/>
  <c r="H114"/>
  <c r="H131"/>
  <c r="C131" s="1"/>
  <c r="C111"/>
  <c r="C114" l="1"/>
  <c r="H134"/>
  <c r="C134" s="1"/>
  <c r="C112"/>
  <c r="H132"/>
  <c r="C132" s="1"/>
  <c r="C110"/>
  <c r="H130"/>
  <c r="C130" s="1"/>
  <c r="D28" i="20" l="1"/>
  <c r="D21"/>
  <c r="D17"/>
  <c r="D16"/>
  <c r="D15"/>
  <c r="G7"/>
  <c r="F7"/>
  <c r="E7"/>
  <c r="D7"/>
  <c r="C7"/>
  <c r="G6"/>
  <c r="F6"/>
  <c r="E6"/>
  <c r="D6"/>
  <c r="C6"/>
  <c r="G4"/>
  <c r="G11" s="1"/>
  <c r="F4"/>
  <c r="F11" s="1"/>
  <c r="E4"/>
  <c r="E11" s="1"/>
  <c r="D4"/>
  <c r="D11" s="1"/>
  <c r="C4"/>
  <c r="C11" s="1"/>
  <c r="P154" i="19"/>
  <c r="O154"/>
  <c r="N154"/>
  <c r="Q154" s="1"/>
  <c r="M154"/>
  <c r="O153"/>
  <c r="N153"/>
  <c r="M153"/>
  <c r="P153" s="1"/>
  <c r="O152"/>
  <c r="P152" s="1"/>
  <c r="N152"/>
  <c r="M152"/>
  <c r="O151"/>
  <c r="N151"/>
  <c r="M151"/>
  <c r="P151" s="1"/>
  <c r="O150"/>
  <c r="P150" s="1"/>
  <c r="N150"/>
  <c r="Q150" s="1"/>
  <c r="M150"/>
  <c r="O149"/>
  <c r="N149"/>
  <c r="M149"/>
  <c r="P149" s="1"/>
  <c r="O148"/>
  <c r="N148"/>
  <c r="Q148" s="1"/>
  <c r="M148"/>
  <c r="P148" s="1"/>
  <c r="O147"/>
  <c r="Q147" s="1"/>
  <c r="N147"/>
  <c r="M147"/>
  <c r="P147" s="1"/>
  <c r="O146"/>
  <c r="N146"/>
  <c r="Q146" s="1"/>
  <c r="M146"/>
  <c r="P146" s="1"/>
  <c r="O145"/>
  <c r="Q145" s="1"/>
  <c r="N145"/>
  <c r="M145"/>
  <c r="O144"/>
  <c r="N144"/>
  <c r="Q144" s="1"/>
  <c r="M144"/>
  <c r="P144" s="1"/>
  <c r="O143"/>
  <c r="N143"/>
  <c r="M143"/>
  <c r="O142"/>
  <c r="N142"/>
  <c r="Q142" s="1"/>
  <c r="M142"/>
  <c r="P142" s="1"/>
  <c r="O141"/>
  <c r="N141"/>
  <c r="M141"/>
  <c r="P141" s="1"/>
  <c r="P140"/>
  <c r="O140"/>
  <c r="N140"/>
  <c r="Q140" s="1"/>
  <c r="M140"/>
  <c r="O139"/>
  <c r="N139"/>
  <c r="M139"/>
  <c r="P139" s="1"/>
  <c r="P138"/>
  <c r="O138"/>
  <c r="N138"/>
  <c r="M138"/>
  <c r="O137"/>
  <c r="N137"/>
  <c r="M137"/>
  <c r="P137" s="1"/>
  <c r="O136"/>
  <c r="P136" s="1"/>
  <c r="N136"/>
  <c r="M136"/>
  <c r="O135"/>
  <c r="Q135" s="1"/>
  <c r="N135"/>
  <c r="M135"/>
  <c r="P135" s="1"/>
  <c r="O134"/>
  <c r="P134" s="1"/>
  <c r="N134"/>
  <c r="Q134" s="1"/>
  <c r="M134"/>
  <c r="O133"/>
  <c r="N133"/>
  <c r="M133"/>
  <c r="P133" s="1"/>
  <c r="O132"/>
  <c r="N132"/>
  <c r="Q132" s="1"/>
  <c r="M132"/>
  <c r="P132" s="1"/>
  <c r="O131"/>
  <c r="Q131" s="1"/>
  <c r="N131"/>
  <c r="M131"/>
  <c r="P131" s="1"/>
  <c r="O130"/>
  <c r="N130"/>
  <c r="Q130" s="1"/>
  <c r="M130"/>
  <c r="P130" s="1"/>
  <c r="O129"/>
  <c r="Q129" s="1"/>
  <c r="N129"/>
  <c r="M129"/>
  <c r="O128"/>
  <c r="N128"/>
  <c r="Q128" s="1"/>
  <c r="M128"/>
  <c r="P128" s="1"/>
  <c r="O127"/>
  <c r="N127"/>
  <c r="M127"/>
  <c r="O126"/>
  <c r="N126"/>
  <c r="Q126" s="1"/>
  <c r="M126"/>
  <c r="P126" s="1"/>
  <c r="O125"/>
  <c r="N125"/>
  <c r="M125"/>
  <c r="P125" s="1"/>
  <c r="O124"/>
  <c r="N124"/>
  <c r="Q124" s="1"/>
  <c r="M124"/>
  <c r="P124" s="1"/>
  <c r="O123"/>
  <c r="N123"/>
  <c r="M123"/>
  <c r="P123" s="1"/>
  <c r="P122"/>
  <c r="O122"/>
  <c r="N122"/>
  <c r="M122"/>
  <c r="O121"/>
  <c r="N121"/>
  <c r="M121"/>
  <c r="P121" s="1"/>
  <c r="O120"/>
  <c r="P120" s="1"/>
  <c r="N120"/>
  <c r="M120"/>
  <c r="O119"/>
  <c r="N119"/>
  <c r="M119"/>
  <c r="P119" s="1"/>
  <c r="O118"/>
  <c r="P118" s="1"/>
  <c r="N118"/>
  <c r="Q118" s="1"/>
  <c r="M118"/>
  <c r="O117"/>
  <c r="N117"/>
  <c r="M117"/>
  <c r="P117" s="1"/>
  <c r="O116"/>
  <c r="N116"/>
  <c r="Q116" s="1"/>
  <c r="M116"/>
  <c r="P116" s="1"/>
  <c r="O115"/>
  <c r="Q115" s="1"/>
  <c r="N115"/>
  <c r="M115"/>
  <c r="P115" s="1"/>
  <c r="O114"/>
  <c r="N114"/>
  <c r="Q114" s="1"/>
  <c r="M114"/>
  <c r="P114" s="1"/>
  <c r="O113"/>
  <c r="Q113" s="1"/>
  <c r="N113"/>
  <c r="M113"/>
  <c r="O112"/>
  <c r="N112"/>
  <c r="Q112" s="1"/>
  <c r="M112"/>
  <c r="P112" s="1"/>
  <c r="O111"/>
  <c r="N111"/>
  <c r="M111"/>
  <c r="O110"/>
  <c r="N110"/>
  <c r="M110"/>
  <c r="P110" s="1"/>
  <c r="O109"/>
  <c r="N109"/>
  <c r="M109"/>
  <c r="P109" s="1"/>
  <c r="P108"/>
  <c r="O108"/>
  <c r="N108"/>
  <c r="Q108" s="1"/>
  <c r="M108"/>
  <c r="O107"/>
  <c r="N107"/>
  <c r="M107"/>
  <c r="P107" s="1"/>
  <c r="P106"/>
  <c r="O106"/>
  <c r="N106"/>
  <c r="M106"/>
  <c r="O105"/>
  <c r="N105"/>
  <c r="M105"/>
  <c r="P105" s="1"/>
  <c r="O104"/>
  <c r="P104" s="1"/>
  <c r="N104"/>
  <c r="M104"/>
  <c r="O103"/>
  <c r="Q103" s="1"/>
  <c r="N103"/>
  <c r="M103"/>
  <c r="P103" s="1"/>
  <c r="O102"/>
  <c r="P102" s="1"/>
  <c r="N102"/>
  <c r="Q102" s="1"/>
  <c r="M102"/>
  <c r="O101"/>
  <c r="N101"/>
  <c r="M101"/>
  <c r="P101" s="1"/>
  <c r="O100"/>
  <c r="N100"/>
  <c r="Q100" s="1"/>
  <c r="M100"/>
  <c r="P100" s="1"/>
  <c r="O99"/>
  <c r="Q99" s="1"/>
  <c r="N99"/>
  <c r="M99"/>
  <c r="P99" s="1"/>
  <c r="O98"/>
  <c r="N98"/>
  <c r="Q98" s="1"/>
  <c r="M98"/>
  <c r="P98" s="1"/>
  <c r="O97"/>
  <c r="Q97" s="1"/>
  <c r="N97"/>
  <c r="M97"/>
  <c r="O96"/>
  <c r="N96"/>
  <c r="Q96" s="1"/>
  <c r="M96"/>
  <c r="P96" s="1"/>
  <c r="O95"/>
  <c r="N95"/>
  <c r="M95"/>
  <c r="O94"/>
  <c r="N94"/>
  <c r="Q94" s="1"/>
  <c r="M94"/>
  <c r="P94" s="1"/>
  <c r="O93"/>
  <c r="N93"/>
  <c r="M93"/>
  <c r="P93" s="1"/>
  <c r="P92"/>
  <c r="O92"/>
  <c r="N92"/>
  <c r="Q92" s="1"/>
  <c r="M92"/>
  <c r="O91"/>
  <c r="N91"/>
  <c r="M91"/>
  <c r="P91" s="1"/>
  <c r="P90"/>
  <c r="O90"/>
  <c r="N90"/>
  <c r="M90"/>
  <c r="O89"/>
  <c r="N89"/>
  <c r="M89"/>
  <c r="P89" s="1"/>
  <c r="O88"/>
  <c r="P88" s="1"/>
  <c r="N88"/>
  <c r="M88"/>
  <c r="O87"/>
  <c r="N87"/>
  <c r="M87"/>
  <c r="P87" s="1"/>
  <c r="O86"/>
  <c r="P86" s="1"/>
  <c r="N86"/>
  <c r="Q86" s="1"/>
  <c r="M86"/>
  <c r="O85"/>
  <c r="N85"/>
  <c r="M85"/>
  <c r="P85" s="1"/>
  <c r="O84"/>
  <c r="N84"/>
  <c r="Q84" s="1"/>
  <c r="M84"/>
  <c r="P84" s="1"/>
  <c r="O83"/>
  <c r="Q83" s="1"/>
  <c r="N83"/>
  <c r="M83"/>
  <c r="P83" s="1"/>
  <c r="O82"/>
  <c r="N82"/>
  <c r="Q82" s="1"/>
  <c r="M82"/>
  <c r="P82" s="1"/>
  <c r="O81"/>
  <c r="Q81" s="1"/>
  <c r="N81"/>
  <c r="M81"/>
  <c r="O80"/>
  <c r="N80"/>
  <c r="Q80" s="1"/>
  <c r="M80"/>
  <c r="P80" s="1"/>
  <c r="O79"/>
  <c r="N79"/>
  <c r="M79"/>
  <c r="O78"/>
  <c r="N78"/>
  <c r="M78"/>
  <c r="P78" s="1"/>
  <c r="O77"/>
  <c r="Q77" s="1"/>
  <c r="N77"/>
  <c r="M77"/>
  <c r="P77" s="1"/>
  <c r="P76"/>
  <c r="O76"/>
  <c r="N76"/>
  <c r="Q76" s="1"/>
  <c r="M76"/>
  <c r="O75"/>
  <c r="N75"/>
  <c r="M75"/>
  <c r="P75" s="1"/>
  <c r="P74"/>
  <c r="O74"/>
  <c r="N74"/>
  <c r="M74"/>
  <c r="O73"/>
  <c r="N73"/>
  <c r="M73"/>
  <c r="P73" s="1"/>
  <c r="O72"/>
  <c r="P72" s="1"/>
  <c r="N72"/>
  <c r="M72"/>
  <c r="O71"/>
  <c r="Q71" s="1"/>
  <c r="N71"/>
  <c r="M71"/>
  <c r="P71" s="1"/>
  <c r="O70"/>
  <c r="N70"/>
  <c r="M70"/>
  <c r="P70" s="1"/>
  <c r="P69"/>
  <c r="O69"/>
  <c r="N69"/>
  <c r="Q69" s="1"/>
  <c r="M69"/>
  <c r="O68"/>
  <c r="N68"/>
  <c r="M68"/>
  <c r="P68" s="1"/>
  <c r="P67"/>
  <c r="O67"/>
  <c r="N67"/>
  <c r="Q67" s="1"/>
  <c r="M67"/>
  <c r="O66"/>
  <c r="N66"/>
  <c r="M66"/>
  <c r="P66" s="1"/>
  <c r="O65"/>
  <c r="P65" s="1"/>
  <c r="N65"/>
  <c r="M65"/>
  <c r="O64"/>
  <c r="N64"/>
  <c r="M64"/>
  <c r="P64" s="1"/>
  <c r="P63"/>
  <c r="O63"/>
  <c r="N63"/>
  <c r="Q63" s="1"/>
  <c r="M63"/>
  <c r="O62"/>
  <c r="N62"/>
  <c r="M62"/>
  <c r="P62" s="1"/>
  <c r="O61"/>
  <c r="N61"/>
  <c r="M61"/>
  <c r="P61" s="1"/>
  <c r="O60"/>
  <c r="Q60" s="1"/>
  <c r="N60"/>
  <c r="M60"/>
  <c r="P60" s="1"/>
  <c r="O59"/>
  <c r="N59"/>
  <c r="Q59" s="1"/>
  <c r="M59"/>
  <c r="P59" s="1"/>
  <c r="O58"/>
  <c r="Q58" s="1"/>
  <c r="N58"/>
  <c r="M58"/>
  <c r="O57"/>
  <c r="N57"/>
  <c r="Q57" s="1"/>
  <c r="M57"/>
  <c r="P57" s="1"/>
  <c r="O56"/>
  <c r="N56"/>
  <c r="M56"/>
  <c r="O55"/>
  <c r="N55"/>
  <c r="M55"/>
  <c r="P55" s="1"/>
  <c r="O54"/>
  <c r="Q54" s="1"/>
  <c r="N54"/>
  <c r="M54"/>
  <c r="P54" s="1"/>
  <c r="P53"/>
  <c r="O53"/>
  <c r="N53"/>
  <c r="Q53" s="1"/>
  <c r="M53"/>
  <c r="O52"/>
  <c r="N52"/>
  <c r="M52"/>
  <c r="P52" s="1"/>
  <c r="P51"/>
  <c r="O51"/>
  <c r="N51"/>
  <c r="M51"/>
  <c r="O50"/>
  <c r="N50"/>
  <c r="M50"/>
  <c r="P50" s="1"/>
  <c r="O49"/>
  <c r="P49" s="1"/>
  <c r="N49"/>
  <c r="M49"/>
  <c r="O48"/>
  <c r="Q48" s="1"/>
  <c r="N48"/>
  <c r="M48"/>
  <c r="P48" s="1"/>
  <c r="P47"/>
  <c r="O47"/>
  <c r="N47"/>
  <c r="Q47" s="1"/>
  <c r="M47"/>
  <c r="O46"/>
  <c r="N46"/>
  <c r="M46"/>
  <c r="P46" s="1"/>
  <c r="O45"/>
  <c r="N45"/>
  <c r="M45"/>
  <c r="P45" s="1"/>
  <c r="O44"/>
  <c r="Q44" s="1"/>
  <c r="N44"/>
  <c r="M44"/>
  <c r="P44" s="1"/>
  <c r="O43"/>
  <c r="N43"/>
  <c r="Q43" s="1"/>
  <c r="M43"/>
  <c r="P43" s="1"/>
  <c r="O42"/>
  <c r="Q42" s="1"/>
  <c r="N42"/>
  <c r="M42"/>
  <c r="O41"/>
  <c r="N41"/>
  <c r="Q41" s="1"/>
  <c r="M41"/>
  <c r="P41" s="1"/>
  <c r="O40"/>
  <c r="N40"/>
  <c r="M40"/>
  <c r="O39"/>
  <c r="N39"/>
  <c r="M39"/>
  <c r="P39" s="1"/>
  <c r="O38"/>
  <c r="Q38" s="1"/>
  <c r="N38"/>
  <c r="M38"/>
  <c r="P38" s="1"/>
  <c r="P37"/>
  <c r="O37"/>
  <c r="N37"/>
  <c r="Q37" s="1"/>
  <c r="M37"/>
  <c r="O36"/>
  <c r="N36"/>
  <c r="M36"/>
  <c r="P36" s="1"/>
  <c r="P35"/>
  <c r="O35"/>
  <c r="N35"/>
  <c r="M35"/>
  <c r="O34"/>
  <c r="N34"/>
  <c r="M34"/>
  <c r="P34" s="1"/>
  <c r="O33"/>
  <c r="P33" s="1"/>
  <c r="N33"/>
  <c r="M33"/>
  <c r="O32"/>
  <c r="Q32" s="1"/>
  <c r="N32"/>
  <c r="M32"/>
  <c r="P32" s="1"/>
  <c r="P31"/>
  <c r="O31"/>
  <c r="N31"/>
  <c r="Q31" s="1"/>
  <c r="M31"/>
  <c r="O30"/>
  <c r="N30"/>
  <c r="M30"/>
  <c r="P30" s="1"/>
  <c r="O29"/>
  <c r="N29"/>
  <c r="M29"/>
  <c r="P29" s="1"/>
  <c r="O28"/>
  <c r="Q28" s="1"/>
  <c r="N28"/>
  <c r="M28"/>
  <c r="P28" s="1"/>
  <c r="O27"/>
  <c r="N27"/>
  <c r="Q27" s="1"/>
  <c r="M27"/>
  <c r="P27" s="1"/>
  <c r="O26"/>
  <c r="Q26" s="1"/>
  <c r="N26"/>
  <c r="M26"/>
  <c r="O25"/>
  <c r="N25"/>
  <c r="Q25" s="1"/>
  <c r="M25"/>
  <c r="P25" s="1"/>
  <c r="O24"/>
  <c r="N24"/>
  <c r="M24"/>
  <c r="O23"/>
  <c r="N23"/>
  <c r="M23"/>
  <c r="P23" s="1"/>
  <c r="O22"/>
  <c r="Q22" s="1"/>
  <c r="N22"/>
  <c r="M22"/>
  <c r="P22" s="1"/>
  <c r="P21"/>
  <c r="O21"/>
  <c r="N21"/>
  <c r="Q21" s="1"/>
  <c r="M21"/>
  <c r="O20"/>
  <c r="N20"/>
  <c r="M20"/>
  <c r="P20" s="1"/>
  <c r="P19"/>
  <c r="O19"/>
  <c r="N19"/>
  <c r="M19"/>
  <c r="O18"/>
  <c r="N18"/>
  <c r="M18"/>
  <c r="P18" s="1"/>
  <c r="O17"/>
  <c r="P17" s="1"/>
  <c r="N17"/>
  <c r="M17"/>
  <c r="O16"/>
  <c r="Q16" s="1"/>
  <c r="N16"/>
  <c r="M16"/>
  <c r="P16" s="1"/>
  <c r="P15"/>
  <c r="O15"/>
  <c r="N15"/>
  <c r="Q15" s="1"/>
  <c r="M15"/>
  <c r="O14"/>
  <c r="N14"/>
  <c r="M14"/>
  <c r="P14" s="1"/>
  <c r="O13"/>
  <c r="N13"/>
  <c r="M13"/>
  <c r="P13" s="1"/>
  <c r="O12"/>
  <c r="Q12" s="1"/>
  <c r="N12"/>
  <c r="M12"/>
  <c r="P12" s="1"/>
  <c r="O11"/>
  <c r="N11"/>
  <c r="Q11" s="1"/>
  <c r="M11"/>
  <c r="P11" s="1"/>
  <c r="O10"/>
  <c r="Q10" s="1"/>
  <c r="N10"/>
  <c r="M10"/>
  <c r="O9"/>
  <c r="N9"/>
  <c r="Q9" s="1"/>
  <c r="M9"/>
  <c r="P9" s="1"/>
  <c r="O8"/>
  <c r="N8"/>
  <c r="M8"/>
  <c r="O7"/>
  <c r="N7"/>
  <c r="M7"/>
  <c r="P7" s="1"/>
  <c r="O6"/>
  <c r="Q6" s="1"/>
  <c r="N6"/>
  <c r="M6"/>
  <c r="P6" s="1"/>
  <c r="P5"/>
  <c r="O5"/>
  <c r="N5"/>
  <c r="Q5" s="1"/>
  <c r="M5"/>
  <c r="O4"/>
  <c r="N4"/>
  <c r="M4"/>
  <c r="P4" s="1"/>
  <c r="P3"/>
  <c r="O3"/>
  <c r="N3"/>
  <c r="M3"/>
  <c r="H12" i="17"/>
  <c r="G12"/>
  <c r="F12"/>
  <c r="E12"/>
  <c r="D12"/>
  <c r="I10"/>
  <c r="I9"/>
  <c r="J9" s="1"/>
  <c r="H33" i="13"/>
  <c r="G33"/>
  <c r="F33"/>
  <c r="E33"/>
  <c r="D33"/>
  <c r="H32"/>
  <c r="G32"/>
  <c r="F32"/>
  <c r="E32"/>
  <c r="D32"/>
  <c r="D29"/>
  <c r="D28"/>
  <c r="H25"/>
  <c r="I21" s="1"/>
  <c r="G25"/>
  <c r="F25"/>
  <c r="E25"/>
  <c r="D25"/>
  <c r="E20"/>
  <c r="F20" s="1"/>
  <c r="G20" s="1"/>
  <c r="H20" s="1"/>
  <c r="E19"/>
  <c r="F19" s="1"/>
  <c r="G19" s="1"/>
  <c r="H19" s="1"/>
  <c r="D12"/>
  <c r="D16" s="1"/>
  <c r="E11"/>
  <c r="E29" s="1"/>
  <c r="E10"/>
  <c r="G49" i="12"/>
  <c r="F49"/>
  <c r="E49"/>
  <c r="D49"/>
  <c r="G44"/>
  <c r="F44"/>
  <c r="E44"/>
  <c r="D44"/>
  <c r="C44"/>
  <c r="H31"/>
  <c r="I31" s="1"/>
  <c r="G29"/>
  <c r="F29"/>
  <c r="E29"/>
  <c r="D29"/>
  <c r="C29"/>
  <c r="I28"/>
  <c r="H28"/>
  <c r="H27"/>
  <c r="I27" s="1"/>
  <c r="H26"/>
  <c r="H25"/>
  <c r="I25" s="1"/>
  <c r="I24"/>
  <c r="H24"/>
  <c r="H23"/>
  <c r="H29" s="1"/>
  <c r="G21"/>
  <c r="G32" s="1"/>
  <c r="F21"/>
  <c r="E21"/>
  <c r="D21"/>
  <c r="C21"/>
  <c r="I18"/>
  <c r="H18"/>
  <c r="H17"/>
  <c r="I17" s="1"/>
  <c r="H16"/>
  <c r="H15"/>
  <c r="I15" s="1"/>
  <c r="I14"/>
  <c r="H14"/>
  <c r="H13"/>
  <c r="I13" s="1"/>
  <c r="H12"/>
  <c r="H11"/>
  <c r="I11" s="1"/>
  <c r="I10"/>
  <c r="H10"/>
  <c r="H8"/>
  <c r="G16" i="11"/>
  <c r="F16"/>
  <c r="E16"/>
  <c r="D16"/>
  <c r="C16"/>
  <c r="F60" i="8"/>
  <c r="E60"/>
  <c r="D60"/>
  <c r="C60"/>
  <c r="B60"/>
  <c r="I53"/>
  <c r="H53"/>
  <c r="G52"/>
  <c r="H52" s="1"/>
  <c r="I52" s="1"/>
  <c r="G51"/>
  <c r="F50"/>
  <c r="F54" s="1"/>
  <c r="E50"/>
  <c r="E54" s="1"/>
  <c r="D50"/>
  <c r="D54" s="1"/>
  <c r="C50"/>
  <c r="C54" s="1"/>
  <c r="B50"/>
  <c r="B54" s="1"/>
  <c r="I50"/>
  <c r="H50"/>
  <c r="G50"/>
  <c r="F44"/>
  <c r="F35" i="1" s="1"/>
  <c r="E44" i="8"/>
  <c r="E35" i="1" s="1"/>
  <c r="D44" i="8"/>
  <c r="D35" i="1" s="1"/>
  <c r="C44" i="8"/>
  <c r="C35" i="1" s="1"/>
  <c r="B44" i="8"/>
  <c r="B35" i="1" s="1"/>
  <c r="F43" i="8"/>
  <c r="F34" i="1" s="1"/>
  <c r="E43" i="8"/>
  <c r="E34" i="1" s="1"/>
  <c r="D43" i="8"/>
  <c r="D34" i="1" s="1"/>
  <c r="C43" i="8"/>
  <c r="C34" i="1" s="1"/>
  <c r="B43" i="8"/>
  <c r="B34" i="1" s="1"/>
  <c r="F41" i="8"/>
  <c r="E41"/>
  <c r="D41"/>
  <c r="C41"/>
  <c r="B41"/>
  <c r="G38"/>
  <c r="H38" s="1"/>
  <c r="I38" s="1"/>
  <c r="G37"/>
  <c r="F32"/>
  <c r="E32"/>
  <c r="D32"/>
  <c r="C32"/>
  <c r="B32"/>
  <c r="F26"/>
  <c r="F33" s="1"/>
  <c r="E26"/>
  <c r="D26"/>
  <c r="D33" s="1"/>
  <c r="C26"/>
  <c r="B26"/>
  <c r="B33" s="1"/>
  <c r="F196" i="7"/>
  <c r="F61" i="1" s="1"/>
  <c r="E196" i="7"/>
  <c r="E61" i="1" s="1"/>
  <c r="D196" i="7"/>
  <c r="D61" i="1" s="1"/>
  <c r="C196" i="7"/>
  <c r="C61" i="1" s="1"/>
  <c r="B196" i="7"/>
  <c r="B61" i="1" s="1"/>
  <c r="F191" i="7"/>
  <c r="F60" i="1" s="1"/>
  <c r="E191" i="7"/>
  <c r="E60" i="1" s="1"/>
  <c r="D191" i="7"/>
  <c r="D60" i="1" s="1"/>
  <c r="C191" i="7"/>
  <c r="C60" i="1" s="1"/>
  <c r="B191" i="7"/>
  <c r="B60" i="1" s="1"/>
  <c r="F188" i="7"/>
  <c r="E188"/>
  <c r="D188"/>
  <c r="C188"/>
  <c r="F185"/>
  <c r="E185"/>
  <c r="E58" i="1" s="1"/>
  <c r="D185" i="7"/>
  <c r="D58" i="1" s="1"/>
  <c r="C185" i="7"/>
  <c r="C58" i="1" s="1"/>
  <c r="B185" i="7"/>
  <c r="B58" i="1" s="1"/>
  <c r="F184" i="7" a="1"/>
  <c r="F184" s="1"/>
  <c r="G182" s="1"/>
  <c r="E184" a="1"/>
  <c r="E184" s="1"/>
  <c r="D184" a="1"/>
  <c r="D184" s="1"/>
  <c r="C184" a="1"/>
  <c r="C184" s="1"/>
  <c r="B184" a="1"/>
  <c r="B184" s="1"/>
  <c r="F179"/>
  <c r="E179"/>
  <c r="E57" i="1" s="1"/>
  <c r="D179" i="7"/>
  <c r="D57" i="1" s="1"/>
  <c r="C179" i="7"/>
  <c r="C57" i="1" s="1"/>
  <c r="B179" i="7"/>
  <c r="B57" i="1" s="1"/>
  <c r="F178" i="7"/>
  <c r="E178"/>
  <c r="D178"/>
  <c r="C178"/>
  <c r="B178"/>
  <c r="F173"/>
  <c r="F55" i="1" s="1"/>
  <c r="E173" i="7"/>
  <c r="E55" i="1" s="1"/>
  <c r="D173" i="7"/>
  <c r="D55" i="1" s="1"/>
  <c r="C173" i="7"/>
  <c r="C55" i="1" s="1"/>
  <c r="B173" i="7"/>
  <c r="B55" i="1" s="1"/>
  <c r="F172" i="7"/>
  <c r="F54" i="1" s="1"/>
  <c r="E172" i="7"/>
  <c r="E54" i="1" s="1"/>
  <c r="D172" i="7"/>
  <c r="D54" i="1" s="1"/>
  <c r="C172" i="7"/>
  <c r="C54" i="1" s="1"/>
  <c r="B172" i="7"/>
  <c r="B54" i="1" s="1"/>
  <c r="F171" i="7"/>
  <c r="E171"/>
  <c r="E53" i="1" s="1"/>
  <c r="D171" i="7"/>
  <c r="D53" i="1" s="1"/>
  <c r="C171" i="7"/>
  <c r="C53" i="1" s="1"/>
  <c r="B171" i="7"/>
  <c r="B53" i="1" s="1"/>
  <c r="F170" i="7"/>
  <c r="F52" i="1" s="1"/>
  <c r="E170" i="7"/>
  <c r="E52" i="1" s="1"/>
  <c r="D170" i="7"/>
  <c r="D52" i="1" s="1"/>
  <c r="C170" i="7"/>
  <c r="C52" i="1" s="1"/>
  <c r="B170" i="7"/>
  <c r="B52" i="1" s="1"/>
  <c r="F169" i="7" a="1"/>
  <c r="F169" s="1"/>
  <c r="E169" a="1"/>
  <c r="E169" s="1"/>
  <c r="D169" a="1"/>
  <c r="D169" s="1"/>
  <c r="C169" a="1"/>
  <c r="C169" s="1"/>
  <c r="B169" a="1"/>
  <c r="B169" s="1"/>
  <c r="F161"/>
  <c r="F162" s="1"/>
  <c r="E161"/>
  <c r="D161"/>
  <c r="C161"/>
  <c r="B161"/>
  <c r="F154"/>
  <c r="G151" s="1"/>
  <c r="E154"/>
  <c r="D154"/>
  <c r="C154"/>
  <c r="B154"/>
  <c r="G153"/>
  <c r="H153" s="1"/>
  <c r="I153" s="1"/>
  <c r="G152"/>
  <c r="H152" s="1"/>
  <c r="I152" s="1"/>
  <c r="F48" i="1"/>
  <c r="E48"/>
  <c r="D48"/>
  <c r="C48"/>
  <c r="B48"/>
  <c r="G145" i="7"/>
  <c r="H145" s="1"/>
  <c r="I145" s="1"/>
  <c r="H143"/>
  <c r="I143" s="1"/>
  <c r="F143"/>
  <c r="E143"/>
  <c r="D143"/>
  <c r="C143"/>
  <c r="B142"/>
  <c r="C139" s="1"/>
  <c r="C142" s="1"/>
  <c r="D139" s="1"/>
  <c r="D142" s="1"/>
  <c r="E139" s="1"/>
  <c r="E142" s="1"/>
  <c r="F139" s="1"/>
  <c r="F142" s="1"/>
  <c r="G139" s="1"/>
  <c r="G140"/>
  <c r="F137"/>
  <c r="E137"/>
  <c r="D137"/>
  <c r="C137"/>
  <c r="B137"/>
  <c r="F45" i="1"/>
  <c r="E45"/>
  <c r="D45"/>
  <c r="C45"/>
  <c r="B45"/>
  <c r="F129" i="7"/>
  <c r="E129"/>
  <c r="D129"/>
  <c r="C129"/>
  <c r="B129"/>
  <c r="F123"/>
  <c r="E123"/>
  <c r="D123"/>
  <c r="C123"/>
  <c r="B123"/>
  <c r="G117"/>
  <c r="H117" s="1"/>
  <c r="I117" s="1"/>
  <c r="F115"/>
  <c r="E115"/>
  <c r="D115"/>
  <c r="C115"/>
  <c r="B115"/>
  <c r="H114"/>
  <c r="I114" s="1"/>
  <c r="G113"/>
  <c r="H113" s="1"/>
  <c r="I113" s="1"/>
  <c r="G112"/>
  <c r="G108"/>
  <c r="H108" s="1"/>
  <c r="I108" s="1"/>
  <c r="H106"/>
  <c r="I106" s="1"/>
  <c r="F103"/>
  <c r="G99" s="1"/>
  <c r="E103"/>
  <c r="D103"/>
  <c r="C103"/>
  <c r="B103"/>
  <c r="F102"/>
  <c r="F42" i="1" s="1"/>
  <c r="E102" i="7"/>
  <c r="E42" i="1" s="1"/>
  <c r="D102" i="7"/>
  <c r="D42" i="1" s="1"/>
  <c r="C102" i="7"/>
  <c r="C42" i="1" s="1"/>
  <c r="B102" i="7"/>
  <c r="B42" i="1" s="1"/>
  <c r="F96" i="7"/>
  <c r="G92" s="1"/>
  <c r="E96"/>
  <c r="D96"/>
  <c r="C96"/>
  <c r="B96"/>
  <c r="E95"/>
  <c r="E41" i="1" s="1"/>
  <c r="D95" i="7"/>
  <c r="D41" i="1" s="1"/>
  <c r="C95" i="7"/>
  <c r="C41" i="1" s="1"/>
  <c r="B95" i="7"/>
  <c r="F89"/>
  <c r="E89"/>
  <c r="D89"/>
  <c r="C89"/>
  <c r="B89"/>
  <c r="G88"/>
  <c r="G87"/>
  <c r="H87" s="1"/>
  <c r="I87" s="1"/>
  <c r="G86"/>
  <c r="F85"/>
  <c r="E85"/>
  <c r="D85"/>
  <c r="C85"/>
  <c r="B85"/>
  <c r="G84"/>
  <c r="H84" s="1"/>
  <c r="H85" s="1"/>
  <c r="G78" a="1"/>
  <c r="G78" s="1"/>
  <c r="G75"/>
  <c r="H75" s="1"/>
  <c r="I75" s="1"/>
  <c r="G74"/>
  <c r="H74" s="1"/>
  <c r="F40" i="1"/>
  <c r="E40"/>
  <c r="C40"/>
  <c r="B40"/>
  <c r="E39"/>
  <c r="D39"/>
  <c r="C39"/>
  <c r="B39"/>
  <c r="E38"/>
  <c r="D38"/>
  <c r="C38"/>
  <c r="E65" i="7"/>
  <c r="F62" s="1"/>
  <c r="F65" s="1"/>
  <c r="D65"/>
  <c r="C65"/>
  <c r="B65"/>
  <c r="G64"/>
  <c r="H64" s="1"/>
  <c r="G63"/>
  <c r="G60"/>
  <c r="H60" s="1"/>
  <c r="F57"/>
  <c r="E57"/>
  <c r="D57"/>
  <c r="C57"/>
  <c r="B57"/>
  <c r="G55"/>
  <c r="G57" s="1"/>
  <c r="F52"/>
  <c r="G49" s="1"/>
  <c r="G52" s="1"/>
  <c r="H49" s="1"/>
  <c r="E52"/>
  <c r="H50"/>
  <c r="F45"/>
  <c r="E45"/>
  <c r="D45"/>
  <c r="C45"/>
  <c r="B45"/>
  <c r="I44"/>
  <c r="H44"/>
  <c r="G44"/>
  <c r="I43"/>
  <c r="H43"/>
  <c r="G43"/>
  <c r="F38"/>
  <c r="F41" s="1"/>
  <c r="E38"/>
  <c r="E41" s="1"/>
  <c r="I37"/>
  <c r="H37"/>
  <c r="G37"/>
  <c r="F34"/>
  <c r="G33"/>
  <c r="H33" s="1"/>
  <c r="I33" s="1"/>
  <c r="G32"/>
  <c r="E32"/>
  <c r="E34" s="1"/>
  <c r="D32"/>
  <c r="D34" s="1"/>
  <c r="C32"/>
  <c r="C34" s="1"/>
  <c r="B32"/>
  <c r="B34" s="1"/>
  <c r="B46" s="1"/>
  <c r="G31"/>
  <c r="H31" s="1"/>
  <c r="I31" s="1"/>
  <c r="G30"/>
  <c r="H30" s="1"/>
  <c r="I30" s="1"/>
  <c r="F25"/>
  <c r="E25"/>
  <c r="D25"/>
  <c r="C25"/>
  <c r="B25"/>
  <c r="G24"/>
  <c r="H24" s="1"/>
  <c r="I24" s="1"/>
  <c r="F22"/>
  <c r="E22"/>
  <c r="D22"/>
  <c r="C22"/>
  <c r="G20"/>
  <c r="F16"/>
  <c r="E16"/>
  <c r="G15"/>
  <c r="H15" s="1"/>
  <c r="I15" s="1"/>
  <c r="G14"/>
  <c r="H14" s="1"/>
  <c r="I14" s="1"/>
  <c r="G13"/>
  <c r="G10"/>
  <c r="H10" s="1"/>
  <c r="I10" s="1"/>
  <c r="F49" i="6"/>
  <c r="C48"/>
  <c r="D48" s="1"/>
  <c r="E48" s="1"/>
  <c r="F48" s="1"/>
  <c r="G48" s="1"/>
  <c r="H48" s="1"/>
  <c r="I48" s="1"/>
  <c r="F46"/>
  <c r="E46"/>
  <c r="D46"/>
  <c r="C46"/>
  <c r="B46"/>
  <c r="E41"/>
  <c r="E49" s="1"/>
  <c r="D41"/>
  <c r="D49" s="1"/>
  <c r="G49" s="1"/>
  <c r="C41"/>
  <c r="C49" s="1"/>
  <c r="B41"/>
  <c r="B49" s="1"/>
  <c r="G40"/>
  <c r="G44" s="1"/>
  <c r="E40"/>
  <c r="F51" s="1"/>
  <c r="D40"/>
  <c r="C40"/>
  <c r="B40"/>
  <c r="C39"/>
  <c r="F36"/>
  <c r="E36"/>
  <c r="D36"/>
  <c r="C36"/>
  <c r="B36"/>
  <c r="F34"/>
  <c r="E34"/>
  <c r="D34"/>
  <c r="C34"/>
  <c r="B34"/>
  <c r="F32"/>
  <c r="E32"/>
  <c r="D32"/>
  <c r="C32"/>
  <c r="B32"/>
  <c r="F28"/>
  <c r="E28"/>
  <c r="D28"/>
  <c r="C28"/>
  <c r="F27"/>
  <c r="E27"/>
  <c r="D27"/>
  <c r="F26"/>
  <c r="E26"/>
  <c r="D26"/>
  <c r="C26"/>
  <c r="C18"/>
  <c r="D15" s="1"/>
  <c r="D18" s="1"/>
  <c r="E15" s="1"/>
  <c r="E18" s="1"/>
  <c r="F15" s="1"/>
  <c r="F18" s="1"/>
  <c r="G15" s="1"/>
  <c r="B18"/>
  <c r="H11"/>
  <c r="I11" s="1"/>
  <c r="G11"/>
  <c r="B11"/>
  <c r="C27" s="1"/>
  <c r="G26"/>
  <c r="F70" i="5"/>
  <c r="E70"/>
  <c r="D70"/>
  <c r="C70"/>
  <c r="F69"/>
  <c r="E69"/>
  <c r="D69"/>
  <c r="C69"/>
  <c r="F68"/>
  <c r="E68"/>
  <c r="D68"/>
  <c r="C68"/>
  <c r="F67"/>
  <c r="E67"/>
  <c r="D67"/>
  <c r="C67"/>
  <c r="F66"/>
  <c r="E66"/>
  <c r="D66"/>
  <c r="C66"/>
  <c r="F65"/>
  <c r="E65"/>
  <c r="D65"/>
  <c r="C65"/>
  <c r="F64"/>
  <c r="E64"/>
  <c r="D64"/>
  <c r="C64"/>
  <c r="F63"/>
  <c r="E63"/>
  <c r="D63"/>
  <c r="C63"/>
  <c r="F62"/>
  <c r="E62"/>
  <c r="D62"/>
  <c r="C62"/>
  <c r="F61"/>
  <c r="E61"/>
  <c r="D61"/>
  <c r="C61"/>
  <c r="F60"/>
  <c r="E60"/>
  <c r="D60"/>
  <c r="C60"/>
  <c r="F59"/>
  <c r="E59"/>
  <c r="D59"/>
  <c r="C59"/>
  <c r="F58"/>
  <c r="E58"/>
  <c r="D58"/>
  <c r="C58"/>
  <c r="F57"/>
  <c r="E57"/>
  <c r="D57"/>
  <c r="C57"/>
  <c r="G39"/>
  <c r="F56"/>
  <c r="E56"/>
  <c r="D56"/>
  <c r="C56"/>
  <c r="F54"/>
  <c r="E54"/>
  <c r="D54"/>
  <c r="C54"/>
  <c r="B54"/>
  <c r="F35"/>
  <c r="E35"/>
  <c r="D35"/>
  <c r="C35"/>
  <c r="F34"/>
  <c r="E34"/>
  <c r="D34"/>
  <c r="C34"/>
  <c r="F33"/>
  <c r="E33"/>
  <c r="D33"/>
  <c r="C33"/>
  <c r="F32"/>
  <c r="E32"/>
  <c r="D32"/>
  <c r="C32"/>
  <c r="F31"/>
  <c r="E31"/>
  <c r="D31"/>
  <c r="C31"/>
  <c r="F30"/>
  <c r="E30"/>
  <c r="D30"/>
  <c r="C30"/>
  <c r="F29"/>
  <c r="E29"/>
  <c r="D29"/>
  <c r="C29"/>
  <c r="F28"/>
  <c r="E28"/>
  <c r="D28"/>
  <c r="C28"/>
  <c r="F27"/>
  <c r="E27"/>
  <c r="D27"/>
  <c r="C27"/>
  <c r="F26"/>
  <c r="E26"/>
  <c r="D26"/>
  <c r="C26"/>
  <c r="G9"/>
  <c r="H9" s="1"/>
  <c r="I9" s="1"/>
  <c r="F25"/>
  <c r="E25"/>
  <c r="D25"/>
  <c r="C25"/>
  <c r="F22"/>
  <c r="E22"/>
  <c r="D22"/>
  <c r="C22"/>
  <c r="B22"/>
  <c r="G20"/>
  <c r="H20" s="1"/>
  <c r="I20" s="1"/>
  <c r="G19"/>
  <c r="H19" s="1"/>
  <c r="I19" s="1"/>
  <c r="C34" i="2"/>
  <c r="F35"/>
  <c r="E35"/>
  <c r="D35"/>
  <c r="C35"/>
  <c r="B35"/>
  <c r="F34"/>
  <c r="E34"/>
  <c r="D34"/>
  <c r="B34"/>
  <c r="F41"/>
  <c r="E41"/>
  <c r="F40"/>
  <c r="E40"/>
  <c r="F39"/>
  <c r="D39"/>
  <c r="B39"/>
  <c r="D33"/>
  <c r="B33"/>
  <c r="A61" i="1"/>
  <c r="A58"/>
  <c r="A57"/>
  <c r="A55"/>
  <c r="A54"/>
  <c r="A53"/>
  <c r="A52"/>
  <c r="A51"/>
  <c r="A48"/>
  <c r="A42"/>
  <c r="A41"/>
  <c r="A35"/>
  <c r="A34"/>
  <c r="G28"/>
  <c r="H28" s="1"/>
  <c r="D28"/>
  <c r="C28"/>
  <c r="B28"/>
  <c r="F27"/>
  <c r="E27"/>
  <c r="D27"/>
  <c r="D30" s="1"/>
  <c r="C27"/>
  <c r="C30" s="1"/>
  <c r="B27"/>
  <c r="B30" s="1"/>
  <c r="F26"/>
  <c r="G26" s="1"/>
  <c r="H26" s="1"/>
  <c r="I26" s="1"/>
  <c r="D26"/>
  <c r="C26"/>
  <c r="B26"/>
  <c r="F25"/>
  <c r="G25" s="1"/>
  <c r="H25" s="1"/>
  <c r="I25" s="1"/>
  <c r="E25"/>
  <c r="D25"/>
  <c r="C25"/>
  <c r="B25"/>
  <c r="I26" i="3"/>
  <c r="H26"/>
  <c r="G26"/>
  <c r="G24" s="1"/>
  <c r="G9" i="2" s="1"/>
  <c r="G19" i="1" s="1"/>
  <c r="G20" s="1"/>
  <c r="F26" i="3"/>
  <c r="E26"/>
  <c r="D26"/>
  <c r="C26"/>
  <c r="B26"/>
  <c r="F70" i="4"/>
  <c r="E70"/>
  <c r="D70"/>
  <c r="C70"/>
  <c r="H69"/>
  <c r="I69" s="1"/>
  <c r="F69"/>
  <c r="E69"/>
  <c r="D69"/>
  <c r="C69"/>
  <c r="H67"/>
  <c r="I67" s="1"/>
  <c r="F67"/>
  <c r="E67"/>
  <c r="D67"/>
  <c r="C67"/>
  <c r="H66"/>
  <c r="I66" s="1"/>
  <c r="F66"/>
  <c r="E66"/>
  <c r="D66"/>
  <c r="C66"/>
  <c r="H65"/>
  <c r="I65" s="1"/>
  <c r="F65"/>
  <c r="E65"/>
  <c r="D65"/>
  <c r="C65"/>
  <c r="H64"/>
  <c r="I64" s="1"/>
  <c r="F64"/>
  <c r="E64"/>
  <c r="D64"/>
  <c r="C64"/>
  <c r="I63"/>
  <c r="H63"/>
  <c r="G63"/>
  <c r="F63"/>
  <c r="E63"/>
  <c r="D63"/>
  <c r="C63"/>
  <c r="H62"/>
  <c r="I62" s="1"/>
  <c r="F62"/>
  <c r="E62"/>
  <c r="D62"/>
  <c r="C62"/>
  <c r="G59"/>
  <c r="G48" s="1"/>
  <c r="H57"/>
  <c r="I57" s="1"/>
  <c r="H55"/>
  <c r="G52"/>
  <c r="F52"/>
  <c r="E52"/>
  <c r="D52"/>
  <c r="C52"/>
  <c r="B52"/>
  <c r="H50"/>
  <c r="H52" s="1"/>
  <c r="H49"/>
  <c r="G49"/>
  <c r="E45"/>
  <c r="E42"/>
  <c r="C42"/>
  <c r="G32"/>
  <c r="H32" s="1"/>
  <c r="G29"/>
  <c r="G25"/>
  <c r="G22"/>
  <c r="H22" s="1"/>
  <c r="I22" s="1"/>
  <c r="G21"/>
  <c r="C68"/>
  <c r="B23"/>
  <c r="B27" s="1"/>
  <c r="B31" s="1"/>
  <c r="B35" s="1"/>
  <c r="G19"/>
  <c r="H19" s="1"/>
  <c r="G18"/>
  <c r="H18" s="1"/>
  <c r="G17"/>
  <c r="H17" s="1"/>
  <c r="I17" s="1"/>
  <c r="G16"/>
  <c r="G14"/>
  <c r="H14" s="1"/>
  <c r="I14" s="1"/>
  <c r="G30" i="3"/>
  <c r="G31" s="1"/>
  <c r="F30"/>
  <c r="E30"/>
  <c r="D30"/>
  <c r="C30"/>
  <c r="B30"/>
  <c r="F29"/>
  <c r="E29"/>
  <c r="D29"/>
  <c r="C29"/>
  <c r="B29"/>
  <c r="B28"/>
  <c r="H25"/>
  <c r="I25" s="1"/>
  <c r="F24"/>
  <c r="F9" i="2" s="1"/>
  <c r="F19" i="1" s="1"/>
  <c r="E24" i="3"/>
  <c r="E9" i="2" s="1"/>
  <c r="E19" i="1" s="1"/>
  <c r="E20" s="1"/>
  <c r="D24" i="3"/>
  <c r="D9" i="2" s="1"/>
  <c r="D19" i="1" s="1"/>
  <c r="C24" i="3"/>
  <c r="C9" i="2" s="1"/>
  <c r="C19" i="1" s="1"/>
  <c r="C20" s="1"/>
  <c r="B24" i="3"/>
  <c r="B9" i="2" s="1"/>
  <c r="B19" i="1" s="1"/>
  <c r="I21" i="3"/>
  <c r="I8" i="2" s="1"/>
  <c r="H21" i="3"/>
  <c r="H8" i="2" s="1"/>
  <c r="G21" i="3"/>
  <c r="G8" i="2" s="1"/>
  <c r="F21" i="3"/>
  <c r="E21"/>
  <c r="D21"/>
  <c r="C21"/>
  <c r="B21"/>
  <c r="F19"/>
  <c r="F17" i="2" s="1"/>
  <c r="E19" i="3"/>
  <c r="E17" i="2" s="1"/>
  <c r="E39" s="1"/>
  <c r="D19" i="3"/>
  <c r="D17" i="2" s="1"/>
  <c r="C19" i="3"/>
  <c r="C17" i="2" s="1"/>
  <c r="C39" s="1"/>
  <c r="B19" i="3"/>
  <c r="B17" i="2" s="1"/>
  <c r="F10" i="3"/>
  <c r="F15" s="1"/>
  <c r="E10"/>
  <c r="E32" s="1"/>
  <c r="D10"/>
  <c r="D15" s="1"/>
  <c r="C10"/>
  <c r="C32" s="1"/>
  <c r="B10"/>
  <c r="B15" s="1"/>
  <c r="G8"/>
  <c r="B162" i="7" l="1"/>
  <c r="C162"/>
  <c r="C51" i="1" s="1"/>
  <c r="D162" i="7"/>
  <c r="E162"/>
  <c r="E51" i="1" s="1"/>
  <c r="G171" i="7"/>
  <c r="H171" s="1"/>
  <c r="F53" i="1"/>
  <c r="C9" i="11"/>
  <c r="C46" i="7"/>
  <c r="H140"/>
  <c r="F22" i="3"/>
  <c r="F8" i="2"/>
  <c r="G17" i="1"/>
  <c r="G28" i="2"/>
  <c r="H17" i="1"/>
  <c r="H28" i="2"/>
  <c r="C31" i="3"/>
  <c r="G32" i="2"/>
  <c r="B22" i="3"/>
  <c r="B8" i="2"/>
  <c r="H23" i="3"/>
  <c r="E31"/>
  <c r="C45" i="4"/>
  <c r="E48"/>
  <c r="F29" i="1"/>
  <c r="F30"/>
  <c r="H32" i="2"/>
  <c r="D46" i="7"/>
  <c r="Q8" i="19"/>
  <c r="Q13"/>
  <c r="Q24"/>
  <c r="Q29"/>
  <c r="Q40"/>
  <c r="Q45"/>
  <c r="Q56"/>
  <c r="Q61"/>
  <c r="Q79"/>
  <c r="Q95"/>
  <c r="Q111"/>
  <c r="Q127"/>
  <c r="Q143"/>
  <c r="C48" i="4"/>
  <c r="I17" i="1"/>
  <c r="I18" s="1"/>
  <c r="I28" i="2"/>
  <c r="E39" i="4"/>
  <c r="E29" i="1"/>
  <c r="E30"/>
  <c r="G33" i="2"/>
  <c r="G28" i="6"/>
  <c r="C22" i="3"/>
  <c r="C8" i="2"/>
  <c r="C23" s="1"/>
  <c r="B16"/>
  <c r="B18"/>
  <c r="B40" s="1"/>
  <c r="B19"/>
  <c r="B41" s="1"/>
  <c r="I32"/>
  <c r="Q93" i="19"/>
  <c r="Q109"/>
  <c r="Q125"/>
  <c r="Q141"/>
  <c r="D22" i="3"/>
  <c r="D8" i="2"/>
  <c r="C16"/>
  <c r="C18"/>
  <c r="C40" s="1"/>
  <c r="C19"/>
  <c r="C41" s="1"/>
  <c r="G188" i="7"/>
  <c r="H188" s="1"/>
  <c r="I188" s="1"/>
  <c r="C32" i="12"/>
  <c r="Q4" i="19"/>
  <c r="Q20"/>
  <c r="Q36"/>
  <c r="Q52"/>
  <c r="Q68"/>
  <c r="Q75"/>
  <c r="Q91"/>
  <c r="Q107"/>
  <c r="Q123"/>
  <c r="Q139"/>
  <c r="E22" i="3"/>
  <c r="E8" i="2"/>
  <c r="E23" s="1"/>
  <c r="G11" i="4"/>
  <c r="H59"/>
  <c r="H48" s="1"/>
  <c r="D16" i="2"/>
  <c r="D38" s="1"/>
  <c r="D18"/>
  <c r="D40" s="1"/>
  <c r="D19"/>
  <c r="D41" s="1"/>
  <c r="C33"/>
  <c r="C51" i="6"/>
  <c r="D32" i="12"/>
  <c r="Q7" i="19"/>
  <c r="Q18"/>
  <c r="Q23"/>
  <c r="Q34"/>
  <c r="Q39"/>
  <c r="Q50"/>
  <c r="Q55"/>
  <c r="Q66"/>
  <c r="Q73"/>
  <c r="Q78"/>
  <c r="Q89"/>
  <c r="Q105"/>
  <c r="Q110"/>
  <c r="Q121"/>
  <c r="Q137"/>
  <c r="Q153"/>
  <c r="E32" i="12"/>
  <c r="Q64" i="19"/>
  <c r="Q87"/>
  <c r="Q119"/>
  <c r="Q151"/>
  <c r="C39" i="4"/>
  <c r="E33" i="2"/>
  <c r="D51" i="6"/>
  <c r="H21" i="12"/>
  <c r="H32" s="1"/>
  <c r="F32"/>
  <c r="Q3" i="19"/>
  <c r="P10"/>
  <c r="Q14"/>
  <c r="Q19"/>
  <c r="P26"/>
  <c r="Q30"/>
  <c r="Q35"/>
  <c r="P42"/>
  <c r="Q46"/>
  <c r="Q51"/>
  <c r="P58"/>
  <c r="Q62"/>
  <c r="Q74"/>
  <c r="P81"/>
  <c r="Q85"/>
  <c r="Q90"/>
  <c r="P97"/>
  <c r="Q101"/>
  <c r="Q106"/>
  <c r="P113"/>
  <c r="Q117"/>
  <c r="Q122"/>
  <c r="P129"/>
  <c r="Q133"/>
  <c r="Q138"/>
  <c r="P145"/>
  <c r="Q149"/>
  <c r="F33" i="2"/>
  <c r="G54" i="8"/>
  <c r="P8" i="19"/>
  <c r="Q17"/>
  <c r="P24"/>
  <c r="Q33"/>
  <c r="P40"/>
  <c r="Q49"/>
  <c r="P56"/>
  <c r="Q65"/>
  <c r="Q72"/>
  <c r="P79"/>
  <c r="Q88"/>
  <c r="P95"/>
  <c r="Q104"/>
  <c r="P111"/>
  <c r="Q120"/>
  <c r="P127"/>
  <c r="Q136"/>
  <c r="P143"/>
  <c r="Q152"/>
  <c r="G34" i="7"/>
  <c r="H55"/>
  <c r="H57" s="1"/>
  <c r="H52"/>
  <c r="I49" s="1"/>
  <c r="I52" s="1"/>
  <c r="B38" i="1"/>
  <c r="F79" i="7"/>
  <c r="F90" s="1"/>
  <c r="F38" i="1"/>
  <c r="D40"/>
  <c r="F95" i="7"/>
  <c r="F41" i="1" s="1"/>
  <c r="B41"/>
  <c r="I140" i="7"/>
  <c r="G179"/>
  <c r="F57" i="1"/>
  <c r="G16" i="7"/>
  <c r="G45"/>
  <c r="I45"/>
  <c r="F39" i="1"/>
  <c r="G142" i="7"/>
  <c r="G136" s="1"/>
  <c r="G185"/>
  <c r="F58" i="1"/>
  <c r="E28" i="13"/>
  <c r="F11"/>
  <c r="F29" s="1"/>
  <c r="J10" i="12"/>
  <c r="I12"/>
  <c r="J12" s="1"/>
  <c r="J14"/>
  <c r="I16"/>
  <c r="J16" s="1"/>
  <c r="J18"/>
  <c r="J24"/>
  <c r="I26"/>
  <c r="J26" s="1"/>
  <c r="J28"/>
  <c r="C33" i="8"/>
  <c r="G33" s="1"/>
  <c r="H33" s="1"/>
  <c r="I33" s="1"/>
  <c r="E33"/>
  <c r="G44"/>
  <c r="H44" s="1"/>
  <c r="H51"/>
  <c r="I51" s="1"/>
  <c r="I54" s="1"/>
  <c r="H13" i="7"/>
  <c r="H16" s="1"/>
  <c r="G22"/>
  <c r="G21" s="1"/>
  <c r="G25" s="1"/>
  <c r="E46"/>
  <c r="G89"/>
  <c r="G102"/>
  <c r="G42" i="1" s="1"/>
  <c r="G115" i="7"/>
  <c r="G170"/>
  <c r="G165" s="1"/>
  <c r="B12" i="6"/>
  <c r="B22" s="1"/>
  <c r="G34"/>
  <c r="H34" s="1"/>
  <c r="I34" s="1"/>
  <c r="G17"/>
  <c r="G26" i="5"/>
  <c r="G10" s="1"/>
  <c r="G27"/>
  <c r="G28"/>
  <c r="H28" s="1"/>
  <c r="I28" s="1"/>
  <c r="G30"/>
  <c r="G14" s="1"/>
  <c r="G31"/>
  <c r="G32"/>
  <c r="G34"/>
  <c r="G35"/>
  <c r="G57"/>
  <c r="H57" s="1"/>
  <c r="I57" s="1"/>
  <c r="G59"/>
  <c r="G42" s="1"/>
  <c r="G60"/>
  <c r="G43" s="1"/>
  <c r="G61"/>
  <c r="G63"/>
  <c r="G46" s="1"/>
  <c r="G64"/>
  <c r="G47" s="1"/>
  <c r="G65"/>
  <c r="G48" s="1"/>
  <c r="G66"/>
  <c r="G49" s="1"/>
  <c r="G67"/>
  <c r="G68"/>
  <c r="H68" s="1"/>
  <c r="I68" s="1"/>
  <c r="G69"/>
  <c r="G52" s="1"/>
  <c r="G70"/>
  <c r="G53" s="1"/>
  <c r="I18" i="4"/>
  <c r="I19"/>
  <c r="H16"/>
  <c r="I16" s="1"/>
  <c r="H21"/>
  <c r="I21" s="1"/>
  <c r="I49"/>
  <c r="I50"/>
  <c r="I52" s="1"/>
  <c r="I55"/>
  <c r="I59" s="1"/>
  <c r="I48" s="1"/>
  <c r="E15" i="3"/>
  <c r="C15"/>
  <c r="H24"/>
  <c r="H9" i="2" s="1"/>
  <c r="B29" i="1"/>
  <c r="D29"/>
  <c r="G27"/>
  <c r="H27" s="1"/>
  <c r="I27" s="1"/>
  <c r="C29"/>
  <c r="C25" i="3"/>
  <c r="E25"/>
  <c r="I24"/>
  <c r="I9" i="2" s="1"/>
  <c r="B25" i="3"/>
  <c r="D25"/>
  <c r="D23" s="1"/>
  <c r="F25"/>
  <c r="G23" s="1"/>
  <c r="D68" i="4"/>
  <c r="F68"/>
  <c r="C53"/>
  <c r="E53"/>
  <c r="H18" i="1"/>
  <c r="H39" i="5"/>
  <c r="I39" s="1"/>
  <c r="I26" i="6"/>
  <c r="H45" i="7"/>
  <c r="C79"/>
  <c r="C90" s="1"/>
  <c r="E79"/>
  <c r="E90" s="1"/>
  <c r="G172"/>
  <c r="G173"/>
  <c r="G191"/>
  <c r="C8" i="20"/>
  <c r="C10" s="1"/>
  <c r="C12" s="1"/>
  <c r="E8"/>
  <c r="E10" s="1"/>
  <c r="E12" s="1"/>
  <c r="G8"/>
  <c r="G10" s="1"/>
  <c r="G12" s="1"/>
  <c r="D18"/>
  <c r="F24" s="1"/>
  <c r="D8"/>
  <c r="D10" s="1"/>
  <c r="D12" s="1"/>
  <c r="F8"/>
  <c r="F10" s="1"/>
  <c r="F12" s="1"/>
  <c r="Q70" i="19"/>
  <c r="K9" i="17"/>
  <c r="J10"/>
  <c r="I11"/>
  <c r="I12" s="1"/>
  <c r="G36" i="7" s="1"/>
  <c r="G38" s="1"/>
  <c r="G41" s="1"/>
  <c r="D34" i="13"/>
  <c r="F10"/>
  <c r="E12"/>
  <c r="I23"/>
  <c r="D30"/>
  <c r="J11" i="12"/>
  <c r="J13"/>
  <c r="J15"/>
  <c r="J17"/>
  <c r="J25"/>
  <c r="J27"/>
  <c r="J31"/>
  <c r="I8"/>
  <c r="I23"/>
  <c r="I29" s="1"/>
  <c r="H54" i="8"/>
  <c r="H22" i="7"/>
  <c r="H21" s="1"/>
  <c r="F46"/>
  <c r="H20"/>
  <c r="H32"/>
  <c r="H78" a="1"/>
  <c r="H78" s="1"/>
  <c r="I78" s="1" a="1"/>
  <c r="I78" s="1"/>
  <c r="I60"/>
  <c r="G62"/>
  <c r="G65" s="1"/>
  <c r="H63"/>
  <c r="I63" s="1"/>
  <c r="I64"/>
  <c r="I74"/>
  <c r="B79"/>
  <c r="B90" s="1"/>
  <c r="D79"/>
  <c r="D90" s="1"/>
  <c r="I84"/>
  <c r="I85" s="1"/>
  <c r="G85"/>
  <c r="H86"/>
  <c r="I86" s="1"/>
  <c r="H88"/>
  <c r="I88" s="1"/>
  <c r="H112"/>
  <c r="G154"/>
  <c r="H151" s="1"/>
  <c r="H154" s="1"/>
  <c r="I151" s="1"/>
  <c r="I154" s="1"/>
  <c r="F51" i="1"/>
  <c r="G196" i="7" a="1"/>
  <c r="G196" s="1"/>
  <c r="H28" i="6"/>
  <c r="H17" s="1"/>
  <c r="G32"/>
  <c r="C9"/>
  <c r="C12" s="1"/>
  <c r="G41"/>
  <c r="H49"/>
  <c r="I49" s="1"/>
  <c r="G36"/>
  <c r="C42"/>
  <c r="D39" s="1"/>
  <c r="D42" s="1"/>
  <c r="E39" s="1"/>
  <c r="E42" s="1"/>
  <c r="F39" s="1"/>
  <c r="F42" s="1"/>
  <c r="G39" s="1"/>
  <c r="G42" s="1"/>
  <c r="H39" s="1"/>
  <c r="E51"/>
  <c r="H40"/>
  <c r="I40" s="1"/>
  <c r="G44" i="5"/>
  <c r="G16"/>
  <c r="H32"/>
  <c r="I32" s="1"/>
  <c r="H61"/>
  <c r="I61" s="1"/>
  <c r="G29"/>
  <c r="G13" s="1"/>
  <c r="H30"/>
  <c r="I30" s="1"/>
  <c r="G33"/>
  <c r="G17" s="1"/>
  <c r="H34"/>
  <c r="I34" s="1"/>
  <c r="G58"/>
  <c r="G41" s="1"/>
  <c r="G62"/>
  <c r="G45" s="1"/>
  <c r="H63"/>
  <c r="H46" s="1"/>
  <c r="H64"/>
  <c r="H47" s="1"/>
  <c r="H65"/>
  <c r="H48" s="1"/>
  <c r="H66"/>
  <c r="H49" s="1"/>
  <c r="H67"/>
  <c r="I67" s="1"/>
  <c r="H70"/>
  <c r="H53" s="1"/>
  <c r="B38" i="2"/>
  <c r="B25"/>
  <c r="B26" s="1"/>
  <c r="D25"/>
  <c r="D26" s="1"/>
  <c r="F38"/>
  <c r="F25"/>
  <c r="F26" s="1"/>
  <c r="C38"/>
  <c r="E38"/>
  <c r="E25"/>
  <c r="E26" s="1"/>
  <c r="D23"/>
  <c r="F23"/>
  <c r="H29" i="1"/>
  <c r="H19" i="3" s="1"/>
  <c r="H30" i="1" s="1"/>
  <c r="I28"/>
  <c r="I29" s="1"/>
  <c r="I19" i="3" s="1"/>
  <c r="I30" i="1" s="1"/>
  <c r="D20"/>
  <c r="F20"/>
  <c r="G29"/>
  <c r="G19" i="3" s="1"/>
  <c r="F23" i="4"/>
  <c r="F27" s="1"/>
  <c r="F31" s="1"/>
  <c r="F35" s="1"/>
  <c r="E68"/>
  <c r="D23"/>
  <c r="D27" s="1"/>
  <c r="D31" s="1"/>
  <c r="D35" s="1"/>
  <c r="I32"/>
  <c r="D53"/>
  <c r="F53"/>
  <c r="D39"/>
  <c r="F39"/>
  <c r="D42"/>
  <c r="F42"/>
  <c r="D45"/>
  <c r="F45"/>
  <c r="D48"/>
  <c r="F48"/>
  <c r="C23"/>
  <c r="C27" s="1"/>
  <c r="C31" s="1"/>
  <c r="C35" s="1"/>
  <c r="E23"/>
  <c r="E27" s="1"/>
  <c r="E31" s="1"/>
  <c r="E35" s="1"/>
  <c r="D31" i="3"/>
  <c r="F31"/>
  <c r="B32"/>
  <c r="D32"/>
  <c r="F32"/>
  <c r="G32" s="1"/>
  <c r="H8"/>
  <c r="G12"/>
  <c r="H30"/>
  <c r="E24" i="20" l="1"/>
  <c r="E25" s="1"/>
  <c r="D24"/>
  <c r="D25" s="1"/>
  <c r="H24"/>
  <c r="H25" s="1"/>
  <c r="G187" i="7"/>
  <c r="H139"/>
  <c r="D51" i="1"/>
  <c r="G162" i="7"/>
  <c r="H162" s="1"/>
  <c r="I162" s="1"/>
  <c r="G95"/>
  <c r="G41" i="1" s="1"/>
  <c r="B51"/>
  <c r="I171" i="7"/>
  <c r="I53" i="1" s="1"/>
  <c r="H53"/>
  <c r="H62" i="7"/>
  <c r="I62" s="1"/>
  <c r="I65" s="1"/>
  <c r="I13"/>
  <c r="I16" s="1"/>
  <c r="H142"/>
  <c r="I139" s="1"/>
  <c r="I142" s="1"/>
  <c r="I136" s="1"/>
  <c r="G166"/>
  <c r="H166" s="1"/>
  <c r="G53" i="1"/>
  <c r="E9" i="11"/>
  <c r="E10" s="1"/>
  <c r="E17" s="1"/>
  <c r="E19" s="1"/>
  <c r="E21" s="1"/>
  <c r="F9"/>
  <c r="F10" s="1"/>
  <c r="F17" s="1"/>
  <c r="F19" s="1"/>
  <c r="F21" s="1"/>
  <c r="D9"/>
  <c r="D10" s="1"/>
  <c r="D17" s="1"/>
  <c r="D19" s="1"/>
  <c r="D21" s="1"/>
  <c r="G9"/>
  <c r="G10" s="1"/>
  <c r="G17" s="1"/>
  <c r="G19" s="1"/>
  <c r="G21" s="1"/>
  <c r="C26" i="21"/>
  <c r="C4"/>
  <c r="J26"/>
  <c r="C10" i="11"/>
  <c r="H36" i="8"/>
  <c r="H35" i="1"/>
  <c r="G12" i="5"/>
  <c r="I19" i="1"/>
  <c r="I33" i="2"/>
  <c r="F25" i="20"/>
  <c r="G35" i="1"/>
  <c r="H69" i="5"/>
  <c r="H52" s="1"/>
  <c r="H59"/>
  <c r="I59" s="1"/>
  <c r="H60"/>
  <c r="I60" s="1"/>
  <c r="H102" i="7"/>
  <c r="H42" i="1" s="1"/>
  <c r="D17"/>
  <c r="D28" i="2"/>
  <c r="D32"/>
  <c r="D36" s="1"/>
  <c r="G40" i="5"/>
  <c r="H65" i="7"/>
  <c r="G101"/>
  <c r="G103" s="1"/>
  <c r="G77" s="1"/>
  <c r="B28" i="2"/>
  <c r="B17" i="1"/>
  <c r="B23" i="2"/>
  <c r="B32"/>
  <c r="B36" s="1"/>
  <c r="C17" i="1"/>
  <c r="C28" i="2"/>
  <c r="C32"/>
  <c r="C36" s="1"/>
  <c r="H19" i="1"/>
  <c r="H20" s="1"/>
  <c r="H33" i="2"/>
  <c r="H11" i="4"/>
  <c r="G14" i="2"/>
  <c r="G19" s="1"/>
  <c r="G41" s="1"/>
  <c r="E17" i="1"/>
  <c r="E18" s="1"/>
  <c r="E28" i="2"/>
  <c r="E32"/>
  <c r="E36" s="1"/>
  <c r="F17" i="1"/>
  <c r="F28" i="2"/>
  <c r="F32"/>
  <c r="F36" s="1"/>
  <c r="C25"/>
  <c r="C26" s="1"/>
  <c r="H26" i="5"/>
  <c r="I26" s="1"/>
  <c r="G45" i="6"/>
  <c r="G46" s="1"/>
  <c r="G51" i="5"/>
  <c r="I21" i="12"/>
  <c r="H18" i="3"/>
  <c r="H9" s="1"/>
  <c r="H10" s="1"/>
  <c r="I55" i="7"/>
  <c r="I57" s="1"/>
  <c r="H187"/>
  <c r="I187" s="1"/>
  <c r="G46"/>
  <c r="G168"/>
  <c r="G30" i="4" s="1"/>
  <c r="H29" s="1"/>
  <c r="G55" i="1"/>
  <c r="H170" i="7"/>
  <c r="G52" i="1"/>
  <c r="H185" i="7"/>
  <c r="G58" i="1"/>
  <c r="G61"/>
  <c r="G60"/>
  <c r="G167" i="7"/>
  <c r="G26" i="4" s="1"/>
  <c r="H25" s="1"/>
  <c r="G54" i="1"/>
  <c r="H179" i="7"/>
  <c r="G57" i="1"/>
  <c r="H26" i="6"/>
  <c r="G21" i="2"/>
  <c r="G21" i="1"/>
  <c r="F23" i="3"/>
  <c r="E23"/>
  <c r="G11" i="13"/>
  <c r="I32" i="12"/>
  <c r="J23"/>
  <c r="J29" s="1"/>
  <c r="B20" i="6"/>
  <c r="I65" i="5"/>
  <c r="H16"/>
  <c r="I16" s="1"/>
  <c r="H12"/>
  <c r="I12" s="1"/>
  <c r="H35"/>
  <c r="I35" s="1"/>
  <c r="G21"/>
  <c r="H27"/>
  <c r="I27" s="1"/>
  <c r="G11"/>
  <c r="I63"/>
  <c r="H62"/>
  <c r="I62" s="1"/>
  <c r="H14"/>
  <c r="I14" s="1"/>
  <c r="H31"/>
  <c r="I31" s="1"/>
  <c r="G15"/>
  <c r="H172" i="7"/>
  <c r="H191"/>
  <c r="C23" i="3"/>
  <c r="H173" i="7"/>
  <c r="G24" i="20"/>
  <c r="G25" s="1"/>
  <c r="H26"/>
  <c r="L9" i="17"/>
  <c r="M9" s="1"/>
  <c r="J11"/>
  <c r="J12" s="1"/>
  <c r="H36" i="7" s="1"/>
  <c r="H38" s="1"/>
  <c r="H41" s="1"/>
  <c r="K10" i="17"/>
  <c r="I32" i="13"/>
  <c r="I24"/>
  <c r="I25" s="1"/>
  <c r="J21" s="1"/>
  <c r="G29"/>
  <c r="H11"/>
  <c r="E30"/>
  <c r="E16"/>
  <c r="E34" s="1"/>
  <c r="F12"/>
  <c r="G10"/>
  <c r="F28"/>
  <c r="J8" i="12"/>
  <c r="J21" s="1"/>
  <c r="I44" i="8"/>
  <c r="I89" i="7"/>
  <c r="H196" a="1"/>
  <c r="H196" s="1"/>
  <c r="H25"/>
  <c r="I20"/>
  <c r="I22"/>
  <c r="I21" s="1"/>
  <c r="H115"/>
  <c r="I112"/>
  <c r="I115" s="1"/>
  <c r="H89"/>
  <c r="H34"/>
  <c r="I32"/>
  <c r="I34" s="1"/>
  <c r="H44" i="6"/>
  <c r="C22"/>
  <c r="C20"/>
  <c r="C24" s="1"/>
  <c r="D9"/>
  <c r="D12" s="1"/>
  <c r="H36"/>
  <c r="H32"/>
  <c r="I28"/>
  <c r="I17" s="1"/>
  <c r="H10" i="5"/>
  <c r="I10" s="1"/>
  <c r="I48"/>
  <c r="H43"/>
  <c r="I43" s="1"/>
  <c r="H40"/>
  <c r="G54"/>
  <c r="H13" i="11" s="1"/>
  <c r="H33" i="5"/>
  <c r="H17" s="1"/>
  <c r="I46"/>
  <c r="H45"/>
  <c r="H13"/>
  <c r="I13" s="1"/>
  <c r="I70"/>
  <c r="I53" s="1"/>
  <c r="I66"/>
  <c r="I49" s="1"/>
  <c r="I64"/>
  <c r="I47" s="1"/>
  <c r="H58"/>
  <c r="I58" s="1"/>
  <c r="H44"/>
  <c r="I44" s="1"/>
  <c r="H29"/>
  <c r="I29" s="1"/>
  <c r="E27" i="2"/>
  <c r="E29" s="1"/>
  <c r="C27"/>
  <c r="C29" s="1"/>
  <c r="F27"/>
  <c r="F29" s="1"/>
  <c r="D27"/>
  <c r="D29" s="1"/>
  <c r="B27"/>
  <c r="H31" i="3"/>
  <c r="I30"/>
  <c r="I31" s="1"/>
  <c r="H12"/>
  <c r="H32"/>
  <c r="I12"/>
  <c r="I18"/>
  <c r="I9" s="1"/>
  <c r="I8"/>
  <c r="D27" i="20" l="1"/>
  <c r="D29" s="1"/>
  <c r="D31" s="1"/>
  <c r="G94" i="7"/>
  <c r="G96" s="1"/>
  <c r="I196" a="1"/>
  <c r="I196" s="1"/>
  <c r="I102"/>
  <c r="I42" i="1" s="1"/>
  <c r="I166" i="7"/>
  <c r="H95"/>
  <c r="I95" s="1"/>
  <c r="I41" i="1" s="1"/>
  <c r="H136" i="7"/>
  <c r="C17" i="11"/>
  <c r="C27" i="21"/>
  <c r="C5"/>
  <c r="J27"/>
  <c r="H46" i="7"/>
  <c r="H41" i="1"/>
  <c r="H99" i="7"/>
  <c r="H101" s="1"/>
  <c r="J23" i="13"/>
  <c r="I36" i="8"/>
  <c r="I41" s="1"/>
  <c r="J15" i="11" s="1"/>
  <c r="I35" i="1"/>
  <c r="H42" i="5"/>
  <c r="I42" s="1"/>
  <c r="B29" i="2"/>
  <c r="H14"/>
  <c r="H19" s="1"/>
  <c r="H41" s="1"/>
  <c r="I11" i="4"/>
  <c r="I14" i="2" s="1"/>
  <c r="I19" s="1"/>
  <c r="I20" i="1"/>
  <c r="F18"/>
  <c r="G18"/>
  <c r="I69" i="5"/>
  <c r="I52" s="1"/>
  <c r="C18" i="1"/>
  <c r="D18"/>
  <c r="G161" i="7"/>
  <c r="G51" i="1"/>
  <c r="I173" i="7"/>
  <c r="I55" i="1" s="1"/>
  <c r="H55"/>
  <c r="I172" i="7"/>
  <c r="I54" i="1" s="1"/>
  <c r="H54"/>
  <c r="G169" i="7" a="1"/>
  <c r="G169" s="1"/>
  <c r="H61" i="1"/>
  <c r="H60"/>
  <c r="H57"/>
  <c r="I179" i="7"/>
  <c r="I185"/>
  <c r="H58" i="1"/>
  <c r="I170" i="7"/>
  <c r="I52" i="1" s="1"/>
  <c r="H52"/>
  <c r="H165" i="7"/>
  <c r="I165" s="1"/>
  <c r="I21" i="2"/>
  <c r="I21" i="1"/>
  <c r="G34" i="2"/>
  <c r="H21" i="1"/>
  <c r="H21" i="2"/>
  <c r="J32" i="12"/>
  <c r="H41" i="5"/>
  <c r="H15"/>
  <c r="I15" s="1"/>
  <c r="H11"/>
  <c r="I11" s="1"/>
  <c r="H21"/>
  <c r="I21" s="1"/>
  <c r="I45"/>
  <c r="H168" i="7"/>
  <c r="I191"/>
  <c r="H167"/>
  <c r="H26" i="4" s="1"/>
  <c r="I25" s="1"/>
  <c r="L10" i="17"/>
  <c r="M10" s="1"/>
  <c r="K11"/>
  <c r="K12" s="1"/>
  <c r="I36" i="7" s="1"/>
  <c r="I38" s="1"/>
  <c r="I41" s="1"/>
  <c r="I46" s="1"/>
  <c r="G28" i="13"/>
  <c r="G12"/>
  <c r="H10"/>
  <c r="H29"/>
  <c r="I11"/>
  <c r="J11" s="1"/>
  <c r="I33"/>
  <c r="F16"/>
  <c r="F34" s="1"/>
  <c r="F30"/>
  <c r="I25" i="7"/>
  <c r="D22" i="6"/>
  <c r="D20"/>
  <c r="D24" s="1"/>
  <c r="E9"/>
  <c r="E12" s="1"/>
  <c r="I44"/>
  <c r="H41"/>
  <c r="H51" i="5" s="1"/>
  <c r="I32" i="6"/>
  <c r="I36"/>
  <c r="I40" i="5"/>
  <c r="I41"/>
  <c r="I33"/>
  <c r="I17" s="1"/>
  <c r="I10" i="3"/>
  <c r="I32"/>
  <c r="H13"/>
  <c r="I61" i="1" l="1"/>
  <c r="G76" i="7"/>
  <c r="H92"/>
  <c r="H103"/>
  <c r="H77" s="1"/>
  <c r="H94"/>
  <c r="C19" i="11"/>
  <c r="C34" i="21"/>
  <c r="D30"/>
  <c r="E29"/>
  <c r="J34"/>
  <c r="H54" i="5"/>
  <c r="I13" i="11" s="1"/>
  <c r="J24" i="13"/>
  <c r="J33" s="1"/>
  <c r="J32"/>
  <c r="I41" i="2"/>
  <c r="J29" i="13"/>
  <c r="J25"/>
  <c r="I60" i="1"/>
  <c r="I51"/>
  <c r="H51"/>
  <c r="I57"/>
  <c r="I168" i="7"/>
  <c r="I30" i="4" s="1"/>
  <c r="H30"/>
  <c r="I29" s="1"/>
  <c r="I58" i="1"/>
  <c r="H34" i="2"/>
  <c r="I34"/>
  <c r="I13" i="3"/>
  <c r="H161" i="7"/>
  <c r="H169" a="1"/>
  <c r="H169" s="1"/>
  <c r="I167"/>
  <c r="I26" i="4" s="1"/>
  <c r="L11" i="17"/>
  <c r="L12" s="1"/>
  <c r="G30" i="13"/>
  <c r="G16"/>
  <c r="G34" s="1"/>
  <c r="I29"/>
  <c r="H12"/>
  <c r="I10"/>
  <c r="J10" s="1"/>
  <c r="J28" s="1"/>
  <c r="H28"/>
  <c r="I99" i="7"/>
  <c r="H42" i="6"/>
  <c r="I39" s="1"/>
  <c r="H45"/>
  <c r="I41"/>
  <c r="I51" i="5" s="1"/>
  <c r="I54" s="1"/>
  <c r="J13" i="11" s="1"/>
  <c r="J16" s="1"/>
  <c r="E22" i="6"/>
  <c r="E20"/>
  <c r="E24" s="1"/>
  <c r="F9"/>
  <c r="F12" s="1"/>
  <c r="H96" i="7" l="1"/>
  <c r="C21" i="11"/>
  <c r="D32" i="21"/>
  <c r="E31"/>
  <c r="J12" i="13"/>
  <c r="I161" i="7"/>
  <c r="I169" a="1"/>
  <c r="I169" s="1"/>
  <c r="I42" i="6"/>
  <c r="M11" i="17"/>
  <c r="M12" s="1"/>
  <c r="I28" i="13"/>
  <c r="I12"/>
  <c r="K11"/>
  <c r="H16"/>
  <c r="H34" s="1"/>
  <c r="H30"/>
  <c r="I101" i="7"/>
  <c r="I103" s="1"/>
  <c r="I77" s="1"/>
  <c r="F22" i="6"/>
  <c r="F20"/>
  <c r="F24" s="1"/>
  <c r="G9"/>
  <c r="G12" s="1"/>
  <c r="I45"/>
  <c r="I46" s="1"/>
  <c r="H46"/>
  <c r="H76" i="7" l="1"/>
  <c r="I92"/>
  <c r="I94" s="1"/>
  <c r="I96" s="1"/>
  <c r="I76" s="1"/>
  <c r="D34" i="21"/>
  <c r="E33"/>
  <c r="J16" i="13"/>
  <c r="J34" s="1"/>
  <c r="J30"/>
  <c r="I30"/>
  <c r="I16"/>
  <c r="I34" s="1"/>
  <c r="K21"/>
  <c r="K29"/>
  <c r="L11"/>
  <c r="K10"/>
  <c r="H9" i="6"/>
  <c r="H12" s="1"/>
  <c r="G16"/>
  <c r="K28" i="13" l="1"/>
  <c r="K12"/>
  <c r="L10"/>
  <c r="L29"/>
  <c r="M11"/>
  <c r="M29" s="1"/>
  <c r="K23"/>
  <c r="I9" i="6"/>
  <c r="I12" s="1"/>
  <c r="G18"/>
  <c r="G33"/>
  <c r="G18" i="5" s="1"/>
  <c r="G22" s="1"/>
  <c r="G35" i="6"/>
  <c r="G31"/>
  <c r="G68" i="4" l="1"/>
  <c r="K30" i="13"/>
  <c r="K16"/>
  <c r="K32"/>
  <c r="K24"/>
  <c r="L12"/>
  <c r="M10"/>
  <c r="L28"/>
  <c r="H15" i="6"/>
  <c r="G20"/>
  <c r="G24" l="1"/>
  <c r="G135" i="7"/>
  <c r="G137" s="1"/>
  <c r="L16" i="13"/>
  <c r="M28"/>
  <c r="M12"/>
  <c r="K33"/>
  <c r="K25"/>
  <c r="H16" i="6"/>
  <c r="M16" i="13" l="1"/>
  <c r="K34"/>
  <c r="L21"/>
  <c r="H33" i="6"/>
  <c r="H18" i="5" s="1"/>
  <c r="H22" s="1"/>
  <c r="H35" i="6"/>
  <c r="H31"/>
  <c r="H18"/>
  <c r="H68" i="4" l="1"/>
  <c r="L23" i="13"/>
  <c r="L30"/>
  <c r="I15" i="6"/>
  <c r="H20"/>
  <c r="H24" l="1"/>
  <c r="H135" i="7"/>
  <c r="H137" s="1"/>
  <c r="L32" i="13"/>
  <c r="L24"/>
  <c r="L25" s="1"/>
  <c r="I16" i="6"/>
  <c r="M21" i="13" l="1"/>
  <c r="L34"/>
  <c r="L33"/>
  <c r="I33" i="6"/>
  <c r="I18" i="5" s="1"/>
  <c r="I22" s="1"/>
  <c r="I35" i="6"/>
  <c r="I31"/>
  <c r="I18"/>
  <c r="I20" s="1"/>
  <c r="I24" l="1"/>
  <c r="I135" i="7"/>
  <c r="I137" s="1"/>
  <c r="I68" i="4"/>
  <c r="M30" i="13"/>
  <c r="M23"/>
  <c r="M32" l="1"/>
  <c r="M24"/>
  <c r="M33" s="1"/>
  <c r="M25" l="1"/>
  <c r="M34" s="1"/>
  <c r="G30" i="1"/>
  <c r="G18" i="3"/>
  <c r="G9" s="1"/>
  <c r="G10" s="1"/>
  <c r="G13" l="1"/>
  <c r="G11"/>
  <c r="G22" i="2" s="1"/>
  <c r="H11" i="3"/>
  <c r="H22" i="2" s="1"/>
  <c r="H23" s="1"/>
  <c r="I11" i="3"/>
  <c r="I22" i="2" s="1"/>
  <c r="H15" i="3"/>
  <c r="H176" i="7" l="1"/>
  <c r="H183" s="1"/>
  <c r="H190"/>
  <c r="I23" i="2"/>
  <c r="I35"/>
  <c r="I36" s="1"/>
  <c r="G23"/>
  <c r="G35"/>
  <c r="G36" s="1"/>
  <c r="I15" i="3"/>
  <c r="G15"/>
  <c r="H35" i="2"/>
  <c r="H36" s="1"/>
  <c r="I190" i="7" l="1"/>
  <c r="I176"/>
  <c r="I183" s="1"/>
  <c r="G190"/>
  <c r="G176"/>
  <c r="G183" s="1"/>
  <c r="G184" s="1" a="1"/>
  <c r="G184" s="1"/>
  <c r="H182" l="1"/>
  <c r="H184" s="1" a="1"/>
  <c r="H184" s="1"/>
  <c r="G177"/>
  <c r="G178" s="1"/>
  <c r="I182" l="1"/>
  <c r="I184" s="1" a="1"/>
  <c r="I184" s="1"/>
  <c r="I177" s="1"/>
  <c r="I178" s="1"/>
  <c r="H177"/>
  <c r="H178" s="1"/>
  <c r="H41" i="8" l="1"/>
  <c r="I15" i="11" s="1"/>
  <c r="I16" s="1"/>
  <c r="H26" i="2"/>
  <c r="I40" i="1"/>
  <c r="I38" i="2"/>
  <c r="G29"/>
  <c r="H40"/>
  <c r="G48" i="1"/>
  <c r="H129" i="7"/>
  <c r="I39" i="1"/>
  <c r="I129" i="7"/>
  <c r="G38" i="2"/>
  <c r="G39" i="1"/>
  <c r="H48"/>
  <c r="I90" i="7"/>
  <c r="H20" i="11"/>
  <c r="H21"/>
  <c r="H90" i="7"/>
  <c r="H39" i="1"/>
  <c r="I48"/>
  <c r="G38"/>
  <c r="I45"/>
  <c r="I130" i="7"/>
  <c r="I127"/>
  <c r="G45" i="1"/>
  <c r="H45"/>
  <c r="H130" i="7"/>
  <c r="H127"/>
  <c r="H36" i="4"/>
  <c r="H16" i="11"/>
  <c r="G129" i="7"/>
  <c r="G127"/>
  <c r="G130"/>
  <c r="I40" i="2"/>
  <c r="H38" i="1"/>
  <c r="H40"/>
  <c r="H73" i="7"/>
  <c r="H72"/>
  <c r="I72"/>
  <c r="I73"/>
  <c r="I17" i="2"/>
  <c r="I39"/>
  <c r="H147" i="7"/>
  <c r="H148"/>
  <c r="I12" i="2"/>
  <c r="I9" i="4"/>
  <c r="I41"/>
  <c r="I79" i="7"/>
  <c r="I29" i="2"/>
  <c r="H17" i="11"/>
  <c r="H19"/>
  <c r="H79" i="7"/>
  <c r="H68"/>
  <c r="H69"/>
  <c r="I21" i="11"/>
  <c r="I20"/>
  <c r="H13" i="2"/>
  <c r="H18"/>
  <c r="I147" i="7"/>
  <c r="I148"/>
  <c r="I36" i="4"/>
  <c r="I38" i="1"/>
  <c r="I69" i="7"/>
  <c r="I68"/>
  <c r="G40" i="1"/>
  <c r="H41" i="4"/>
  <c r="H9"/>
  <c r="H12" i="2"/>
  <c r="H17"/>
  <c r="H39"/>
  <c r="H38"/>
  <c r="J21" i="11"/>
  <c r="J20"/>
  <c r="G72" i="7"/>
  <c r="G73"/>
  <c r="G27" i="2"/>
  <c r="G11"/>
  <c r="G16"/>
  <c r="G25"/>
  <c r="G26"/>
  <c r="I13"/>
  <c r="I18"/>
  <c r="H15" i="11"/>
  <c r="I27" i="2"/>
  <c r="I25"/>
  <c r="I26"/>
  <c r="I17" i="11"/>
  <c r="I19"/>
  <c r="G90" i="7"/>
  <c r="I11" i="2"/>
  <c r="I16"/>
  <c r="H31" i="4"/>
  <c r="H35"/>
  <c r="I9" i="11"/>
  <c r="I10"/>
  <c r="G36" i="4"/>
  <c r="G39" i="2"/>
  <c r="H23" i="4"/>
  <c r="H27"/>
  <c r="H38"/>
  <c r="H8"/>
  <c r="H11" i="2"/>
  <c r="H16"/>
  <c r="H25"/>
  <c r="H27"/>
  <c r="H29"/>
  <c r="G147" i="7"/>
  <c r="G148"/>
  <c r="I70"/>
  <c r="I71"/>
  <c r="G70"/>
  <c r="G71"/>
  <c r="I38" i="4"/>
  <c r="I8"/>
  <c r="I23"/>
  <c r="I27"/>
  <c r="I31"/>
  <c r="I35"/>
  <c r="J9" i="11"/>
  <c r="J10"/>
  <c r="J17"/>
  <c r="J19"/>
  <c r="I44" i="4"/>
  <c r="I10"/>
  <c r="H44"/>
  <c r="H10"/>
  <c r="H70" i="7"/>
  <c r="H71"/>
  <c r="G79"/>
  <c r="G68"/>
  <c r="G69"/>
  <c r="G38" i="4"/>
  <c r="G8"/>
  <c r="G23"/>
  <c r="G27"/>
  <c r="G31"/>
  <c r="G35"/>
  <c r="H9" i="11"/>
  <c r="H10"/>
  <c r="G36" i="8"/>
  <c r="G41"/>
  <c r="G41" i="4"/>
  <c r="G9"/>
  <c r="G12" i="2"/>
  <c r="G17"/>
  <c r="G44" i="4"/>
  <c r="G10"/>
  <c r="G13" i="2"/>
  <c r="G18"/>
  <c r="G40"/>
</calcChain>
</file>

<file path=xl/comments1.xml><?xml version="1.0" encoding="utf-8"?>
<comments xmlns="http://schemas.openxmlformats.org/spreadsheetml/2006/main">
  <authors>
    <author>Dell</author>
  </authors>
  <commentList>
    <comment ref="G8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G12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Our preliminary calculations suggest that 100,000 houses under the Naya Pakistan Housing Programme can augment the demand for cement and steel by 2.3 million tons (5.8% of the current demand) and 0.29 million tons respectively,” as per Arif Habib Limited’s report titled “Pakistan’s cement sector”.
https://tribune.com.pk/story/2271676/industrial-sector-begins-expansion
"Our base case assumption for cement sales growth is already 7.5pc for FY21", Topline Securities.
https://profit.pakistantoday.com.pk/2020/07/15/demand-for-cement-steel-likely-to-surge-as-govt-aims-to-revive-construction-activity/</t>
        </r>
      </text>
    </comment>
    <comment ref="H12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Pakistan's cement industry is likely to grow at an average rate of five per cent in coming 4-5 years, anticipates by local research house.
https://www.cemnet.com/News/story/168363/pakistan-s-cement-industry-likely-to-grow-at-average-rate-of-5-.html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G30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Arif Habib Ltd (AHL) has reported that the budget proposes to reduce the federal excise duty (FED) on cement by PKR12.50/bag to PKR1.75/kg
https://www.cemnet.com/News/story/169029/federal-budget-fy21-impacts-positively-on-the-cement-industry-in-pakistan.html</t>
        </r>
      </text>
    </comment>
  </commentList>
</comments>
</file>

<file path=xl/comments3.xml><?xml version="1.0" encoding="utf-8"?>
<comments xmlns="http://schemas.openxmlformats.org/spreadsheetml/2006/main">
  <authors>
    <author>Dell</author>
  </authors>
  <commentList>
    <comment ref="G38" authorId="0">
      <text>
        <r>
          <rPr>
            <sz val="10"/>
            <color indexed="81"/>
            <rFont val="Tahoma"/>
            <family val="2"/>
          </rPr>
          <t>Increased in line with inflation.</t>
        </r>
      </text>
    </comment>
    <comment ref="G41" authorId="0">
      <text>
        <r>
          <rPr>
            <sz val="10"/>
            <color indexed="81"/>
            <rFont val="Tahoma"/>
            <family val="2"/>
          </rPr>
          <t>Increased in line with inflation.</t>
        </r>
      </text>
    </comment>
    <comment ref="G45" authorId="0">
      <text>
        <r>
          <rPr>
            <sz val="10"/>
            <color indexed="81"/>
            <rFont val="Tahoma"/>
            <family val="2"/>
          </rPr>
          <t>Energy and gas tariffs will have to be raised substantially (20-25%)
https://www.orfonline.org/expert-speak/7-implications-of-imf-program-for-pakistan-50975/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Electricity bills up by 36% for consumers.
https://www.dawn.com/news/1613732
The Rs5.65 per unit increase would push electricity bill up by 36% for consumers.
https://tribune.com.pk/story/2290384/cabinet-gives-nod-to-rs565-power-tariff-rise</t>
        </r>
      </text>
    </comment>
    <comment ref="B50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https://markets.businessinsider.com/commodities/coal-price
https://www.pacra.com/sector_research/Cement-Mar20_1585660041.pdf</t>
        </r>
      </text>
    </comment>
    <comment ref="F50" authorId="0">
      <text>
        <r>
          <rPr>
            <sz val="10"/>
            <color indexed="81"/>
            <rFont val="Tahoma"/>
            <family val="2"/>
          </rPr>
          <t>In July, 2020 C&amp;F Karachi coal prices were around the US$60 per ton.
https://www.brecorder.com/news/40045709</t>
        </r>
      </text>
    </comment>
    <comment ref="G56" authorId="0">
      <text>
        <r>
          <rPr>
            <sz val="10"/>
            <color indexed="81"/>
            <rFont val="Tahoma"/>
            <family val="2"/>
          </rPr>
          <t>During the last six months, coal prices increased by around 55 percent as compared to coal price prevailing in July 2020.
https://www.brecorder.com/news/40045709</t>
        </r>
      </text>
    </comment>
    <comment ref="G58" authorId="0">
      <text>
        <r>
          <rPr>
            <sz val="10"/>
            <color indexed="81"/>
            <rFont val="Tahoma"/>
            <family val="2"/>
          </rPr>
          <t>Energy and gas tariffs will have to be raised substantially (20-25%)
https://www.orfonline.org/expert-speak/7-implications-of-imf-program-for-pakistan-50975/</t>
        </r>
      </text>
    </comment>
  </commentList>
</comments>
</file>

<file path=xl/comments4.xml><?xml version="1.0" encoding="utf-8"?>
<comments xmlns="http://schemas.openxmlformats.org/spreadsheetml/2006/main">
  <authors>
    <author>Dell</author>
  </authors>
  <commentList>
    <comment ref="F26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Expansion of Line 4 completed</t>
        </r>
      </text>
    </comment>
  </commentList>
</comments>
</file>

<file path=xl/comments5.xml><?xml version="1.0" encoding="utf-8"?>
<comments xmlns="http://schemas.openxmlformats.org/spreadsheetml/2006/main">
  <authors>
    <author>Dell</author>
  </authors>
  <commentList>
    <comment ref="F39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2% of trade debts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https://www.statista.com/statistics/383729/gross-domestic-product-gdp-growth-rate-in-pakistan/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https://www.statista.com/statistics/383729/gross-domestic-product-gdp-growth-rate-in-pakistan/</t>
        </r>
      </text>
    </comment>
    <comment ref="I2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https://walletinvestor.com/forex-forecast/usd-pkr-prediction
https://tradingeconomics.com/pakistan/currency</t>
        </r>
      </text>
    </comment>
    <comment ref="I6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I8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I10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  <comment ref="I12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https://www.statista.com/statistics/383760/inflation-rate-in-pakistan/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https://www.investing.com/rates-bonds/pakistan-10-year-bond-yield</t>
        </r>
      </text>
    </comment>
  </commentList>
</comments>
</file>

<file path=xl/comments8.xml><?xml version="1.0" encoding="utf-8"?>
<comments xmlns="http://schemas.openxmlformats.org/spreadsheetml/2006/main">
  <authors>
    <author>Dell</author>
  </authors>
  <commentList>
    <comment ref="C1" authorId="0">
      <text>
        <r>
          <rPr>
            <b/>
            <sz val="10"/>
            <color indexed="81"/>
            <rFont val="Tahoma"/>
            <family val="2"/>
          </rPr>
          <t>Dell:</t>
        </r>
        <r>
          <rPr>
            <sz val="10"/>
            <color indexed="81"/>
            <rFont val="Tahoma"/>
            <family val="2"/>
          </rPr>
          <t xml:space="preserve">
https://www.x-rates.com/average/?from=USD&amp;to=PKR&amp;amount=1&amp;year=2020</t>
        </r>
      </text>
    </comment>
  </commentList>
</comments>
</file>

<file path=xl/sharedStrings.xml><?xml version="1.0" encoding="utf-8"?>
<sst xmlns="http://schemas.openxmlformats.org/spreadsheetml/2006/main" count="6832" uniqueCount="1732">
  <si>
    <t>Per bag calculations</t>
  </si>
  <si>
    <t>Excise duty per bag</t>
  </si>
  <si>
    <t>Production</t>
  </si>
  <si>
    <t>Overheads</t>
  </si>
  <si>
    <t>Depreciation</t>
  </si>
  <si>
    <t>Total</t>
  </si>
  <si>
    <t>Cost of production</t>
  </si>
  <si>
    <t>Work in process</t>
  </si>
  <si>
    <t>Cost of goods manufactured</t>
  </si>
  <si>
    <t>Finished goods</t>
  </si>
  <si>
    <t>Cost of goods sold</t>
  </si>
  <si>
    <t>Local sales</t>
  </si>
  <si>
    <t>Export sales</t>
  </si>
  <si>
    <t xml:space="preserve">Gross Sales </t>
  </si>
  <si>
    <t xml:space="preserve">less: Sales tax </t>
  </si>
  <si>
    <t>Federal Excise Duty</t>
  </si>
  <si>
    <t>Discount / rebate / commission</t>
  </si>
  <si>
    <t>Sales during test runs - capitalised during the period - net</t>
  </si>
  <si>
    <t xml:space="preserve">Net sales </t>
  </si>
  <si>
    <t>Local dispatches (tons)</t>
  </si>
  <si>
    <t>Export dispatches (tons)</t>
  </si>
  <si>
    <t xml:space="preserve">Total Dispatches </t>
  </si>
  <si>
    <t>Local price (per ton)</t>
  </si>
  <si>
    <t>Local price (per bag)</t>
  </si>
  <si>
    <t>Export price Rs (per ton)</t>
  </si>
  <si>
    <t>Export price US$ (per ton)</t>
  </si>
  <si>
    <t xml:space="preserve">Exchange rate </t>
  </si>
  <si>
    <t xml:space="preserve">Sales tax as % of local sales </t>
  </si>
  <si>
    <t xml:space="preserve">Federal Excise Duty as % of local sales </t>
  </si>
  <si>
    <t xml:space="preserve">FED per ton </t>
  </si>
  <si>
    <t xml:space="preserve">% change in FED </t>
  </si>
  <si>
    <t xml:space="preserve">Discount / rebate / commission as % of gross sales </t>
  </si>
  <si>
    <t>Raw materials consumed</t>
  </si>
  <si>
    <t>Packing materials consumed</t>
  </si>
  <si>
    <t>Power and fuel</t>
  </si>
  <si>
    <t>Coal unloading and feeding charges</t>
  </si>
  <si>
    <t>Stores and spares consumed</t>
  </si>
  <si>
    <t>Salaries, wages and other benefits</t>
  </si>
  <si>
    <t>Royalty and excise duty</t>
  </si>
  <si>
    <t>Rent, rates and taxes</t>
  </si>
  <si>
    <t>Repairs and maintenance</t>
  </si>
  <si>
    <t>Insurance</t>
  </si>
  <si>
    <t>Loading and freight charges</t>
  </si>
  <si>
    <t>Other expenses</t>
  </si>
  <si>
    <t>At beginning of the year</t>
  </si>
  <si>
    <t>At end of the year</t>
  </si>
  <si>
    <t>Less: Cost attributable to own cement consumption</t>
  </si>
  <si>
    <t>Less: Cost pertaining to test run sales - capitalised</t>
  </si>
  <si>
    <t xml:space="preserve">Cost of sales </t>
  </si>
  <si>
    <t xml:space="preserve">cost per ton </t>
  </si>
  <si>
    <t xml:space="preserve">Raw materials consumed per ton </t>
  </si>
  <si>
    <t xml:space="preserve">Raw materials per ton - trend </t>
  </si>
  <si>
    <t xml:space="preserve">Packing materials consumed per ton </t>
  </si>
  <si>
    <t xml:space="preserve">Packing materials per ton - trend </t>
  </si>
  <si>
    <t xml:space="preserve">Power and fuel per ton </t>
  </si>
  <si>
    <t xml:space="preserve">Power and fuel per ton - trend </t>
  </si>
  <si>
    <t xml:space="preserve">  </t>
  </si>
  <si>
    <t>Coal prices per ton (USD)</t>
  </si>
  <si>
    <t xml:space="preserve">Avg exchange rate </t>
  </si>
  <si>
    <t>Coal price per ton (Rs)</t>
  </si>
  <si>
    <t xml:space="preserve">Coal price (Rs) - trend </t>
  </si>
  <si>
    <t xml:space="preserve">Weightage of coal </t>
  </si>
  <si>
    <t xml:space="preserve">Expected incease in coal prices </t>
  </si>
  <si>
    <t xml:space="preserve">Weightage of gas  </t>
  </si>
  <si>
    <t xml:space="preserve">Expected incease in gas price </t>
  </si>
  <si>
    <t xml:space="preserve">Weighted average </t>
  </si>
  <si>
    <t xml:space="preserve">YoY Trend </t>
  </si>
  <si>
    <t xml:space="preserve">Rate of inflation </t>
  </si>
  <si>
    <t xml:space="preserve">Average exchange rate </t>
  </si>
  <si>
    <t xml:space="preserve">Local growth rate </t>
  </si>
  <si>
    <t xml:space="preserve">Export growth rate </t>
  </si>
  <si>
    <t xml:space="preserve">Total growth rate </t>
  </si>
  <si>
    <t xml:space="preserve">Price </t>
  </si>
  <si>
    <t xml:space="preserve">Local sales price per ton </t>
  </si>
  <si>
    <t>% change in local sales price (gross)</t>
  </si>
  <si>
    <t xml:space="preserve">Export sales price per ton </t>
  </si>
  <si>
    <t>% change in export sales price (gross)</t>
  </si>
  <si>
    <t xml:space="preserve">Federal excise duty as % local sales </t>
  </si>
  <si>
    <t>Clinker annual capacity (tons)</t>
  </si>
  <si>
    <t>Actual production (tons)</t>
  </si>
  <si>
    <t xml:space="preserve">Cement annual capacity (tons) </t>
  </si>
  <si>
    <t>Capacity utilization (production)</t>
  </si>
  <si>
    <t>Capacity utilization (local sales)</t>
  </si>
  <si>
    <t>Taxation</t>
  </si>
  <si>
    <t>Current liabilities</t>
  </si>
  <si>
    <t>Trade creditors - local as % of COGM</t>
  </si>
  <si>
    <t>Trade creditors - imports as % of COGM</t>
  </si>
  <si>
    <t>Contractors’ bills payable as % of COGM</t>
  </si>
  <si>
    <t xml:space="preserve">Markup on LTF = finance schedule </t>
  </si>
  <si>
    <t xml:space="preserve">Accrued LTF markup as % of LTF markup </t>
  </si>
  <si>
    <t xml:space="preserve">Non-current assets </t>
  </si>
  <si>
    <t>Current assets</t>
  </si>
  <si>
    <t xml:space="preserve">Advances, deposits, prepayments and other receivables as % of sales </t>
  </si>
  <si>
    <t xml:space="preserve">Raw materials cost Rs/ton </t>
  </si>
  <si>
    <t xml:space="preserve">Packing materials cost Rs/ton </t>
  </si>
  <si>
    <t xml:space="preserve">Power and fuel cost Rs/ton </t>
  </si>
  <si>
    <t xml:space="preserve">Federal excise duty Rs/ton </t>
  </si>
  <si>
    <t xml:space="preserve">Sales tax Rs/ton </t>
  </si>
  <si>
    <t xml:space="preserve">Net price </t>
  </si>
  <si>
    <t xml:space="preserve">Pretax costs </t>
  </si>
  <si>
    <t xml:space="preserve">Tax included on costs </t>
  </si>
  <si>
    <t xml:space="preserve">GST on selling price </t>
  </si>
  <si>
    <t xml:space="preserve">Tax deduction from selling price </t>
  </si>
  <si>
    <t>Local sales price per bag</t>
  </si>
  <si>
    <t>Export sales price per bag</t>
  </si>
  <si>
    <t>sales tax per bag</t>
  </si>
  <si>
    <t>Retention price per bag (local)</t>
  </si>
  <si>
    <t xml:space="preserve">Raw materials cost per bag </t>
  </si>
  <si>
    <t xml:space="preserve">Packing materials cost per bag </t>
  </si>
  <si>
    <t xml:space="preserve">Power and fuel cost per bag </t>
  </si>
  <si>
    <t>Selling and distribution expenses</t>
  </si>
  <si>
    <t>Vehicle running</t>
  </si>
  <si>
    <t>Travelling and conveyance</t>
  </si>
  <si>
    <t>Printing and Stationary</t>
  </si>
  <si>
    <t>Postage, telephone and telegrams</t>
  </si>
  <si>
    <t>Entertainment</t>
  </si>
  <si>
    <t>Electricity, water and gas</t>
  </si>
  <si>
    <t>Sales promotion</t>
  </si>
  <si>
    <t xml:space="preserve">Cement loading charges </t>
  </si>
  <si>
    <t>Freight and handling charges on sales</t>
  </si>
  <si>
    <t>Miscellaneous</t>
  </si>
  <si>
    <t>Administrative and general expenses</t>
  </si>
  <si>
    <t>Printing and stationary</t>
  </si>
  <si>
    <t>Legal and professional</t>
  </si>
  <si>
    <t xml:space="preserve">Auditors’ remuneration </t>
  </si>
  <si>
    <t>Amortization</t>
  </si>
  <si>
    <t>Advertisement</t>
  </si>
  <si>
    <t xml:space="preserve">Asset Schedule </t>
  </si>
  <si>
    <t xml:space="preserve">Beginning cost </t>
  </si>
  <si>
    <t xml:space="preserve">Additions/transfers </t>
  </si>
  <si>
    <t xml:space="preserve">Disposals </t>
  </si>
  <si>
    <t>Ending cost</t>
  </si>
  <si>
    <t xml:space="preserve">Depreciation Schedule </t>
  </si>
  <si>
    <t xml:space="preserve">Beginning balance </t>
  </si>
  <si>
    <t>Charge for the year</t>
  </si>
  <si>
    <t xml:space="preserve">Depreciation on disposals </t>
  </si>
  <si>
    <t xml:space="preserve">Ending balance </t>
  </si>
  <si>
    <t xml:space="preserve">Net Book Value </t>
  </si>
  <si>
    <t xml:space="preserve">Depreciation rate </t>
  </si>
  <si>
    <t xml:space="preserve">Capex </t>
  </si>
  <si>
    <t>Additions YoY trend</t>
  </si>
  <si>
    <t>Disposals YoY trend</t>
  </si>
  <si>
    <t xml:space="preserve">Disposal dep as % of disposals </t>
  </si>
  <si>
    <t>Depreciation charge allocation</t>
  </si>
  <si>
    <t>Intangible assets</t>
  </si>
  <si>
    <t>Opening balance</t>
  </si>
  <si>
    <t>Additions during the year</t>
  </si>
  <si>
    <t>Less: Amortization for the year</t>
  </si>
  <si>
    <t>Closing balance</t>
  </si>
  <si>
    <t>Cost</t>
  </si>
  <si>
    <t>Less: Accumulated amortization</t>
  </si>
  <si>
    <t xml:space="preserve">Closing balance </t>
  </si>
  <si>
    <t>Amortization rate (as per financial statements)</t>
  </si>
  <si>
    <t>Amortization rate (as per calculation)</t>
  </si>
  <si>
    <t xml:space="preserve">Additions YoY trend </t>
  </si>
  <si>
    <t>Share capital</t>
  </si>
  <si>
    <t>Authorized share capital</t>
  </si>
  <si>
    <t>Ordinary shares of Rs. 10 each</t>
  </si>
  <si>
    <t>Issued, subscribed and paid-up capital</t>
  </si>
  <si>
    <t>shares fully  paid-up in cash</t>
  </si>
  <si>
    <t>shares issued for consideration other than cash</t>
  </si>
  <si>
    <t>fully paid bonus shares</t>
  </si>
  <si>
    <t>Reserves</t>
  </si>
  <si>
    <t xml:space="preserve">Capital reserves </t>
  </si>
  <si>
    <t xml:space="preserve"> share premium</t>
  </si>
  <si>
    <t xml:space="preserve"> fair value reserve</t>
  </si>
  <si>
    <t xml:space="preserve">Revenue reserve </t>
  </si>
  <si>
    <t xml:space="preserve"> general  reserves</t>
  </si>
  <si>
    <t>Non-current liabilities</t>
  </si>
  <si>
    <t>Long term finances - secured</t>
  </si>
  <si>
    <t>Syndicated term finance - (“STF WHR”)</t>
  </si>
  <si>
    <t xml:space="preserve">  Askari Bank Limited</t>
  </si>
  <si>
    <t xml:space="preserve">  The Bank of Punjab</t>
  </si>
  <si>
    <t xml:space="preserve">Less: Current maturity </t>
  </si>
  <si>
    <t>Term finance - Line-4 (Conventional)</t>
  </si>
  <si>
    <t>The Bank of Punjab</t>
  </si>
  <si>
    <t>Habib Bank Limited</t>
  </si>
  <si>
    <t>Less: Transaction cost</t>
  </si>
  <si>
    <t>Term finance - RFWS Scheme</t>
  </si>
  <si>
    <t>Less: Current maturity</t>
  </si>
  <si>
    <t>Transaction cost</t>
  </si>
  <si>
    <t>At the beginning of the year</t>
  </si>
  <si>
    <t>Incurred during the year</t>
  </si>
  <si>
    <t>Amortized during the year</t>
  </si>
  <si>
    <t>At the end of the year</t>
  </si>
  <si>
    <t>Long term deposits and retention money</t>
  </si>
  <si>
    <t>Long term deposits</t>
  </si>
  <si>
    <t>Retention money - at amortised cost</t>
  </si>
  <si>
    <t>Deferred liabilities</t>
  </si>
  <si>
    <t xml:space="preserve"> deferred taxation</t>
  </si>
  <si>
    <t>Compensated absences</t>
  </si>
  <si>
    <t>Expense recognized during the year</t>
  </si>
  <si>
    <t>Less: Payments made during the year</t>
  </si>
  <si>
    <t>Trade and other payables</t>
  </si>
  <si>
    <t>Trade creditors - local</t>
  </si>
  <si>
    <t>Trade creditors - imports</t>
  </si>
  <si>
    <t>Contractors’ bills payable</t>
  </si>
  <si>
    <t xml:space="preserve">Accrued liabilities </t>
  </si>
  <si>
    <t>Advances from customers</t>
  </si>
  <si>
    <t>Payable to Workers’ Profit Participation Fund</t>
  </si>
  <si>
    <t>Payable to Workers’ Welfare Fund</t>
  </si>
  <si>
    <t>Payable to Provident Fund Trust</t>
  </si>
  <si>
    <t xml:space="preserve">Payable to Government on account of: </t>
  </si>
  <si>
    <t>Income Tax deducted at source</t>
  </si>
  <si>
    <t>Sales Tax</t>
  </si>
  <si>
    <t xml:space="preserve">Royalty and Excise Duty  </t>
  </si>
  <si>
    <t>Retention money payable</t>
  </si>
  <si>
    <t>Security deposits</t>
  </si>
  <si>
    <t>Other payables</t>
  </si>
  <si>
    <t>Workers’ Profit Participation Fund (“WPPF”)</t>
  </si>
  <si>
    <t>(Reversal) / allocation for the year</t>
  </si>
  <si>
    <t>Less: Paid during the year</t>
  </si>
  <si>
    <t xml:space="preserve">WPPF paid as % of balance </t>
  </si>
  <si>
    <t xml:space="preserve">Workers’ Welfare Fund </t>
  </si>
  <si>
    <t xml:space="preserve">WWF paid as % of balance </t>
  </si>
  <si>
    <t xml:space="preserve">Contract liability </t>
  </si>
  <si>
    <t>Advance from customers</t>
  </si>
  <si>
    <t>Unclaimed dividend</t>
  </si>
  <si>
    <t>Dividend payable</t>
  </si>
  <si>
    <t xml:space="preserve">Dividend withheld on account of: </t>
  </si>
  <si>
    <t xml:space="preserve"> court order</t>
  </si>
  <si>
    <t xml:space="preserve"> non provision of CNIC</t>
  </si>
  <si>
    <t xml:space="preserve"> non provision of Bank details</t>
  </si>
  <si>
    <t>Provision for taxation - net</t>
  </si>
  <si>
    <t>Short term borrowings - secured</t>
  </si>
  <si>
    <t>Mark-up based borrowings from conventional banks:</t>
  </si>
  <si>
    <t xml:space="preserve">Export refinances </t>
  </si>
  <si>
    <t>Finance against trust receipts</t>
  </si>
  <si>
    <t>Mark-up accrued on borrowings</t>
  </si>
  <si>
    <t>Mark-up based borrowings:</t>
  </si>
  <si>
    <t>Long term financing - secured</t>
  </si>
  <si>
    <t xml:space="preserve">Long term financing - secured as % of finance cost </t>
  </si>
  <si>
    <t>ASSETS</t>
  </si>
  <si>
    <t>Non current assets</t>
  </si>
  <si>
    <t>Property, plant and equipment</t>
  </si>
  <si>
    <t>Operating fixed assets</t>
  </si>
  <si>
    <t>Capital work in progress</t>
  </si>
  <si>
    <t xml:space="preserve"> Capital work in progress</t>
  </si>
  <si>
    <t xml:space="preserve">    Opening Balance </t>
  </si>
  <si>
    <t xml:space="preserve">    Additions during the year</t>
  </si>
  <si>
    <t xml:space="preserve">    Transfers during the year</t>
  </si>
  <si>
    <t xml:space="preserve">    Closing balance</t>
  </si>
  <si>
    <t>Long term loans and advances</t>
  </si>
  <si>
    <t xml:space="preserve">Long term deposits as % of COGM </t>
  </si>
  <si>
    <t>Investment property</t>
  </si>
  <si>
    <t>Balance at the beginning of the year</t>
  </si>
  <si>
    <t xml:space="preserve">Transfers from property, plant and equipment </t>
  </si>
  <si>
    <t>Stores, spares and loose tools</t>
  </si>
  <si>
    <t>Stores</t>
  </si>
  <si>
    <t>Spares</t>
  </si>
  <si>
    <t>Loose Tools</t>
  </si>
  <si>
    <t>Stores, spares and loose tools as % of sales</t>
  </si>
  <si>
    <t>Stock in trade</t>
  </si>
  <si>
    <t>Raw materials</t>
  </si>
  <si>
    <t>Packing materials</t>
  </si>
  <si>
    <t>Raw materials as % of raw materials consumed</t>
  </si>
  <si>
    <t xml:space="preserve">Packing materials as % of packing materials consumed </t>
  </si>
  <si>
    <t xml:space="preserve">Work in process as % of cost of production </t>
  </si>
  <si>
    <t>Finished goods as % of cost of goods manufactured</t>
  </si>
  <si>
    <t>Trade debts</t>
  </si>
  <si>
    <t>Trade debts - unsecured, considered good</t>
  </si>
  <si>
    <t>Provision for loss allowance against trade debts</t>
  </si>
  <si>
    <t>Trade debts as % of sales</t>
  </si>
  <si>
    <t>Movement in provision against trade debts</t>
  </si>
  <si>
    <t>Balance as of July 01</t>
  </si>
  <si>
    <t>Provision during the year</t>
  </si>
  <si>
    <t>Closing balance as at 30 June</t>
  </si>
  <si>
    <t xml:space="preserve">Provision as % of trade debts </t>
  </si>
  <si>
    <t>Short term investments</t>
  </si>
  <si>
    <t>Advances, deposits, prepayments and other receivables</t>
  </si>
  <si>
    <t>Advance income tax - net</t>
  </si>
  <si>
    <t>Cash and bank balances</t>
  </si>
  <si>
    <t xml:space="preserve">Cash and bank balances as % of current assets </t>
  </si>
  <si>
    <t>Other income</t>
  </si>
  <si>
    <t>Income from financial assets - Conventional:</t>
  </si>
  <si>
    <t>Interest on bank deposits and investments</t>
  </si>
  <si>
    <t>Profit on SNGPL loan</t>
  </si>
  <si>
    <t>Unrealized gain on held for trading investments</t>
  </si>
  <si>
    <t>Realized gain on investments at FVTPL</t>
  </si>
  <si>
    <t>Realized gain on held for trading investments</t>
  </si>
  <si>
    <t>Foreign currency exchange gain - net</t>
  </si>
  <si>
    <t>Interest on employees’ loans</t>
  </si>
  <si>
    <t>Income from financial assets - Shariah compliant:</t>
  </si>
  <si>
    <t>Profit on bank deposits and investments</t>
  </si>
  <si>
    <t>Net change in fair value of financial assets held for trading</t>
  </si>
  <si>
    <t>Net change in fair value of financial assets at FVTPL</t>
  </si>
  <si>
    <t>Realized gain on investment at FVTPL</t>
  </si>
  <si>
    <t>Bonus units received from investment in mutual funds</t>
  </si>
  <si>
    <t>Gain on sale of investment in Gharibwal Cement Limited</t>
  </si>
  <si>
    <t>Dividend received from investment in mutual funds</t>
  </si>
  <si>
    <t>Income from non-financial assets</t>
  </si>
  <si>
    <t>Income from sale of scrap</t>
  </si>
  <si>
    <t>Gain on disposal of property, plant and equipment</t>
  </si>
  <si>
    <t>Miscellaneous income</t>
  </si>
  <si>
    <t>Liabilities no longer payable written back</t>
  </si>
  <si>
    <t>Workers’ Profit Participation Fund</t>
  </si>
  <si>
    <t>Workers’ Welfare Fund</t>
  </si>
  <si>
    <t xml:space="preserve">Donations </t>
  </si>
  <si>
    <t>Exchange loss - net</t>
  </si>
  <si>
    <t>Loss on disposal / retirement of property, plant and equipment</t>
  </si>
  <si>
    <t xml:space="preserve">Workers’ Profit Participation Fund as % of GP </t>
  </si>
  <si>
    <t>Finance cost</t>
  </si>
  <si>
    <t>Mark-up on conventional finances:</t>
  </si>
  <si>
    <t>Short term borrowings- secured</t>
  </si>
  <si>
    <t>Long term finances-secured</t>
  </si>
  <si>
    <t>Bank charges, commission and others</t>
  </si>
  <si>
    <t>Default surcharge</t>
  </si>
  <si>
    <t>Unwinding of long term retention money</t>
  </si>
  <si>
    <t xml:space="preserve">Taxation </t>
  </si>
  <si>
    <t>- Current</t>
  </si>
  <si>
    <t>- prior</t>
  </si>
  <si>
    <t>- Deferred</t>
  </si>
  <si>
    <t>Note</t>
  </si>
  <si>
    <t>Sales - net</t>
  </si>
  <si>
    <t>Cost of sales</t>
  </si>
  <si>
    <t>Gross (loss)/profit</t>
  </si>
  <si>
    <t>Operating (loss)/profit</t>
  </si>
  <si>
    <t>(Loss)/Profit before taxation</t>
  </si>
  <si>
    <t>(Loss)/Profit after taxation</t>
  </si>
  <si>
    <t>EQUITY AND LIABILITIES</t>
  </si>
  <si>
    <t>Issued, subscribed and paid up capital</t>
  </si>
  <si>
    <t>Accumulated profits</t>
  </si>
  <si>
    <t>Long-term financing - secured</t>
  </si>
  <si>
    <t>Long-term deposits and retention money</t>
  </si>
  <si>
    <t>compensated absences</t>
  </si>
  <si>
    <t>Current portion of long-term financing</t>
  </si>
  <si>
    <t>Short-term borrowings - secured</t>
  </si>
  <si>
    <t>Non-Current Assets</t>
  </si>
  <si>
    <t>Intangibles</t>
  </si>
  <si>
    <t>Current Assets</t>
  </si>
  <si>
    <t>Stocks, spares and loose tools</t>
  </si>
  <si>
    <t>Stock-in-trade</t>
  </si>
  <si>
    <t>Advances, deposits and prepayments and other receivables</t>
  </si>
  <si>
    <t>CASH GENERATED FROM OPERATIONS</t>
  </si>
  <si>
    <t>Profit before taxation</t>
  </si>
  <si>
    <t>Adjustments for non cash charges and other items:</t>
  </si>
  <si>
    <t>Amortization of intangible assets</t>
  </si>
  <si>
    <t>Provision for doubtful debts</t>
  </si>
  <si>
    <t>Income from deposits with Islamic banks</t>
  </si>
  <si>
    <t>Dividend income from subsidiary</t>
  </si>
  <si>
    <t>-</t>
  </si>
  <si>
    <t>Dividend income from associate</t>
  </si>
  <si>
    <t>Dividend income from mutual fund</t>
  </si>
  <si>
    <t>Provision for staff gratuity</t>
  </si>
  <si>
    <t>loss on sale of investments in term finance certificates/mutual funds</t>
  </si>
  <si>
    <t>Profit before working capital changes</t>
  </si>
  <si>
    <t>(Increase) / decrease in current assets</t>
  </si>
  <si>
    <t>Stores and spares</t>
  </si>
  <si>
    <t>Loans and advances</t>
  </si>
  <si>
    <t>Trade deposits and short-term prepayments</t>
  </si>
  <si>
    <t>Other receivables</t>
  </si>
  <si>
    <t>(Decrease) / Increase in current liabilities</t>
  </si>
  <si>
    <t>CASH FLOWS FROM OPERATING ACTIVITIES</t>
  </si>
  <si>
    <t>(Direct method)</t>
  </si>
  <si>
    <t>Collections from customers</t>
  </si>
  <si>
    <t>Receipts of other income</t>
  </si>
  <si>
    <t>Payments to suppliers and service providers</t>
  </si>
  <si>
    <t>Payments to employees</t>
  </si>
  <si>
    <t>Payments relating to income taxes</t>
  </si>
  <si>
    <t>Payments relating to post retirement benefits - net</t>
  </si>
  <si>
    <t>Payment of mark-up</t>
  </si>
  <si>
    <t>Payments relating to indirect taxes</t>
  </si>
  <si>
    <t>Net cash generated from operating activities</t>
  </si>
  <si>
    <t>CASH AND CASH EQUIVALENTS</t>
  </si>
  <si>
    <t>Bank balance marked as lien</t>
  </si>
  <si>
    <t>Short term borrowing</t>
  </si>
  <si>
    <t>INTANGIBLE ASSETS</t>
  </si>
  <si>
    <t>Goodwill and trade mark</t>
  </si>
  <si>
    <t>Accumulated amortisation</t>
  </si>
  <si>
    <t>Net book value</t>
  </si>
  <si>
    <t>Additions</t>
  </si>
  <si>
    <t>Amortisation for the year</t>
  </si>
  <si>
    <t>Net book value as at June 30</t>
  </si>
  <si>
    <t>Computer software</t>
  </si>
  <si>
    <t>FINANCE COST AND BANK CHARGES</t>
  </si>
  <si>
    <t xml:space="preserve">Markup on short term borrowings </t>
  </si>
  <si>
    <t>Based on average</t>
  </si>
  <si>
    <t>Guarantee commission</t>
  </si>
  <si>
    <t>Bank commission and other charges</t>
  </si>
  <si>
    <t>Symbol</t>
  </si>
  <si>
    <t>Date</t>
  </si>
  <si>
    <t>Open</t>
  </si>
  <si>
    <t>High</t>
  </si>
  <si>
    <t>Low</t>
  </si>
  <si>
    <t>Close</t>
  </si>
  <si>
    <t>Volume</t>
  </si>
  <si>
    <t>COLG</t>
  </si>
  <si>
    <t>Stock closing price</t>
  </si>
  <si>
    <t>KSE-100</t>
  </si>
  <si>
    <t>Stock Return</t>
  </si>
  <si>
    <t>Market return</t>
  </si>
  <si>
    <t>Daily PIB</t>
  </si>
  <si>
    <t>Excess Return Stock</t>
  </si>
  <si>
    <t>Excess Return Market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</si>
  <si>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</si>
  <si>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</si>
  <si>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</si>
  <si>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</si>
  <si>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</si>
  <si>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</si>
  <si>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</si>
  <si>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</si>
  <si>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</si>
  <si>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</si>
  <si>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</si>
  <si>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</si>
  <si>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</si>
  <si>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</si>
  <si>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</si>
  <si>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</si>
  <si>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</si>
  <si>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</si>
  <si>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</si>
  <si>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</si>
  <si>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</si>
  <si>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</si>
  <si>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</si>
  <si>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Projected</t>
  </si>
  <si>
    <t>Net Income</t>
  </si>
  <si>
    <t>Add: Interest Exp (1-Tax)</t>
  </si>
  <si>
    <t>Add: Depreciation</t>
  </si>
  <si>
    <t>Less: Investment in Working Capital</t>
  </si>
  <si>
    <t>Less: Investment in Fixed Capital</t>
  </si>
  <si>
    <t>Free Cash Flow to Firm (FCFF)</t>
  </si>
  <si>
    <t>Less: Interest Exp (1-Tax)</t>
  </si>
  <si>
    <t>Free Cash Flow to Equity (FCFE)</t>
  </si>
  <si>
    <t>Beta</t>
  </si>
  <si>
    <t>=</t>
  </si>
  <si>
    <t>10 Year PIB</t>
  </si>
  <si>
    <t>Annual Market Return</t>
  </si>
  <si>
    <r>
      <t>K</t>
    </r>
    <r>
      <rPr>
        <sz val="8"/>
        <color theme="1"/>
        <rFont val="Calibri"/>
        <family val="2"/>
        <scheme val="minor"/>
      </rPr>
      <t>e</t>
    </r>
  </si>
  <si>
    <t>Retention Ratio</t>
  </si>
  <si>
    <t>ROCE</t>
  </si>
  <si>
    <t>Growth Rate</t>
  </si>
  <si>
    <t>Period</t>
  </si>
  <si>
    <t>Discount Factor</t>
  </si>
  <si>
    <t>PV of FCFE</t>
  </si>
  <si>
    <t>Terminal Value</t>
  </si>
  <si>
    <t>Present Value of Future Cashflows</t>
  </si>
  <si>
    <t>Cash</t>
  </si>
  <si>
    <t>Firm Value as at 30 June 2018</t>
  </si>
  <si>
    <t>Outstanding Shares</t>
  </si>
  <si>
    <t>FCFE per Share</t>
  </si>
  <si>
    <t>Current Share Price</t>
  </si>
  <si>
    <t>Decision</t>
  </si>
  <si>
    <t>Short sell</t>
  </si>
  <si>
    <t>Years</t>
  </si>
  <si>
    <t>Local Turnover</t>
  </si>
  <si>
    <t>Assumptions</t>
  </si>
  <si>
    <t>Annual GDP Growth Rate</t>
  </si>
  <si>
    <t>Inflation Annual Rate</t>
  </si>
  <si>
    <t>Salaries and wages</t>
  </si>
  <si>
    <t>COST OF SALES</t>
  </si>
  <si>
    <t>SELLING AND DISTRIBUTION</t>
  </si>
  <si>
    <t>ADMINISTRATIVE</t>
  </si>
  <si>
    <t>Cost of Sales</t>
  </si>
  <si>
    <t>Selling and distribution</t>
  </si>
  <si>
    <t>Administrative expense</t>
  </si>
  <si>
    <t>Net Turnover</t>
  </si>
  <si>
    <t>Exchange rate growth</t>
  </si>
  <si>
    <t>POWER AND FUEL</t>
  </si>
  <si>
    <t>Purchases of Trading goods</t>
  </si>
  <si>
    <t>Gross Sales</t>
  </si>
  <si>
    <t>PURCHASES</t>
  </si>
  <si>
    <t>Purchases of raw material</t>
  </si>
  <si>
    <t>RM PURCHASES</t>
  </si>
  <si>
    <t>Purchases of Packing Material</t>
  </si>
  <si>
    <t>PM PURCHASES</t>
  </si>
  <si>
    <t>Purchases of Stores and Spares</t>
  </si>
  <si>
    <t>STORES AND SPARES</t>
  </si>
  <si>
    <t>HISTORICAL</t>
  </si>
  <si>
    <t>PROJECTED</t>
  </si>
  <si>
    <t>COLGATE-PALMOLIVE PAKISTAN LIMITED</t>
  </si>
  <si>
    <t xml:space="preserve">Month </t>
  </si>
  <si>
    <t xml:space="preserve">Rate </t>
  </si>
  <si>
    <t xml:space="preserve">Average </t>
  </si>
  <si>
    <t xml:space="preserve">Symbol </t>
  </si>
  <si>
    <t>Price</t>
  </si>
  <si>
    <t>Returns</t>
  </si>
  <si>
    <t>KSE 100</t>
  </si>
  <si>
    <t>Jul 01, 2015</t>
  </si>
  <si>
    <t>Jul 02, 2015</t>
  </si>
  <si>
    <t>Jul 03, 2015</t>
  </si>
  <si>
    <t>Jul 06, 2015</t>
  </si>
  <si>
    <t>Jul 07, 2015</t>
  </si>
  <si>
    <t>Jul 08, 2015</t>
  </si>
  <si>
    <t>Jul 09, 2015</t>
  </si>
  <si>
    <t>Jul 10, 2015</t>
  </si>
  <si>
    <t>Jul 13, 2015</t>
  </si>
  <si>
    <t>Jul 14, 2015</t>
  </si>
  <si>
    <t>Jul 15, 2015</t>
  </si>
  <si>
    <t>Jul 16, 2015</t>
  </si>
  <si>
    <t>Jul 22, 2015</t>
  </si>
  <si>
    <t>Jul 23, 2015</t>
  </si>
  <si>
    <t>Jul 24, 2015</t>
  </si>
  <si>
    <t>Jul 27, 2015</t>
  </si>
  <si>
    <t>Jul 28, 2015</t>
  </si>
  <si>
    <t>Jul 29, 2015</t>
  </si>
  <si>
    <t>Jul 30, 2015</t>
  </si>
  <si>
    <t>Jul 31, 2015</t>
  </si>
  <si>
    <t>Aug 03, 2015</t>
  </si>
  <si>
    <t>Aug 04, 2015</t>
  </si>
  <si>
    <t>Aug 05, 2015</t>
  </si>
  <si>
    <t>Aug 06, 2015</t>
  </si>
  <si>
    <t>Aug 07, 2015</t>
  </si>
  <si>
    <t>Aug 10, 2015</t>
  </si>
  <si>
    <t>Aug 11, 2015</t>
  </si>
  <si>
    <t>Aug 12, 2015</t>
  </si>
  <si>
    <t>Aug 13, 2015</t>
  </si>
  <si>
    <t>Aug 17, 2015</t>
  </si>
  <si>
    <t>Aug 18, 2015</t>
  </si>
  <si>
    <t>Aug 19, 2015</t>
  </si>
  <si>
    <t>Aug 20, 2015</t>
  </si>
  <si>
    <t>Aug 21, 2015</t>
  </si>
  <si>
    <t>Aug 24, 2015</t>
  </si>
  <si>
    <t>Aug 25, 2015</t>
  </si>
  <si>
    <t>Aug 26, 2015</t>
  </si>
  <si>
    <t>Aug 27, 2015</t>
  </si>
  <si>
    <t>Aug 28, 2015</t>
  </si>
  <si>
    <t>Aug 31, 2015</t>
  </si>
  <si>
    <t>Sep 01, 2015</t>
  </si>
  <si>
    <t>Sep 02, 2015</t>
  </si>
  <si>
    <t>Sep 03, 2015</t>
  </si>
  <si>
    <t>Sep 04, 2015</t>
  </si>
  <si>
    <t>Sep 07, 2015</t>
  </si>
  <si>
    <t>Sep 08, 2015</t>
  </si>
  <si>
    <t>Sep 09, 2015</t>
  </si>
  <si>
    <t>Sep 10, 2015</t>
  </si>
  <si>
    <t>Sep 11, 2015</t>
  </si>
  <si>
    <t>Sep 14, 2015</t>
  </si>
  <si>
    <t>Sep 15, 2015</t>
  </si>
  <si>
    <t>Sep 16, 2015</t>
  </si>
  <si>
    <t>Sep 17, 2015</t>
  </si>
  <si>
    <t>Sep 18, 2015</t>
  </si>
  <si>
    <t>Sep 21, 2015</t>
  </si>
  <si>
    <t>Sep 22, 2015</t>
  </si>
  <si>
    <t>Sep 23, 2015</t>
  </si>
  <si>
    <t>Sep 28, 2015</t>
  </si>
  <si>
    <t>Sep 29, 2015</t>
  </si>
  <si>
    <t>Sep 30, 2015</t>
  </si>
  <si>
    <t>Oct 01, 2015</t>
  </si>
  <si>
    <t>Oct 02, 2015</t>
  </si>
  <si>
    <t>Oct 05, 2015</t>
  </si>
  <si>
    <t>Oct 06, 2015</t>
  </si>
  <si>
    <t>Oct 07, 2015</t>
  </si>
  <si>
    <t>Oct 08, 2015</t>
  </si>
  <si>
    <t>Oct 09, 2015</t>
  </si>
  <si>
    <t>Oct 12, 2015</t>
  </si>
  <si>
    <t>Oct 13, 2015</t>
  </si>
  <si>
    <t>Oct 14, 2015</t>
  </si>
  <si>
    <t>Oct 15, 2015</t>
  </si>
  <si>
    <t>Oct 16, 2015</t>
  </si>
  <si>
    <t>Oct 19, 2015</t>
  </si>
  <si>
    <t>Oct 20, 2015</t>
  </si>
  <si>
    <t>Oct 21, 2015</t>
  </si>
  <si>
    <t>Oct 22, 2015</t>
  </si>
  <si>
    <t>Oct 26, 2015</t>
  </si>
  <si>
    <t>Oct 27, 2015</t>
  </si>
  <si>
    <t>https://longforecast.com/usd-to-pkr-forecast</t>
  </si>
  <si>
    <t>Oct 28, 2015</t>
  </si>
  <si>
    <t>Oct 29, 2015</t>
  </si>
  <si>
    <t>Oct 30, 2015</t>
  </si>
  <si>
    <t>Nov 02, 2015</t>
  </si>
  <si>
    <t>Nov 03, 2015</t>
  </si>
  <si>
    <t>Nov 04, 2015</t>
  </si>
  <si>
    <t>Nov 05, 2015</t>
  </si>
  <si>
    <t>Nov 06, 2015</t>
  </si>
  <si>
    <t>Nov 09, 2015</t>
  </si>
  <si>
    <t>Nov 10, 2015</t>
  </si>
  <si>
    <t>Nov 11, 2015</t>
  </si>
  <si>
    <t>Nov 12, 2015</t>
  </si>
  <si>
    <t>Nov 13, 2015</t>
  </si>
  <si>
    <t>Nov 16, 2015</t>
  </si>
  <si>
    <t>Nov 17, 2015</t>
  </si>
  <si>
    <t>Nov 18, 2015</t>
  </si>
  <si>
    <t>Nov 19, 2015</t>
  </si>
  <si>
    <t>Nov 20, 2015</t>
  </si>
  <si>
    <t>Nov 23, 2015</t>
  </si>
  <si>
    <t>Nov 24, 2015</t>
  </si>
  <si>
    <t>Nov 25, 2015</t>
  </si>
  <si>
    <t>Nov 26, 2015</t>
  </si>
  <si>
    <t>Nov 27, 2015</t>
  </si>
  <si>
    <t>Nov 30, 2015</t>
  </si>
  <si>
    <t>Dec 01, 2015</t>
  </si>
  <si>
    <t>Dec 02, 2015</t>
  </si>
  <si>
    <t>Dec 03, 2015</t>
  </si>
  <si>
    <t>Dec 04, 2015</t>
  </si>
  <si>
    <t>Dec 07, 2015</t>
  </si>
  <si>
    <t>Dec 08, 2015</t>
  </si>
  <si>
    <t>Dec 09, 2015</t>
  </si>
  <si>
    <t>Dec 10, 2015</t>
  </si>
  <si>
    <t>Dec 11, 2015</t>
  </si>
  <si>
    <t>Dec 14, 2015</t>
  </si>
  <si>
    <t>Dec 15, 2015</t>
  </si>
  <si>
    <t>Dec 16, 2015</t>
  </si>
  <si>
    <t>Dec 17, 2015</t>
  </si>
  <si>
    <t>Dec 18, 2015</t>
  </si>
  <si>
    <t>Dec 21, 2015</t>
  </si>
  <si>
    <t>Dec 22, 2015</t>
  </si>
  <si>
    <t>Dec 23, 2015</t>
  </si>
  <si>
    <t>Dec 28, 2015</t>
  </si>
  <si>
    <t>Dec 29, 2015</t>
  </si>
  <si>
    <t>Dec 30, 2015</t>
  </si>
  <si>
    <t>Dec 31, 2015</t>
  </si>
  <si>
    <t>Jan 01, 2016</t>
  </si>
  <si>
    <t>Jan 04, 2016</t>
  </si>
  <si>
    <t>Jan 05, 2016</t>
  </si>
  <si>
    <t>Jan 06, 2016</t>
  </si>
  <si>
    <t>Jan 07, 2016</t>
  </si>
  <si>
    <t>Jan 08, 2016</t>
  </si>
  <si>
    <t>Jan 11, 2016</t>
  </si>
  <si>
    <t>Jan 12, 2016</t>
  </si>
  <si>
    <t>Jan 13, 2016</t>
  </si>
  <si>
    <t>Jan 14, 2016</t>
  </si>
  <si>
    <t>Jan 15, 2016</t>
  </si>
  <si>
    <t>Jan 18, 2016</t>
  </si>
  <si>
    <t>Jan 19, 2016</t>
  </si>
  <si>
    <t>Jan 20, 2016</t>
  </si>
  <si>
    <t>Jan 21, 2016</t>
  </si>
  <si>
    <t>Jan 22, 2016</t>
  </si>
  <si>
    <t>Jan 25, 2016</t>
  </si>
  <si>
    <t>Jan 26, 2016</t>
  </si>
  <si>
    <t>Jan 27, 2016</t>
  </si>
  <si>
    <t>Jan 28, 2016</t>
  </si>
  <si>
    <t>Jan 29, 2016</t>
  </si>
  <si>
    <t>Feb 01, 2016</t>
  </si>
  <si>
    <t>Feb 02, 2016</t>
  </si>
  <si>
    <t>Feb 03, 2016</t>
  </si>
  <si>
    <t>Feb 04, 2016</t>
  </si>
  <si>
    <t>Feb 08, 2016</t>
  </si>
  <si>
    <t>Feb 09, 2016</t>
  </si>
  <si>
    <t>Feb 10, 2016</t>
  </si>
  <si>
    <t>Feb 11, 2016</t>
  </si>
  <si>
    <t>Feb 12, 2016</t>
  </si>
  <si>
    <t>Feb 15, 2016</t>
  </si>
  <si>
    <t>Feb 16, 2016</t>
  </si>
  <si>
    <t>Feb 17, 2016</t>
  </si>
  <si>
    <t>Feb 18, 2016</t>
  </si>
  <si>
    <t>Feb 19, 2016</t>
  </si>
  <si>
    <t>Feb 22, 2016</t>
  </si>
  <si>
    <t>Feb 23, 2016</t>
  </si>
  <si>
    <t>Feb 24, 2016</t>
  </si>
  <si>
    <t>Feb 25, 2016</t>
  </si>
  <si>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</si>
  <si>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</si>
  <si>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</si>
  <si>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</si>
  <si>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</si>
  <si>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</si>
  <si>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</si>
  <si>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</si>
  <si>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09,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</si>
  <si>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</si>
  <si>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</si>
  <si>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</si>
  <si>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</si>
  <si>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</si>
  <si>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</si>
  <si>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</si>
  <si>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</si>
  <si>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</si>
  <si>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24, 2016</t>
  </si>
  <si>
    <t>Mar 25,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</si>
  <si>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</si>
  <si>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</si>
  <si>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</si>
  <si>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</si>
  <si>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</si>
  <si>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</si>
  <si>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</si>
  <si>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</si>
  <si>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</si>
  <si>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</si>
  <si>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</si>
  <si>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</si>
  <si>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</si>
  <si>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</si>
  <si>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</si>
  <si>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</si>
  <si>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</si>
  <si>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</si>
  <si>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</si>
  <si>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</si>
  <si>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</si>
  <si>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</si>
  <si>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</si>
  <si>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</si>
  <si>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</si>
  <si>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</si>
  <si>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</si>
  <si>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</si>
  <si>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05, 2016</t>
  </si>
  <si>
    <t>May 06,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</si>
  <si>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</si>
  <si>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</si>
  <si>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</si>
  <si>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</si>
  <si>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</si>
  <si>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</si>
  <si>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</si>
  <si>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</si>
  <si>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</si>
  <si>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</si>
  <si>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</si>
  <si>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</si>
  <si>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</si>
  <si>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</si>
  <si>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</si>
  <si>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30, 2016</t>
  </si>
  <si>
    <t>May 31, 2016</t>
  </si>
  <si>
    <t>Jun 01, 2016</t>
  </si>
  <si>
    <t>Jun 02, 2016</t>
  </si>
  <si>
    <t>Jun 03,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</si>
  <si>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</si>
  <si>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</si>
  <si>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</si>
  <si>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</si>
  <si>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</si>
  <si>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</si>
  <si>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</si>
  <si>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</si>
  <si>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</si>
  <si>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</si>
  <si>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</si>
  <si>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</si>
  <si>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</si>
  <si>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</si>
  <si>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</si>
  <si>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</si>
  <si>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</si>
  <si>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</si>
  <si>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</si>
  <si>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04,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</si>
  <si>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</si>
  <si>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</si>
  <si>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</si>
  <si>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</si>
  <si>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</si>
  <si>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</si>
  <si>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</si>
  <si>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</si>
  <si>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</si>
  <si>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</si>
  <si>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</si>
  <si>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</si>
  <si>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</si>
  <si>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</si>
  <si>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</si>
  <si>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</si>
  <si>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</si>
  <si>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</si>
  <si>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</si>
  <si>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</si>
  <si>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</si>
  <si>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</si>
  <si>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</si>
  <si>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</si>
  <si>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</si>
  <si>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</si>
  <si>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</si>
  <si>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17,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</si>
  <si>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</si>
  <si>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</si>
  <si>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</si>
  <si>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</si>
  <si>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</si>
  <si>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</si>
  <si>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</si>
  <si>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</si>
  <si>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</si>
  <si>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</si>
  <si>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</si>
  <si>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</si>
  <si>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05, 2016</t>
  </si>
  <si>
    <t>Sep 06, 2016</t>
  </si>
  <si>
    <t>Sep 07, 2016</t>
  </si>
  <si>
    <t>Sep 08, 2016</t>
  </si>
  <si>
    <t>Sep 09,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</si>
  <si>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</si>
  <si>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</si>
  <si>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</si>
  <si>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</si>
  <si>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</si>
  <si>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</si>
  <si>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</si>
  <si>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</si>
  <si>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</si>
  <si>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</si>
  <si>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</si>
  <si>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</si>
  <si>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</si>
  <si>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</si>
  <si>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</si>
  <si>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</si>
  <si>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</si>
  <si>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10,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</si>
  <si>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</si>
  <si>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</si>
  <si>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</si>
  <si>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</si>
  <si>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</si>
  <si>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</si>
  <si>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</si>
  <si>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</si>
  <si>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</si>
  <si>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</si>
  <si>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</si>
  <si>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</si>
  <si>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</si>
  <si>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</si>
  <si>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</si>
  <si>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</si>
  <si>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</si>
  <si>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</si>
  <si>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</si>
  <si>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</si>
  <si>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</si>
  <si>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11,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</si>
  <si>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</si>
  <si>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</si>
  <si>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</si>
  <si>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</si>
  <si>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</si>
  <si>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</si>
  <si>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</si>
  <si>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</si>
  <si>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24,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</si>
  <si>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</si>
  <si>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</si>
  <si>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</si>
  <si>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</si>
  <si>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</si>
  <si>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</si>
  <si>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</si>
  <si>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</si>
  <si>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</si>
  <si>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</si>
  <si>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</si>
  <si>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</si>
  <si>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</si>
  <si>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</si>
  <si>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</si>
  <si>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</si>
  <si>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</si>
  <si>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</si>
  <si>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</si>
  <si>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</si>
  <si>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26, 2016</t>
  </si>
  <si>
    <t>Dec 27, 2016</t>
  </si>
  <si>
    <t>Dec 28, 2016</t>
  </si>
  <si>
    <t>Dec 29, 2016</t>
  </si>
  <si>
    <t>Dec 30, 2016</t>
  </si>
  <si>
    <t>Jan 02, 2017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</si>
  <si>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</si>
  <si>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</si>
  <si>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</si>
  <si>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</si>
  <si>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</si>
  <si>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</si>
  <si>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</si>
  <si>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</si>
  <si>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</si>
  <si>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16,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</si>
  <si>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</si>
  <si>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</si>
  <si>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</si>
  <si>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</si>
  <si>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</si>
  <si>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</si>
  <si>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</si>
  <si>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</si>
  <si>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</si>
  <si>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</si>
  <si>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</si>
  <si>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</si>
  <si>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</si>
  <si>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</si>
  <si>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</si>
  <si>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</si>
  <si>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</si>
  <si>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</si>
  <si>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</si>
  <si>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</si>
  <si>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</si>
  <si>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15, 2017</t>
  </si>
  <si>
    <t>Feb 16, 2017</t>
  </si>
  <si>
    <t>Feb 17, 2017</t>
  </si>
  <si>
    <t>Feb 20,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</si>
  <si>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</si>
  <si>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</si>
  <si>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</si>
  <si>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</si>
  <si>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</si>
  <si>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</si>
  <si>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</si>
  <si>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</si>
  <si>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</si>
  <si>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</si>
  <si>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</si>
  <si>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</si>
  <si>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</si>
  <si>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</si>
  <si>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</si>
  <si>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</si>
  <si>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</si>
  <si>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</si>
  <si>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</si>
  <si>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</si>
  <si>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</si>
  <si>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</si>
  <si>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24, 2017</t>
  </si>
  <si>
    <t>Mar 27, 2017</t>
  </si>
  <si>
    <t>Mar 28,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</si>
  <si>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</si>
  <si>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</si>
  <si>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</si>
  <si>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</si>
  <si>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</si>
  <si>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</si>
  <si>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</si>
  <si>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</si>
  <si>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</si>
  <si>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</si>
  <si>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</si>
  <si>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</si>
  <si>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14, 2017</t>
  </si>
  <si>
    <t>Apr 17, 2017</t>
  </si>
  <si>
    <t>Apr 18, 2017</t>
  </si>
  <si>
    <t>Apr 19, 2017</t>
  </si>
  <si>
    <t>Apr 20, 2017</t>
  </si>
  <si>
    <t>Apr 21, 2017</t>
  </si>
  <si>
    <t>Apr 24, 2017</t>
  </si>
  <si>
    <t>Apr 25, 2017</t>
  </si>
  <si>
    <t>Apr 26, 2017</t>
  </si>
  <si>
    <t>Apr 27, 2017</t>
  </si>
  <si>
    <t>Apr 28,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</si>
  <si>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</si>
  <si>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</si>
  <si>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</si>
  <si>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</si>
  <si>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</si>
  <si>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</si>
  <si>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</si>
  <si>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</si>
  <si>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</si>
  <si>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</si>
  <si>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</si>
  <si>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</si>
  <si>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</si>
  <si>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</si>
  <si>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</si>
  <si>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</si>
  <si>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</si>
  <si>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</si>
  <si>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</si>
  <si>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29, 2017</t>
  </si>
  <si>
    <t>May 30, 2017</t>
  </si>
  <si>
    <t>May 31, 2017</t>
  </si>
  <si>
    <t>Jun 01,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</si>
  <si>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</si>
  <si>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</si>
  <si>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</si>
  <si>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</si>
  <si>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</si>
  <si>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</si>
  <si>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</si>
  <si>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</si>
  <si>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</si>
  <si>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</si>
  <si>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</si>
  <si>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</si>
  <si>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</si>
  <si>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</si>
  <si>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</si>
  <si>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Jun 29, 2017</t>
  </si>
  <si>
    <t>Jun 30, 2017</t>
  </si>
  <si>
    <t>Jul 03, 2017</t>
  </si>
  <si>
    <t>Jul 04,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</si>
  <si>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</si>
  <si>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</si>
  <si>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</si>
  <si>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</si>
  <si>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</si>
  <si>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</si>
  <si>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</si>
  <si>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</si>
  <si>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</si>
  <si>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</si>
  <si>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</si>
  <si>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</si>
  <si>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</si>
  <si>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</si>
  <si>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</si>
  <si>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</si>
  <si>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</si>
  <si>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</si>
  <si>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</si>
  <si>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</si>
  <si>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</si>
  <si>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</si>
  <si>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</si>
  <si>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</si>
  <si>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</si>
  <si>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</si>
  <si>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</si>
  <si>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</si>
  <si>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15, 2017</t>
  </si>
  <si>
    <t>Aug 16, 2017</t>
  </si>
  <si>
    <t>Aug 17,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</si>
  <si>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</si>
  <si>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</si>
  <si>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</si>
  <si>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</si>
  <si>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</si>
  <si>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</si>
  <si>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</si>
  <si>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</si>
  <si>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</si>
  <si>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</si>
  <si>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</si>
  <si>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</si>
  <si>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</si>
  <si>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</si>
  <si>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</si>
  <si>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</si>
  <si>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</si>
  <si>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</si>
  <si>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</si>
  <si>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</si>
  <si>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</si>
  <si>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</si>
  <si>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21, 2017</t>
  </si>
  <si>
    <t>Sep 22, 2017</t>
  </si>
  <si>
    <t>Sep 25, 2017</t>
  </si>
  <si>
    <t>Sep 26, 2017</t>
  </si>
  <si>
    <t>Sep 27, 2017</t>
  </si>
  <si>
    <t>Sep 28, 2017</t>
  </si>
  <si>
    <t>Sep 29,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</si>
  <si>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</si>
  <si>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</si>
  <si>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</si>
  <si>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</si>
  <si>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</si>
  <si>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</si>
  <si>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</si>
  <si>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</si>
  <si>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</si>
  <si>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</si>
  <si>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</si>
  <si>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</si>
  <si>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</si>
  <si>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</si>
  <si>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</si>
  <si>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</si>
  <si>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</si>
  <si>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</si>
  <si>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</si>
  <si>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</si>
  <si>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</si>
  <si>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</si>
  <si>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</si>
  <si>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</si>
  <si>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</si>
  <si>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</si>
  <si>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</si>
  <si>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</si>
  <si>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</si>
  <si>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</si>
  <si>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</si>
  <si>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</si>
  <si>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</si>
  <si>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</si>
  <si>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</si>
  <si>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</si>
  <si>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</si>
  <si>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</si>
  <si>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23, 2017</t>
  </si>
  <si>
    <t>Nov 24, 2017</t>
  </si>
  <si>
    <t>Nov 27, 2017</t>
  </si>
  <si>
    <t>Nov 28, 2017</t>
  </si>
  <si>
    <t>Nov 29, 2017</t>
  </si>
  <si>
    <t>Nov 30,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</si>
  <si>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</si>
  <si>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</si>
  <si>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</si>
  <si>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</si>
  <si>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</si>
  <si>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</si>
  <si>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</si>
  <si>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</si>
  <si>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</si>
  <si>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</si>
  <si>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</si>
  <si>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</si>
  <si>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</si>
  <si>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</si>
  <si>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</si>
  <si>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</si>
  <si>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</si>
  <si>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</si>
  <si>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</si>
  <si>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01, 2018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</si>
  <si>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</si>
  <si>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</si>
  <si>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</si>
  <si>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</si>
  <si>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</si>
  <si>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</si>
  <si>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</si>
  <si>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</si>
  <si>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</si>
  <si>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15,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</si>
  <si>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</si>
  <si>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</si>
  <si>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</si>
  <si>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</si>
  <si>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</si>
  <si>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</si>
  <si>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</si>
  <si>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</si>
  <si>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</si>
  <si>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</si>
  <si>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</si>
  <si>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</si>
  <si>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</si>
  <si>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</si>
  <si>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</si>
  <si>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</si>
  <si>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</si>
  <si>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</si>
  <si>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</si>
  <si>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</si>
  <si>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</si>
  <si>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</si>
  <si>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</si>
  <si>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19,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</si>
  <si>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</si>
  <si>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</si>
  <si>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</si>
  <si>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</si>
  <si>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</si>
  <si>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</si>
  <si>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</si>
  <si>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</si>
  <si>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</si>
  <si>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</si>
  <si>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</si>
  <si>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</si>
  <si>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</si>
  <si>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</si>
  <si>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</si>
  <si>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</si>
  <si>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</si>
  <si>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</si>
  <si>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</si>
  <si>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</si>
  <si>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</si>
  <si>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</si>
  <si>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</si>
  <si>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26, 2018</t>
  </si>
  <si>
    <t>Mar 27, 2018</t>
  </si>
  <si>
    <t>Mar 28, 2018</t>
  </si>
  <si>
    <t>Mar 29, 2018</t>
  </si>
  <si>
    <t>Mar 30,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</si>
  <si>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</si>
  <si>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</si>
  <si>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</si>
  <si>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</si>
  <si>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</si>
  <si>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</si>
  <si>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</si>
  <si>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</si>
  <si>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</si>
  <si>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</si>
  <si>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</si>
  <si>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</si>
  <si>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</si>
  <si>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</si>
  <si>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</si>
  <si>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</si>
  <si>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</si>
  <si>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</si>
  <si>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</si>
  <si>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</si>
  <si>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</si>
  <si>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</si>
  <si>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</si>
  <si>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</si>
  <si>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</si>
  <si>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</si>
  <si>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</si>
  <si>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</si>
  <si>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</si>
  <si>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</si>
  <si>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</si>
  <si>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</si>
  <si>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</si>
  <si>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</si>
  <si>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</si>
  <si>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</si>
  <si>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</si>
  <si>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</si>
  <si>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</si>
  <si>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28,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</si>
  <si>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</si>
  <si>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</si>
  <si>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</si>
  <si>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</si>
  <si>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</si>
  <si>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</si>
  <si>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</si>
  <si>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</si>
  <si>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11, 2018</t>
  </si>
  <si>
    <t>Jun 12, 2018</t>
  </si>
  <si>
    <t>Jun 13, 2018</t>
  </si>
  <si>
    <t>Jun 14,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</si>
  <si>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</si>
  <si>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</si>
  <si>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</si>
  <si>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</si>
  <si>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</si>
  <si>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</si>
  <si>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</si>
  <si>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</si>
  <si>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</si>
  <si>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</si>
  <si>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</si>
  <si>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04,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</si>
  <si>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</si>
  <si>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</si>
  <si>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</si>
  <si>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</si>
  <si>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</si>
  <si>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</si>
  <si>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</si>
  <si>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</si>
  <si>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</si>
  <si>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</si>
  <si>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</si>
  <si>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</si>
  <si>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</si>
  <si>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</si>
  <si>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</si>
  <si>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</si>
  <si>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</si>
  <si>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</si>
  <si>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</si>
  <si>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</si>
  <si>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</si>
  <si>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</si>
  <si>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</si>
  <si>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</si>
  <si>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</si>
  <si>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</si>
  <si>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</si>
  <si>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15, 2018</t>
  </si>
  <si>
    <t>Aug 16, 2018</t>
  </si>
  <si>
    <t>Aug 17, 2018</t>
  </si>
  <si>
    <t>Aug 20, 2018</t>
  </si>
  <si>
    <t>Aug 24, 2018</t>
  </si>
  <si>
    <t>Aug 27, 2018</t>
  </si>
  <si>
    <t>Aug 28, 2018</t>
  </si>
  <si>
    <t>Aug 29, 2018</t>
  </si>
  <si>
    <t>Aug 30, 2018</t>
  </si>
  <si>
    <t>Aug 31, 2018</t>
  </si>
  <si>
    <t>Sep 03,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</si>
  <si>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</si>
  <si>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</si>
  <si>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</si>
  <si>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</si>
  <si>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</si>
  <si>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</si>
  <si>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</si>
  <si>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</si>
  <si>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</si>
  <si>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</si>
  <si>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</si>
  <si>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</si>
  <si>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</si>
  <si>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</si>
  <si>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</si>
  <si>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</si>
  <si>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</si>
  <si>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</si>
  <si>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</si>
  <si>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</si>
  <si>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</si>
  <si>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</si>
  <si>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</si>
  <si>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</si>
  <si>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</si>
  <si>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</si>
  <si>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</si>
  <si>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</si>
  <si>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</si>
  <si>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</si>
  <si>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</si>
  <si>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</si>
  <si>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</si>
  <si>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</si>
  <si>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</si>
  <si>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</si>
  <si>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</si>
  <si>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</si>
  <si>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</si>
  <si>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</si>
  <si>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</si>
  <si>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</si>
  <si>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</si>
  <si>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</si>
  <si>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</si>
  <si>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</si>
  <si>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</si>
  <si>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</si>
  <si>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</si>
  <si>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</si>
  <si>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</si>
  <si>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</si>
  <si>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</si>
  <si>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</si>
  <si>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22,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</si>
  <si>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</si>
  <si>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</si>
  <si>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</si>
  <si>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</si>
  <si>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</si>
  <si>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</si>
  <si>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</si>
  <si>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</si>
  <si>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05,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</si>
  <si>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</si>
  <si>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</si>
  <si>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</si>
  <si>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</si>
  <si>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</si>
  <si>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</si>
  <si>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</si>
  <si>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</si>
  <si>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</si>
  <si>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</si>
  <si>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</si>
  <si>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</si>
  <si>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24, 2018</t>
  </si>
  <si>
    <t>Dec 26, 2018</t>
  </si>
  <si>
    <t>Dec 27, 2018</t>
  </si>
  <si>
    <t>Dec 28, 2018</t>
  </si>
  <si>
    <t>Dec 31, 2018</t>
  </si>
  <si>
    <t>Jan 01, 2019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</si>
  <si>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</si>
  <si>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</si>
  <si>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</si>
  <si>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</si>
  <si>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</si>
  <si>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</si>
  <si>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</si>
  <si>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</si>
  <si>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</si>
  <si>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</si>
  <si>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</si>
  <si>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</si>
  <si>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</si>
  <si>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21,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</si>
  <si>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</si>
  <si>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</si>
  <si>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</si>
  <si>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</si>
  <si>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</si>
  <si>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</si>
  <si>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</si>
  <si>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</si>
  <si>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</si>
  <si>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</si>
  <si>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</si>
  <si>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</si>
  <si>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</si>
  <si>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</si>
  <si>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</si>
  <si>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</si>
  <si>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</si>
  <si>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</si>
  <si>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18,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</si>
  <si>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</si>
  <si>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</si>
  <si>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</si>
  <si>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</si>
  <si>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</si>
  <si>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</si>
  <si>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</si>
  <si>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</si>
  <si>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</si>
  <si>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</si>
  <si>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</si>
  <si>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</si>
  <si>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</si>
  <si>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</si>
  <si>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</si>
  <si>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</si>
  <si>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</si>
  <si>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</si>
  <si>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</si>
  <si>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</si>
  <si>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</si>
  <si>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</si>
  <si>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</si>
  <si>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</si>
  <si>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</si>
  <si>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</si>
  <si>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</si>
  <si>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</si>
  <si>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</si>
  <si>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</si>
  <si>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</si>
  <si>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</si>
  <si>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</si>
  <si>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</si>
  <si>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</si>
  <si>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</si>
  <si>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</si>
  <si>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</si>
  <si>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</si>
  <si>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</si>
  <si>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</si>
  <si>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</si>
  <si>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</si>
  <si>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19,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</si>
  <si>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</si>
  <si>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</si>
  <si>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</si>
  <si>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</si>
  <si>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</si>
  <si>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</si>
  <si>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</si>
  <si>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</si>
  <si>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</si>
  <si>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</si>
  <si>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</si>
  <si>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</si>
  <si>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</si>
  <si>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</si>
  <si>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</si>
  <si>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</si>
  <si>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</si>
  <si>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</si>
  <si>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</si>
  <si>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</si>
  <si>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</si>
  <si>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</si>
  <si>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</si>
  <si>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</si>
  <si>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27, 2019</t>
  </si>
  <si>
    <t>May 28, 2019</t>
  </si>
  <si>
    <t>May 29, 2019</t>
  </si>
  <si>
    <t>May 30, 2019</t>
  </si>
  <si>
    <t>Jun 03,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</si>
  <si>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</si>
  <si>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</si>
  <si>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</si>
  <si>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</si>
  <si>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</si>
  <si>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</si>
  <si>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</si>
  <si>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</si>
  <si>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</si>
  <si>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</si>
  <si>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</si>
  <si>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</si>
  <si>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</si>
  <si>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</si>
  <si>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</si>
  <si>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</si>
  <si>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</si>
  <si>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</si>
  <si>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04,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</si>
  <si>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</si>
  <si>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</si>
  <si>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</si>
  <si>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</si>
  <si>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</si>
  <si>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</si>
  <si>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</si>
  <si>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</si>
  <si>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</si>
  <si>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</si>
  <si>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</si>
  <si>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</si>
  <si>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</si>
  <si>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</si>
  <si>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</si>
  <si>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</si>
  <si>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</si>
  <si>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</si>
  <si>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</si>
  <si>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</si>
  <si>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</si>
  <si>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</si>
  <si>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</si>
  <si>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</si>
  <si>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</si>
  <si>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</si>
  <si>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</si>
  <si>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</si>
  <si>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</si>
  <si>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</si>
  <si>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</si>
  <si>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</si>
  <si>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</si>
  <si>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</si>
  <si>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</si>
  <si>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</si>
  <si>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</si>
  <si>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02, 2019</t>
  </si>
  <si>
    <t>Sep 03, 2019</t>
  </si>
  <si>
    <t>Sep 04, 2019</t>
  </si>
  <si>
    <t>Sep 05, 2019</t>
  </si>
  <si>
    <t>Sep 06,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</si>
  <si>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</si>
  <si>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</si>
  <si>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</si>
  <si>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</si>
  <si>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</si>
  <si>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</si>
  <si>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</si>
  <si>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</si>
  <si>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</si>
  <si>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</si>
  <si>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</si>
  <si>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</si>
  <si>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</si>
  <si>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</si>
  <si>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</si>
  <si>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</si>
  <si>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</si>
  <si>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</si>
  <si>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</si>
  <si>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</si>
  <si>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</si>
  <si>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</si>
  <si>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</si>
  <si>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</si>
  <si>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</si>
  <si>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</si>
  <si>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</si>
  <si>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</si>
  <si>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</si>
  <si>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</si>
  <si>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</si>
  <si>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</si>
  <si>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</si>
  <si>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</si>
  <si>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</si>
  <si>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</si>
  <si>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</si>
  <si>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</si>
  <si>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</si>
  <si>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</si>
  <si>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</si>
  <si>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</si>
  <si>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</si>
  <si>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</si>
  <si>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</si>
  <si>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</si>
  <si>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</si>
  <si>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</si>
  <si>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</si>
  <si>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</si>
  <si>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</si>
  <si>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</si>
  <si>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</si>
  <si>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</si>
  <si>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</si>
  <si>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</si>
  <si>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28,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</si>
  <si>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</si>
  <si>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</si>
  <si>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</si>
  <si>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</si>
  <si>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</si>
  <si>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</si>
  <si>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</si>
  <si>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</si>
  <si>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</si>
  <si>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</si>
  <si>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</si>
  <si>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</si>
  <si>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</si>
  <si>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</si>
  <si>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</si>
  <si>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</si>
  <si>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</si>
  <si>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</si>
  <si>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</si>
  <si>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</si>
  <si>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</si>
  <si>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</si>
  <si>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01, 2020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</si>
  <si>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</si>
  <si>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</si>
  <si>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</si>
  <si>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</si>
  <si>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</si>
  <si>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</si>
  <si>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</si>
  <si>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</si>
  <si>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</si>
  <si>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</si>
  <si>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</si>
  <si>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</si>
  <si>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20,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</si>
  <si>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</si>
  <si>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</si>
  <si>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</si>
  <si>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</si>
  <si>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</si>
  <si>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</si>
  <si>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</si>
  <si>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</si>
  <si>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</si>
  <si>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</si>
  <si>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</si>
  <si>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</si>
  <si>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</si>
  <si>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</si>
  <si>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</si>
  <si>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</si>
  <si>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</si>
  <si>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</si>
  <si>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17,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</si>
  <si>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</si>
  <si>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</si>
  <si>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</si>
  <si>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</si>
  <si>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</si>
  <si>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</si>
  <si>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</si>
  <si>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</si>
  <si>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</si>
  <si>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</si>
  <si>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</si>
  <si>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</si>
  <si>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</si>
  <si>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</si>
  <si>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</si>
  <si>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</si>
  <si>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</si>
  <si>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</si>
  <si>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</si>
  <si>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</si>
  <si>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</si>
  <si>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</si>
  <si>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</si>
  <si>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</si>
  <si>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</si>
  <si>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</si>
  <si>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</si>
  <si>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</si>
  <si>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</si>
  <si>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</si>
  <si>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</si>
  <si>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</si>
  <si>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</si>
  <si>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</si>
  <si>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</si>
  <si>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</si>
  <si>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</si>
  <si>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10,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</si>
  <si>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</si>
  <si>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</si>
  <si>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</si>
  <si>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</si>
  <si>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</si>
  <si>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</si>
  <si>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</si>
  <si>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</si>
  <si>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</si>
  <si>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</si>
  <si>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</si>
  <si>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</si>
  <si>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</si>
  <si>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</si>
  <si>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</si>
  <si>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</si>
  <si>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</si>
  <si>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</si>
  <si>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</si>
  <si>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</si>
  <si>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</si>
  <si>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</si>
  <si>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</si>
  <si>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</si>
  <si>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</si>
  <si>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</si>
  <si>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</si>
  <si>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</si>
  <si>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</si>
  <si>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</si>
  <si>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</si>
  <si>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</si>
  <si>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</si>
  <si>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</si>
  <si>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</si>
  <si>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</si>
  <si>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</si>
  <si>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</si>
  <si>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</si>
  <si>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</si>
  <si>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</si>
  <si>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</si>
  <si>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</si>
  <si>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</si>
  <si>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</si>
  <si>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</si>
  <si>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</si>
  <si>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</si>
  <si>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</si>
  <si>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</si>
  <si>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</si>
  <si>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</si>
  <si>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 xml:space="preserve">COLG </t>
  </si>
  <si>
    <t xml:space="preserve"> </t>
  </si>
  <si>
    <t>* Tax percentage applied 29%</t>
  </si>
  <si>
    <t>Name: Angel Naveed</t>
  </si>
  <si>
    <t>ERP: 17061</t>
  </si>
  <si>
    <t>Slot: Tuesday 6:30 - 9:15</t>
  </si>
  <si>
    <t>Industry: FMCG</t>
  </si>
  <si>
    <t>Company: Colgate-Palmolive</t>
  </si>
  <si>
    <t>Financial Years taken: 2016-2020</t>
  </si>
  <si>
    <t>Financial Years forecasted: 2021-2023</t>
  </si>
  <si>
    <t xml:space="preserve">Finished goods cost Rs/ton </t>
  </si>
  <si>
    <t xml:space="preserve">RM, packing, fuel, power, finished goods </t>
  </si>
  <si>
    <t xml:space="preserve">Finished goods cost per bag </t>
  </si>
  <si>
    <t xml:space="preserve">Finished goods per ton </t>
  </si>
  <si>
    <t xml:space="preserve">Finished goods per ton - trend 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</si>
</sst>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00%"/>
    <numFmt numFmtId="167" formatCode="0.00000"/>
    <numFmt numFmtId="168" formatCode="0.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8"/>
      <name val="Book Antiqua"/>
      <family val="1"/>
    </font>
    <font>
      <sz val="8"/>
      <name val="Book Antiqua"/>
      <family val="1"/>
    </font>
    <font>
      <sz val="11"/>
      <color rgb="FFFF000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Arial Rounded MT Bold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Book Antiqua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2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39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0" xfId="0" applyFont="1"/>
    <xf numFmtId="3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3" borderId="0" xfId="0" applyFill="1"/>
    <xf numFmtId="10" fontId="0" fillId="0" borderId="0" xfId="2" applyNumberFormat="1" applyFont="1"/>
    <xf numFmtId="0" fontId="2" fillId="3" borderId="0" xfId="0" applyFont="1" applyFill="1"/>
    <xf numFmtId="0" fontId="3" fillId="0" borderId="0" xfId="0" applyFont="1" applyAlignment="1">
      <alignment vertical="center"/>
    </xf>
    <xf numFmtId="165" fontId="0" fillId="0" borderId="1" xfId="1" applyNumberFormat="1" applyFont="1" applyBorder="1"/>
    <xf numFmtId="165" fontId="0" fillId="0" borderId="0" xfId="1" applyNumberFormat="1" applyFont="1" applyBorder="1"/>
    <xf numFmtId="3" fontId="0" fillId="0" borderId="1" xfId="0" applyNumberFormat="1" applyBorder="1"/>
    <xf numFmtId="165" fontId="0" fillId="0" borderId="0" xfId="1" applyNumberFormat="1" applyFont="1" applyFill="1" applyBorder="1"/>
    <xf numFmtId="9" fontId="0" fillId="0" borderId="0" xfId="2" applyFont="1" applyBorder="1"/>
    <xf numFmtId="9" fontId="6" fillId="0" borderId="0" xfId="2" applyFont="1" applyBorder="1"/>
    <xf numFmtId="165" fontId="0" fillId="0" borderId="4" xfId="1" applyNumberFormat="1" applyFont="1" applyBorder="1"/>
    <xf numFmtId="0" fontId="0" fillId="0" borderId="6" xfId="0" applyBorder="1"/>
    <xf numFmtId="165" fontId="0" fillId="0" borderId="6" xfId="1" applyNumberFormat="1" applyFont="1" applyBorder="1"/>
    <xf numFmtId="0" fontId="0" fillId="0" borderId="7" xfId="0" applyBorder="1"/>
    <xf numFmtId="165" fontId="0" fillId="0" borderId="7" xfId="1" applyNumberFormat="1" applyFont="1" applyBorder="1"/>
    <xf numFmtId="0" fontId="1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0" borderId="8" xfId="0" applyFont="1" applyBorder="1"/>
    <xf numFmtId="0" fontId="0" fillId="0" borderId="13" xfId="0" applyBorder="1"/>
    <xf numFmtId="3" fontId="0" fillId="0" borderId="13" xfId="0" applyNumberFormat="1" applyBorder="1"/>
    <xf numFmtId="3" fontId="0" fillId="0" borderId="8" xfId="0" applyNumberFormat="1" applyBorder="1"/>
    <xf numFmtId="3" fontId="0" fillId="0" borderId="14" xfId="0" applyNumberFormat="1" applyBorder="1"/>
    <xf numFmtId="1" fontId="0" fillId="0" borderId="13" xfId="0" applyNumberFormat="1" applyBorder="1"/>
    <xf numFmtId="1" fontId="0" fillId="0" borderId="0" xfId="0" applyNumberFormat="1"/>
    <xf numFmtId="1" fontId="0" fillId="0" borderId="8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2" fillId="3" borderId="0" xfId="0" applyFont="1" applyFill="1"/>
    <xf numFmtId="0" fontId="0" fillId="5" borderId="0" xfId="0" applyFill="1"/>
    <xf numFmtId="15" fontId="0" fillId="5" borderId="0" xfId="0" applyNumberFormat="1" applyFill="1"/>
    <xf numFmtId="0" fontId="2" fillId="4" borderId="12" xfId="0" applyFont="1" applyFill="1" applyBorder="1"/>
    <xf numFmtId="15" fontId="0" fillId="0" borderId="0" xfId="0" applyNumberFormat="1"/>
    <xf numFmtId="15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166" fontId="0" fillId="6" borderId="0" xfId="2" applyNumberFormat="1" applyFont="1" applyFill="1"/>
    <xf numFmtId="10" fontId="0" fillId="0" borderId="0" xfId="2" applyNumberFormat="1" applyFont="1" applyFill="1"/>
    <xf numFmtId="10" fontId="0" fillId="6" borderId="0" xfId="2" applyNumberFormat="1" applyFont="1" applyFill="1"/>
    <xf numFmtId="167" fontId="0" fillId="6" borderId="0" xfId="2" applyNumberFormat="1" applyFont="1" applyFill="1"/>
    <xf numFmtId="10" fontId="0" fillId="6" borderId="0" xfId="0" applyNumberFormat="1" applyFill="1"/>
    <xf numFmtId="0" fontId="10" fillId="0" borderId="20" xfId="0" applyFont="1" applyBorder="1" applyAlignment="1">
      <alignment horizontal="centerContinuous"/>
    </xf>
    <xf numFmtId="0" fontId="10" fillId="0" borderId="20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3" fontId="0" fillId="0" borderId="9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0" fontId="0" fillId="3" borderId="9" xfId="0" applyFill="1" applyBorder="1"/>
    <xf numFmtId="0" fontId="0" fillId="3" borderId="13" xfId="0" applyFill="1" applyBorder="1"/>
    <xf numFmtId="10" fontId="0" fillId="0" borderId="8" xfId="0" applyNumberFormat="1" applyBorder="1"/>
    <xf numFmtId="10" fontId="0" fillId="0" borderId="8" xfId="2" applyNumberFormat="1" applyFont="1" applyBorder="1"/>
    <xf numFmtId="2" fontId="0" fillId="0" borderId="8" xfId="2" applyNumberFormat="1" applyFont="1" applyBorder="1"/>
    <xf numFmtId="9" fontId="0" fillId="0" borderId="8" xfId="2" applyFont="1" applyBorder="1"/>
    <xf numFmtId="0" fontId="0" fillId="3" borderId="16" xfId="0" applyFill="1" applyBorder="1"/>
    <xf numFmtId="166" fontId="0" fillId="0" borderId="17" xfId="2" applyNumberFormat="1" applyFont="1" applyBorder="1"/>
    <xf numFmtId="0" fontId="0" fillId="6" borderId="9" xfId="0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0" fillId="6" borderId="13" xfId="0" applyFill="1" applyBorder="1"/>
    <xf numFmtId="43" fontId="0" fillId="0" borderId="8" xfId="0" applyNumberFormat="1" applyBorder="1"/>
    <xf numFmtId="165" fontId="0" fillId="0" borderId="8" xfId="1" applyNumberFormat="1" applyFont="1" applyBorder="1"/>
    <xf numFmtId="0" fontId="0" fillId="6" borderId="16" xfId="0" applyFill="1" applyBorder="1"/>
    <xf numFmtId="0" fontId="2" fillId="0" borderId="7" xfId="0" applyFont="1" applyBorder="1"/>
    <xf numFmtId="0" fontId="2" fillId="4" borderId="0" xfId="0" applyFont="1" applyFill="1"/>
    <xf numFmtId="0" fontId="17" fillId="4" borderId="0" xfId="0" applyFont="1" applyFill="1"/>
    <xf numFmtId="0" fontId="0" fillId="4" borderId="0" xfId="0" applyFill="1"/>
    <xf numFmtId="0" fontId="13" fillId="4" borderId="0" xfId="0" applyFont="1" applyFill="1"/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9" fontId="0" fillId="0" borderId="10" xfId="0" applyNumberFormat="1" applyBorder="1"/>
    <xf numFmtId="0" fontId="0" fillId="0" borderId="0" xfId="0" applyBorder="1"/>
    <xf numFmtId="43" fontId="0" fillId="0" borderId="0" xfId="0" applyNumberFormat="1" applyBorder="1"/>
    <xf numFmtId="10" fontId="0" fillId="0" borderId="0" xfId="0" applyNumberFormat="1" applyBorder="1"/>
    <xf numFmtId="0" fontId="2" fillId="0" borderId="13" xfId="0" applyFont="1" applyBorder="1"/>
    <xf numFmtId="3" fontId="0" fillId="0" borderId="0" xfId="0" applyNumberFormat="1" applyBorder="1"/>
    <xf numFmtId="9" fontId="0" fillId="0" borderId="0" xfId="0" applyNumberFormat="1" applyBorder="1"/>
    <xf numFmtId="9" fontId="0" fillId="0" borderId="13" xfId="2" applyFont="1" applyBorder="1"/>
    <xf numFmtId="10" fontId="0" fillId="0" borderId="0" xfId="2" applyNumberFormat="1" applyFont="1" applyBorder="1"/>
    <xf numFmtId="9" fontId="0" fillId="0" borderId="7" xfId="2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9" fontId="0" fillId="4" borderId="10" xfId="0" applyNumberFormat="1" applyFill="1" applyBorder="1"/>
    <xf numFmtId="9" fontId="0" fillId="4" borderId="11" xfId="0" applyNumberFormat="1" applyFill="1" applyBorder="1"/>
    <xf numFmtId="0" fontId="0" fillId="4" borderId="0" xfId="0" applyFill="1" applyBorder="1"/>
    <xf numFmtId="0" fontId="0" fillId="4" borderId="8" xfId="0" applyFill="1" applyBorder="1"/>
    <xf numFmtId="43" fontId="0" fillId="4" borderId="0" xfId="0" applyNumberFormat="1" applyFill="1" applyBorder="1"/>
    <xf numFmtId="43" fontId="0" fillId="4" borderId="8" xfId="0" applyNumberFormat="1" applyFill="1" applyBorder="1"/>
    <xf numFmtId="9" fontId="0" fillId="4" borderId="0" xfId="0" applyNumberFormat="1" applyFill="1" applyBorder="1"/>
    <xf numFmtId="9" fontId="0" fillId="4" borderId="8" xfId="0" applyNumberFormat="1" applyFill="1" applyBorder="1"/>
    <xf numFmtId="165" fontId="0" fillId="4" borderId="0" xfId="1" applyNumberFormat="1" applyFont="1" applyFill="1" applyBorder="1"/>
    <xf numFmtId="165" fontId="0" fillId="4" borderId="8" xfId="1" applyNumberFormat="1" applyFont="1" applyFill="1" applyBorder="1"/>
    <xf numFmtId="9" fontId="0" fillId="4" borderId="0" xfId="2" applyFont="1" applyFill="1" applyBorder="1"/>
    <xf numFmtId="9" fontId="0" fillId="4" borderId="8" xfId="2" applyFont="1" applyFill="1" applyBorder="1"/>
    <xf numFmtId="165" fontId="0" fillId="4" borderId="0" xfId="0" applyNumberFormat="1" applyFill="1" applyBorder="1"/>
    <xf numFmtId="165" fontId="0" fillId="4" borderId="8" xfId="0" applyNumberFormat="1" applyFill="1" applyBorder="1"/>
    <xf numFmtId="10" fontId="0" fillId="4" borderId="0" xfId="2" applyNumberFormat="1" applyFont="1" applyFill="1" applyBorder="1"/>
    <xf numFmtId="10" fontId="0" fillId="4" borderId="8" xfId="2" applyNumberFormat="1" applyFont="1" applyFill="1" applyBorder="1"/>
    <xf numFmtId="9" fontId="0" fillId="4" borderId="7" xfId="2" applyFont="1" applyFill="1" applyBorder="1"/>
    <xf numFmtId="165" fontId="0" fillId="0" borderId="10" xfId="1" applyNumberFormat="1" applyFont="1" applyBorder="1"/>
    <xf numFmtId="0" fontId="2" fillId="0" borderId="21" xfId="0" applyFont="1" applyBorder="1"/>
    <xf numFmtId="0" fontId="2" fillId="0" borderId="22" xfId="0" applyFont="1" applyBorder="1"/>
    <xf numFmtId="0" fontId="2" fillId="4" borderId="22" xfId="0" applyFont="1" applyFill="1" applyBorder="1"/>
    <xf numFmtId="0" fontId="2" fillId="4" borderId="23" xfId="0" applyFont="1" applyFill="1" applyBorder="1"/>
    <xf numFmtId="165" fontId="0" fillId="4" borderId="10" xfId="1" applyNumberFormat="1" applyFont="1" applyFill="1" applyBorder="1"/>
    <xf numFmtId="165" fontId="0" fillId="4" borderId="11" xfId="1" applyNumberFormat="1" applyFont="1" applyFill="1" applyBorder="1"/>
    <xf numFmtId="165" fontId="0" fillId="4" borderId="7" xfId="1" applyNumberFormat="1" applyFont="1" applyFill="1" applyBorder="1"/>
    <xf numFmtId="165" fontId="0" fillId="4" borderId="17" xfId="1" applyNumberFormat="1" applyFont="1" applyFill="1" applyBorder="1"/>
    <xf numFmtId="0" fontId="2" fillId="0" borderId="9" xfId="0" applyFont="1" applyBorder="1"/>
    <xf numFmtId="0" fontId="2" fillId="0" borderId="10" xfId="0" applyFont="1" applyBorder="1"/>
    <xf numFmtId="164" fontId="0" fillId="4" borderId="0" xfId="1" applyFont="1" applyFill="1" applyBorder="1"/>
    <xf numFmtId="165" fontId="0" fillId="0" borderId="0" xfId="0" applyNumberFormat="1" applyBorder="1"/>
    <xf numFmtId="10" fontId="0" fillId="4" borderId="0" xfId="0" applyNumberFormat="1" applyFill="1" applyBorder="1"/>
    <xf numFmtId="9" fontId="0" fillId="4" borderId="7" xfId="0" applyNumberFormat="1" applyFill="1" applyBorder="1"/>
    <xf numFmtId="164" fontId="0" fillId="4" borderId="8" xfId="1" applyFont="1" applyFill="1" applyBorder="1"/>
    <xf numFmtId="10" fontId="0" fillId="4" borderId="8" xfId="0" applyNumberFormat="1" applyFill="1" applyBorder="1"/>
    <xf numFmtId="9" fontId="0" fillId="4" borderId="17" xfId="0" applyNumberFormat="1" applyFill="1" applyBorder="1"/>
    <xf numFmtId="165" fontId="0" fillId="0" borderId="9" xfId="1" applyNumberFormat="1" applyFont="1" applyBorder="1"/>
    <xf numFmtId="165" fontId="0" fillId="0" borderId="13" xfId="1" applyNumberFormat="1" applyFont="1" applyBorder="1"/>
    <xf numFmtId="43" fontId="0" fillId="0" borderId="13" xfId="0" applyNumberFormat="1" applyBorder="1"/>
    <xf numFmtId="165" fontId="0" fillId="0" borderId="13" xfId="0" applyNumberFormat="1" applyBorder="1"/>
    <xf numFmtId="9" fontId="0" fillId="0" borderId="16" xfId="2" applyFont="1" applyBorder="1"/>
    <xf numFmtId="0" fontId="0" fillId="0" borderId="27" xfId="0" applyBorder="1"/>
    <xf numFmtId="0" fontId="0" fillId="0" borderId="28" xfId="0" applyBorder="1"/>
    <xf numFmtId="0" fontId="2" fillId="0" borderId="28" xfId="0" applyFont="1" applyBorder="1"/>
    <xf numFmtId="0" fontId="0" fillId="0" borderId="28" xfId="0" applyBorder="1" applyAlignment="1">
      <alignment horizontal="left" indent="1"/>
    </xf>
    <xf numFmtId="9" fontId="0" fillId="0" borderId="28" xfId="2" applyFont="1" applyBorder="1"/>
    <xf numFmtId="10" fontId="0" fillId="0" borderId="28" xfId="2" applyNumberFormat="1" applyFont="1" applyBorder="1" applyAlignment="1">
      <alignment horizontal="left" indent="1"/>
    </xf>
    <xf numFmtId="9" fontId="0" fillId="0" borderId="28" xfId="2" applyFont="1" applyBorder="1" applyAlignment="1">
      <alignment horizontal="left" indent="1"/>
    </xf>
    <xf numFmtId="9" fontId="0" fillId="0" borderId="29" xfId="2" applyFont="1" applyBorder="1" applyAlignment="1">
      <alignment horizontal="left" indent="1"/>
    </xf>
    <xf numFmtId="0" fontId="0" fillId="0" borderId="29" xfId="0" applyBorder="1"/>
    <xf numFmtId="0" fontId="19" fillId="0" borderId="0" xfId="0" applyFont="1" applyFill="1" applyAlignment="1">
      <alignment horizontal="center" vertical="center"/>
    </xf>
    <xf numFmtId="165" fontId="0" fillId="4" borderId="10" xfId="0" applyNumberFormat="1" applyFill="1" applyBorder="1"/>
    <xf numFmtId="164" fontId="0" fillId="0" borderId="0" xfId="1" applyFont="1" applyBorder="1"/>
    <xf numFmtId="43" fontId="0" fillId="0" borderId="0" xfId="1" applyNumberFormat="1" applyFont="1" applyBorder="1"/>
    <xf numFmtId="43" fontId="0" fillId="4" borderId="0" xfId="1" applyNumberFormat="1" applyFont="1" applyFill="1" applyBorder="1"/>
    <xf numFmtId="43" fontId="0" fillId="4" borderId="8" xfId="1" applyNumberFormat="1" applyFont="1" applyFill="1" applyBorder="1"/>
    <xf numFmtId="0" fontId="6" fillId="0" borderId="28" xfId="0" applyFont="1" applyBorder="1"/>
    <xf numFmtId="0" fontId="0" fillId="9" borderId="28" xfId="0" applyFont="1" applyFill="1" applyBorder="1"/>
    <xf numFmtId="0" fontId="0" fillId="9" borderId="13" xfId="0" applyFont="1" applyFill="1" applyBorder="1"/>
    <xf numFmtId="9" fontId="0" fillId="9" borderId="0" xfId="2" applyFont="1" applyFill="1" applyBorder="1"/>
    <xf numFmtId="9" fontId="0" fillId="9" borderId="0" xfId="0" applyNumberFormat="1" applyFont="1" applyFill="1" applyBorder="1"/>
    <xf numFmtId="9" fontId="0" fillId="9" borderId="8" xfId="0" applyNumberFormat="1" applyFont="1" applyFill="1" applyBorder="1"/>
    <xf numFmtId="0" fontId="2" fillId="0" borderId="27" xfId="0" applyFont="1" applyBorder="1"/>
    <xf numFmtId="0" fontId="0" fillId="4" borderId="10" xfId="0" applyFill="1" applyBorder="1"/>
    <xf numFmtId="0" fontId="0" fillId="4" borderId="11" xfId="0" applyFill="1" applyBorder="1"/>
    <xf numFmtId="3" fontId="0" fillId="4" borderId="0" xfId="0" applyNumberFormat="1" applyFill="1" applyBorder="1"/>
    <xf numFmtId="165" fontId="0" fillId="0" borderId="16" xfId="1" applyNumberFormat="1" applyFont="1" applyBorder="1"/>
    <xf numFmtId="165" fontId="0" fillId="0" borderId="14" xfId="1" applyNumberFormat="1" applyFont="1" applyBorder="1"/>
    <xf numFmtId="9" fontId="6" fillId="0" borderId="13" xfId="2" applyFont="1" applyBorder="1"/>
    <xf numFmtId="164" fontId="0" fillId="0" borderId="13" xfId="1" applyFont="1" applyBorder="1"/>
    <xf numFmtId="10" fontId="0" fillId="0" borderId="13" xfId="2" applyNumberFormat="1" applyFont="1" applyBorder="1"/>
    <xf numFmtId="165" fontId="0" fillId="0" borderId="30" xfId="1" applyNumberFormat="1" applyFont="1" applyBorder="1"/>
    <xf numFmtId="165" fontId="0" fillId="4" borderId="1" xfId="1" applyNumberFormat="1" applyFont="1" applyFill="1" applyBorder="1"/>
    <xf numFmtId="165" fontId="0" fillId="4" borderId="15" xfId="1" applyNumberFormat="1" applyFont="1" applyFill="1" applyBorder="1"/>
    <xf numFmtId="9" fontId="6" fillId="4" borderId="0" xfId="2" applyFont="1" applyFill="1" applyBorder="1"/>
    <xf numFmtId="9" fontId="6" fillId="4" borderId="8" xfId="2" applyFont="1" applyFill="1" applyBorder="1"/>
    <xf numFmtId="3" fontId="0" fillId="4" borderId="8" xfId="0" applyNumberFormat="1" applyFill="1" applyBorder="1"/>
    <xf numFmtId="3" fontId="0" fillId="4" borderId="1" xfId="0" applyNumberFormat="1" applyFill="1" applyBorder="1"/>
    <xf numFmtId="3" fontId="0" fillId="4" borderId="15" xfId="0" applyNumberFormat="1" applyFill="1" applyBorder="1"/>
    <xf numFmtId="165" fontId="0" fillId="2" borderId="0" xfId="1" applyNumberFormat="1" applyFont="1" applyFill="1" applyBorder="1"/>
    <xf numFmtId="0" fontId="0" fillId="4" borderId="7" xfId="0" applyFill="1" applyBorder="1"/>
    <xf numFmtId="0" fontId="0" fillId="4" borderId="17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8" fillId="8" borderId="0" xfId="0" applyFont="1" applyFill="1" applyAlignment="1">
      <alignment vertical="center"/>
    </xf>
    <xf numFmtId="0" fontId="18" fillId="8" borderId="7" xfId="0" applyFont="1" applyFill="1" applyBorder="1" applyAlignment="1">
      <alignment vertical="center"/>
    </xf>
    <xf numFmtId="165" fontId="0" fillId="4" borderId="6" xfId="1" applyNumberFormat="1" applyFont="1" applyFill="1" applyBorder="1"/>
    <xf numFmtId="165" fontId="0" fillId="4" borderId="19" xfId="1" applyNumberFormat="1" applyFont="1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31" xfId="0" applyFill="1" applyBorder="1"/>
    <xf numFmtId="0" fontId="0" fillId="9" borderId="33" xfId="0" applyFill="1" applyBorder="1"/>
    <xf numFmtId="0" fontId="0" fillId="9" borderId="32" xfId="0" applyFill="1" applyBorder="1"/>
    <xf numFmtId="0" fontId="11" fillId="0" borderId="0" xfId="0" applyFont="1" applyBorder="1"/>
    <xf numFmtId="3" fontId="11" fillId="0" borderId="0" xfId="0" applyNumberFormat="1" applyFont="1" applyBorder="1"/>
    <xf numFmtId="1" fontId="11" fillId="0" borderId="0" xfId="0" applyNumberFormat="1" applyFont="1" applyBorder="1"/>
    <xf numFmtId="0" fontId="11" fillId="0" borderId="21" xfId="0" applyFont="1" applyBorder="1"/>
    <xf numFmtId="0" fontId="20" fillId="0" borderId="22" xfId="0" applyFont="1" applyBorder="1"/>
    <xf numFmtId="0" fontId="20" fillId="4" borderId="22" xfId="0" applyFont="1" applyFill="1" applyBorder="1"/>
    <xf numFmtId="0" fontId="20" fillId="4" borderId="23" xfId="0" applyFont="1" applyFill="1" applyBorder="1"/>
    <xf numFmtId="3" fontId="11" fillId="4" borderId="0" xfId="0" applyNumberFormat="1" applyFont="1" applyFill="1" applyBorder="1"/>
    <xf numFmtId="3" fontId="11" fillId="4" borderId="8" xfId="0" applyNumberFormat="1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0" fontId="11" fillId="0" borderId="13" xfId="0" applyFont="1" applyBorder="1"/>
    <xf numFmtId="0" fontId="12" fillId="0" borderId="9" xfId="0" applyFont="1" applyBorder="1"/>
    <xf numFmtId="0" fontId="2" fillId="0" borderId="11" xfId="0" applyFont="1" applyBorder="1"/>
    <xf numFmtId="0" fontId="2" fillId="4" borderId="9" xfId="0" applyFont="1" applyFill="1" applyBorder="1"/>
    <xf numFmtId="0" fontId="0" fillId="4" borderId="9" xfId="0" applyFill="1" applyBorder="1"/>
    <xf numFmtId="0" fontId="0" fillId="4" borderId="13" xfId="0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1" fontId="0" fillId="4" borderId="13" xfId="0" applyNumberFormat="1" applyFill="1" applyBorder="1"/>
    <xf numFmtId="1" fontId="0" fillId="4" borderId="0" xfId="0" applyNumberFormat="1" applyFill="1" applyBorder="1"/>
    <xf numFmtId="1" fontId="0" fillId="4" borderId="8" xfId="0" applyNumberFormat="1" applyFill="1" applyBorder="1"/>
    <xf numFmtId="0" fontId="0" fillId="4" borderId="16" xfId="0" applyFill="1" applyBorder="1"/>
    <xf numFmtId="0" fontId="18" fillId="0" borderId="0" xfId="0" applyFont="1" applyFill="1" applyAlignment="1">
      <alignment vertical="center"/>
    </xf>
    <xf numFmtId="0" fontId="18" fillId="0" borderId="7" xfId="0" applyFont="1" applyFill="1" applyBorder="1" applyAlignment="1">
      <alignment vertical="center"/>
    </xf>
    <xf numFmtId="0" fontId="13" fillId="4" borderId="21" xfId="0" applyFont="1" applyFill="1" applyBorder="1"/>
    <xf numFmtId="0" fontId="13" fillId="0" borderId="13" xfId="0" applyFont="1" applyBorder="1"/>
    <xf numFmtId="0" fontId="18" fillId="0" borderId="0" xfId="0" applyFont="1" applyFill="1" applyBorder="1" applyAlignment="1">
      <alignment vertical="center"/>
    </xf>
    <xf numFmtId="0" fontId="24" fillId="4" borderId="34" xfId="0" applyFont="1" applyFill="1" applyBorder="1"/>
    <xf numFmtId="0" fontId="25" fillId="0" borderId="28" xfId="0" applyFont="1" applyBorder="1"/>
    <xf numFmtId="0" fontId="25" fillId="0" borderId="13" xfId="0" applyFont="1" applyBorder="1"/>
    <xf numFmtId="9" fontId="25" fillId="0" borderId="0" xfId="2" applyFont="1" applyBorder="1"/>
    <xf numFmtId="9" fontId="25" fillId="4" borderId="0" xfId="0" applyNumberFormat="1" applyFont="1" applyFill="1" applyBorder="1"/>
    <xf numFmtId="9" fontId="25" fillId="4" borderId="8" xfId="0" applyNumberFormat="1" applyFont="1" applyFill="1" applyBorder="1"/>
    <xf numFmtId="0" fontId="25" fillId="0" borderId="16" xfId="0" applyFont="1" applyBorder="1"/>
    <xf numFmtId="0" fontId="25" fillId="9" borderId="28" xfId="0" applyFont="1" applyFill="1" applyBorder="1"/>
    <xf numFmtId="0" fontId="25" fillId="9" borderId="13" xfId="0" applyFont="1" applyFill="1" applyBorder="1"/>
    <xf numFmtId="9" fontId="25" fillId="9" borderId="0" xfId="2" applyFont="1" applyFill="1" applyBorder="1"/>
    <xf numFmtId="9" fontId="25" fillId="9" borderId="0" xfId="0" applyNumberFormat="1" applyFont="1" applyFill="1" applyBorder="1"/>
    <xf numFmtId="9" fontId="25" fillId="9" borderId="8" xfId="0" applyNumberFormat="1" applyFont="1" applyFill="1" applyBorder="1"/>
    <xf numFmtId="0" fontId="25" fillId="9" borderId="29" xfId="0" applyFont="1" applyFill="1" applyBorder="1"/>
    <xf numFmtId="0" fontId="25" fillId="9" borderId="16" xfId="0" applyFont="1" applyFill="1" applyBorder="1"/>
    <xf numFmtId="9" fontId="25" fillId="9" borderId="7" xfId="2" applyFont="1" applyFill="1" applyBorder="1"/>
    <xf numFmtId="9" fontId="25" fillId="9" borderId="7" xfId="0" applyNumberFormat="1" applyFont="1" applyFill="1" applyBorder="1"/>
    <xf numFmtId="9" fontId="25" fillId="9" borderId="17" xfId="0" applyNumberFormat="1" applyFont="1" applyFill="1" applyBorder="1"/>
    <xf numFmtId="0" fontId="0" fillId="0" borderId="13" xfId="0" applyFill="1" applyBorder="1"/>
    <xf numFmtId="0" fontId="0" fillId="0" borderId="0" xfId="0" applyFill="1"/>
    <xf numFmtId="0" fontId="2" fillId="0" borderId="13" xfId="0" applyFont="1" applyFill="1" applyBorder="1"/>
    <xf numFmtId="0" fontId="0" fillId="0" borderId="13" xfId="0" applyFill="1" applyBorder="1" applyAlignment="1">
      <alignment horizontal="left" indent="1"/>
    </xf>
    <xf numFmtId="0" fontId="0" fillId="0" borderId="16" xfId="0" applyFill="1" applyBorder="1"/>
    <xf numFmtId="165" fontId="2" fillId="0" borderId="7" xfId="1" applyNumberFormat="1" applyFont="1" applyFill="1" applyBorder="1"/>
    <xf numFmtId="165" fontId="2" fillId="4" borderId="8" xfId="1" applyNumberFormat="1" applyFont="1" applyFill="1" applyBorder="1"/>
    <xf numFmtId="165" fontId="2" fillId="4" borderId="7" xfId="1" applyNumberFormat="1" applyFont="1" applyFill="1" applyBorder="1"/>
    <xf numFmtId="165" fontId="2" fillId="4" borderId="17" xfId="1" applyNumberFormat="1" applyFont="1" applyFill="1" applyBorder="1"/>
    <xf numFmtId="0" fontId="23" fillId="0" borderId="21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23" fillId="4" borderId="23" xfId="0" applyFont="1" applyFill="1" applyBorder="1" applyAlignment="1">
      <alignment horizontal="center"/>
    </xf>
    <xf numFmtId="9" fontId="0" fillId="0" borderId="9" xfId="0" applyNumberFormat="1" applyBorder="1"/>
    <xf numFmtId="10" fontId="0" fillId="0" borderId="13" xfId="0" applyNumberFormat="1" applyBorder="1"/>
    <xf numFmtId="9" fontId="0" fillId="0" borderId="13" xfId="0" applyNumberFormat="1" applyBorder="1"/>
    <xf numFmtId="9" fontId="0" fillId="4" borderId="17" xfId="2" applyFont="1" applyFill="1" applyBorder="1"/>
    <xf numFmtId="165" fontId="0" fillId="0" borderId="11" xfId="1" applyNumberFormat="1" applyFont="1" applyBorder="1"/>
    <xf numFmtId="165" fontId="0" fillId="4" borderId="11" xfId="0" applyNumberFormat="1" applyFill="1" applyBorder="1"/>
    <xf numFmtId="165" fontId="0" fillId="0" borderId="13" xfId="1" applyNumberFormat="1" applyFont="1" applyFill="1" applyBorder="1"/>
    <xf numFmtId="43" fontId="0" fillId="0" borderId="13" xfId="1" applyNumberFormat="1" applyFont="1" applyBorder="1"/>
    <xf numFmtId="0" fontId="0" fillId="0" borderId="9" xfId="0" applyFill="1" applyBorder="1"/>
    <xf numFmtId="0" fontId="0" fillId="0" borderId="10" xfId="0" applyFill="1" applyBorder="1"/>
    <xf numFmtId="165" fontId="2" fillId="0" borderId="13" xfId="1" applyNumberFormat="1" applyFont="1" applyFill="1" applyBorder="1"/>
    <xf numFmtId="165" fontId="2" fillId="0" borderId="0" xfId="1" applyNumberFormat="1" applyFont="1" applyFill="1" applyBorder="1"/>
    <xf numFmtId="165" fontId="2" fillId="4" borderId="0" xfId="1" applyNumberFormat="1" applyFont="1" applyFill="1" applyBorder="1"/>
    <xf numFmtId="10" fontId="0" fillId="0" borderId="0" xfId="2" applyNumberFormat="1" applyFont="1" applyFill="1" applyBorder="1"/>
    <xf numFmtId="0" fontId="0" fillId="0" borderId="0" xfId="0" applyFill="1" applyBorder="1"/>
    <xf numFmtId="165" fontId="2" fillId="0" borderId="16" xfId="1" applyNumberFormat="1" applyFont="1" applyFill="1" applyBorder="1"/>
    <xf numFmtId="1" fontId="0" fillId="4" borderId="18" xfId="0" applyNumberFormat="1" applyFill="1" applyBorder="1"/>
    <xf numFmtId="1" fontId="0" fillId="4" borderId="6" xfId="0" applyNumberFormat="1" applyFill="1" applyBorder="1"/>
    <xf numFmtId="1" fontId="0" fillId="4" borderId="19" xfId="0" applyNumberFormat="1" applyFill="1" applyBorder="1"/>
    <xf numFmtId="0" fontId="2" fillId="0" borderId="23" xfId="0" applyFont="1" applyBorder="1"/>
    <xf numFmtId="0" fontId="25" fillId="0" borderId="0" xfId="0" applyFont="1"/>
    <xf numFmtId="0" fontId="25" fillId="4" borderId="0" xfId="0" applyFont="1" applyFill="1"/>
    <xf numFmtId="17" fontId="25" fillId="4" borderId="0" xfId="0" applyNumberFormat="1" applyFont="1" applyFill="1" applyAlignment="1">
      <alignment horizontal="right"/>
    </xf>
    <xf numFmtId="164" fontId="25" fillId="4" borderId="0" xfId="1" applyFont="1" applyFill="1" applyAlignment="1">
      <alignment horizontal="right"/>
    </xf>
    <xf numFmtId="4" fontId="25" fillId="4" borderId="0" xfId="0" applyNumberFormat="1" applyFont="1" applyFill="1"/>
    <xf numFmtId="17" fontId="25" fillId="4" borderId="0" xfId="0" applyNumberFormat="1" applyFont="1" applyFill="1"/>
    <xf numFmtId="10" fontId="25" fillId="4" borderId="0" xfId="2" applyNumberFormat="1" applyFont="1" applyFill="1"/>
    <xf numFmtId="164" fontId="25" fillId="4" borderId="0" xfId="1" applyFont="1" applyFill="1"/>
    <xf numFmtId="43" fontId="25" fillId="4" borderId="0" xfId="0" applyNumberFormat="1" applyFont="1" applyFill="1"/>
    <xf numFmtId="10" fontId="25" fillId="4" borderId="0" xfId="0" applyNumberFormat="1" applyFont="1" applyFill="1"/>
    <xf numFmtId="0" fontId="25" fillId="2" borderId="0" xfId="0" applyFont="1" applyFill="1"/>
    <xf numFmtId="0" fontId="26" fillId="2" borderId="0" xfId="3" applyFont="1" applyFill="1"/>
    <xf numFmtId="9" fontId="0" fillId="0" borderId="13" xfId="2" applyFont="1" applyBorder="1" applyAlignment="1">
      <alignment horizontal="left" indent="1"/>
    </xf>
    <xf numFmtId="9" fontId="22" fillId="4" borderId="0" xfId="2" applyFont="1" applyFill="1" applyBorder="1"/>
    <xf numFmtId="9" fontId="22" fillId="0" borderId="0" xfId="2" applyFont="1" applyFill="1" applyBorder="1"/>
    <xf numFmtId="9" fontId="22" fillId="4" borderId="3" xfId="2" applyFont="1" applyFill="1" applyBorder="1"/>
    <xf numFmtId="9" fontId="22" fillId="0" borderId="2" xfId="2" applyFont="1" applyFill="1" applyBorder="1"/>
    <xf numFmtId="164" fontId="0" fillId="0" borderId="13" xfId="1" applyNumberFormat="1" applyFont="1" applyBorder="1"/>
    <xf numFmtId="164" fontId="0" fillId="0" borderId="0" xfId="1" applyNumberFormat="1" applyFont="1" applyBorder="1"/>
    <xf numFmtId="164" fontId="0" fillId="4" borderId="0" xfId="1" applyNumberFormat="1" applyFont="1" applyFill="1" applyBorder="1"/>
    <xf numFmtId="164" fontId="0" fillId="4" borderId="8" xfId="1" applyNumberFormat="1" applyFont="1" applyFill="1" applyBorder="1"/>
    <xf numFmtId="165" fontId="25" fillId="0" borderId="28" xfId="1" applyNumberFormat="1" applyFont="1" applyBorder="1"/>
    <xf numFmtId="9" fontId="25" fillId="0" borderId="13" xfId="2" applyFont="1" applyBorder="1"/>
    <xf numFmtId="165" fontId="25" fillId="0" borderId="13" xfId="1" applyNumberFormat="1" applyFont="1" applyBorder="1"/>
    <xf numFmtId="165" fontId="25" fillId="0" borderId="0" xfId="1" applyNumberFormat="1" applyFont="1" applyBorder="1"/>
    <xf numFmtId="165" fontId="25" fillId="0" borderId="3" xfId="1" applyNumberFormat="1" applyFont="1" applyBorder="1"/>
    <xf numFmtId="165" fontId="25" fillId="4" borderId="0" xfId="0" applyNumberFormat="1" applyFont="1" applyFill="1" applyBorder="1"/>
    <xf numFmtId="165" fontId="25" fillId="4" borderId="8" xfId="0" applyNumberFormat="1" applyFont="1" applyFill="1" applyBorder="1"/>
    <xf numFmtId="10" fontId="25" fillId="0" borderId="13" xfId="2" applyNumberFormat="1" applyFont="1" applyBorder="1"/>
    <xf numFmtId="10" fontId="25" fillId="0" borderId="0" xfId="2" applyNumberFormat="1" applyFont="1" applyBorder="1"/>
    <xf numFmtId="10" fontId="25" fillId="4" borderId="0" xfId="2" applyNumberFormat="1" applyFont="1" applyFill="1" applyBorder="1"/>
    <xf numFmtId="10" fontId="25" fillId="4" borderId="8" xfId="2" applyNumberFormat="1" applyFont="1" applyFill="1" applyBorder="1"/>
    <xf numFmtId="3" fontId="25" fillId="0" borderId="0" xfId="0" applyNumberFormat="1" applyFont="1" applyBorder="1"/>
    <xf numFmtId="165" fontId="25" fillId="4" borderId="0" xfId="1" applyNumberFormat="1" applyFont="1" applyFill="1" applyBorder="1"/>
    <xf numFmtId="165" fontId="25" fillId="4" borderId="8" xfId="1" applyNumberFormat="1" applyFont="1" applyFill="1" applyBorder="1"/>
    <xf numFmtId="165" fontId="25" fillId="0" borderId="14" xfId="1" applyNumberFormat="1" applyFont="1" applyBorder="1"/>
    <xf numFmtId="165" fontId="25" fillId="0" borderId="1" xfId="1" applyNumberFormat="1" applyFont="1" applyBorder="1"/>
    <xf numFmtId="165" fontId="25" fillId="4" borderId="1" xfId="1" applyNumberFormat="1" applyFont="1" applyFill="1" applyBorder="1"/>
    <xf numFmtId="165" fontId="25" fillId="4" borderId="15" xfId="1" applyNumberFormat="1" applyFont="1" applyFill="1" applyBorder="1"/>
    <xf numFmtId="9" fontId="25" fillId="4" borderId="0" xfId="2" applyFont="1" applyFill="1" applyBorder="1"/>
    <xf numFmtId="9" fontId="25" fillId="4" borderId="8" xfId="2" applyFont="1" applyFill="1" applyBorder="1"/>
    <xf numFmtId="0" fontId="25" fillId="0" borderId="27" xfId="0" applyFont="1" applyBorder="1"/>
    <xf numFmtId="0" fontId="29" fillId="0" borderId="21" xfId="0" applyFont="1" applyBorder="1"/>
    <xf numFmtId="0" fontId="29" fillId="0" borderId="22" xfId="0" applyFont="1" applyBorder="1"/>
    <xf numFmtId="0" fontId="29" fillId="4" borderId="22" xfId="0" applyFont="1" applyFill="1" applyBorder="1"/>
    <xf numFmtId="0" fontId="29" fillId="4" borderId="23" xfId="0" applyFont="1" applyFill="1" applyBorder="1"/>
    <xf numFmtId="0" fontId="25" fillId="0" borderId="9" xfId="0" applyFont="1" applyBorder="1"/>
    <xf numFmtId="0" fontId="25" fillId="0" borderId="10" xfId="0" applyFont="1" applyBorder="1"/>
    <xf numFmtId="0" fontId="25" fillId="4" borderId="10" xfId="0" applyFont="1" applyFill="1" applyBorder="1"/>
    <xf numFmtId="0" fontId="25" fillId="4" borderId="11" xfId="0" applyFont="1" applyFill="1" applyBorder="1"/>
    <xf numFmtId="0" fontId="25" fillId="0" borderId="0" xfId="0" applyFont="1" applyBorder="1"/>
    <xf numFmtId="0" fontId="25" fillId="4" borderId="0" xfId="0" applyFont="1" applyFill="1" applyBorder="1"/>
    <xf numFmtId="0" fontId="25" fillId="4" borderId="8" xfId="0" applyFont="1" applyFill="1" applyBorder="1"/>
    <xf numFmtId="43" fontId="25" fillId="0" borderId="13" xfId="0" applyNumberFormat="1" applyFont="1" applyBorder="1"/>
    <xf numFmtId="165" fontId="25" fillId="0" borderId="0" xfId="0" applyNumberFormat="1" applyFont="1" applyBorder="1"/>
    <xf numFmtId="165" fontId="25" fillId="0" borderId="13" xfId="0" applyNumberFormat="1" applyFont="1" applyBorder="1"/>
    <xf numFmtId="3" fontId="25" fillId="0" borderId="14" xfId="0" applyNumberFormat="1" applyFont="1" applyBorder="1"/>
    <xf numFmtId="3" fontId="25" fillId="0" borderId="1" xfId="0" applyNumberFormat="1" applyFont="1" applyBorder="1"/>
    <xf numFmtId="165" fontId="25" fillId="0" borderId="28" xfId="1" applyNumberFormat="1" applyFont="1" applyBorder="1" applyAlignment="1">
      <alignment horizontal="left" indent="1"/>
    </xf>
    <xf numFmtId="165" fontId="25" fillId="0" borderId="28" xfId="1" applyNumberFormat="1" applyFont="1" applyBorder="1" applyAlignment="1"/>
    <xf numFmtId="164" fontId="25" fillId="0" borderId="0" xfId="1" applyFont="1" applyBorder="1"/>
    <xf numFmtId="43" fontId="25" fillId="4" borderId="0" xfId="0" applyNumberFormat="1" applyFont="1" applyFill="1" applyBorder="1"/>
    <xf numFmtId="43" fontId="25" fillId="4" borderId="8" xfId="0" applyNumberFormat="1" applyFont="1" applyFill="1" applyBorder="1"/>
    <xf numFmtId="165" fontId="30" fillId="0" borderId="28" xfId="1" applyNumberFormat="1" applyFont="1" applyBorder="1"/>
    <xf numFmtId="3" fontId="25" fillId="4" borderId="0" xfId="0" applyNumberFormat="1" applyFont="1" applyFill="1" applyBorder="1"/>
    <xf numFmtId="3" fontId="25" fillId="4" borderId="8" xfId="0" applyNumberFormat="1" applyFont="1" applyFill="1" applyBorder="1"/>
    <xf numFmtId="3" fontId="25" fillId="4" borderId="1" xfId="0" applyNumberFormat="1" applyFont="1" applyFill="1" applyBorder="1"/>
    <xf numFmtId="3" fontId="25" fillId="4" borderId="15" xfId="0" applyNumberFormat="1" applyFont="1" applyFill="1" applyBorder="1"/>
    <xf numFmtId="165" fontId="25" fillId="0" borderId="14" xfId="0" applyNumberFormat="1" applyFont="1" applyBorder="1"/>
    <xf numFmtId="165" fontId="25" fillId="0" borderId="1" xfId="0" applyNumberFormat="1" applyFont="1" applyBorder="1"/>
    <xf numFmtId="165" fontId="25" fillId="4" borderId="1" xfId="0" applyNumberFormat="1" applyFont="1" applyFill="1" applyBorder="1"/>
    <xf numFmtId="165" fontId="25" fillId="4" borderId="15" xfId="0" applyNumberFormat="1" applyFont="1" applyFill="1" applyBorder="1"/>
    <xf numFmtId="3" fontId="25" fillId="0" borderId="13" xfId="0" applyNumberFormat="1" applyFont="1" applyBorder="1"/>
    <xf numFmtId="164" fontId="25" fillId="0" borderId="13" xfId="1" applyFont="1" applyBorder="1"/>
    <xf numFmtId="165" fontId="25" fillId="0" borderId="0" xfId="1" applyNumberFormat="1" applyFont="1" applyFill="1" applyBorder="1"/>
    <xf numFmtId="43" fontId="25" fillId="0" borderId="0" xfId="0" applyNumberFormat="1" applyFont="1" applyBorder="1"/>
    <xf numFmtId="43" fontId="25" fillId="0" borderId="14" xfId="0" applyNumberFormat="1" applyFont="1" applyBorder="1"/>
    <xf numFmtId="43" fontId="25" fillId="0" borderId="1" xfId="0" applyNumberFormat="1" applyFont="1" applyBorder="1"/>
    <xf numFmtId="165" fontId="25" fillId="0" borderId="30" xfId="1" applyNumberFormat="1" applyFont="1" applyBorder="1"/>
    <xf numFmtId="165" fontId="25" fillId="0" borderId="4" xfId="1" applyNumberFormat="1" applyFont="1" applyBorder="1"/>
    <xf numFmtId="165" fontId="25" fillId="0" borderId="5" xfId="1" applyNumberFormat="1" applyFont="1" applyBorder="1"/>
    <xf numFmtId="165" fontId="25" fillId="0" borderId="29" xfId="1" applyNumberFormat="1" applyFont="1" applyBorder="1"/>
    <xf numFmtId="0" fontId="25" fillId="0" borderId="7" xfId="0" applyFont="1" applyBorder="1"/>
    <xf numFmtId="43" fontId="25" fillId="4" borderId="7" xfId="0" applyNumberFormat="1" applyFont="1" applyFill="1" applyBorder="1"/>
    <xf numFmtId="43" fontId="25" fillId="4" borderId="17" xfId="0" applyNumberFormat="1" applyFont="1" applyFill="1" applyBorder="1"/>
    <xf numFmtId="0" fontId="11" fillId="0" borderId="9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wrapText="1"/>
    </xf>
    <xf numFmtId="0" fontId="11" fillId="0" borderId="16" xfId="0" applyFont="1" applyBorder="1" applyAlignment="1">
      <alignment wrapText="1"/>
    </xf>
    <xf numFmtId="0" fontId="11" fillId="0" borderId="9" xfId="0" applyFont="1" applyBorder="1"/>
    <xf numFmtId="3" fontId="11" fillId="0" borderId="10" xfId="0" applyNumberFormat="1" applyFont="1" applyBorder="1"/>
    <xf numFmtId="3" fontId="11" fillId="4" borderId="10" xfId="0" applyNumberFormat="1" applyFont="1" applyFill="1" applyBorder="1"/>
    <xf numFmtId="3" fontId="11" fillId="4" borderId="11" xfId="0" applyNumberFormat="1" applyFont="1" applyFill="1" applyBorder="1"/>
    <xf numFmtId="10" fontId="0" fillId="0" borderId="11" xfId="2" applyNumberFormat="1" applyFont="1" applyBorder="1"/>
    <xf numFmtId="0" fontId="2" fillId="0" borderId="0" xfId="0" applyFont="1" applyFill="1"/>
    <xf numFmtId="0" fontId="17" fillId="0" borderId="0" xfId="0" applyFont="1" applyFill="1"/>
    <xf numFmtId="3" fontId="0" fillId="0" borderId="0" xfId="0" applyNumberFormat="1" applyFill="1"/>
    <xf numFmtId="168" fontId="0" fillId="0" borderId="0" xfId="0" applyNumberFormat="1" applyFill="1"/>
    <xf numFmtId="1" fontId="0" fillId="0" borderId="0" xfId="0" applyNumberFormat="1" applyFill="1"/>
    <xf numFmtId="165" fontId="0" fillId="0" borderId="35" xfId="1" applyNumberFormat="1" applyFont="1" applyBorder="1"/>
    <xf numFmtId="0" fontId="18" fillId="8" borderId="0" xfId="0" applyFont="1" applyFill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8" fillId="6" borderId="7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7" borderId="11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SA%20Project%20aliy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Muhammad%20Adeel%20Kamran%2014202%20Colgate%20Palmolive%20Mod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Prices"/>
      <sheetName val="Sales&amp;Dispatches"/>
      <sheetName val="COGS"/>
      <sheetName val="Selling&amp;Admin"/>
      <sheetName val="N.PNL"/>
      <sheetName val="PNL"/>
      <sheetName val="Finance schedule"/>
      <sheetName val="Fixed Assets"/>
      <sheetName val="N.BS"/>
      <sheetName val="BS"/>
      <sheetName val="Valuation"/>
      <sheetName val="Workings "/>
      <sheetName val="Ratios"/>
      <sheetName val="Returns"/>
      <sheetName val="CF"/>
    </sheetNames>
    <sheetDataSet>
      <sheetData sheetId="0">
        <row r="5">
          <cell r="G5">
            <v>0.09</v>
          </cell>
          <cell r="H5">
            <v>0.08</v>
          </cell>
          <cell r="I5">
            <v>7.0000000000000007E-2</v>
          </cell>
        </row>
      </sheetData>
      <sheetData sheetId="1"/>
      <sheetData sheetId="2">
        <row r="5">
          <cell r="C5">
            <v>17937745206</v>
          </cell>
          <cell r="D5">
            <v>19060000817</v>
          </cell>
          <cell r="E5">
            <v>22175710169</v>
          </cell>
          <cell r="F5">
            <v>19307319411</v>
          </cell>
        </row>
        <row r="8">
          <cell r="C8">
            <v>2976535619</v>
          </cell>
          <cell r="D8">
            <v>3248835985</v>
          </cell>
          <cell r="E8">
            <v>3702082792</v>
          </cell>
          <cell r="F8">
            <v>3304788672</v>
          </cell>
        </row>
        <row r="12">
          <cell r="B12">
            <v>14019842677</v>
          </cell>
          <cell r="C12">
            <v>13540304600</v>
          </cell>
          <cell r="D12">
            <v>13438843026</v>
          </cell>
          <cell r="E12">
            <v>15645648712</v>
          </cell>
          <cell r="F12">
            <v>11300240540</v>
          </cell>
        </row>
      </sheetData>
      <sheetData sheetId="3">
        <row r="5">
          <cell r="B5">
            <v>602370152</v>
          </cell>
          <cell r="C5">
            <v>634199345</v>
          </cell>
          <cell r="D5">
            <v>622532602</v>
          </cell>
          <cell r="E5">
            <v>736418010</v>
          </cell>
          <cell r="F5">
            <v>744257713</v>
          </cell>
        </row>
        <row r="6">
          <cell r="B6">
            <v>872942567</v>
          </cell>
          <cell r="C6">
            <v>694095986</v>
          </cell>
          <cell r="D6">
            <v>780619889</v>
          </cell>
          <cell r="E6">
            <v>1132282259</v>
          </cell>
          <cell r="F6">
            <v>1145245744</v>
          </cell>
        </row>
        <row r="20">
          <cell r="B20">
            <v>7786073803</v>
          </cell>
          <cell r="C20">
            <v>8062950677</v>
          </cell>
          <cell r="D20">
            <v>8886889943</v>
          </cell>
          <cell r="E20">
            <v>11751781035</v>
          </cell>
          <cell r="F20">
            <v>12201408195</v>
          </cell>
        </row>
        <row r="24">
          <cell r="B24">
            <v>7548281388</v>
          </cell>
          <cell r="C24">
            <v>7764935458</v>
          </cell>
          <cell r="D24">
            <v>9098991679</v>
          </cell>
          <cell r="E24">
            <v>11650881588</v>
          </cell>
          <cell r="F24">
            <v>12129319406</v>
          </cell>
        </row>
      </sheetData>
      <sheetData sheetId="4">
        <row r="16">
          <cell r="B16">
            <v>26141810</v>
          </cell>
          <cell r="C16">
            <v>29531133</v>
          </cell>
          <cell r="D16">
            <v>31879318</v>
          </cell>
        </row>
        <row r="17">
          <cell r="B17">
            <v>73899865</v>
          </cell>
          <cell r="C17">
            <v>43111000</v>
          </cell>
        </row>
      </sheetData>
      <sheetData sheetId="5">
        <row r="29">
          <cell r="B29">
            <v>3856644</v>
          </cell>
        </row>
        <row r="40">
          <cell r="A40" t="str">
            <v xml:space="preserve">Workers’ Profit Participation Fund as % of GP </v>
          </cell>
        </row>
        <row r="41">
          <cell r="A41" t="str">
            <v>Workers’ Welfare Fund</v>
          </cell>
        </row>
        <row r="46">
          <cell r="H46">
            <v>502593132.4239375</v>
          </cell>
          <cell r="I46">
            <v>385674555.39452851</v>
          </cell>
        </row>
      </sheetData>
      <sheetData sheetId="6">
        <row r="8">
          <cell r="C8">
            <v>6496564844</v>
          </cell>
          <cell r="D8">
            <v>5827367917</v>
          </cell>
          <cell r="E8">
            <v>4325360845</v>
          </cell>
          <cell r="F8">
            <v>4173146333</v>
          </cell>
          <cell r="G8">
            <v>-24320312</v>
          </cell>
          <cell r="I8">
            <v>1573452183.6516533</v>
          </cell>
          <cell r="J8">
            <v>1413130266.9050484</v>
          </cell>
        </row>
      </sheetData>
      <sheetData sheetId="7">
        <row r="7">
          <cell r="G7">
            <v>1099876562.5263157</v>
          </cell>
          <cell r="H7">
            <v>855459548.63157892</v>
          </cell>
          <cell r="I7">
            <v>611042534.73684216</v>
          </cell>
        </row>
        <row r="16">
          <cell r="G16">
            <v>146250000</v>
          </cell>
          <cell r="H16">
            <v>48750000</v>
          </cell>
          <cell r="I16">
            <v>0</v>
          </cell>
        </row>
        <row r="17">
          <cell r="G17">
            <v>97500000</v>
          </cell>
          <cell r="H17">
            <v>48750000</v>
          </cell>
          <cell r="I17">
            <v>0</v>
          </cell>
        </row>
      </sheetData>
      <sheetData sheetId="8">
        <row r="28">
          <cell r="B28">
            <v>433984642</v>
          </cell>
        </row>
      </sheetData>
      <sheetData sheetId="9">
        <row r="7">
          <cell r="B7">
            <v>3000000000</v>
          </cell>
        </row>
        <row r="46">
          <cell r="H46">
            <v>2865262945.2318621</v>
          </cell>
          <cell r="I46">
            <v>1916712970.8776393</v>
          </cell>
        </row>
        <row r="57">
          <cell r="H57">
            <v>2036100</v>
          </cell>
          <cell r="I57">
            <v>2036100</v>
          </cell>
        </row>
        <row r="95">
          <cell r="A95" t="str">
            <v xml:space="preserve">WPPF paid as % of balance </v>
          </cell>
        </row>
        <row r="102">
          <cell r="A102" t="str">
            <v xml:space="preserve">WWF paid as % of balance </v>
          </cell>
        </row>
        <row r="148">
          <cell r="A148" t="str">
            <v xml:space="preserve">Long term deposits as % of COGM </v>
          </cell>
        </row>
        <row r="162">
          <cell r="A162" t="str">
            <v>Stores, spares and loose tools as % of sales</v>
          </cell>
        </row>
        <row r="170">
          <cell r="A170" t="str">
            <v>Raw materials as % of raw materials consumed</v>
          </cell>
        </row>
        <row r="171">
          <cell r="A171" t="str">
            <v xml:space="preserve">Packing materials as % of packing materials consumed </v>
          </cell>
        </row>
        <row r="172">
          <cell r="A172" t="str">
            <v xml:space="preserve">Work in process as % of cost of production </v>
          </cell>
        </row>
        <row r="173">
          <cell r="A173" t="str">
            <v>Finished goods as % of cost of goods manufactured</v>
          </cell>
        </row>
        <row r="179">
          <cell r="A179" t="str">
            <v>Trade debts as % of sales</v>
          </cell>
        </row>
        <row r="185">
          <cell r="A185" t="str">
            <v xml:space="preserve">Provision as % of trade debts </v>
          </cell>
        </row>
        <row r="196">
          <cell r="A196" t="str">
            <v xml:space="preserve">Cash and bank balances as % of current assets </v>
          </cell>
        </row>
      </sheetData>
      <sheetData sheetId="10">
        <row r="21">
          <cell r="B21">
            <v>2335004016</v>
          </cell>
        </row>
        <row r="42">
          <cell r="B42">
            <v>1452649245</v>
          </cell>
          <cell r="C42">
            <v>1333176562</v>
          </cell>
          <cell r="D42">
            <v>2119531149</v>
          </cell>
          <cell r="E42">
            <v>1410927789</v>
          </cell>
          <cell r="F42">
            <v>2250156437</v>
          </cell>
        </row>
        <row r="43">
          <cell r="B43">
            <v>628906348</v>
          </cell>
          <cell r="C43">
            <v>949142281</v>
          </cell>
          <cell r="D43">
            <v>658728524</v>
          </cell>
          <cell r="E43">
            <v>709231912</v>
          </cell>
          <cell r="F43">
            <v>1016024223</v>
          </cell>
        </row>
        <row r="44">
          <cell r="B44">
            <v>258810589</v>
          </cell>
          <cell r="C44">
            <v>343775970</v>
          </cell>
          <cell r="D44">
            <v>645524139</v>
          </cell>
          <cell r="E44">
            <v>714060503</v>
          </cell>
          <cell r="F44">
            <v>494315206</v>
          </cell>
        </row>
        <row r="45">
          <cell r="B45">
            <v>5563776412</v>
          </cell>
          <cell r="C45">
            <v>5219113317</v>
          </cell>
          <cell r="D45">
            <v>5159792050</v>
          </cell>
          <cell r="E45">
            <v>1947138780</v>
          </cell>
          <cell r="F45">
            <v>160130600</v>
          </cell>
        </row>
        <row r="46">
          <cell r="B46">
            <v>693851340</v>
          </cell>
          <cell r="C46">
            <v>587907314</v>
          </cell>
          <cell r="D46">
            <v>887836716</v>
          </cell>
          <cell r="E46">
            <v>391017347</v>
          </cell>
          <cell r="F46">
            <v>425391226</v>
          </cell>
        </row>
        <row r="47">
          <cell r="B47">
            <v>146747362</v>
          </cell>
          <cell r="C47">
            <v>0</v>
          </cell>
          <cell r="D47">
            <v>111221602</v>
          </cell>
          <cell r="E47">
            <v>0</v>
          </cell>
          <cell r="F47">
            <v>120432026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of"/>
      <sheetName val="Assumptions"/>
      <sheetName val="Regression"/>
      <sheetName val="IS"/>
      <sheetName val="BS"/>
      <sheetName val="CF"/>
      <sheetName val="Fixed Asset Schedule"/>
      <sheetName val="Amortization Schedule"/>
      <sheetName val="Finance Schedule"/>
      <sheetName val="Stock prices"/>
      <sheetName val="Market Prices"/>
      <sheetName val="Valuation"/>
    </sheetNames>
    <sheetDataSet>
      <sheetData sheetId="0" refreshError="1"/>
      <sheetData sheetId="1" refreshError="1">
        <row r="5">
          <cell r="D5">
            <v>31174591</v>
          </cell>
          <cell r="E5">
            <v>33135291</v>
          </cell>
          <cell r="F5">
            <v>37498961</v>
          </cell>
          <cell r="G5">
            <v>41421811</v>
          </cell>
          <cell r="H5">
            <v>48718781</v>
          </cell>
          <cell r="I5">
            <v>43379632.330096692</v>
          </cell>
          <cell r="J5">
            <v>33748578.08543051</v>
          </cell>
          <cell r="K5">
            <v>33434726.527396217</v>
          </cell>
          <cell r="L5">
            <v>33120874.969361924</v>
          </cell>
          <cell r="M5">
            <v>32807023.41132763</v>
          </cell>
        </row>
        <row r="16">
          <cell r="D16">
            <v>2991279</v>
          </cell>
          <cell r="E16">
            <v>2835686</v>
          </cell>
          <cell r="F16">
            <v>2992307</v>
          </cell>
          <cell r="G16">
            <v>3341903</v>
          </cell>
          <cell r="H16">
            <v>3722303</v>
          </cell>
        </row>
        <row r="45">
          <cell r="D45">
            <v>9089568</v>
          </cell>
          <cell r="E45">
            <v>8891207</v>
          </cell>
          <cell r="F45">
            <v>10193599</v>
          </cell>
          <cell r="G45">
            <v>12448833</v>
          </cell>
          <cell r="H45">
            <v>16508353</v>
          </cell>
        </row>
        <row r="51">
          <cell r="D51">
            <v>2818632</v>
          </cell>
          <cell r="E51">
            <v>2955127</v>
          </cell>
          <cell r="F51">
            <v>3260729</v>
          </cell>
          <cell r="G51">
            <v>3602560</v>
          </cell>
          <cell r="H51">
            <v>4187228</v>
          </cell>
        </row>
        <row r="57">
          <cell r="D57">
            <v>86070</v>
          </cell>
          <cell r="E57">
            <v>73960</v>
          </cell>
          <cell r="F57">
            <v>105705</v>
          </cell>
          <cell r="G57">
            <v>128173</v>
          </cell>
          <cell r="H57">
            <v>162614</v>
          </cell>
        </row>
        <row r="443">
          <cell r="I443">
            <v>1814503.6099519355</v>
          </cell>
          <cell r="J443">
            <v>1026672.5087524711</v>
          </cell>
          <cell r="K443">
            <v>126893.5946991409</v>
          </cell>
          <cell r="L443">
            <v>15672.33316254626</v>
          </cell>
          <cell r="M443">
            <v>18967.844779933483</v>
          </cell>
        </row>
      </sheetData>
      <sheetData sheetId="2" refreshError="1"/>
      <sheetData sheetId="3" refreshError="1">
        <row r="4">
          <cell r="B4">
            <v>31174591</v>
          </cell>
        </row>
        <row r="18">
          <cell r="G18">
            <v>27231.199999999997</v>
          </cell>
          <cell r="H18">
            <v>28595.439999999999</v>
          </cell>
          <cell r="I18">
            <v>29619.327999999998</v>
          </cell>
          <cell r="J18">
            <v>30636.393599999999</v>
          </cell>
          <cell r="K18">
            <v>30915.672319999998</v>
          </cell>
        </row>
        <row r="22">
          <cell r="K22">
            <v>1355158.7808746598</v>
          </cell>
        </row>
        <row r="25">
          <cell r="G25">
            <v>0.29458324183686418</v>
          </cell>
          <cell r="H25">
            <v>0.29711845942351423</v>
          </cell>
          <cell r="I25">
            <v>0.29506685190001475</v>
          </cell>
          <cell r="J25">
            <v>0.2953299934255153</v>
          </cell>
          <cell r="K25">
            <v>0.29566410802888193</v>
          </cell>
        </row>
      </sheetData>
      <sheetData sheetId="4" refreshError="1">
        <row r="23">
          <cell r="K23">
            <v>1861162.38626966</v>
          </cell>
        </row>
        <row r="33">
          <cell r="K33">
            <v>575459</v>
          </cell>
        </row>
        <row r="34">
          <cell r="K34">
            <v>12650593.47552</v>
          </cell>
        </row>
      </sheetData>
      <sheetData sheetId="5" refreshError="1">
        <row r="15">
          <cell r="G15">
            <v>-482930.68000000005</v>
          </cell>
          <cell r="H15">
            <v>-606021.48</v>
          </cell>
          <cell r="I15">
            <v>-743948.48108800012</v>
          </cell>
          <cell r="J15">
            <v>-887871.06701568002</v>
          </cell>
          <cell r="K15">
            <v>-1041634.9329605633</v>
          </cell>
        </row>
        <row r="18">
          <cell r="G18">
            <v>40502.6</v>
          </cell>
          <cell r="H18">
            <v>43702.92</v>
          </cell>
          <cell r="I18">
            <v>39843.304000000004</v>
          </cell>
          <cell r="J18">
            <v>43822.164800000006</v>
          </cell>
          <cell r="K18">
            <v>47620.197760000003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2">
          <cell r="F2">
            <v>41910.9</v>
          </cell>
          <cell r="O2">
            <v>0.11385000000000001</v>
          </cell>
        </row>
        <row r="18">
          <cell r="V18">
            <v>0.10228072514577198</v>
          </cell>
        </row>
        <row r="154">
          <cell r="F154">
            <v>33901.58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D9"/>
  <sheetViews>
    <sheetView workbookViewId="0">
      <selection activeCell="D11" sqref="D11"/>
    </sheetView>
  </sheetViews>
  <sheetFormatPr defaultRowHeight="15"/>
  <cols>
    <col min="4" max="4" width="55.7109375" bestFit="1" customWidth="1"/>
  </cols>
  <sheetData>
    <row r="3" spans="4:4" ht="23.25">
      <c r="D3" s="224" t="s">
        <v>1720</v>
      </c>
    </row>
    <row r="4" spans="4:4" ht="23.25">
      <c r="D4" s="224" t="s">
        <v>1721</v>
      </c>
    </row>
    <row r="5" spans="4:4" ht="23.25">
      <c r="D5" s="224" t="s">
        <v>1722</v>
      </c>
    </row>
    <row r="6" spans="4:4" ht="23.25">
      <c r="D6" s="224" t="s">
        <v>1723</v>
      </c>
    </row>
    <row r="7" spans="4:4" ht="23.25">
      <c r="D7" s="224" t="s">
        <v>1724</v>
      </c>
    </row>
    <row r="8" spans="4:4" ht="23.25">
      <c r="D8" s="224" t="s">
        <v>1725</v>
      </c>
    </row>
    <row r="9" spans="4:4" ht="23.25">
      <c r="D9" s="224" t="s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topLeftCell="A19" zoomScale="55" zoomScaleNormal="64" workbookViewId="0">
      <selection activeCell="M19" sqref="M19"/>
    </sheetView>
  </sheetViews>
  <sheetFormatPr defaultRowHeight="15"/>
  <cols>
    <col min="1" max="1" width="65.28515625" bestFit="1" customWidth="1"/>
    <col min="2" max="6" width="13.140625" bestFit="1" customWidth="1"/>
    <col min="7" max="7" width="14.140625" bestFit="1" customWidth="1"/>
    <col min="8" max="8" width="15.7109375" bestFit="1" customWidth="1"/>
    <col min="9" max="9" width="16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>
      <c r="B5" s="374"/>
      <c r="C5" s="374"/>
      <c r="D5" s="374"/>
      <c r="E5" s="374"/>
      <c r="F5" s="374"/>
      <c r="G5" s="376"/>
      <c r="H5" s="376"/>
      <c r="I5" s="376"/>
    </row>
    <row r="6" spans="1:9" ht="15.75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97">
        <v>2016</v>
      </c>
      <c r="C7" s="98">
        <v>2017</v>
      </c>
      <c r="D7" s="98">
        <v>2018</v>
      </c>
      <c r="E7" s="98">
        <v>2019</v>
      </c>
      <c r="F7" s="98">
        <v>2020</v>
      </c>
      <c r="G7" s="57">
        <v>2021</v>
      </c>
      <c r="H7" s="57">
        <v>2022</v>
      </c>
      <c r="I7" s="58">
        <v>2023</v>
      </c>
    </row>
    <row r="8" spans="1:9">
      <c r="A8" s="139" t="s">
        <v>67</v>
      </c>
      <c r="B8" s="254">
        <v>0.03</v>
      </c>
      <c r="C8" s="87">
        <v>0.04</v>
      </c>
      <c r="D8" s="87">
        <v>0.04</v>
      </c>
      <c r="E8" s="87">
        <v>7.0000000000000007E-2</v>
      </c>
      <c r="F8" s="87">
        <v>0.11</v>
      </c>
      <c r="G8" s="99">
        <v>0.09</v>
      </c>
      <c r="H8" s="99">
        <v>0.08</v>
      </c>
      <c r="I8" s="100">
        <v>7.0000000000000007E-2</v>
      </c>
    </row>
    <row r="9" spans="1:9">
      <c r="A9" s="140"/>
      <c r="B9" s="30"/>
      <c r="C9" s="88"/>
      <c r="D9" s="88"/>
      <c r="E9" s="88"/>
      <c r="F9" s="88"/>
      <c r="G9" s="101"/>
      <c r="H9" s="101"/>
      <c r="I9" s="102"/>
    </row>
    <row r="10" spans="1:9">
      <c r="A10" s="140" t="s">
        <v>68</v>
      </c>
      <c r="B10" s="136">
        <f>Workings!C13</f>
        <v>104.28851883333333</v>
      </c>
      <c r="C10" s="89">
        <f>Workings!C26</f>
        <v>104.73418125000001</v>
      </c>
      <c r="D10" s="89">
        <f>Workings!C39</f>
        <v>109.85716250000002</v>
      </c>
      <c r="E10" s="89">
        <f>Workings!C52</f>
        <v>136.13485683333332</v>
      </c>
      <c r="F10" s="89">
        <f>Workings!C65</f>
        <v>158.34448216666667</v>
      </c>
      <c r="G10" s="103">
        <f>Workings!C78</f>
        <v>160.06359991666667</v>
      </c>
      <c r="H10" s="103">
        <f>Workings!C91</f>
        <v>147.43333333333331</v>
      </c>
      <c r="I10" s="104">
        <f>Workings!C104</f>
        <v>146.27499999999998</v>
      </c>
    </row>
    <row r="11" spans="1:9">
      <c r="A11" s="140"/>
      <c r="B11" s="30"/>
      <c r="C11" s="88"/>
      <c r="D11" s="88"/>
      <c r="E11" s="88"/>
      <c r="F11" s="88"/>
      <c r="G11" s="101"/>
      <c r="H11" s="101"/>
      <c r="I11" s="102"/>
    </row>
    <row r="12" spans="1:9">
      <c r="A12" s="140" t="s">
        <v>69</v>
      </c>
      <c r="B12" s="255">
        <v>0.1701</v>
      </c>
      <c r="C12" s="90">
        <v>8.0299999999999996E-2</v>
      </c>
      <c r="D12" s="90">
        <v>0.1542</v>
      </c>
      <c r="E12" s="90">
        <v>-1.95E-2</v>
      </c>
      <c r="F12" s="90">
        <v>-9.4000000000000004E-3</v>
      </c>
      <c r="G12" s="105">
        <v>0.06</v>
      </c>
      <c r="H12" s="105">
        <v>0.05</v>
      </c>
      <c r="I12" s="106">
        <v>0.05</v>
      </c>
    </row>
    <row r="13" spans="1:9">
      <c r="A13" s="140" t="s">
        <v>70</v>
      </c>
      <c r="B13" s="255">
        <v>-0.18379999999999999</v>
      </c>
      <c r="C13" s="90">
        <v>-0.2059</v>
      </c>
      <c r="D13" s="90">
        <v>1.77E-2</v>
      </c>
      <c r="E13" s="90">
        <v>0.37719999999999998</v>
      </c>
      <c r="F13" s="90">
        <v>0.19980000000000001</v>
      </c>
      <c r="G13" s="105"/>
      <c r="H13" s="105"/>
      <c r="I13" s="106"/>
    </row>
    <row r="14" spans="1:9">
      <c r="A14" s="140" t="s">
        <v>71</v>
      </c>
      <c r="B14" s="255">
        <v>9.8199999999999996E-2</v>
      </c>
      <c r="C14" s="90">
        <v>3.7100000000000001E-2</v>
      </c>
      <c r="D14" s="90">
        <v>0.1384</v>
      </c>
      <c r="E14" s="90">
        <v>2.1499999999999998E-2</v>
      </c>
      <c r="F14" s="90">
        <v>1.9800000000000002E-2</v>
      </c>
      <c r="G14" s="105"/>
      <c r="H14" s="105"/>
      <c r="I14" s="106"/>
    </row>
    <row r="15" spans="1:9">
      <c r="A15" s="140"/>
      <c r="B15" s="30"/>
      <c r="C15" s="88"/>
      <c r="D15" s="88"/>
      <c r="E15" s="88"/>
      <c r="F15" s="88"/>
      <c r="G15" s="101"/>
      <c r="H15" s="101"/>
      <c r="I15" s="102"/>
    </row>
    <row r="16" spans="1:9">
      <c r="A16" s="141" t="s">
        <v>72</v>
      </c>
      <c r="B16" s="30"/>
      <c r="C16" s="88"/>
      <c r="D16" s="88"/>
      <c r="E16" s="88"/>
      <c r="F16" s="88"/>
      <c r="G16" s="101"/>
      <c r="H16" s="101"/>
      <c r="I16" s="102"/>
    </row>
    <row r="17" spans="1:12">
      <c r="A17" s="142" t="s">
        <v>73</v>
      </c>
      <c r="B17" s="135">
        <f>Prices!B8</f>
        <v>8772.0478065543466</v>
      </c>
      <c r="C17" s="14">
        <f>Prices!C8</f>
        <v>9168.0250266412131</v>
      </c>
      <c r="D17" s="14">
        <f>Prices!D8</f>
        <v>8873.7799446994995</v>
      </c>
      <c r="E17" s="14">
        <f>Prices!E8</f>
        <v>9918.3257816329678</v>
      </c>
      <c r="F17" s="14">
        <f>Prices!F8</f>
        <v>8679.7524245765962</v>
      </c>
      <c r="G17" s="107">
        <f>Prices!G8</f>
        <v>10600</v>
      </c>
      <c r="H17" s="107">
        <f>Prices!H8</f>
        <v>11720</v>
      </c>
      <c r="I17" s="108">
        <f>Prices!I8</f>
        <v>12860</v>
      </c>
    </row>
    <row r="18" spans="1:12">
      <c r="A18" s="142" t="s">
        <v>74</v>
      </c>
      <c r="B18" s="30"/>
      <c r="C18" s="17">
        <f t="shared" ref="C18:E18" si="0">C17/B17-1</f>
        <v>4.5140795948581003E-2</v>
      </c>
      <c r="D18" s="17">
        <f t="shared" si="0"/>
        <v>-3.2094707539156109E-2</v>
      </c>
      <c r="E18" s="17">
        <f t="shared" si="0"/>
        <v>0.11771148748819238</v>
      </c>
      <c r="F18" s="17">
        <f>F17/E17-1</f>
        <v>-0.12487726097382246</v>
      </c>
      <c r="G18" s="109">
        <f t="shared" ref="G18:I18" si="1">G17/F17-1</f>
        <v>0.22123298931732771</v>
      </c>
      <c r="H18" s="109">
        <f t="shared" si="1"/>
        <v>0.10566037735849054</v>
      </c>
      <c r="I18" s="110">
        <f t="shared" si="1"/>
        <v>9.7269624573378843E-2</v>
      </c>
    </row>
    <row r="19" spans="1:12">
      <c r="A19" s="142" t="s">
        <v>75</v>
      </c>
      <c r="B19" s="135">
        <f>Prices!B9</f>
        <v>5983.907603052834</v>
      </c>
      <c r="C19" s="14">
        <f>Prices!C9</f>
        <v>5468.5845887125279</v>
      </c>
      <c r="D19" s="14">
        <f>Prices!D9</f>
        <v>5186.6889488678962</v>
      </c>
      <c r="E19" s="14">
        <f>Prices!E9</f>
        <v>6026.9206675597043</v>
      </c>
      <c r="F19" s="14">
        <f>Prices!F9</f>
        <v>6142.8364555304324</v>
      </c>
      <c r="G19" s="107">
        <f>Prices!G9</f>
        <v>7202.8619962500006</v>
      </c>
      <c r="H19" s="107">
        <f>Prices!H9</f>
        <v>7629.6749999999975</v>
      </c>
      <c r="I19" s="108">
        <f>Prices!I9</f>
        <v>8705.1909374999977</v>
      </c>
    </row>
    <row r="20" spans="1:12">
      <c r="A20" s="142" t="s">
        <v>76</v>
      </c>
      <c r="B20" s="94"/>
      <c r="C20" s="17">
        <f t="shared" ref="C20:E20" si="2">C19/B19-1</f>
        <v>-8.6118143615286025E-2</v>
      </c>
      <c r="D20" s="17">
        <f t="shared" si="2"/>
        <v>-5.1548190445198649E-2</v>
      </c>
      <c r="E20" s="17">
        <f t="shared" si="2"/>
        <v>0.16199770739581498</v>
      </c>
      <c r="F20" s="17">
        <f>F19/E19-1</f>
        <v>1.923300377830639E-2</v>
      </c>
      <c r="G20" s="109">
        <f t="shared" ref="G20:I20" si="3">G19/F19-1</f>
        <v>0.17256287846719753</v>
      </c>
      <c r="H20" s="109">
        <f t="shared" si="3"/>
        <v>5.9256029613257377E-2</v>
      </c>
      <c r="I20" s="110">
        <f t="shared" si="3"/>
        <v>0.14096484286683264</v>
      </c>
    </row>
    <row r="21" spans="1:12">
      <c r="A21" s="142" t="s">
        <v>77</v>
      </c>
      <c r="B21" s="94">
        <f>'Sales &amp; Dispatches'!B12/'Sales &amp; Dispatches'!B8</f>
        <v>4.7278017398432806E-2</v>
      </c>
      <c r="C21" s="17">
        <f>'Sales &amp; Dispatches'!C12/'Sales &amp; Dispatches'!C8</f>
        <v>0.10907472915523138</v>
      </c>
      <c r="D21" s="17">
        <f>'Sales &amp; Dispatches'!D12/'Sales &amp; Dispatches'!D8</f>
        <v>0.14289845258404849</v>
      </c>
      <c r="E21" s="17">
        <f>'Sales &amp; Dispatches'!E12/'Sales &amp; Dispatches'!E8</f>
        <v>0.15123523348029197</v>
      </c>
      <c r="F21" s="17">
        <f>'Sales &amp; Dispatches'!F12/'Sales &amp; Dispatches'!F8</f>
        <v>0.230421332205514</v>
      </c>
      <c r="G21" s="109">
        <f>'Sales &amp; Dispatches'!G12/'Sales &amp; Dispatches'!G8</f>
        <v>0.1650943396226415</v>
      </c>
      <c r="H21" s="109">
        <f>'Sales &amp; Dispatches'!H12/'Sales &amp; Dispatches'!H8</f>
        <v>0.14931740614334471</v>
      </c>
      <c r="I21" s="110">
        <f>'Sales &amp; Dispatches'!I12/'Sales &amp; Dispatches'!I8</f>
        <v>0.13608087091757387</v>
      </c>
    </row>
    <row r="22" spans="1:12">
      <c r="A22" s="142" t="s">
        <v>27</v>
      </c>
      <c r="B22" s="94">
        <f>'Sales &amp; Dispatches'!B11/'Sales &amp; Dispatches'!B8</f>
        <v>0.16485844296303592</v>
      </c>
      <c r="C22" s="17">
        <f>'[1]Sales&amp;Dispatches'!C8/'[1]Sales&amp;Dispatches'!C5</f>
        <v>0.16593699959593461</v>
      </c>
      <c r="D22" s="17">
        <f>'[1]Sales&amp;Dispatches'!D8/'[1]Sales&amp;Dispatches'!D5</f>
        <v>0.17045308739453449</v>
      </c>
      <c r="E22" s="17">
        <f>'[1]Sales&amp;Dispatches'!E8/'[1]Sales&amp;Dispatches'!E5</f>
        <v>0.16694314471945243</v>
      </c>
      <c r="F22" s="17">
        <f>'[1]Sales&amp;Dispatches'!F8/'[1]Sales&amp;Dispatches'!F5</f>
        <v>0.17116765935498823</v>
      </c>
      <c r="G22" s="105">
        <f>'Sales &amp; Dispatches'!F11/'Sales &amp; Dispatches'!F8</f>
        <v>0.17116765935498823</v>
      </c>
      <c r="H22" s="105">
        <f t="shared" ref="H22:I22" si="4">G22</f>
        <v>0.17116765935498823</v>
      </c>
      <c r="I22" s="106">
        <f t="shared" si="4"/>
        <v>0.17116765935498823</v>
      </c>
    </row>
    <row r="23" spans="1:12">
      <c r="A23" s="140"/>
      <c r="B23" s="30"/>
      <c r="C23" s="88"/>
      <c r="D23" s="88"/>
      <c r="E23" s="88"/>
      <c r="F23" s="88"/>
      <c r="G23" s="101"/>
      <c r="H23" s="101"/>
      <c r="I23" s="102"/>
    </row>
    <row r="24" spans="1:12">
      <c r="A24" s="141" t="s">
        <v>2</v>
      </c>
      <c r="B24" s="30"/>
      <c r="C24" s="88"/>
      <c r="D24" s="88"/>
      <c r="E24" s="88"/>
      <c r="F24" s="88"/>
      <c r="G24" s="101"/>
      <c r="H24" s="101"/>
      <c r="I24" s="102"/>
    </row>
    <row r="25" spans="1:12">
      <c r="A25" s="142" t="s">
        <v>78</v>
      </c>
      <c r="B25" s="135">
        <f t="shared" ref="B25:D25" si="5">2550000+135000</f>
        <v>2685000</v>
      </c>
      <c r="C25" s="14">
        <f t="shared" si="5"/>
        <v>2685000</v>
      </c>
      <c r="D25" s="14">
        <f t="shared" si="5"/>
        <v>2685000</v>
      </c>
      <c r="E25" s="14">
        <f>2550000+135000</f>
        <v>2685000</v>
      </c>
      <c r="F25" s="14">
        <f>3515640+135000</f>
        <v>3650640</v>
      </c>
      <c r="G25" s="111">
        <f>F25</f>
        <v>3650640</v>
      </c>
      <c r="H25" s="111">
        <f t="shared" ref="H25:I25" si="6">G25</f>
        <v>3650640</v>
      </c>
      <c r="I25" s="112">
        <f t="shared" si="6"/>
        <v>3650640</v>
      </c>
    </row>
    <row r="26" spans="1:12">
      <c r="A26" s="142" t="s">
        <v>79</v>
      </c>
      <c r="B26" s="135">
        <f>1927412+29094</f>
        <v>1956506</v>
      </c>
      <c r="C26" s="14">
        <f>1944347+21684</f>
        <v>1966031</v>
      </c>
      <c r="D26" s="14">
        <f>1927628+18004</f>
        <v>1945632</v>
      </c>
      <c r="E26" s="92">
        <v>2184211</v>
      </c>
      <c r="F26" s="14">
        <f>2158655+8484</f>
        <v>2167139</v>
      </c>
      <c r="G26" s="111">
        <f>F26*(1+G12)</f>
        <v>2297167.3400000003</v>
      </c>
      <c r="H26" s="111">
        <f>G26*(1+H12)</f>
        <v>2412025.7070000004</v>
      </c>
      <c r="I26" s="112">
        <f t="shared" ref="I26" si="7">H26*(1+I12)</f>
        <v>2532626.9923500004</v>
      </c>
    </row>
    <row r="27" spans="1:12">
      <c r="A27" s="142" t="s">
        <v>80</v>
      </c>
      <c r="B27" s="135">
        <f>2805000+148500</f>
        <v>2953500</v>
      </c>
      <c r="C27" s="14">
        <f t="shared" ref="C27:F27" si="8">2805000+148500</f>
        <v>2953500</v>
      </c>
      <c r="D27" s="14">
        <f t="shared" si="8"/>
        <v>2953500</v>
      </c>
      <c r="E27" s="14">
        <f t="shared" si="8"/>
        <v>2953500</v>
      </c>
      <c r="F27" s="14">
        <f t="shared" si="8"/>
        <v>2953500</v>
      </c>
      <c r="G27" s="111">
        <f>F27</f>
        <v>2953500</v>
      </c>
      <c r="H27" s="111">
        <f t="shared" ref="H27:I27" si="9">G27</f>
        <v>2953500</v>
      </c>
      <c r="I27" s="112">
        <f t="shared" si="9"/>
        <v>2953500</v>
      </c>
    </row>
    <row r="28" spans="1:12">
      <c r="A28" s="142" t="s">
        <v>79</v>
      </c>
      <c r="B28" s="135">
        <f>2059292+38760</f>
        <v>2098052</v>
      </c>
      <c r="C28" s="14">
        <f>2055248+32486</f>
        <v>2087734</v>
      </c>
      <c r="D28" s="14">
        <f>2214265+23066</f>
        <v>2237331</v>
      </c>
      <c r="E28" s="92">
        <v>2390025</v>
      </c>
      <c r="F28" s="14">
        <v>2369769</v>
      </c>
      <c r="G28" s="103">
        <f>F28*(1+G12)</f>
        <v>2511955.14</v>
      </c>
      <c r="H28" s="103">
        <f t="shared" ref="H28:I28" si="10">G28*(1+H12)</f>
        <v>2637552.8970000003</v>
      </c>
      <c r="I28" s="104">
        <f t="shared" si="10"/>
        <v>2769430.5418500006</v>
      </c>
      <c r="L28" t="s">
        <v>1718</v>
      </c>
    </row>
    <row r="29" spans="1:12">
      <c r="A29" s="142" t="s">
        <v>81</v>
      </c>
      <c r="B29" s="94">
        <f t="shared" ref="B29:E29" si="11">B28/B27</f>
        <v>0.71036126629422713</v>
      </c>
      <c r="C29" s="17">
        <f t="shared" si="11"/>
        <v>0.70686778398510242</v>
      </c>
      <c r="D29" s="17">
        <f t="shared" si="11"/>
        <v>0.7575185373285932</v>
      </c>
      <c r="E29" s="17">
        <f t="shared" si="11"/>
        <v>0.80921787709497206</v>
      </c>
      <c r="F29" s="17">
        <f>F28/F27</f>
        <v>0.8023595733875063</v>
      </c>
      <c r="G29" s="109">
        <f t="shared" ref="G29:I29" si="12">G28/G27</f>
        <v>0.85050114779075681</v>
      </c>
      <c r="H29" s="109">
        <f t="shared" si="12"/>
        <v>0.89302620518029463</v>
      </c>
      <c r="I29" s="110">
        <f t="shared" si="12"/>
        <v>0.93767751543930955</v>
      </c>
    </row>
    <row r="30" spans="1:12">
      <c r="A30" s="142" t="s">
        <v>82</v>
      </c>
      <c r="B30" s="94">
        <f>'Sales &amp; Dispatches'!B17/Assumptions!B27</f>
        <v>0.63767089893346873</v>
      </c>
      <c r="C30" s="17">
        <f>'Sales &amp; Dispatches'!C17/Assumptions!C27</f>
        <v>0.66245302183849675</v>
      </c>
      <c r="D30" s="17">
        <f>'Sales &amp; Dispatches'!D17/Assumptions!D27</f>
        <v>0.72723920771965467</v>
      </c>
      <c r="E30" s="17">
        <f>'Sales &amp; Dispatches'!E17/Assumptions!E27</f>
        <v>0.75701100389368547</v>
      </c>
      <c r="F30" s="17">
        <f>'Sales &amp; Dispatches'!F17/Assumptions!F27</f>
        <v>0.75314338919925516</v>
      </c>
      <c r="G30" s="109">
        <f>'Sales &amp; Dispatches'!G19/Assumptions!G27</f>
        <v>0.85050114779075681</v>
      </c>
      <c r="H30" s="109">
        <f>'Sales &amp; Dispatches'!H19/Assumptions!H27</f>
        <v>0.89302620518029463</v>
      </c>
      <c r="I30" s="110">
        <f>'Sales &amp; Dispatches'!I19/Assumptions!I27</f>
        <v>0.93767751543930955</v>
      </c>
    </row>
    <row r="31" spans="1:12">
      <c r="A31" s="140"/>
      <c r="B31" s="30"/>
      <c r="C31" s="88"/>
      <c r="D31" s="88"/>
      <c r="E31" s="88"/>
      <c r="F31" s="88"/>
      <c r="G31" s="101"/>
      <c r="H31" s="101"/>
      <c r="I31" s="102"/>
    </row>
    <row r="32" spans="1:12">
      <c r="A32" s="140" t="s">
        <v>83</v>
      </c>
      <c r="B32" s="256">
        <v>0.28999999999999998</v>
      </c>
      <c r="C32" s="88"/>
      <c r="D32" s="93"/>
      <c r="E32" s="88"/>
      <c r="F32" s="93"/>
      <c r="G32" s="101"/>
      <c r="H32" s="105"/>
      <c r="I32" s="102"/>
    </row>
    <row r="33" spans="1:9">
      <c r="A33" s="140"/>
      <c r="B33" s="256"/>
      <c r="C33" s="88"/>
      <c r="D33" s="93"/>
      <c r="E33" s="88"/>
      <c r="F33" s="93"/>
      <c r="G33" s="101"/>
      <c r="H33" s="105"/>
      <c r="I33" s="102"/>
    </row>
    <row r="34" spans="1:9">
      <c r="A34" s="143" t="str">
        <f>[1]N.PNL!A40</f>
        <v xml:space="preserve">Workers’ Profit Participation Fund as % of GP </v>
      </c>
      <c r="B34" s="94">
        <f>N.PL!B43</f>
        <v>5.0702037755262649E-2</v>
      </c>
      <c r="C34" s="17">
        <f>N.PL!C43</f>
        <v>5.0050128317648837E-2</v>
      </c>
      <c r="D34" s="17">
        <f>N.PL!D43</f>
        <v>4.9211454634139319E-2</v>
      </c>
      <c r="E34" s="17">
        <f>N.PL!E43</f>
        <v>4.7291509631325453E-2</v>
      </c>
      <c r="F34" s="17">
        <f>N.PL!F43</f>
        <v>0</v>
      </c>
      <c r="G34" s="109">
        <f>N.PL!G43</f>
        <v>0.05</v>
      </c>
      <c r="H34" s="109">
        <f>N.PL!H43</f>
        <v>0.05</v>
      </c>
      <c r="I34" s="110">
        <f>N.PL!I43</f>
        <v>0.05</v>
      </c>
    </row>
    <row r="35" spans="1:9">
      <c r="A35" s="143" t="str">
        <f>[1]N.PNL!A41</f>
        <v>Workers’ Welfare Fund</v>
      </c>
      <c r="B35" s="94">
        <f>N.PL!B44</f>
        <v>1.3188331534800271E-2</v>
      </c>
      <c r="C35" s="17">
        <f>N.PL!C44</f>
        <v>1.8297339642644704E-2</v>
      </c>
      <c r="D35" s="17">
        <f>N.PL!D44</f>
        <v>1.7093746544977566E-2</v>
      </c>
      <c r="E35" s="17">
        <f>N.PL!E44</f>
        <v>1.765142487755653E-2</v>
      </c>
      <c r="F35" s="17">
        <f>N.PL!F44</f>
        <v>3.4465717380599392E-2</v>
      </c>
      <c r="G35" s="109">
        <f>N.PL!G44</f>
        <v>2.013931199611569E-2</v>
      </c>
      <c r="H35" s="109">
        <f>N.PL!H44</f>
        <v>2.1529508088378772E-2</v>
      </c>
      <c r="I35" s="110">
        <f>N.PL!I44</f>
        <v>2.2175941777525594E-2</v>
      </c>
    </row>
    <row r="36" spans="1:9">
      <c r="A36" s="140"/>
      <c r="B36" s="256"/>
      <c r="C36" s="88"/>
      <c r="D36" s="93"/>
      <c r="E36" s="88"/>
      <c r="F36" s="93"/>
      <c r="G36" s="101"/>
      <c r="H36" s="105"/>
      <c r="I36" s="102"/>
    </row>
    <row r="37" spans="1:9">
      <c r="A37" s="141" t="s">
        <v>84</v>
      </c>
      <c r="B37" s="30"/>
      <c r="C37" s="88"/>
      <c r="D37" s="88"/>
      <c r="E37" s="88"/>
      <c r="F37" s="88"/>
      <c r="G37" s="101"/>
      <c r="H37" s="101"/>
      <c r="I37" s="102"/>
    </row>
    <row r="38" spans="1:9">
      <c r="A38" s="142" t="s">
        <v>85</v>
      </c>
      <c r="B38" s="256">
        <f>N.BS!B69</f>
        <v>7.0740667496341739E-2</v>
      </c>
      <c r="C38" s="93">
        <f>N.BS!C69</f>
        <v>1.1704271647003653E-2</v>
      </c>
      <c r="D38" s="93">
        <f>N.BS!D69</f>
        <v>2.9648354901428534E-2</v>
      </c>
      <c r="E38" s="93">
        <f>N.BS!E69</f>
        <v>2.1910457336903572E-2</v>
      </c>
      <c r="F38" s="93">
        <f>N.BS!F69</f>
        <v>5.9396121858867126E-2</v>
      </c>
      <c r="G38" s="105">
        <f ca="1">N.BS!G69</f>
        <v>3.8650303611066333E-2</v>
      </c>
      <c r="H38" s="105">
        <f ca="1">N.BS!H69</f>
        <v>3.223223083401125E-2</v>
      </c>
      <c r="I38" s="106">
        <f ca="1">N.BS!I69</f>
        <v>3.6337822671412771E-2</v>
      </c>
    </row>
    <row r="39" spans="1:9">
      <c r="A39" s="142" t="s">
        <v>86</v>
      </c>
      <c r="B39" s="256">
        <f>N.BS!B71</f>
        <v>0</v>
      </c>
      <c r="C39" s="93">
        <f>N.BS!C71</f>
        <v>1.7274799955966542E-2</v>
      </c>
      <c r="D39" s="93">
        <f>N.BS!D71</f>
        <v>9.7857301775746766E-2</v>
      </c>
      <c r="E39" s="93">
        <f>N.BS!E71</f>
        <v>2.2551603813132145E-3</v>
      </c>
      <c r="F39" s="93">
        <f>N.BS!F71</f>
        <v>3.0044453651687703E-2</v>
      </c>
      <c r="G39" s="105">
        <f ca="1">N.BS!G71</f>
        <v>3.0223018351603625E-2</v>
      </c>
      <c r="H39" s="105">
        <f ca="1">N.BS!H71</f>
        <v>3.0223018351603625E-2</v>
      </c>
      <c r="I39" s="106">
        <f ca="1">N.BS!I71</f>
        <v>3.0223018351603625E-2</v>
      </c>
    </row>
    <row r="40" spans="1:9">
      <c r="A40" s="142" t="s">
        <v>87</v>
      </c>
      <c r="B40" s="256">
        <f>N.BS!B73</f>
        <v>1.4719252976492752E-3</v>
      </c>
      <c r="C40" s="93">
        <f>N.BS!C73</f>
        <v>1.4890605785606991E-3</v>
      </c>
      <c r="D40" s="93">
        <f>N.BS!D73</f>
        <v>1.0016333899815462E-2</v>
      </c>
      <c r="E40" s="93">
        <f>N.BS!E73</f>
        <v>2.9338509199001595E-2</v>
      </c>
      <c r="F40" s="93">
        <f>N.BS!F73</f>
        <v>1.5338213672475204E-2</v>
      </c>
      <c r="G40" s="105">
        <f ca="1">N.BS!G73</f>
        <v>1.8268270100931794E-2</v>
      </c>
      <c r="H40" s="105">
        <f ca="1">N.BS!H73</f>
        <v>2.1096743971514498E-2</v>
      </c>
      <c r="I40" s="106">
        <f ca="1">N.BS!I73</f>
        <v>1.8264796038421838E-2</v>
      </c>
    </row>
    <row r="41" spans="1:9">
      <c r="A41" s="142" t="str">
        <f>[1]N.BS!A95</f>
        <v xml:space="preserve">WPPF paid as % of balance </v>
      </c>
      <c r="B41" s="94">
        <f>N.BS!B95</f>
        <v>3.0607369575374816E-2</v>
      </c>
      <c r="C41" s="17">
        <f>N.BS!C95</f>
        <v>4.3197126495352442E-2</v>
      </c>
      <c r="D41" s="17">
        <f>N.BS!D95</f>
        <v>6.7061806905078902E-2</v>
      </c>
      <c r="E41" s="17">
        <f>N.BS!E95</f>
        <v>5.5977266982542094E-2</v>
      </c>
      <c r="F41" s="17">
        <f>N.BS!F95</f>
        <v>4.9210892489587064E-2</v>
      </c>
      <c r="G41" s="109">
        <f>N.BS!G95</f>
        <v>5.3861773218140126E-2</v>
      </c>
      <c r="H41" s="109">
        <f>N.BS!H95</f>
        <v>5.6527934898837048E-2</v>
      </c>
      <c r="I41" s="110">
        <f>N.BS!I95</f>
        <v>5.3894466897276588E-2</v>
      </c>
    </row>
    <row r="42" spans="1:9">
      <c r="A42" s="142" t="str">
        <f>[1]N.BS!A102</f>
        <v xml:space="preserve">WWF paid as % of balance </v>
      </c>
      <c r="B42" s="94">
        <f>N.BS!B102</f>
        <v>0.47850966404434503</v>
      </c>
      <c r="C42" s="17">
        <f>N.BS!C102</f>
        <v>0.44429457434038233</v>
      </c>
      <c r="D42" s="17">
        <f>N.BS!D102</f>
        <v>0.58732905290750992</v>
      </c>
      <c r="E42" s="17">
        <f>N.BS!E102</f>
        <v>0.50417431804109392</v>
      </c>
      <c r="F42" s="17">
        <f>N.BS!F102</f>
        <v>1</v>
      </c>
      <c r="G42" s="109">
        <f>N.BS!G102</f>
        <v>0.50357690233333274</v>
      </c>
      <c r="H42" s="109">
        <f>N.BS!H102</f>
        <v>0.50357690233333274</v>
      </c>
      <c r="I42" s="110">
        <f>N.BS!I102</f>
        <v>0.50357690233333274</v>
      </c>
    </row>
    <row r="43" spans="1:9">
      <c r="A43" s="140"/>
      <c r="B43" s="256"/>
      <c r="C43" s="93"/>
      <c r="D43" s="93"/>
      <c r="E43" s="93"/>
      <c r="F43" s="93"/>
      <c r="G43" s="105"/>
      <c r="H43" s="105"/>
      <c r="I43" s="106"/>
    </row>
    <row r="44" spans="1:9">
      <c r="A44" s="142" t="s">
        <v>88</v>
      </c>
      <c r="B44" s="30"/>
      <c r="C44" s="88"/>
      <c r="D44" s="88"/>
      <c r="E44" s="88"/>
      <c r="F44" s="88"/>
      <c r="G44" s="101"/>
      <c r="H44" s="101"/>
      <c r="I44" s="102"/>
    </row>
    <row r="45" spans="1:9">
      <c r="A45" s="142" t="s">
        <v>89</v>
      </c>
      <c r="B45" s="256">
        <f>N.BS!B130</f>
        <v>1.6658356763078062E-2</v>
      </c>
      <c r="C45" s="93">
        <f>N.BS!C130</f>
        <v>1.2785771945723374E-2</v>
      </c>
      <c r="D45" s="93">
        <f>N.BS!D130</f>
        <v>1.2350900691613927E-2</v>
      </c>
      <c r="E45" s="93">
        <f>N.BS!E130</f>
        <v>0.22077943404718575</v>
      </c>
      <c r="F45" s="93">
        <f>N.BS!F130</f>
        <v>10.809988679265921</v>
      </c>
      <c r="G45" s="105">
        <f ca="1">N.BS!G130</f>
        <v>0.4</v>
      </c>
      <c r="H45" s="105">
        <f ca="1">N.BS!H130</f>
        <v>0.4</v>
      </c>
      <c r="I45" s="106">
        <f ca="1">N.BS!I130</f>
        <v>0.4</v>
      </c>
    </row>
    <row r="46" spans="1:9">
      <c r="A46" s="140"/>
      <c r="B46" s="30"/>
      <c r="C46" s="88"/>
      <c r="D46" s="88"/>
      <c r="E46" s="88"/>
      <c r="F46" s="88"/>
      <c r="G46" s="101"/>
      <c r="H46" s="101"/>
      <c r="I46" s="102"/>
    </row>
    <row r="47" spans="1:9">
      <c r="A47" s="141" t="s">
        <v>90</v>
      </c>
      <c r="B47" s="30"/>
      <c r="C47" s="88"/>
      <c r="D47" s="88"/>
      <c r="E47" s="88"/>
      <c r="F47" s="88"/>
      <c r="G47" s="101"/>
      <c r="H47" s="101"/>
      <c r="I47" s="102"/>
    </row>
    <row r="48" spans="1:9">
      <c r="A48" s="144" t="str">
        <f>[1]N.BS!A148</f>
        <v xml:space="preserve">Long term deposits as % of COGM </v>
      </c>
      <c r="B48" s="168">
        <f>N.BS!B148</f>
        <v>1.2620820517028434E-2</v>
      </c>
      <c r="C48" s="95">
        <f>N.BS!C148</f>
        <v>1.5543520606854383E-2</v>
      </c>
      <c r="D48" s="95">
        <f>N.BS!D148</f>
        <v>1.4102418371763108E-2</v>
      </c>
      <c r="E48" s="95">
        <f>N.BS!E148</f>
        <v>3.261347355422369E-3</v>
      </c>
      <c r="F48" s="95">
        <f>N.BS!F148</f>
        <v>3.1411652972732954E-3</v>
      </c>
      <c r="G48" s="113">
        <f ca="1">N.BS!G148</f>
        <v>9.7968011224465398E-3</v>
      </c>
      <c r="H48" s="113">
        <f ca="1">N.BS!H148</f>
        <v>9.23199724353016E-3</v>
      </c>
      <c r="I48" s="114">
        <f ca="1">N.BS!I148</f>
        <v>7.8503817092943993E-3</v>
      </c>
    </row>
    <row r="49" spans="1:9">
      <c r="A49" s="140"/>
      <c r="B49" s="30"/>
      <c r="C49" s="88"/>
      <c r="D49" s="88"/>
      <c r="E49" s="88"/>
      <c r="F49" s="88"/>
      <c r="G49" s="101"/>
      <c r="H49" s="101"/>
      <c r="I49" s="102"/>
    </row>
    <row r="50" spans="1:9">
      <c r="A50" s="141" t="s">
        <v>91</v>
      </c>
      <c r="B50" s="30"/>
      <c r="C50" s="88"/>
      <c r="D50" s="88"/>
      <c r="E50" s="88"/>
      <c r="F50" s="88"/>
      <c r="G50" s="101"/>
      <c r="H50" s="101"/>
      <c r="I50" s="102"/>
    </row>
    <row r="51" spans="1:9">
      <c r="A51" s="145" t="str">
        <f>[1]N.BS!A162</f>
        <v>Stores, spares and loose tools as % of sales</v>
      </c>
      <c r="B51" s="94">
        <f>N.BS!B162</f>
        <v>0.10361380498107282</v>
      </c>
      <c r="C51" s="17">
        <f>N.BS!C162</f>
        <v>9.8459864928001697E-2</v>
      </c>
      <c r="D51" s="17">
        <f>N.BS!D162</f>
        <v>0.1577167874421454</v>
      </c>
      <c r="E51" s="17">
        <f>N.BS!E162</f>
        <v>9.0180203772428913E-2</v>
      </c>
      <c r="F51" s="17">
        <f>N.BS!F162</f>
        <v>0.19912464951830131</v>
      </c>
      <c r="G51" s="109">
        <f>N.BS!G162</f>
        <v>0.12981906212839003</v>
      </c>
      <c r="H51" s="109">
        <f>N.BS!H162</f>
        <v>0.13506011355785347</v>
      </c>
      <c r="I51" s="110">
        <f>N.BS!I162</f>
        <v>0.14238016328382383</v>
      </c>
    </row>
    <row r="52" spans="1:9">
      <c r="A52" s="145" t="str">
        <f>[1]N.BS!A170</f>
        <v>Raw materials as % of raw materials consumed</v>
      </c>
      <c r="B52" s="94">
        <f>N.BS!B170</f>
        <v>3.6964749873595992E-2</v>
      </c>
      <c r="C52" s="17">
        <f>N.BS!C170</f>
        <v>2.0408073742176444E-2</v>
      </c>
      <c r="D52" s="17">
        <f>N.BS!D170</f>
        <v>9.2561722574651603E-3</v>
      </c>
      <c r="E52" s="17">
        <f>N.BS!E170</f>
        <v>6.5453858196651109E-3</v>
      </c>
      <c r="F52" s="17">
        <f>N.BS!F170</f>
        <v>9.378930010497586E-3</v>
      </c>
      <c r="G52" s="109">
        <f>N.BS!G170</f>
        <v>1.6510662340680056E-2</v>
      </c>
      <c r="H52" s="109">
        <f>N.BS!H170</f>
        <v>1.6510662340680056E-2</v>
      </c>
      <c r="I52" s="110">
        <f>N.BS!I170</f>
        <v>1.6510662340680056E-2</v>
      </c>
    </row>
    <row r="53" spans="1:9">
      <c r="A53" s="286" t="str">
        <f>[1]N.BS!A171</f>
        <v xml:space="preserve">Packing materials as % of packing materials consumed </v>
      </c>
      <c r="B53" s="290">
        <f>N.BS!B171</f>
        <v>8.732872113452568E-2</v>
      </c>
      <c r="C53" s="288">
        <f>N.BS!C171</f>
        <v>9.4557225979981396E-2</v>
      </c>
      <c r="D53" s="288">
        <f>N.BS!D171</f>
        <v>8.8551257755616827E-2</v>
      </c>
      <c r="E53" s="288">
        <f>N.BS!E171</f>
        <v>2.7344500678960122E-2</v>
      </c>
      <c r="F53" s="288">
        <f>N.BS!F171</f>
        <v>8.5721717381907162E-2</v>
      </c>
      <c r="G53" s="287">
        <f>N.BS!G171</f>
        <v>8.5721717381907162E-2</v>
      </c>
      <c r="H53" s="287">
        <f>N.BS!H171</f>
        <v>8.5721717381907162E-2</v>
      </c>
      <c r="I53" s="289">
        <f>N.BS!I171</f>
        <v>8.5721717381907162E-2</v>
      </c>
    </row>
    <row r="54" spans="1:9">
      <c r="A54" s="145" t="str">
        <f>[1]N.BS!A172</f>
        <v xml:space="preserve">Work in process as % of cost of production </v>
      </c>
      <c r="B54" s="94">
        <f>N.BS!B172</f>
        <v>5.2126447843792674E-2</v>
      </c>
      <c r="C54" s="17">
        <f>N.BS!C172</f>
        <v>8.7206831613860308E-2</v>
      </c>
      <c r="D54" s="17">
        <f>N.BS!D172</f>
        <v>5.5337002725836505E-2</v>
      </c>
      <c r="E54" s="17">
        <f>N.BS!E172</f>
        <v>5.0432636400802373E-2</v>
      </c>
      <c r="F54" s="17">
        <f>N.BS!F172</f>
        <v>5.4482407143169917E-2</v>
      </c>
      <c r="G54" s="109">
        <f>N.BS!G172</f>
        <v>5.9917065145492353E-2</v>
      </c>
      <c r="H54" s="109">
        <f>N.BS!H172</f>
        <v>6.1475188605832287E-2</v>
      </c>
      <c r="I54" s="110">
        <f>N.BS!I172</f>
        <v>5.632886000422669E-2</v>
      </c>
    </row>
    <row r="55" spans="1:9">
      <c r="A55" s="145" t="str">
        <f>[1]N.BS!A173</f>
        <v>Finished goods as % of cost of goods manufactured</v>
      </c>
      <c r="B55" s="94">
        <f>N.BS!B173</f>
        <v>1.6499988752141627E-2</v>
      </c>
      <c r="C55" s="17">
        <f>N.BS!C173</f>
        <v>2.1561456873090728E-2</v>
      </c>
      <c r="D55" s="17">
        <f>N.BS!D173</f>
        <v>1.0118432046980225E-2</v>
      </c>
      <c r="E55" s="17">
        <f>N.BS!E173</f>
        <v>6.9331044513573333E-3</v>
      </c>
      <c r="F55" s="17">
        <f>N.BS!F173</f>
        <v>2.0290450994163555E-2</v>
      </c>
      <c r="G55" s="109">
        <f>N.BS!G173</f>
        <v>1.5080686623546693E-2</v>
      </c>
      <c r="H55" s="109">
        <f>N.BS!H173</f>
        <v>1.4796826197827708E-2</v>
      </c>
      <c r="I55" s="110">
        <f>N.BS!I173</f>
        <v>1.3443900062775105E-2</v>
      </c>
    </row>
    <row r="56" spans="1:9">
      <c r="A56" s="143"/>
      <c r="B56" s="94"/>
      <c r="C56" s="17"/>
      <c r="D56" s="17"/>
      <c r="E56" s="17"/>
      <c r="F56" s="17"/>
      <c r="G56" s="109"/>
      <c r="H56" s="109"/>
      <c r="I56" s="110"/>
    </row>
    <row r="57" spans="1:9">
      <c r="A57" s="142" t="str">
        <f>[1]N.BS!A179</f>
        <v>Trade debts as % of sales</v>
      </c>
      <c r="B57" s="94">
        <f>N.BS!B179</f>
        <v>1.8460306221879868E-2</v>
      </c>
      <c r="C57" s="17">
        <f>N.BS!C179</f>
        <v>2.5389086889522412E-2</v>
      </c>
      <c r="D57" s="17">
        <f>N.BS!D179</f>
        <v>4.8034204860575476E-2</v>
      </c>
      <c r="E57" s="17">
        <f>N.BS!E179</f>
        <v>4.65465151624836E-2</v>
      </c>
      <c r="F57" s="17">
        <f>N.BS!F179</f>
        <v>4.5777350948318841E-2</v>
      </c>
      <c r="G57" s="109">
        <f>N.BS!G179</f>
        <v>4.5777350948318841E-2</v>
      </c>
      <c r="H57" s="109">
        <f>N.BS!H179</f>
        <v>4.5777350948318841E-2</v>
      </c>
      <c r="I57" s="110">
        <f>N.BS!I179</f>
        <v>4.5777350948318841E-2</v>
      </c>
    </row>
    <row r="58" spans="1:9">
      <c r="A58" s="142" t="str">
        <f>[1]N.BS!A185</f>
        <v xml:space="preserve">Provision as % of trade debts </v>
      </c>
      <c r="B58" s="94">
        <f>N.BS!B185</f>
        <v>0</v>
      </c>
      <c r="C58" s="17">
        <f>N.BS!C185</f>
        <v>0</v>
      </c>
      <c r="D58" s="17">
        <f>N.BS!D185</f>
        <v>0</v>
      </c>
      <c r="E58" s="17">
        <f>N.BS!E185</f>
        <v>1.9484948463984762E-2</v>
      </c>
      <c r="F58" s="17">
        <f>N.BS!F185</f>
        <v>1.699213735219831E-2</v>
      </c>
      <c r="G58" s="109">
        <f>N.BS!G185</f>
        <v>1.699213735219831E-2</v>
      </c>
      <c r="H58" s="109">
        <f>N.BS!H185</f>
        <v>1.699213735219831E-2</v>
      </c>
      <c r="I58" s="110">
        <f>N.BS!I185</f>
        <v>1.699213735219831E-2</v>
      </c>
    </row>
    <row r="59" spans="1:9">
      <c r="A59" s="140"/>
      <c r="B59" s="94"/>
      <c r="C59" s="17"/>
      <c r="D59" s="17"/>
      <c r="E59" s="17"/>
      <c r="F59" s="17"/>
      <c r="G59" s="109"/>
      <c r="H59" s="109"/>
      <c r="I59" s="110"/>
    </row>
    <row r="60" spans="1:9">
      <c r="A60" s="142" t="s">
        <v>92</v>
      </c>
      <c r="B60" s="256">
        <f>N.BS!B191</f>
        <v>4.9490665194002872E-2</v>
      </c>
      <c r="C60" s="93">
        <f>N.BS!C191</f>
        <v>4.3419061193054699E-2</v>
      </c>
      <c r="D60" s="93">
        <f>N.BS!D191</f>
        <v>6.6064966625647079E-2</v>
      </c>
      <c r="E60" s="93">
        <f>N.BS!E191</f>
        <v>2.4992082731609268E-2</v>
      </c>
      <c r="F60" s="93">
        <f>N.BS!F191</f>
        <v>3.7644439912072877E-2</v>
      </c>
      <c r="G60" s="105">
        <f>N.BS!G191</f>
        <v>4.4322243131277361E-2</v>
      </c>
      <c r="H60" s="105">
        <f>N.BS!H191</f>
        <v>4.3288558718732259E-2</v>
      </c>
      <c r="I60" s="106">
        <f>N.BS!I191</f>
        <v>4.3262458223867775E-2</v>
      </c>
    </row>
    <row r="61" spans="1:9" ht="15.75" thickBot="1">
      <c r="A61" s="146" t="str">
        <f>[1]N.BS!A196</f>
        <v xml:space="preserve">Cash and bank balances as % of current assets </v>
      </c>
      <c r="B61" s="138">
        <f>N.BS!B196</f>
        <v>5.4162255116300469E-2</v>
      </c>
      <c r="C61" s="96">
        <f>N.BS!C196</f>
        <v>5.8775261680148301E-2</v>
      </c>
      <c r="D61" s="96">
        <f>N.BS!D196</f>
        <v>8.6033513803612613E-2</v>
      </c>
      <c r="E61" s="96">
        <f>N.BS!E196</f>
        <v>8.388523866671449E-2</v>
      </c>
      <c r="F61" s="96">
        <f>N.BS!F196</f>
        <v>0.19962299886793441</v>
      </c>
      <c r="G61" s="115">
        <f>N.BS!G196</f>
        <v>9.649585362694206E-2</v>
      </c>
      <c r="H61" s="115">
        <f>N.BS!H196</f>
        <v>0.10496257332907037</v>
      </c>
      <c r="I61" s="257">
        <f>N.BS!I196</f>
        <v>0.1142000356588548</v>
      </c>
    </row>
  </sheetData>
  <mergeCells count="3">
    <mergeCell ref="B4:F6"/>
    <mergeCell ref="G4:I6"/>
    <mergeCell ref="A1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1"/>
  <sheetViews>
    <sheetView topLeftCell="A6" zoomScale="57" zoomScaleNormal="69" workbookViewId="0">
      <selection activeCell="A42" sqref="A42"/>
    </sheetView>
  </sheetViews>
  <sheetFormatPr defaultRowHeight="15"/>
  <cols>
    <col min="1" max="1" width="39.85546875" bestFit="1" customWidth="1"/>
    <col min="2" max="3" width="17.5703125" bestFit="1" customWidth="1"/>
    <col min="4" max="4" width="17.140625" bestFit="1" customWidth="1"/>
    <col min="5" max="7" width="18" bestFit="1" customWidth="1"/>
    <col min="8" max="8" width="17.5703125" bestFit="1" customWidth="1"/>
    <col min="9" max="9" width="18.42578125" bestFit="1" customWidth="1"/>
  </cols>
  <sheetData>
    <row r="1" spans="1:22" ht="15" customHeight="1">
      <c r="A1" s="378" t="s">
        <v>472</v>
      </c>
      <c r="B1" s="378"/>
      <c r="C1" s="378"/>
      <c r="D1" s="378"/>
      <c r="E1" s="378"/>
      <c r="F1" s="378"/>
      <c r="G1" s="378"/>
      <c r="H1" s="378"/>
      <c r="I1" s="378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" customHeight="1">
      <c r="A2" s="378"/>
      <c r="B2" s="378"/>
      <c r="C2" s="378"/>
      <c r="D2" s="378"/>
      <c r="E2" s="378"/>
      <c r="F2" s="378"/>
      <c r="G2" s="378"/>
      <c r="H2" s="378"/>
      <c r="I2" s="37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" customHeight="1">
      <c r="A3" s="378"/>
      <c r="B3" s="378"/>
      <c r="C3" s="378"/>
      <c r="D3" s="378"/>
      <c r="E3" s="378"/>
      <c r="F3" s="378"/>
      <c r="G3" s="378"/>
      <c r="H3" s="378"/>
      <c r="I3" s="37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" customHeight="1">
      <c r="A4" s="148"/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" customHeight="1">
      <c r="A5" s="148"/>
      <c r="B5" s="374"/>
      <c r="C5" s="374"/>
      <c r="D5" s="374"/>
      <c r="E5" s="374"/>
      <c r="F5" s="374"/>
      <c r="G5" s="376"/>
      <c r="H5" s="376"/>
      <c r="I5" s="376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" customHeight="1" thickBot="1">
      <c r="A6" s="148"/>
      <c r="B6" s="375"/>
      <c r="C6" s="375"/>
      <c r="D6" s="375"/>
      <c r="E6" s="375"/>
      <c r="F6" s="375"/>
      <c r="G6" s="377"/>
      <c r="H6" s="377"/>
      <c r="I6" s="37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5.75" thickBot="1">
      <c r="B7" s="117">
        <v>2016</v>
      </c>
      <c r="C7" s="118">
        <v>2017</v>
      </c>
      <c r="D7" s="118">
        <v>2018</v>
      </c>
      <c r="E7" s="118">
        <v>2019</v>
      </c>
      <c r="F7" s="118">
        <v>2020</v>
      </c>
      <c r="G7" s="119">
        <v>2021</v>
      </c>
      <c r="H7" s="119">
        <v>2022</v>
      </c>
      <c r="I7" s="120">
        <v>2023</v>
      </c>
    </row>
    <row r="8" spans="1:22">
      <c r="A8" s="139" t="s">
        <v>73</v>
      </c>
      <c r="B8" s="134">
        <f>'Sales &amp; Dispatches'!B21</f>
        <v>8772.0478065543466</v>
      </c>
      <c r="C8" s="116">
        <f>'Sales &amp; Dispatches'!C21</f>
        <v>9168.0250266412131</v>
      </c>
      <c r="D8" s="116">
        <f>'Sales &amp; Dispatches'!D21</f>
        <v>8873.7799446994995</v>
      </c>
      <c r="E8" s="116">
        <f>'Sales &amp; Dispatches'!E21</f>
        <v>9918.3257816329678</v>
      </c>
      <c r="F8" s="116">
        <f>'Sales &amp; Dispatches'!F21</f>
        <v>8679.7524245765962</v>
      </c>
      <c r="G8" s="116">
        <f>'Sales &amp; Dispatches'!G21</f>
        <v>10600</v>
      </c>
      <c r="H8" s="116">
        <f>'Sales &amp; Dispatches'!H21</f>
        <v>11720</v>
      </c>
      <c r="I8" s="258">
        <f>'Sales &amp; Dispatches'!I21</f>
        <v>12860</v>
      </c>
    </row>
    <row r="9" spans="1:22">
      <c r="A9" s="140" t="s">
        <v>75</v>
      </c>
      <c r="B9" s="135">
        <f>'Sales &amp; Dispatches'!B24</f>
        <v>5983.907603052834</v>
      </c>
      <c r="C9" s="14">
        <f>'Sales &amp; Dispatches'!C24</f>
        <v>5468.5845887125279</v>
      </c>
      <c r="D9" s="14">
        <f>'Sales &amp; Dispatches'!D24</f>
        <v>5186.6889488678962</v>
      </c>
      <c r="E9" s="14">
        <f>'Sales &amp; Dispatches'!E24</f>
        <v>6026.9206675597043</v>
      </c>
      <c r="F9" s="14">
        <f>'Sales &amp; Dispatches'!F24</f>
        <v>6142.8364555304324</v>
      </c>
      <c r="G9" s="14">
        <f>'Sales &amp; Dispatches'!G24</f>
        <v>7202.8619962500006</v>
      </c>
      <c r="H9" s="14">
        <f>'Sales &amp; Dispatches'!H24</f>
        <v>7629.6749999999975</v>
      </c>
      <c r="I9" s="78">
        <f>'Sales &amp; Dispatches'!I24</f>
        <v>8705.1909374999977</v>
      </c>
    </row>
    <row r="10" spans="1:22">
      <c r="A10" s="140"/>
      <c r="B10" s="135"/>
      <c r="C10" s="14"/>
      <c r="D10" s="14"/>
      <c r="E10" s="14"/>
      <c r="F10" s="14"/>
      <c r="G10" s="107"/>
      <c r="H10" s="107"/>
      <c r="I10" s="108"/>
    </row>
    <row r="11" spans="1:22">
      <c r="A11" s="140" t="s">
        <v>32</v>
      </c>
      <c r="B11" s="135">
        <f>COGS!B8</f>
        <v>602370152</v>
      </c>
      <c r="C11" s="14">
        <f>COGS!C8</f>
        <v>634199345</v>
      </c>
      <c r="D11" s="14">
        <f>COGS!D8</f>
        <v>622532602</v>
      </c>
      <c r="E11" s="14">
        <f>COGS!E8</f>
        <v>736418010</v>
      </c>
      <c r="F11" s="14">
        <f>COGS!F8</f>
        <v>744257713</v>
      </c>
      <c r="G11" s="14">
        <f ca="1">COGS!G8</f>
        <v>877549153.38972282</v>
      </c>
      <c r="H11" s="14">
        <f ca="1">COGS!H8</f>
        <v>995140739.94394588</v>
      </c>
      <c r="I11" s="78">
        <f ca="1">COGS!I8</f>
        <v>1118040621.3270235</v>
      </c>
      <c r="J11" s="14">
        <f>COGS!J8</f>
        <v>0</v>
      </c>
    </row>
    <row r="12" spans="1:22">
      <c r="A12" s="140" t="s">
        <v>33</v>
      </c>
      <c r="B12" s="135">
        <f>COGS!B9</f>
        <v>872942567</v>
      </c>
      <c r="C12" s="14">
        <f>COGS!C9</f>
        <v>694095986</v>
      </c>
      <c r="D12" s="14">
        <f>COGS!D9</f>
        <v>780619889</v>
      </c>
      <c r="E12" s="14">
        <f>COGS!E9</f>
        <v>1132282259</v>
      </c>
      <c r="F12" s="14">
        <f>COGS!F9</f>
        <v>1145245744</v>
      </c>
      <c r="G12" s="14">
        <f ca="1">COGS!G9</f>
        <v>1350351384.3603029</v>
      </c>
      <c r="H12" s="14">
        <f ca="1">COGS!H9</f>
        <v>1531298469.8645837</v>
      </c>
      <c r="I12" s="78">
        <f ca="1">COGS!I9</f>
        <v>1720413830.8928599</v>
      </c>
    </row>
    <row r="13" spans="1:22">
      <c r="A13" s="140" t="s">
        <v>34</v>
      </c>
      <c r="B13" s="135">
        <f>COGS!B10</f>
        <v>1769479992</v>
      </c>
      <c r="C13" s="14">
        <f>COGS!C10</f>
        <v>1592911187</v>
      </c>
      <c r="D13" s="14">
        <f>COGS!D10</f>
        <v>1723119107</v>
      </c>
      <c r="E13" s="14">
        <f>COGS!E10</f>
        <v>2237257542</v>
      </c>
      <c r="F13" s="14">
        <f>COGS!F10</f>
        <v>2893882670</v>
      </c>
      <c r="G13" s="14">
        <f ca="1">COGS!G10</f>
        <v>3756503299.5095534</v>
      </c>
      <c r="H13" s="14">
        <f ca="1">COGS!H10</f>
        <v>4812080726.6717386</v>
      </c>
      <c r="I13" s="78">
        <f ca="1">COGS!I10</f>
        <v>6315855953.7566566</v>
      </c>
    </row>
    <row r="14" spans="1:22">
      <c r="A14" s="140" t="s">
        <v>9</v>
      </c>
      <c r="B14" s="135">
        <f>COGS!B11</f>
        <v>3079261546</v>
      </c>
      <c r="C14" s="14">
        <f>COGS!C11</f>
        <v>3561965869</v>
      </c>
      <c r="D14" s="14">
        <f>COGS!D11</f>
        <v>4010046317</v>
      </c>
      <c r="E14" s="14">
        <f>COGS!E11</f>
        <v>5562535847</v>
      </c>
      <c r="F14" s="14">
        <f>COGS!F11</f>
        <v>5225358510</v>
      </c>
      <c r="G14" s="14">
        <f>COGS!G11</f>
        <v>7210994743.7999992</v>
      </c>
      <c r="H14" s="14">
        <f>COGS!H11</f>
        <v>8710881650.5103989</v>
      </c>
      <c r="I14" s="78">
        <f>COGS!I11</f>
        <v>10365949164.107374</v>
      </c>
    </row>
    <row r="15" spans="1:22">
      <c r="A15" s="140"/>
      <c r="B15" s="94"/>
      <c r="C15" s="17"/>
      <c r="D15" s="17"/>
      <c r="E15" s="17"/>
      <c r="F15" s="17"/>
      <c r="G15" s="107"/>
      <c r="H15" s="107"/>
      <c r="I15" s="108"/>
    </row>
    <row r="16" spans="1:22">
      <c r="A16" s="140" t="s">
        <v>93</v>
      </c>
      <c r="B16" s="135">
        <f>B11/Assumptions!B28</f>
        <v>287.10925753985123</v>
      </c>
      <c r="C16" s="14">
        <f>C11/Assumptions!C28</f>
        <v>303.77401766700166</v>
      </c>
      <c r="D16" s="14">
        <f>D11/Assumptions!D28</f>
        <v>278.24787749331682</v>
      </c>
      <c r="E16" s="14">
        <f>E11/Assumptions!E28</f>
        <v>308.12146734866792</v>
      </c>
      <c r="F16" s="14">
        <f>F11/Assumptions!F28</f>
        <v>314.06340153829342</v>
      </c>
      <c r="G16" s="14">
        <f ca="1">G11/Assumptions!G28</f>
        <v>349.34905461318181</v>
      </c>
      <c r="H16" s="14">
        <f ca="1">H11/Assumptions!H28</f>
        <v>377.2969789822364</v>
      </c>
      <c r="I16" s="78">
        <f ca="1">I11/Assumptions!I28</f>
        <v>403.70776751099305</v>
      </c>
    </row>
    <row r="17" spans="1:9">
      <c r="A17" s="140" t="s">
        <v>94</v>
      </c>
      <c r="B17" s="135">
        <f>B12/'Sales &amp; Dispatches'!B19</f>
        <v>418.36005821961464</v>
      </c>
      <c r="C17" s="14">
        <f>C12/'Sales &amp; Dispatches'!C19</f>
        <v>334.44332571865255</v>
      </c>
      <c r="D17" s="14">
        <f>D12/'Sales &amp; Dispatches'!D19</f>
        <v>347.26072672887483</v>
      </c>
      <c r="E17" s="14">
        <f>E12/'Sales &amp; Dispatches'!E19</f>
        <v>481.20077219420875</v>
      </c>
      <c r="F17" s="14">
        <f>F12/'Sales &amp; Dispatches'!F19</f>
        <v>493.18336197058761</v>
      </c>
      <c r="G17" s="14">
        <f ca="1">G12/'Sales &amp; Dispatches'!G19</f>
        <v>537.56986454794048</v>
      </c>
      <c r="H17" s="14">
        <f ca="1">H12/'Sales &amp; Dispatches'!H19</f>
        <v>580.57545371177571</v>
      </c>
      <c r="I17" s="78">
        <f ca="1">I12/'Sales &amp; Dispatches'!I19</f>
        <v>621.21573547160006</v>
      </c>
    </row>
    <row r="18" spans="1:9">
      <c r="A18" s="140" t="s">
        <v>95</v>
      </c>
      <c r="B18" s="135">
        <f>B13/Assumptions!B28</f>
        <v>843.39186635984242</v>
      </c>
      <c r="C18" s="14">
        <f>C13/Assumptions!C28</f>
        <v>762.98569980658453</v>
      </c>
      <c r="D18" s="14">
        <f>D13/Assumptions!D28</f>
        <v>770.1672693937553</v>
      </c>
      <c r="E18" s="14">
        <f>E13/Assumptions!E28</f>
        <v>936.0812301126557</v>
      </c>
      <c r="F18" s="14">
        <f>F13/Assumptions!F28</f>
        <v>1221.1665651799817</v>
      </c>
      <c r="G18" s="14">
        <f ca="1">G13/Assumptions!G28</f>
        <v>1495.4499941864221</v>
      </c>
      <c r="H18" s="14">
        <f ca="1">H13/Assumptions!H28</f>
        <v>1824.4489929074352</v>
      </c>
      <c r="I18" s="78">
        <f ca="1">I13/Assumptions!I28</f>
        <v>2280.5612411342936</v>
      </c>
    </row>
    <row r="19" spans="1:9">
      <c r="A19" s="140" t="s">
        <v>1727</v>
      </c>
      <c r="B19" s="135">
        <f>B14/Assumptions!B28</f>
        <v>1467.6764665508767</v>
      </c>
      <c r="C19" s="14">
        <f>C14/Assumptions!C28</f>
        <v>1706.1397041002349</v>
      </c>
      <c r="D19" s="14">
        <f>D14/Assumptions!D28</f>
        <v>1792.3348476376539</v>
      </c>
      <c r="E19" s="14">
        <f>E14/Assumptions!E28</f>
        <v>2327.3965113335635</v>
      </c>
      <c r="F19" s="14">
        <f>F14/Assumptions!F28</f>
        <v>2205.0075387094694</v>
      </c>
      <c r="G19" s="14">
        <f>G14/Assumptions!G28</f>
        <v>2870.67019190478</v>
      </c>
      <c r="H19" s="14">
        <f>H14/Assumptions!H28</f>
        <v>3302.6377064961657</v>
      </c>
      <c r="I19" s="78">
        <f>I14/Assumptions!I28</f>
        <v>3742.9894006956542</v>
      </c>
    </row>
    <row r="20" spans="1:9">
      <c r="A20" s="140"/>
      <c r="B20" s="135"/>
      <c r="C20" s="14"/>
      <c r="D20" s="14"/>
      <c r="E20" s="14"/>
      <c r="F20" s="14"/>
      <c r="G20" s="107"/>
      <c r="H20" s="107"/>
      <c r="I20" s="108"/>
    </row>
    <row r="21" spans="1:9">
      <c r="A21" s="140" t="s">
        <v>96</v>
      </c>
      <c r="B21" s="135">
        <f>'Sales &amp; Dispatches'!B12/'Sales &amp; Dispatches'!B17</f>
        <v>414.72502881816075</v>
      </c>
      <c r="C21" s="14">
        <f>'Sales &amp; Dispatches'!C12/'Sales &amp; Dispatches'!C17</f>
        <v>999.99984666927332</v>
      </c>
      <c r="D21" s="14">
        <f>'Sales &amp; Dispatches'!D12/'Sales &amp; Dispatches'!D17</f>
        <v>1268.0494226689218</v>
      </c>
      <c r="E21" s="14">
        <f>'Sales &amp; Dispatches'!E12/'Sales &amp; Dispatches'!E17</f>
        <v>1500.0003153188611</v>
      </c>
      <c r="F21" s="14">
        <f>'Sales &amp; Dispatches'!F12/'Sales &amp; Dispatches'!F17</f>
        <v>2000.0001168849794</v>
      </c>
      <c r="G21" s="14">
        <f>'Sales &amp; Dispatches'!G12/'Sales &amp; Dispatches'!G17</f>
        <v>1750</v>
      </c>
      <c r="H21" s="14">
        <f>'Sales &amp; Dispatches'!H12/'Sales &amp; Dispatches'!H17</f>
        <v>1750</v>
      </c>
      <c r="I21" s="78">
        <f>'Sales &amp; Dispatches'!I12/'Sales &amp; Dispatches'!I17</f>
        <v>1750</v>
      </c>
    </row>
    <row r="22" spans="1:9">
      <c r="A22" s="140" t="s">
        <v>97</v>
      </c>
      <c r="B22" s="135">
        <f>'Sales &amp; Dispatches'!B11/'Sales &amp; Dispatches'!B17</f>
        <v>1446.1461429858641</v>
      </c>
      <c r="C22" s="14">
        <f>'Sales &amp; Dispatches'!C11/'Sales &amp; Dispatches'!C17</f>
        <v>1521.3145651412815</v>
      </c>
      <c r="D22" s="14">
        <f>'Sales &amp; Dispatches'!D11/'Sales &amp; Dispatches'!D17</f>
        <v>1512.5631884337313</v>
      </c>
      <c r="E22" s="14">
        <f>'Sales &amp; Dispatches'!E11/'Sales &amp; Dispatches'!E17</f>
        <v>1655.7964963378286</v>
      </c>
      <c r="F22" s="14">
        <f>'Sales &amp; Dispatches'!F11/'Sales &amp; Dispatches'!F17</f>
        <v>1485.6929062955599</v>
      </c>
      <c r="G22" s="14">
        <f>'Sales &amp; Dispatches'!G11/'Sales &amp; Dispatches'!G17</f>
        <v>0</v>
      </c>
      <c r="H22" s="14">
        <f>'Sales &amp; Dispatches'!H11/'Sales &amp; Dispatches'!H17</f>
        <v>0</v>
      </c>
      <c r="I22" s="78">
        <f>'Sales &amp; Dispatches'!I11/'Sales &amp; Dispatches'!I17</f>
        <v>0</v>
      </c>
    </row>
    <row r="23" spans="1:9">
      <c r="A23" s="140" t="s">
        <v>98</v>
      </c>
      <c r="B23" s="135">
        <f>B8-B21-B22</f>
        <v>6911.1766347503217</v>
      </c>
      <c r="C23" s="14">
        <f t="shared" ref="C23:I23" si="0">C8-C21-C22</f>
        <v>6646.7106148306584</v>
      </c>
      <c r="D23" s="14">
        <f t="shared" si="0"/>
        <v>6093.1673335968462</v>
      </c>
      <c r="E23" s="14">
        <f t="shared" si="0"/>
        <v>6762.5289699762779</v>
      </c>
      <c r="F23" s="14">
        <f t="shared" si="0"/>
        <v>5194.0594013960572</v>
      </c>
      <c r="G23" s="107">
        <f t="shared" si="0"/>
        <v>8850</v>
      </c>
      <c r="H23" s="107">
        <f t="shared" si="0"/>
        <v>9970</v>
      </c>
      <c r="I23" s="108">
        <f t="shared" si="0"/>
        <v>11110</v>
      </c>
    </row>
    <row r="24" spans="1:9">
      <c r="A24" s="140"/>
      <c r="B24" s="135"/>
      <c r="C24" s="14"/>
      <c r="D24" s="14"/>
      <c r="E24" s="14"/>
      <c r="F24" s="14"/>
      <c r="G24" s="107"/>
      <c r="H24" s="107"/>
      <c r="I24" s="108"/>
    </row>
    <row r="25" spans="1:9">
      <c r="A25" s="140" t="s">
        <v>1728</v>
      </c>
      <c r="B25" s="135">
        <f>SUM(B16:B19)</f>
        <v>3016.5376486701853</v>
      </c>
      <c r="C25" s="14">
        <f t="shared" ref="C25:I25" si="1">SUM(C16:C19)</f>
        <v>3107.3427472924736</v>
      </c>
      <c r="D25" s="14">
        <f t="shared" si="1"/>
        <v>3188.0107212536009</v>
      </c>
      <c r="E25" s="14">
        <f t="shared" si="1"/>
        <v>4052.7999809890957</v>
      </c>
      <c r="F25" s="14">
        <f t="shared" si="1"/>
        <v>4233.4208673983321</v>
      </c>
      <c r="G25" s="107">
        <f t="shared" ca="1" si="1"/>
        <v>5253.0391052523246</v>
      </c>
      <c r="H25" s="107">
        <f t="shared" ca="1" si="1"/>
        <v>6084.9591320976124</v>
      </c>
      <c r="I25" s="108">
        <f t="shared" ca="1" si="1"/>
        <v>7048.4741448125405</v>
      </c>
    </row>
    <row r="26" spans="1:9">
      <c r="A26" s="140" t="s">
        <v>99</v>
      </c>
      <c r="B26" s="135">
        <f>B25/(1+'Sales &amp; Dispatches'!B28)</f>
        <v>2589.6173624299413</v>
      </c>
      <c r="C26" s="14">
        <f>C25/(1+'Sales &amp; Dispatches'!C28)</f>
        <v>2665.1034733174688</v>
      </c>
      <c r="D26" s="14">
        <f>D25/(1+'Sales &amp; Dispatches'!D28)</f>
        <v>2723.7407082672689</v>
      </c>
      <c r="E26" s="14">
        <f>E25/(1+'Sales &amp; Dispatches'!E28)</f>
        <v>3473.0055181595321</v>
      </c>
      <c r="F26" s="14">
        <f>F25/(1+'Sales &amp; Dispatches'!F28)</f>
        <v>3614.7009641043683</v>
      </c>
      <c r="G26" s="14">
        <f ca="1">G25/(1+'Sales &amp; Dispatches'!G28)</f>
        <v>5253.0391052523246</v>
      </c>
      <c r="H26" s="14">
        <f ca="1">H25/(1+'Sales &amp; Dispatches'!H28)</f>
        <v>6084.9591320976124</v>
      </c>
      <c r="I26" s="78">
        <f ca="1">I25/(1+'Sales &amp; Dispatches'!I28)</f>
        <v>7048.4741448125405</v>
      </c>
    </row>
    <row r="27" spans="1:9">
      <c r="A27" s="140" t="s">
        <v>100</v>
      </c>
      <c r="B27" s="135">
        <f>B25-B26</f>
        <v>426.92028624024397</v>
      </c>
      <c r="C27" s="14">
        <f t="shared" ref="C27:I27" si="2">C25-C26</f>
        <v>442.23927397500483</v>
      </c>
      <c r="D27" s="14">
        <f t="shared" si="2"/>
        <v>464.27001298633195</v>
      </c>
      <c r="E27" s="14">
        <f t="shared" si="2"/>
        <v>579.7944628295636</v>
      </c>
      <c r="F27" s="14">
        <f t="shared" si="2"/>
        <v>618.71990329396385</v>
      </c>
      <c r="G27" s="107">
        <f t="shared" ca="1" si="2"/>
        <v>0</v>
      </c>
      <c r="H27" s="107">
        <f t="shared" ca="1" si="2"/>
        <v>0</v>
      </c>
      <c r="I27" s="108">
        <f t="shared" ca="1" si="2"/>
        <v>0</v>
      </c>
    </row>
    <row r="28" spans="1:9">
      <c r="A28" s="140" t="s">
        <v>101</v>
      </c>
      <c r="B28" s="135">
        <f>Assumptions!B22*B8</f>
        <v>1446.1461429858641</v>
      </c>
      <c r="C28" s="14">
        <f>Assumptions!C22*C8</f>
        <v>1521.3145651412813</v>
      </c>
      <c r="D28" s="14">
        <f>Assumptions!D22*D8</f>
        <v>1512.5631884337313</v>
      </c>
      <c r="E28" s="14">
        <f>Assumptions!E22*E8</f>
        <v>1655.7964963378288</v>
      </c>
      <c r="F28" s="14">
        <f>Assumptions!F22*F8</f>
        <v>1485.6929062955601</v>
      </c>
      <c r="G28" s="14">
        <f>Assumptions!G22*G8</f>
        <v>1814.3771891628753</v>
      </c>
      <c r="H28" s="14">
        <f>Assumptions!H22*H8</f>
        <v>2006.0849676404621</v>
      </c>
      <c r="I28" s="78">
        <f>Assumptions!I22*I8</f>
        <v>2201.2160993051489</v>
      </c>
    </row>
    <row r="29" spans="1:9">
      <c r="A29" s="140" t="s">
        <v>102</v>
      </c>
      <c r="B29" s="135">
        <f>B28-B27</f>
        <v>1019.2258567456201</v>
      </c>
      <c r="C29" s="14">
        <f t="shared" ref="C29:I29" si="3">C28-C27</f>
        <v>1079.0752911662764</v>
      </c>
      <c r="D29" s="14">
        <f t="shared" si="3"/>
        <v>1048.2931754473993</v>
      </c>
      <c r="E29" s="14">
        <f t="shared" si="3"/>
        <v>1076.0020335082652</v>
      </c>
      <c r="F29" s="14">
        <f t="shared" si="3"/>
        <v>866.97300300159623</v>
      </c>
      <c r="G29" s="107">
        <f t="shared" ca="1" si="3"/>
        <v>1814.3771891628753</v>
      </c>
      <c r="H29" s="107">
        <f t="shared" ca="1" si="3"/>
        <v>2006.0849676404621</v>
      </c>
      <c r="I29" s="108">
        <f t="shared" ca="1" si="3"/>
        <v>2201.2160993051489</v>
      </c>
    </row>
    <row r="30" spans="1:9">
      <c r="A30" s="140"/>
      <c r="B30" s="135"/>
      <c r="C30" s="14"/>
      <c r="D30" s="14"/>
      <c r="E30" s="14"/>
      <c r="F30" s="14"/>
      <c r="G30" s="107"/>
      <c r="H30" s="107"/>
      <c r="I30" s="108"/>
    </row>
    <row r="31" spans="1:9">
      <c r="A31" s="141" t="s">
        <v>0</v>
      </c>
      <c r="B31" s="135"/>
      <c r="C31" s="14"/>
      <c r="D31" s="14"/>
      <c r="E31" s="14"/>
      <c r="F31" s="14"/>
      <c r="G31" s="107"/>
      <c r="H31" s="107"/>
      <c r="I31" s="108"/>
    </row>
    <row r="32" spans="1:9">
      <c r="A32" s="140" t="s">
        <v>103</v>
      </c>
      <c r="B32" s="135">
        <f>B8/20</f>
        <v>438.60239032771733</v>
      </c>
      <c r="C32" s="14">
        <f t="shared" ref="C32:I33" si="4">C8/20</f>
        <v>458.40125133206067</v>
      </c>
      <c r="D32" s="14">
        <f t="shared" si="4"/>
        <v>443.68899723497498</v>
      </c>
      <c r="E32" s="14">
        <f t="shared" si="4"/>
        <v>495.91628908164842</v>
      </c>
      <c r="F32" s="14">
        <f t="shared" si="4"/>
        <v>433.98762122882982</v>
      </c>
      <c r="G32" s="107">
        <f t="shared" si="4"/>
        <v>530</v>
      </c>
      <c r="H32" s="107">
        <f t="shared" si="4"/>
        <v>586</v>
      </c>
      <c r="I32" s="108">
        <f t="shared" si="4"/>
        <v>643</v>
      </c>
    </row>
    <row r="33" spans="1:9">
      <c r="A33" s="140" t="s">
        <v>104</v>
      </c>
      <c r="B33" s="135">
        <f>B9/20</f>
        <v>299.19538015264169</v>
      </c>
      <c r="C33" s="14">
        <f t="shared" si="4"/>
        <v>273.42922943562638</v>
      </c>
      <c r="D33" s="14">
        <f t="shared" si="4"/>
        <v>259.33444744339482</v>
      </c>
      <c r="E33" s="14">
        <f t="shared" si="4"/>
        <v>301.34603337798524</v>
      </c>
      <c r="F33" s="14">
        <f t="shared" si="4"/>
        <v>307.14182277652162</v>
      </c>
      <c r="G33" s="107">
        <f t="shared" si="4"/>
        <v>360.14309981250005</v>
      </c>
      <c r="H33" s="107">
        <f t="shared" si="4"/>
        <v>381.48374999999987</v>
      </c>
      <c r="I33" s="108">
        <f t="shared" si="4"/>
        <v>435.2595468749999</v>
      </c>
    </row>
    <row r="34" spans="1:9">
      <c r="A34" s="140" t="s">
        <v>1</v>
      </c>
      <c r="B34" s="135">
        <f>B21/20</f>
        <v>20.736251440908038</v>
      </c>
      <c r="C34" s="14">
        <f t="shared" ref="C34:I35" si="5">C21/20</f>
        <v>49.999992333463666</v>
      </c>
      <c r="D34" s="14">
        <f t="shared" si="5"/>
        <v>63.402471133446092</v>
      </c>
      <c r="E34" s="14">
        <f t="shared" si="5"/>
        <v>75.000015765943061</v>
      </c>
      <c r="F34" s="14">
        <f t="shared" si="5"/>
        <v>100.00000584424897</v>
      </c>
      <c r="G34" s="107">
        <f t="shared" si="5"/>
        <v>87.5</v>
      </c>
      <c r="H34" s="107">
        <f t="shared" si="5"/>
        <v>87.5</v>
      </c>
      <c r="I34" s="108">
        <f t="shared" si="5"/>
        <v>87.5</v>
      </c>
    </row>
    <row r="35" spans="1:9">
      <c r="A35" s="140" t="s">
        <v>105</v>
      </c>
      <c r="B35" s="135">
        <f>B22/20</f>
        <v>72.307307149293209</v>
      </c>
      <c r="C35" s="14">
        <f t="shared" si="5"/>
        <v>76.06572825706408</v>
      </c>
      <c r="D35" s="14">
        <f t="shared" si="5"/>
        <v>75.628159421686561</v>
      </c>
      <c r="E35" s="14">
        <f t="shared" si="5"/>
        <v>82.789824816891425</v>
      </c>
      <c r="F35" s="14">
        <f t="shared" si="5"/>
        <v>74.28464531477799</v>
      </c>
      <c r="G35" s="107">
        <f t="shared" si="5"/>
        <v>0</v>
      </c>
      <c r="H35" s="107">
        <f t="shared" si="5"/>
        <v>0</v>
      </c>
      <c r="I35" s="108">
        <f t="shared" si="5"/>
        <v>0</v>
      </c>
    </row>
    <row r="36" spans="1:9">
      <c r="A36" s="140" t="s">
        <v>106</v>
      </c>
      <c r="B36" s="135">
        <f>B32-B34-B35</f>
        <v>345.55883173751607</v>
      </c>
      <c r="C36" s="14">
        <f t="shared" ref="C36:I36" si="6">C32-C34-C35</f>
        <v>332.33553074153292</v>
      </c>
      <c r="D36" s="14">
        <f t="shared" si="6"/>
        <v>304.65836667984229</v>
      </c>
      <c r="E36" s="14">
        <f t="shared" si="6"/>
        <v>338.12644849881389</v>
      </c>
      <c r="F36" s="14">
        <f t="shared" si="6"/>
        <v>259.70297006980286</v>
      </c>
      <c r="G36" s="107">
        <f t="shared" si="6"/>
        <v>442.5</v>
      </c>
      <c r="H36" s="107">
        <f t="shared" si="6"/>
        <v>498.5</v>
      </c>
      <c r="I36" s="108">
        <f t="shared" si="6"/>
        <v>555.5</v>
      </c>
    </row>
    <row r="37" spans="1:9">
      <c r="A37" s="140"/>
      <c r="B37" s="135"/>
      <c r="C37" s="14"/>
      <c r="D37" s="14"/>
      <c r="E37" s="14"/>
      <c r="F37" s="14"/>
      <c r="G37" s="107"/>
      <c r="H37" s="107"/>
      <c r="I37" s="108"/>
    </row>
    <row r="38" spans="1:9">
      <c r="A38" s="140" t="s">
        <v>107</v>
      </c>
      <c r="B38" s="135">
        <f>B16/20</f>
        <v>14.355462876992561</v>
      </c>
      <c r="C38" s="14">
        <f t="shared" ref="C38:I38" si="7">C16/20</f>
        <v>15.188700883350084</v>
      </c>
      <c r="D38" s="14">
        <f t="shared" si="7"/>
        <v>13.912393874665842</v>
      </c>
      <c r="E38" s="14">
        <f t="shared" si="7"/>
        <v>15.406073367433397</v>
      </c>
      <c r="F38" s="14">
        <f t="shared" si="7"/>
        <v>15.70317007691467</v>
      </c>
      <c r="G38" s="107">
        <f t="shared" ca="1" si="7"/>
        <v>17.46745273065909</v>
      </c>
      <c r="H38" s="107">
        <f t="shared" ca="1" si="7"/>
        <v>18.864848949111821</v>
      </c>
      <c r="I38" s="108">
        <f t="shared" ca="1" si="7"/>
        <v>20.185388375549653</v>
      </c>
    </row>
    <row r="39" spans="1:9">
      <c r="A39" s="140" t="s">
        <v>108</v>
      </c>
      <c r="B39" s="135">
        <f t="shared" ref="B39:I41" si="8">B17/20</f>
        <v>20.918002910980732</v>
      </c>
      <c r="C39" s="14">
        <f t="shared" si="8"/>
        <v>16.722166285932627</v>
      </c>
      <c r="D39" s="14">
        <f t="shared" si="8"/>
        <v>17.363036336443741</v>
      </c>
      <c r="E39" s="14">
        <f t="shared" si="8"/>
        <v>24.060038609710439</v>
      </c>
      <c r="F39" s="14">
        <f t="shared" si="8"/>
        <v>24.659168098529381</v>
      </c>
      <c r="G39" s="107">
        <f t="shared" ca="1" si="8"/>
        <v>26.878493227397023</v>
      </c>
      <c r="H39" s="107">
        <f t="shared" ca="1" si="8"/>
        <v>29.028772685588784</v>
      </c>
      <c r="I39" s="108">
        <f t="shared" ca="1" si="8"/>
        <v>31.060786773580002</v>
      </c>
    </row>
    <row r="40" spans="1:9">
      <c r="A40" s="140" t="s">
        <v>109</v>
      </c>
      <c r="B40" s="135">
        <f t="shared" si="8"/>
        <v>42.169593317992124</v>
      </c>
      <c r="C40" s="14">
        <f t="shared" si="8"/>
        <v>38.149284990329228</v>
      </c>
      <c r="D40" s="14">
        <f t="shared" si="8"/>
        <v>38.508363469687765</v>
      </c>
      <c r="E40" s="14">
        <f t="shared" si="8"/>
        <v>46.804061505632788</v>
      </c>
      <c r="F40" s="14">
        <f t="shared" si="8"/>
        <v>61.058328258999083</v>
      </c>
      <c r="G40" s="107">
        <f t="shared" ca="1" si="8"/>
        <v>74.77249970932111</v>
      </c>
      <c r="H40" s="107">
        <f t="shared" ca="1" si="8"/>
        <v>91.222449645371768</v>
      </c>
      <c r="I40" s="108">
        <f t="shared" ca="1" si="8"/>
        <v>114.02806205671467</v>
      </c>
    </row>
    <row r="41" spans="1:9" ht="15.75" thickBot="1">
      <c r="A41" s="147" t="s">
        <v>1729</v>
      </c>
      <c r="B41" s="164">
        <f t="shared" si="8"/>
        <v>73.383823327543837</v>
      </c>
      <c r="C41" s="23">
        <f t="shared" si="8"/>
        <v>85.306985205011742</v>
      </c>
      <c r="D41" s="23">
        <f t="shared" si="8"/>
        <v>89.616742381882688</v>
      </c>
      <c r="E41" s="23">
        <f t="shared" si="8"/>
        <v>116.36982556667817</v>
      </c>
      <c r="F41" s="23">
        <f t="shared" si="8"/>
        <v>110.25037693547347</v>
      </c>
      <c r="G41" s="123">
        <f t="shared" si="8"/>
        <v>143.533509595239</v>
      </c>
      <c r="H41" s="123">
        <f t="shared" si="8"/>
        <v>165.13188532480828</v>
      </c>
      <c r="I41" s="124">
        <f t="shared" si="8"/>
        <v>187.14947003478272</v>
      </c>
    </row>
  </sheetData>
  <mergeCells count="3">
    <mergeCell ref="A1:I3"/>
    <mergeCell ref="B4:F6"/>
    <mergeCell ref="G4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topLeftCell="A2" zoomScale="62" zoomScaleNormal="62" workbookViewId="0">
      <selection activeCell="B8" sqref="B8"/>
    </sheetView>
  </sheetViews>
  <sheetFormatPr defaultRowHeight="15"/>
  <cols>
    <col min="1" max="1" width="52.85546875" bestFit="1" customWidth="1"/>
    <col min="2" max="4" width="18.5703125" bestFit="1" customWidth="1"/>
    <col min="5" max="5" width="18.85546875" bestFit="1" customWidth="1"/>
    <col min="6" max="6" width="18.5703125" bestFit="1" customWidth="1"/>
    <col min="7" max="9" width="18.85546875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>
      <c r="B5" s="374"/>
      <c r="C5" s="374"/>
      <c r="D5" s="374"/>
      <c r="E5" s="374"/>
      <c r="F5" s="374"/>
      <c r="G5" s="376"/>
      <c r="H5" s="376"/>
      <c r="I5" s="376"/>
    </row>
    <row r="6" spans="1:9" ht="15.75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125">
        <v>2016</v>
      </c>
      <c r="C7" s="126">
        <v>2017</v>
      </c>
      <c r="D7" s="126">
        <v>2018</v>
      </c>
      <c r="E7" s="126">
        <v>2019</v>
      </c>
      <c r="F7" s="126">
        <v>2020</v>
      </c>
      <c r="G7" s="74">
        <v>2021</v>
      </c>
      <c r="H7" s="74">
        <v>2022</v>
      </c>
      <c r="I7" s="75">
        <v>2023</v>
      </c>
    </row>
    <row r="8" spans="1:9">
      <c r="A8" s="59" t="s">
        <v>11</v>
      </c>
      <c r="B8" s="134">
        <v>16520932729</v>
      </c>
      <c r="C8" s="116">
        <v>17937745206</v>
      </c>
      <c r="D8" s="116">
        <v>19060000817</v>
      </c>
      <c r="E8" s="116">
        <v>22175710169</v>
      </c>
      <c r="F8" s="116">
        <v>19307319411</v>
      </c>
      <c r="G8" s="121">
        <f>G17*G21</f>
        <v>23578735400</v>
      </c>
      <c r="H8" s="121">
        <f t="shared" ref="H8:I8" si="0">H17*H21</f>
        <v>26070073480</v>
      </c>
      <c r="I8" s="122">
        <f t="shared" si="0"/>
        <v>28605899740</v>
      </c>
    </row>
    <row r="9" spans="1:9">
      <c r="A9" s="30" t="s">
        <v>12</v>
      </c>
      <c r="B9" s="135">
        <v>1216055687</v>
      </c>
      <c r="C9" s="14">
        <v>649788158</v>
      </c>
      <c r="D9" s="14">
        <v>518850429</v>
      </c>
      <c r="E9" s="14">
        <v>706373183</v>
      </c>
      <c r="F9" s="14">
        <v>600406978</v>
      </c>
      <c r="G9" s="111">
        <f>G18*G24</f>
        <v>2071155163.9743831</v>
      </c>
      <c r="H9" s="111">
        <f t="shared" ref="H9:I9" si="1">H18*H24</f>
        <v>3152153662.3434768</v>
      </c>
      <c r="I9" s="112">
        <f t="shared" si="1"/>
        <v>4744516586.8549013</v>
      </c>
    </row>
    <row r="10" spans="1:9">
      <c r="A10" s="91" t="s">
        <v>13</v>
      </c>
      <c r="B10" s="135">
        <f>SUM(B8:B9)</f>
        <v>17736988416</v>
      </c>
      <c r="C10" s="14">
        <f t="shared" ref="C10:I10" si="2">SUM(C8:C9)</f>
        <v>18587533364</v>
      </c>
      <c r="D10" s="14">
        <f t="shared" si="2"/>
        <v>19578851246</v>
      </c>
      <c r="E10" s="14">
        <f t="shared" si="2"/>
        <v>22882083352</v>
      </c>
      <c r="F10" s="14">
        <f t="shared" si="2"/>
        <v>19907726389</v>
      </c>
      <c r="G10" s="107">
        <f t="shared" si="2"/>
        <v>25649890563.974384</v>
      </c>
      <c r="H10" s="107">
        <f t="shared" si="2"/>
        <v>29222227142.343475</v>
      </c>
      <c r="I10" s="108">
        <f t="shared" si="2"/>
        <v>33350416326.8549</v>
      </c>
    </row>
    <row r="11" spans="1:9">
      <c r="A11" s="30" t="s">
        <v>14</v>
      </c>
      <c r="B11" s="135">
        <v>2723615246</v>
      </c>
      <c r="C11" s="14">
        <v>2976535619</v>
      </c>
      <c r="D11" s="14">
        <v>3248835985</v>
      </c>
      <c r="E11" s="14">
        <v>3702082792</v>
      </c>
      <c r="F11" s="14">
        <v>3304788672</v>
      </c>
      <c r="G11" s="111">
        <f>G28*G8</f>
        <v>0</v>
      </c>
      <c r="H11" s="111">
        <f t="shared" ref="H11:I11" si="3">H28*H8</f>
        <v>0</v>
      </c>
      <c r="I11" s="112">
        <f t="shared" si="3"/>
        <v>0</v>
      </c>
    </row>
    <row r="12" spans="1:9">
      <c r="A12" s="30" t="s">
        <v>15</v>
      </c>
      <c r="B12" s="135">
        <v>781076945</v>
      </c>
      <c r="C12" s="14">
        <v>1956554700</v>
      </c>
      <c r="D12" s="14">
        <v>2723644623</v>
      </c>
      <c r="E12" s="14">
        <v>3353748705</v>
      </c>
      <c r="F12" s="14">
        <v>4448818260</v>
      </c>
      <c r="G12" s="107">
        <f>G17*G30</f>
        <v>3892715750</v>
      </c>
      <c r="H12" s="107">
        <f t="shared" ref="H12:I12" si="4">H17*H30</f>
        <v>3892715750</v>
      </c>
      <c r="I12" s="108">
        <f t="shared" si="4"/>
        <v>3892715750</v>
      </c>
    </row>
    <row r="13" spans="1:9">
      <c r="A13" s="30" t="s">
        <v>16</v>
      </c>
      <c r="B13" s="135">
        <v>212453548</v>
      </c>
      <c r="C13" s="14">
        <v>114138445</v>
      </c>
      <c r="D13" s="14">
        <v>167527612</v>
      </c>
      <c r="E13" s="14">
        <v>180603143</v>
      </c>
      <c r="F13" s="14">
        <v>296636409</v>
      </c>
      <c r="G13" s="103">
        <f>G32*G10</f>
        <v>382197910.47281641</v>
      </c>
      <c r="H13" s="103">
        <f t="shared" ref="H13:I13" si="5">H32*H10</f>
        <v>435427750.66854477</v>
      </c>
      <c r="I13" s="104">
        <f t="shared" si="5"/>
        <v>496940109.81181407</v>
      </c>
    </row>
    <row r="14" spans="1:9">
      <c r="A14" s="30" t="s">
        <v>17</v>
      </c>
      <c r="B14" s="135">
        <v>0</v>
      </c>
      <c r="C14" s="14">
        <v>0</v>
      </c>
      <c r="D14" s="14">
        <v>0</v>
      </c>
      <c r="E14" s="14">
        <v>0</v>
      </c>
      <c r="F14" s="14">
        <v>557242508</v>
      </c>
      <c r="G14" s="127">
        <v>0</v>
      </c>
      <c r="H14" s="127">
        <v>0</v>
      </c>
      <c r="I14" s="131">
        <v>0</v>
      </c>
    </row>
    <row r="15" spans="1:9">
      <c r="A15" s="91" t="s">
        <v>18</v>
      </c>
      <c r="B15" s="135">
        <f t="shared" ref="B15:E15" si="6">B10-B11-B12-B13-B14</f>
        <v>14019842677</v>
      </c>
      <c r="C15" s="14">
        <f t="shared" si="6"/>
        <v>13540304600</v>
      </c>
      <c r="D15" s="14">
        <f t="shared" si="6"/>
        <v>13438843026</v>
      </c>
      <c r="E15" s="14">
        <f t="shared" si="6"/>
        <v>15645648712</v>
      </c>
      <c r="F15" s="14">
        <f>F10-F11-F12-F13-F14</f>
        <v>11300240540</v>
      </c>
      <c r="G15" s="107">
        <f t="shared" ref="G15:I15" si="7">G10-G11-G12-G13-G14</f>
        <v>21374976903.501568</v>
      </c>
      <c r="H15" s="107">
        <f t="shared" si="7"/>
        <v>24894083641.674931</v>
      </c>
      <c r="I15" s="108">
        <f t="shared" si="7"/>
        <v>28960760467.043087</v>
      </c>
    </row>
    <row r="16" spans="1:9">
      <c r="A16" s="91"/>
      <c r="B16" s="135"/>
      <c r="C16" s="14"/>
      <c r="D16" s="14"/>
      <c r="E16" s="14"/>
      <c r="F16" s="14"/>
      <c r="G16" s="101"/>
      <c r="H16" s="101"/>
      <c r="I16" s="102"/>
    </row>
    <row r="17" spans="1:9">
      <c r="A17" s="30" t="s">
        <v>19</v>
      </c>
      <c r="B17" s="135">
        <v>1883361</v>
      </c>
      <c r="C17" s="14">
        <v>1956555</v>
      </c>
      <c r="D17" s="14">
        <v>2147901</v>
      </c>
      <c r="E17" s="14">
        <v>2235832</v>
      </c>
      <c r="F17" s="14">
        <v>2224409</v>
      </c>
      <c r="G17" s="107">
        <f>F17*(1+Assumptions!G13)</f>
        <v>2224409</v>
      </c>
      <c r="H17" s="107">
        <f>G17*(1+Assumptions!H13)</f>
        <v>2224409</v>
      </c>
      <c r="I17" s="108">
        <f>H17*(1+Assumptions!I13)</f>
        <v>2224409</v>
      </c>
    </row>
    <row r="18" spans="1:9">
      <c r="A18" s="30" t="s">
        <v>20</v>
      </c>
      <c r="B18" s="135">
        <v>203221</v>
      </c>
      <c r="C18" s="14">
        <v>118822</v>
      </c>
      <c r="D18" s="14">
        <v>100035</v>
      </c>
      <c r="E18" s="14">
        <v>117203</v>
      </c>
      <c r="F18" s="14">
        <v>97741</v>
      </c>
      <c r="G18" s="107">
        <f>G19-G17</f>
        <v>287546.14000000013</v>
      </c>
      <c r="H18" s="107">
        <f t="shared" ref="H18:I18" si="8">H19-H17</f>
        <v>413143.89700000035</v>
      </c>
      <c r="I18" s="108">
        <f t="shared" si="8"/>
        <v>545021.54185000062</v>
      </c>
    </row>
    <row r="19" spans="1:9">
      <c r="A19" s="91" t="s">
        <v>21</v>
      </c>
      <c r="B19" s="135">
        <f t="shared" ref="B19:E19" si="9">SUM(B17:B18)</f>
        <v>2086582</v>
      </c>
      <c r="C19" s="14">
        <f t="shared" si="9"/>
        <v>2075377</v>
      </c>
      <c r="D19" s="14">
        <f t="shared" si="9"/>
        <v>2247936</v>
      </c>
      <c r="E19" s="14">
        <f t="shared" si="9"/>
        <v>2353035</v>
      </c>
      <c r="F19" s="14">
        <f>SUM(F17:F18)</f>
        <v>2322150</v>
      </c>
      <c r="G19" s="107">
        <f>Assumptions!G29*Assumptions!G27</f>
        <v>2511955.14</v>
      </c>
      <c r="H19" s="107">
        <f>Assumptions!H29*Assumptions!H27</f>
        <v>2637552.8970000003</v>
      </c>
      <c r="I19" s="108">
        <f>Assumptions!I29*Assumptions!I27</f>
        <v>2769430.5418500006</v>
      </c>
    </row>
    <row r="20" spans="1:9">
      <c r="A20" s="30"/>
      <c r="B20" s="94"/>
      <c r="C20" s="17"/>
      <c r="D20" s="17"/>
      <c r="E20" s="17"/>
      <c r="F20" s="17"/>
      <c r="G20" s="101"/>
      <c r="H20" s="101"/>
      <c r="I20" s="102"/>
    </row>
    <row r="21" spans="1:9">
      <c r="A21" s="30" t="s">
        <v>22</v>
      </c>
      <c r="B21" s="135">
        <f>B8/B17</f>
        <v>8772.0478065543466</v>
      </c>
      <c r="C21" s="14">
        <f>C8/C17</f>
        <v>9168.0250266412131</v>
      </c>
      <c r="D21" s="14">
        <f>D8/D17</f>
        <v>8873.7799446994995</v>
      </c>
      <c r="E21" s="14">
        <f>E8/E17</f>
        <v>9918.3257816329678</v>
      </c>
      <c r="F21" s="14">
        <f>F8/F17</f>
        <v>8679.7524245765962</v>
      </c>
      <c r="G21" s="107">
        <f>G22*20</f>
        <v>10600</v>
      </c>
      <c r="H21" s="107">
        <f t="shared" ref="H21:I21" si="10">H22*20</f>
        <v>11720</v>
      </c>
      <c r="I21" s="108">
        <f t="shared" si="10"/>
        <v>12860</v>
      </c>
    </row>
    <row r="22" spans="1:9">
      <c r="A22" s="30" t="s">
        <v>23</v>
      </c>
      <c r="B22" s="135">
        <f>B21/20</f>
        <v>438.60239032771733</v>
      </c>
      <c r="C22" s="14">
        <f t="shared" ref="C22:F22" si="11">C21/20</f>
        <v>458.40125133206067</v>
      </c>
      <c r="D22" s="14">
        <f t="shared" si="11"/>
        <v>443.68899723497498</v>
      </c>
      <c r="E22" s="14">
        <f t="shared" si="11"/>
        <v>495.91628908164842</v>
      </c>
      <c r="F22" s="14">
        <f t="shared" si="11"/>
        <v>433.98762122882982</v>
      </c>
      <c r="G22" s="101">
        <v>530</v>
      </c>
      <c r="H22" s="107">
        <v>586</v>
      </c>
      <c r="I22" s="108">
        <v>643</v>
      </c>
    </row>
    <row r="23" spans="1:9">
      <c r="A23" s="30"/>
      <c r="B23" s="94"/>
      <c r="C23" s="17">
        <f>C25/B25-1</f>
        <v>-9.0006872125914961E-2</v>
      </c>
      <c r="D23" s="17">
        <f t="shared" ref="D23:E23" si="12">D25/C25-1</f>
        <v>-9.5777448932353071E-2</v>
      </c>
      <c r="E23" s="17">
        <f t="shared" si="12"/>
        <v>-6.2299150009075266E-2</v>
      </c>
      <c r="F23" s="17">
        <f>F25/E25-1</f>
        <v>-0.12372608662724127</v>
      </c>
      <c r="G23" s="109">
        <f t="shared" ref="G23:H23" si="13">G25/F25-1</f>
        <v>0.15996929904993129</v>
      </c>
      <c r="H23" s="109">
        <f t="shared" si="13"/>
        <v>0.14999999999999991</v>
      </c>
      <c r="I23" s="102"/>
    </row>
    <row r="24" spans="1:9">
      <c r="A24" s="30" t="s">
        <v>24</v>
      </c>
      <c r="B24" s="135">
        <f>B9/B18</f>
        <v>5983.907603052834</v>
      </c>
      <c r="C24" s="14">
        <f>C9/C18</f>
        <v>5468.5845887125279</v>
      </c>
      <c r="D24" s="14">
        <f>D9/D18</f>
        <v>5186.6889488678962</v>
      </c>
      <c r="E24" s="14">
        <f>E9/E18</f>
        <v>6026.9206675597043</v>
      </c>
      <c r="F24" s="14">
        <f>F9/F18</f>
        <v>6142.8364555304324</v>
      </c>
      <c r="G24" s="107">
        <f>G25*G26</f>
        <v>7202.8619962500006</v>
      </c>
      <c r="H24" s="107">
        <f t="shared" ref="H24:I24" si="14">H25*H26</f>
        <v>7629.6749999999975</v>
      </c>
      <c r="I24" s="108">
        <f t="shared" si="14"/>
        <v>8705.1909374999977</v>
      </c>
    </row>
    <row r="25" spans="1:9">
      <c r="A25" s="30" t="s">
        <v>25</v>
      </c>
      <c r="B25" s="136">
        <f>B24/B26</f>
        <v>57.37839284701991</v>
      </c>
      <c r="C25" s="89">
        <f t="shared" ref="C25:E25" si="15">C24/C26</f>
        <v>52.213943179247678</v>
      </c>
      <c r="D25" s="89">
        <f t="shared" si="15"/>
        <v>47.213024902840502</v>
      </c>
      <c r="E25" s="89">
        <f t="shared" si="15"/>
        <v>44.271693582036235</v>
      </c>
      <c r="F25" s="89">
        <f>F24/F26</f>
        <v>38.794130186770538</v>
      </c>
      <c r="G25" s="103">
        <v>45</v>
      </c>
      <c r="H25" s="103">
        <f>G25*(1+15%)</f>
        <v>51.749999999999993</v>
      </c>
      <c r="I25" s="104">
        <f>H25*(1+15%)</f>
        <v>59.512499999999989</v>
      </c>
    </row>
    <row r="26" spans="1:9">
      <c r="A26" s="30" t="s">
        <v>26</v>
      </c>
      <c r="B26" s="137">
        <f>Assumptions!B10</f>
        <v>104.28851883333333</v>
      </c>
      <c r="C26" s="128">
        <f>Assumptions!C10</f>
        <v>104.73418125000001</v>
      </c>
      <c r="D26" s="128">
        <f>Assumptions!D10</f>
        <v>109.85716250000002</v>
      </c>
      <c r="E26" s="128">
        <f>Assumptions!E10</f>
        <v>136.13485683333332</v>
      </c>
      <c r="F26" s="128">
        <f>Assumptions!F10</f>
        <v>158.34448216666667</v>
      </c>
      <c r="G26" s="111">
        <f>Assumptions!G10</f>
        <v>160.06359991666667</v>
      </c>
      <c r="H26" s="111">
        <f>Assumptions!H10</f>
        <v>147.43333333333331</v>
      </c>
      <c r="I26" s="112">
        <f>Assumptions!I10</f>
        <v>146.27499999999998</v>
      </c>
    </row>
    <row r="27" spans="1:9">
      <c r="A27" s="30"/>
      <c r="B27" s="30"/>
      <c r="C27" s="88"/>
      <c r="D27" s="88"/>
      <c r="E27" s="88"/>
      <c r="F27" s="88"/>
      <c r="G27" s="101"/>
      <c r="H27" s="101"/>
      <c r="I27" s="102"/>
    </row>
    <row r="28" spans="1:9">
      <c r="A28" s="30" t="s">
        <v>27</v>
      </c>
      <c r="B28" s="94">
        <f>B11/B8</f>
        <v>0.16485844296303592</v>
      </c>
      <c r="C28" s="17">
        <f>C11/C8</f>
        <v>0.16593699959593461</v>
      </c>
      <c r="D28" s="17">
        <f>D11/D8</f>
        <v>0.17045308739453449</v>
      </c>
      <c r="E28" s="17">
        <f>E11/E8</f>
        <v>0.16694314471945243</v>
      </c>
      <c r="F28" s="17">
        <f>F11/F8</f>
        <v>0.17116765935498823</v>
      </c>
      <c r="G28" s="105">
        <f>Assumptions!G23</f>
        <v>0</v>
      </c>
      <c r="H28" s="105">
        <f>Assumptions!H23</f>
        <v>0</v>
      </c>
      <c r="I28" s="106">
        <f>Assumptions!I23</f>
        <v>0</v>
      </c>
    </row>
    <row r="29" spans="1:9">
      <c r="A29" s="30" t="s">
        <v>28</v>
      </c>
      <c r="B29" s="94">
        <f>B12/B8</f>
        <v>4.7278017398432806E-2</v>
      </c>
      <c r="C29" s="17">
        <f>C12/C8</f>
        <v>0.10907472915523138</v>
      </c>
      <c r="D29" s="17">
        <f>D12/D8</f>
        <v>0.14289845258404849</v>
      </c>
      <c r="E29" s="17">
        <f>E12/E8</f>
        <v>0.15123523348029197</v>
      </c>
      <c r="F29" s="17">
        <f>F12/F8</f>
        <v>0.230421332205514</v>
      </c>
      <c r="G29" s="105">
        <f>Assumptions!G22</f>
        <v>0.17116765935498823</v>
      </c>
      <c r="H29" s="101"/>
      <c r="I29" s="102"/>
    </row>
    <row r="30" spans="1:9">
      <c r="A30" s="30" t="s">
        <v>29</v>
      </c>
      <c r="B30" s="135">
        <f>B12/B17</f>
        <v>414.72502881816075</v>
      </c>
      <c r="C30" s="14">
        <f>C12/C17</f>
        <v>999.99984666927332</v>
      </c>
      <c r="D30" s="14">
        <f>D12/D17</f>
        <v>1268.0494226689218</v>
      </c>
      <c r="E30" s="14">
        <f>E12/E17</f>
        <v>1500.0003153188611</v>
      </c>
      <c r="F30" s="14">
        <f>F12/F17</f>
        <v>2000.0001168849794</v>
      </c>
      <c r="G30" s="107">
        <f>1.75*1000</f>
        <v>1750</v>
      </c>
      <c r="H30" s="111">
        <f>G30</f>
        <v>1750</v>
      </c>
      <c r="I30" s="112">
        <f>H30</f>
        <v>1750</v>
      </c>
    </row>
    <row r="31" spans="1:9">
      <c r="A31" s="30" t="s">
        <v>30</v>
      </c>
      <c r="B31" s="30"/>
      <c r="C31" s="90">
        <f>(C30-B30)/B30</f>
        <v>1.4112358241772061</v>
      </c>
      <c r="D31" s="90">
        <f t="shared" ref="D31:I31" si="16">(D30-C30)/C30</f>
        <v>0.26804961709989106</v>
      </c>
      <c r="E31" s="90">
        <f t="shared" si="16"/>
        <v>0.18291944186350531</v>
      </c>
      <c r="F31" s="90">
        <f t="shared" si="16"/>
        <v>0.33333313097326339</v>
      </c>
      <c r="G31" s="129">
        <f t="shared" si="16"/>
        <v>-0.12500005113717552</v>
      </c>
      <c r="H31" s="129">
        <f t="shared" si="16"/>
        <v>0</v>
      </c>
      <c r="I31" s="132">
        <f t="shared" si="16"/>
        <v>0</v>
      </c>
    </row>
    <row r="32" spans="1:9" ht="15.75" thickBot="1">
      <c r="A32" s="37" t="s">
        <v>31</v>
      </c>
      <c r="B32" s="138">
        <f>B13/B10</f>
        <v>1.1977994404526536E-2</v>
      </c>
      <c r="C32" s="96">
        <f t="shared" ref="C32:F32" si="17">C13/C10</f>
        <v>6.1405912643073598E-3</v>
      </c>
      <c r="D32" s="96">
        <f t="shared" si="17"/>
        <v>8.5565598254507529E-3</v>
      </c>
      <c r="E32" s="96">
        <f t="shared" si="17"/>
        <v>7.8927753308884983E-3</v>
      </c>
      <c r="F32" s="96">
        <f t="shared" si="17"/>
        <v>1.490056690571688E-2</v>
      </c>
      <c r="G32" s="130">
        <f>F32</f>
        <v>1.490056690571688E-2</v>
      </c>
      <c r="H32" s="130">
        <f t="shared" ref="H32:I32" si="18">G32</f>
        <v>1.490056690571688E-2</v>
      </c>
      <c r="I32" s="133">
        <f t="shared" si="18"/>
        <v>1.490056690571688E-2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 ht="15.75">
      <c r="A42" s="3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3">
    <mergeCell ref="A1:I3"/>
    <mergeCell ref="B4:F6"/>
    <mergeCell ref="G4:I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8"/>
  <sheetViews>
    <sheetView zoomScale="60" zoomScaleNormal="60" workbookViewId="0">
      <selection activeCell="A47" sqref="A47"/>
    </sheetView>
  </sheetViews>
  <sheetFormatPr defaultRowHeight="15"/>
  <cols>
    <col min="1" max="1" width="54.140625" bestFit="1" customWidth="1"/>
    <col min="2" max="2" width="16.5703125" customWidth="1"/>
    <col min="3" max="4" width="16.5703125" bestFit="1" customWidth="1"/>
    <col min="5" max="7" width="16.85546875" bestFit="1" customWidth="1"/>
    <col min="8" max="8" width="17.28515625" bestFit="1" customWidth="1"/>
    <col min="9" max="9" width="17.7109375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>
      <c r="B5" s="374"/>
      <c r="C5" s="374"/>
      <c r="D5" s="374"/>
      <c r="E5" s="374"/>
      <c r="F5" s="374"/>
      <c r="G5" s="376"/>
      <c r="H5" s="376"/>
      <c r="I5" s="376"/>
    </row>
    <row r="6" spans="1:9" ht="15.75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97">
        <v>2016</v>
      </c>
      <c r="C7" s="98">
        <v>2017</v>
      </c>
      <c r="D7" s="98">
        <v>2018</v>
      </c>
      <c r="E7" s="98">
        <v>2019</v>
      </c>
      <c r="F7" s="98">
        <v>2020</v>
      </c>
      <c r="G7" s="57">
        <v>2021</v>
      </c>
      <c r="H7" s="57">
        <v>2022</v>
      </c>
      <c r="I7" s="58">
        <v>2023</v>
      </c>
    </row>
    <row r="8" spans="1:9">
      <c r="A8" s="26" t="s">
        <v>32</v>
      </c>
      <c r="B8" s="134">
        <v>602370152</v>
      </c>
      <c r="C8" s="116">
        <v>634199345</v>
      </c>
      <c r="D8" s="116">
        <v>622532602</v>
      </c>
      <c r="E8" s="116">
        <v>736418010</v>
      </c>
      <c r="F8" s="116">
        <v>744257713</v>
      </c>
      <c r="G8" s="149">
        <f ca="1">G38*'Sales &amp; Dispatches'!G19</f>
        <v>877549153.38972282</v>
      </c>
      <c r="H8" s="149">
        <f ca="1">H38*'Sales &amp; Dispatches'!H19</f>
        <v>995140739.94394588</v>
      </c>
      <c r="I8" s="259">
        <f ca="1">I38*'Sales &amp; Dispatches'!I19</f>
        <v>1118040621.3270235</v>
      </c>
    </row>
    <row r="9" spans="1:9">
      <c r="A9" s="30" t="s">
        <v>33</v>
      </c>
      <c r="B9" s="135">
        <v>872942567</v>
      </c>
      <c r="C9" s="14">
        <v>694095986</v>
      </c>
      <c r="D9" s="14">
        <v>780619889</v>
      </c>
      <c r="E9" s="14">
        <v>1132282259</v>
      </c>
      <c r="F9" s="14">
        <v>1145245744</v>
      </c>
      <c r="G9" s="111">
        <f ca="1">G41*'Sales &amp; Dispatches'!G19</f>
        <v>1350351384.3603029</v>
      </c>
      <c r="H9" s="111">
        <f ca="1">H41*'Sales &amp; Dispatches'!H19</f>
        <v>1531298469.8645837</v>
      </c>
      <c r="I9" s="112">
        <f ca="1">I41*'Sales &amp; Dispatches'!I19</f>
        <v>1720413830.8928599</v>
      </c>
    </row>
    <row r="10" spans="1:9">
      <c r="A10" s="30" t="s">
        <v>34</v>
      </c>
      <c r="B10" s="135">
        <v>1769479992</v>
      </c>
      <c r="C10" s="14">
        <v>1592911187</v>
      </c>
      <c r="D10" s="14">
        <v>1723119107</v>
      </c>
      <c r="E10" s="14">
        <v>2237257542</v>
      </c>
      <c r="F10" s="14">
        <v>2893882670</v>
      </c>
      <c r="G10" s="111">
        <f ca="1">G44*'Sales &amp; Dispatches'!G19</f>
        <v>3756503299.5095534</v>
      </c>
      <c r="H10" s="111">
        <f ca="1">H44*'Sales &amp; Dispatches'!H19</f>
        <v>4812080726.6717386</v>
      </c>
      <c r="I10" s="112">
        <f ca="1">I44*'Sales &amp; Dispatches'!I19</f>
        <v>6315855953.7566566</v>
      </c>
    </row>
    <row r="11" spans="1:9">
      <c r="A11" s="30" t="s">
        <v>9</v>
      </c>
      <c r="B11" s="135">
        <v>3079261546</v>
      </c>
      <c r="C11" s="14">
        <v>3561965869</v>
      </c>
      <c r="D11" s="14">
        <v>4010046317</v>
      </c>
      <c r="E11" s="14">
        <v>5562535847</v>
      </c>
      <c r="F11" s="14">
        <v>5225358510</v>
      </c>
      <c r="G11" s="111">
        <f>F11*(1+G59)</f>
        <v>7210994743.7999992</v>
      </c>
      <c r="H11" s="111">
        <f t="shared" ref="H11:I11" si="0">G11*(1+H59)</f>
        <v>8710881650.5103989</v>
      </c>
      <c r="I11" s="112">
        <f t="shared" si="0"/>
        <v>10365949164.107374</v>
      </c>
    </row>
    <row r="12" spans="1:9">
      <c r="A12" s="30" t="s">
        <v>35</v>
      </c>
      <c r="B12" s="135">
        <v>4563083</v>
      </c>
      <c r="C12" s="14"/>
      <c r="D12" s="14"/>
      <c r="E12" s="14"/>
      <c r="F12" s="14"/>
      <c r="G12" s="101"/>
      <c r="H12" s="101"/>
      <c r="I12" s="102"/>
    </row>
    <row r="13" spans="1:9">
      <c r="A13" s="91" t="s">
        <v>3</v>
      </c>
      <c r="B13" s="30"/>
      <c r="C13" s="88"/>
      <c r="D13" s="88"/>
      <c r="E13" s="92"/>
      <c r="F13" s="92"/>
      <c r="G13" s="101"/>
      <c r="H13" s="101"/>
      <c r="I13" s="102"/>
    </row>
    <row r="14" spans="1:9">
      <c r="A14" s="30" t="s">
        <v>36</v>
      </c>
      <c r="B14" s="135">
        <v>356865679</v>
      </c>
      <c r="C14" s="14">
        <v>360165551</v>
      </c>
      <c r="D14" s="14">
        <v>394381228</v>
      </c>
      <c r="E14" s="14">
        <v>463284528</v>
      </c>
      <c r="F14" s="14">
        <v>408616138</v>
      </c>
      <c r="G14" s="107">
        <f>F14*(1+G62)</f>
        <v>449477751.80000001</v>
      </c>
      <c r="H14" s="107">
        <f t="shared" ref="H14:I14" si="1">G14*(1+H62)</f>
        <v>494425526.98000008</v>
      </c>
      <c r="I14" s="108">
        <f t="shared" si="1"/>
        <v>543868079.67800009</v>
      </c>
    </row>
    <row r="15" spans="1:9">
      <c r="A15" s="30" t="s">
        <v>37</v>
      </c>
      <c r="B15" s="135">
        <v>256156089</v>
      </c>
      <c r="C15" s="14">
        <v>298575042</v>
      </c>
      <c r="D15" s="14">
        <v>347303655</v>
      </c>
      <c r="E15" s="14">
        <v>453634581</v>
      </c>
      <c r="F15" s="14">
        <v>424875014</v>
      </c>
      <c r="G15" s="107">
        <f>F15*(1+Assumptions!G8)</f>
        <v>463113765.26000005</v>
      </c>
      <c r="H15" s="107">
        <f>G15*(1+Assumptions!H8)</f>
        <v>500162866.48080009</v>
      </c>
      <c r="I15" s="108">
        <f>H15*(1+Assumptions!I8)</f>
        <v>535174267.13445616</v>
      </c>
    </row>
    <row r="16" spans="1:9">
      <c r="A16" s="30" t="s">
        <v>38</v>
      </c>
      <c r="B16" s="135">
        <v>205892883</v>
      </c>
      <c r="C16" s="14">
        <v>202996647</v>
      </c>
      <c r="D16" s="14">
        <v>192376359</v>
      </c>
      <c r="E16" s="14">
        <v>216920844</v>
      </c>
      <c r="F16" s="14">
        <v>202178059</v>
      </c>
      <c r="G16" s="107">
        <f>F16*(1+G64)</f>
        <v>222395864.90000001</v>
      </c>
      <c r="H16" s="107">
        <f t="shared" ref="H16:I19" si="2">G16*(1+H64)</f>
        <v>244635451.39000002</v>
      </c>
      <c r="I16" s="108">
        <f t="shared" si="2"/>
        <v>269098996.52900004</v>
      </c>
    </row>
    <row r="17" spans="1:9">
      <c r="A17" s="30" t="s">
        <v>39</v>
      </c>
      <c r="B17" s="135">
        <v>22519391</v>
      </c>
      <c r="C17" s="14">
        <v>27029749</v>
      </c>
      <c r="D17" s="14">
        <v>29124734</v>
      </c>
      <c r="E17" s="14">
        <v>25151494</v>
      </c>
      <c r="F17" s="14">
        <v>20117534</v>
      </c>
      <c r="G17" s="107">
        <f>F17*(1+G65)</f>
        <v>18105780.600000001</v>
      </c>
      <c r="H17" s="107">
        <f t="shared" si="2"/>
        <v>16295202.540000001</v>
      </c>
      <c r="I17" s="108">
        <f t="shared" si="2"/>
        <v>14665682.286</v>
      </c>
    </row>
    <row r="18" spans="1:9">
      <c r="A18" s="30" t="s">
        <v>40</v>
      </c>
      <c r="B18" s="135">
        <v>95570031</v>
      </c>
      <c r="C18" s="14">
        <v>86947369</v>
      </c>
      <c r="D18" s="14">
        <v>118743172</v>
      </c>
      <c r="E18" s="14">
        <v>118681388</v>
      </c>
      <c r="F18" s="14">
        <v>99521010</v>
      </c>
      <c r="G18" s="107">
        <f>F18*(1+G66)</f>
        <v>89568909</v>
      </c>
      <c r="H18" s="107">
        <f t="shared" si="2"/>
        <v>80612018.100000009</v>
      </c>
      <c r="I18" s="108">
        <f t="shared" si="2"/>
        <v>72550816.290000007</v>
      </c>
    </row>
    <row r="19" spans="1:9">
      <c r="A19" s="30" t="s">
        <v>41</v>
      </c>
      <c r="B19" s="135">
        <v>20450279</v>
      </c>
      <c r="C19" s="14">
        <v>31901016</v>
      </c>
      <c r="D19" s="14">
        <v>40669982</v>
      </c>
      <c r="E19" s="14">
        <v>38020686</v>
      </c>
      <c r="F19" s="14">
        <v>39283711</v>
      </c>
      <c r="G19" s="107">
        <f>F19*(1+G67)</f>
        <v>41247896.550000004</v>
      </c>
      <c r="H19" s="107">
        <f t="shared" si="2"/>
        <v>43310291.377500005</v>
      </c>
      <c r="I19" s="108">
        <f t="shared" si="2"/>
        <v>45475805.946375005</v>
      </c>
    </row>
    <row r="20" spans="1:9">
      <c r="A20" s="30" t="s">
        <v>4</v>
      </c>
      <c r="B20" s="135">
        <f>'Fixed Assets'!B31</f>
        <v>433984642</v>
      </c>
      <c r="C20" s="14">
        <f>'Fixed Assets'!C31</f>
        <v>491064240</v>
      </c>
      <c r="D20" s="14">
        <f>'Fixed Assets'!D31</f>
        <v>516552808</v>
      </c>
      <c r="E20" s="14">
        <f>'Fixed Assets'!E31</f>
        <v>577977792</v>
      </c>
      <c r="F20" s="14">
        <f>'Fixed Assets'!F31</f>
        <v>787645309</v>
      </c>
      <c r="G20" s="107">
        <f>'Fixed Assets'!G31</f>
        <v>1153730821.6462822</v>
      </c>
      <c r="H20" s="107">
        <f>'Fixed Assets'!H31</f>
        <v>1362499821.2828853</v>
      </c>
      <c r="I20" s="108">
        <f>'Fixed Assets'!I31</f>
        <v>1552971165.1913085</v>
      </c>
    </row>
    <row r="21" spans="1:9">
      <c r="A21" s="30" t="s">
        <v>42</v>
      </c>
      <c r="B21" s="135">
        <v>0</v>
      </c>
      <c r="C21" s="14">
        <v>0</v>
      </c>
      <c r="D21" s="14">
        <v>0</v>
      </c>
      <c r="E21" s="14">
        <v>32934863</v>
      </c>
      <c r="F21" s="14">
        <v>65722065</v>
      </c>
      <c r="G21" s="107">
        <f>F21*(1+G69)</f>
        <v>72294271.5</v>
      </c>
      <c r="H21" s="107">
        <f t="shared" ref="H21:I22" si="3">G21*(1+H69)</f>
        <v>79523698.650000006</v>
      </c>
      <c r="I21" s="108">
        <f t="shared" si="3"/>
        <v>87476068.515000015</v>
      </c>
    </row>
    <row r="22" spans="1:9">
      <c r="A22" s="30" t="s">
        <v>43</v>
      </c>
      <c r="B22" s="135">
        <v>66017469</v>
      </c>
      <c r="C22" s="14">
        <v>81098676</v>
      </c>
      <c r="D22" s="14">
        <v>111420090</v>
      </c>
      <c r="E22" s="14">
        <v>156681201</v>
      </c>
      <c r="F22" s="14">
        <v>144704718</v>
      </c>
      <c r="G22" s="107">
        <f>F22*(1+G70)</f>
        <v>156281095.44</v>
      </c>
      <c r="H22" s="107">
        <f t="shared" si="3"/>
        <v>171909204.984</v>
      </c>
      <c r="I22" s="108">
        <f t="shared" si="3"/>
        <v>189100125.4824</v>
      </c>
    </row>
    <row r="23" spans="1:9">
      <c r="A23" s="91" t="s">
        <v>6</v>
      </c>
      <c r="B23" s="135">
        <f>SUM(B8:B22)</f>
        <v>7786073803</v>
      </c>
      <c r="C23" s="14">
        <f>SUM(C8:C22)</f>
        <v>8062950677</v>
      </c>
      <c r="D23" s="14">
        <f>SUM(D8:D22)</f>
        <v>8886889943</v>
      </c>
      <c r="E23" s="14">
        <f>SUM(E8:E22)</f>
        <v>11751781035</v>
      </c>
      <c r="F23" s="14">
        <f>SUM(F8:F22)</f>
        <v>12201408195</v>
      </c>
      <c r="G23" s="107">
        <f t="shared" ref="G23:I23" ca="1" si="4">SUM(G8:G22)</f>
        <v>15861614737.755859</v>
      </c>
      <c r="H23" s="107">
        <f t="shared" ca="1" si="4"/>
        <v>19042775668.775856</v>
      </c>
      <c r="I23" s="108">
        <f t="shared" ca="1" si="4"/>
        <v>22830640577.136456</v>
      </c>
    </row>
    <row r="24" spans="1:9">
      <c r="A24" s="30" t="s">
        <v>7</v>
      </c>
      <c r="B24" s="30"/>
      <c r="C24" s="88"/>
      <c r="D24" s="88"/>
      <c r="E24" s="88"/>
      <c r="F24" s="88"/>
      <c r="G24" s="101"/>
      <c r="H24" s="101"/>
      <c r="I24" s="102"/>
    </row>
    <row r="25" spans="1:9">
      <c r="A25" s="30" t="s">
        <v>44</v>
      </c>
      <c r="B25" s="135">
        <v>168067955</v>
      </c>
      <c r="C25" s="14">
        <v>405860370</v>
      </c>
      <c r="D25" s="14">
        <v>703875589</v>
      </c>
      <c r="E25" s="14">
        <v>491773853</v>
      </c>
      <c r="F25" s="14">
        <v>592673300</v>
      </c>
      <c r="G25" s="111">
        <f>F26</f>
        <v>664762089</v>
      </c>
      <c r="H25" s="111">
        <f t="shared" ref="H25:I25" si="5">G26</f>
        <v>704592682.39286661</v>
      </c>
      <c r="I25" s="112">
        <f t="shared" si="5"/>
        <v>747907650.43325734</v>
      </c>
    </row>
    <row r="26" spans="1:9">
      <c r="A26" s="30" t="s">
        <v>45</v>
      </c>
      <c r="B26" s="135">
        <v>405860370</v>
      </c>
      <c r="C26" s="14">
        <v>703875589</v>
      </c>
      <c r="D26" s="14">
        <v>491773853</v>
      </c>
      <c r="E26" s="14">
        <v>592673300</v>
      </c>
      <c r="F26" s="14">
        <v>664762089</v>
      </c>
      <c r="G26" s="111">
        <f>N.BS!G167</f>
        <v>704592682.39286661</v>
      </c>
      <c r="H26" s="111">
        <f>N.BS!H167</f>
        <v>747907650.43325734</v>
      </c>
      <c r="I26" s="112">
        <f>N.BS!I167</f>
        <v>790036435.77060235</v>
      </c>
    </row>
    <row r="27" spans="1:9">
      <c r="A27" s="30" t="s">
        <v>8</v>
      </c>
      <c r="B27" s="135">
        <f>B23+B25-B26</f>
        <v>7548281388</v>
      </c>
      <c r="C27" s="14">
        <f>C23+C25-C26</f>
        <v>7764935458</v>
      </c>
      <c r="D27" s="14">
        <f>D23+D25-D26</f>
        <v>9098991679</v>
      </c>
      <c r="E27" s="14">
        <f>E23+E25-E26</f>
        <v>11650881588</v>
      </c>
      <c r="F27" s="14">
        <f>F23+F25-F26</f>
        <v>12129319406</v>
      </c>
      <c r="G27" s="107">
        <f t="shared" ref="G27:I27" ca="1" si="6">G23+G25-G26</f>
        <v>15821784144.362993</v>
      </c>
      <c r="H27" s="107">
        <f t="shared" ca="1" si="6"/>
        <v>18999460700.735466</v>
      </c>
      <c r="I27" s="108">
        <f t="shared" ca="1" si="6"/>
        <v>22788511791.79911</v>
      </c>
    </row>
    <row r="28" spans="1:9">
      <c r="A28" s="30" t="s">
        <v>9</v>
      </c>
      <c r="B28" s="135"/>
      <c r="C28" s="14"/>
      <c r="D28" s="14"/>
      <c r="E28" s="14"/>
      <c r="F28" s="14"/>
      <c r="G28" s="101"/>
      <c r="H28" s="101"/>
      <c r="I28" s="102"/>
    </row>
    <row r="29" spans="1:9">
      <c r="A29" s="30" t="s">
        <v>44</v>
      </c>
      <c r="B29" s="135">
        <v>103016133</v>
      </c>
      <c r="C29" s="14">
        <v>124546558</v>
      </c>
      <c r="D29" s="14">
        <v>167423321</v>
      </c>
      <c r="E29" s="14">
        <v>92067529</v>
      </c>
      <c r="F29" s="14">
        <v>80776779</v>
      </c>
      <c r="G29" s="111">
        <f>F30</f>
        <v>246109361</v>
      </c>
      <c r="H29" s="111">
        <f t="shared" ref="H29:I29" si="7">G30</f>
        <v>249820859.14836231</v>
      </c>
      <c r="I29" s="112">
        <f t="shared" si="7"/>
        <v>253517414.98177263</v>
      </c>
    </row>
    <row r="30" spans="1:9">
      <c r="A30" s="30" t="s">
        <v>45</v>
      </c>
      <c r="B30" s="135">
        <v>124546558</v>
      </c>
      <c r="C30" s="14">
        <v>167423321</v>
      </c>
      <c r="D30" s="14">
        <v>92067529</v>
      </c>
      <c r="E30" s="14">
        <v>80776779</v>
      </c>
      <c r="F30" s="14">
        <v>246109361</v>
      </c>
      <c r="G30" s="111">
        <f>N.BS!G168</f>
        <v>249820859.14836231</v>
      </c>
      <c r="H30" s="111">
        <f>N.BS!H168</f>
        <v>253517414.98177263</v>
      </c>
      <c r="I30" s="112">
        <f>N.BS!I168</f>
        <v>256925677.77296066</v>
      </c>
    </row>
    <row r="31" spans="1:9">
      <c r="A31" s="30"/>
      <c r="B31" s="135">
        <f t="shared" ref="B31:E31" si="8">B27+B29-B30</f>
        <v>7526750963</v>
      </c>
      <c r="C31" s="14">
        <f t="shared" si="8"/>
        <v>7722058695</v>
      </c>
      <c r="D31" s="14">
        <f t="shared" si="8"/>
        <v>9174347471</v>
      </c>
      <c r="E31" s="14">
        <f t="shared" si="8"/>
        <v>11662172338</v>
      </c>
      <c r="F31" s="14">
        <f>F27+F29-F30</f>
        <v>11963986824</v>
      </c>
      <c r="G31" s="107">
        <f ca="1">G27+G29-G30</f>
        <v>15818072646.21463</v>
      </c>
      <c r="H31" s="107">
        <f t="shared" ref="H31:I31" ca="1" si="9">H27+H29-H30</f>
        <v>18995764144.902054</v>
      </c>
      <c r="I31" s="108">
        <f t="shared" ca="1" si="9"/>
        <v>22785103529.007923</v>
      </c>
    </row>
    <row r="32" spans="1:9">
      <c r="A32" s="30" t="s">
        <v>46</v>
      </c>
      <c r="B32" s="135">
        <v>3473130</v>
      </c>
      <c r="C32" s="14">
        <v>9122012</v>
      </c>
      <c r="D32" s="14">
        <v>60865290</v>
      </c>
      <c r="E32" s="14">
        <v>189669959</v>
      </c>
      <c r="F32" s="14">
        <v>26397160</v>
      </c>
      <c r="G32" s="111">
        <f>AVERAGE(B32:F32)</f>
        <v>57905510.200000003</v>
      </c>
      <c r="H32" s="111">
        <f t="shared" ref="H32:I32" si="10">AVERAGE(C32:G32)</f>
        <v>68791986.239999995</v>
      </c>
      <c r="I32" s="112">
        <f t="shared" si="10"/>
        <v>80725981.088</v>
      </c>
    </row>
    <row r="33" spans="1:10">
      <c r="A33" s="30" t="s">
        <v>47</v>
      </c>
      <c r="B33" s="135"/>
      <c r="C33" s="14">
        <v>0</v>
      </c>
      <c r="D33" s="14">
        <v>0</v>
      </c>
      <c r="E33" s="14">
        <v>0</v>
      </c>
      <c r="F33" s="14">
        <v>613028812</v>
      </c>
      <c r="G33" s="107">
        <v>0</v>
      </c>
      <c r="H33" s="107">
        <v>0</v>
      </c>
      <c r="I33" s="108">
        <v>0</v>
      </c>
    </row>
    <row r="34" spans="1:10">
      <c r="A34" s="30"/>
      <c r="B34" s="135"/>
      <c r="C34" s="14"/>
      <c r="D34" s="14"/>
      <c r="E34" s="14"/>
      <c r="F34" s="14"/>
      <c r="G34" s="101"/>
      <c r="H34" s="101"/>
      <c r="I34" s="102"/>
    </row>
    <row r="35" spans="1:10">
      <c r="A35" s="91" t="s">
        <v>48</v>
      </c>
      <c r="B35" s="135">
        <f t="shared" ref="B35:E35" si="11">B31-B32-B33</f>
        <v>7523277833</v>
      </c>
      <c r="C35" s="14">
        <f t="shared" si="11"/>
        <v>7712936683</v>
      </c>
      <c r="D35" s="14">
        <f t="shared" si="11"/>
        <v>9113482181</v>
      </c>
      <c r="E35" s="14">
        <f t="shared" si="11"/>
        <v>11472502379</v>
      </c>
      <c r="F35" s="14">
        <f>F31-F32-F33</f>
        <v>11324560852</v>
      </c>
      <c r="G35" s="107">
        <f t="shared" ref="G35:I35" ca="1" si="12">G31-G32-G33</f>
        <v>15760167136.014629</v>
      </c>
      <c r="H35" s="107">
        <f t="shared" ca="1" si="12"/>
        <v>18926972158.662052</v>
      </c>
      <c r="I35" s="108">
        <f t="shared" ca="1" si="12"/>
        <v>22704377547.919922</v>
      </c>
    </row>
    <row r="36" spans="1:10">
      <c r="A36" s="30" t="s">
        <v>49</v>
      </c>
      <c r="B36" s="291">
        <f>B35/'Sales &amp; Dispatches'!B19</f>
        <v>3605.5510078204452</v>
      </c>
      <c r="C36" s="292">
        <f>C35/'Sales &amp; Dispatches'!C19</f>
        <v>3716.4026984013026</v>
      </c>
      <c r="D36" s="292">
        <f>D35/'Sales &amp; Dispatches'!D19</f>
        <v>4054.1555369014063</v>
      </c>
      <c r="E36" s="292">
        <f>E35/'Sales &amp; Dispatches'!E19</f>
        <v>4875.6190957635563</v>
      </c>
      <c r="F36" s="292">
        <f>F35/'Sales &amp; Dispatches'!F19</f>
        <v>4876.7568210494583</v>
      </c>
      <c r="G36" s="293">
        <f ca="1">G35/'Sales &amp; Dispatches'!G19</f>
        <v>6274.063929348129</v>
      </c>
      <c r="H36" s="293">
        <f ca="1">H35/'Sales &amp; Dispatches'!H19</f>
        <v>7175.9592689837336</v>
      </c>
      <c r="I36" s="294">
        <f ca="1">I35/'Sales &amp; Dispatches'!I19</f>
        <v>8198.2115835095919</v>
      </c>
    </row>
    <row r="37" spans="1:10">
      <c r="A37" s="30"/>
      <c r="B37" s="30"/>
      <c r="C37" s="88"/>
      <c r="D37" s="88"/>
      <c r="E37" s="88"/>
      <c r="F37" s="88"/>
      <c r="G37" s="101"/>
      <c r="H37" s="101"/>
      <c r="I37" s="102"/>
    </row>
    <row r="38" spans="1:10">
      <c r="A38" s="30" t="s">
        <v>50</v>
      </c>
      <c r="B38" s="167">
        <f>B8/'Sales &amp; Dispatches'!B19</f>
        <v>288.6875052118728</v>
      </c>
      <c r="C38" s="150">
        <f>C8/'Sales &amp; Dispatches'!C19</f>
        <v>305.58271822420699</v>
      </c>
      <c r="D38" s="150">
        <f>D8/'Sales &amp; Dispatches'!D19</f>
        <v>276.93519833304862</v>
      </c>
      <c r="E38" s="150">
        <f>E8/'Sales &amp; Dispatches'!E19</f>
        <v>312.96517476365631</v>
      </c>
      <c r="F38" s="150">
        <f>F8/'Sales &amp; Dispatches'!F19</f>
        <v>320.50371982860713</v>
      </c>
      <c r="G38" s="127">
        <f ca="1">G8/'Sales &amp; Dispatches'!G19</f>
        <v>288.6875052118728</v>
      </c>
      <c r="H38" s="127">
        <f ca="1">H8/'Sales &amp; Dispatches'!H19</f>
        <v>288.6875052118728</v>
      </c>
      <c r="I38" s="131">
        <f ca="1">I8/'Sales &amp; Dispatches'!I19</f>
        <v>288.6875052118728</v>
      </c>
    </row>
    <row r="39" spans="1:10">
      <c r="A39" s="30" t="s">
        <v>51</v>
      </c>
      <c r="B39" s="30"/>
      <c r="C39" s="17">
        <f>C38/B38-1</f>
        <v>5.8524226741072383E-2</v>
      </c>
      <c r="D39" s="17">
        <f>D38/C38-1</f>
        <v>-9.3747185893344853E-2</v>
      </c>
      <c r="E39" s="17">
        <f>E38/D38-1</f>
        <v>0.13010255340412602</v>
      </c>
      <c r="F39" s="17">
        <f>F38/E38-1</f>
        <v>2.4087488554097813E-2</v>
      </c>
      <c r="G39" s="101"/>
      <c r="H39" s="101"/>
      <c r="I39" s="102"/>
    </row>
    <row r="40" spans="1:10">
      <c r="A40" s="30"/>
      <c r="B40" s="30"/>
      <c r="C40" s="88"/>
      <c r="D40" s="88"/>
      <c r="E40" s="88"/>
      <c r="F40" s="88"/>
      <c r="G40" s="101"/>
      <c r="H40" s="101"/>
      <c r="I40" s="102"/>
    </row>
    <row r="41" spans="1:10">
      <c r="A41" s="30" t="s">
        <v>52</v>
      </c>
      <c r="B41" s="167">
        <f>B9/'Sales &amp; Dispatches'!B19</f>
        <v>418.36005821961464</v>
      </c>
      <c r="C41" s="150">
        <f>C9/'Sales &amp; Dispatches'!C19</f>
        <v>334.44332571865255</v>
      </c>
      <c r="D41" s="150">
        <f>D9/'Sales &amp; Dispatches'!D19</f>
        <v>347.26072672887483</v>
      </c>
      <c r="E41" s="150">
        <f>E9/'Sales &amp; Dispatches'!E19</f>
        <v>481.20077219420875</v>
      </c>
      <c r="F41" s="150">
        <f>F9/'Sales &amp; Dispatches'!F19</f>
        <v>493.18336197058761</v>
      </c>
      <c r="G41" s="127">
        <f ca="1">G9/'Sales &amp; Dispatches'!G19</f>
        <v>418.36005821961464</v>
      </c>
      <c r="H41" s="127">
        <f ca="1">H9/'Sales &amp; Dispatches'!H19</f>
        <v>418.36005821961464</v>
      </c>
      <c r="I41" s="131">
        <f ca="1">I9/'Sales &amp; Dispatches'!I19</f>
        <v>418.36005821961464</v>
      </c>
      <c r="J41" s="150"/>
    </row>
    <row r="42" spans="1:10">
      <c r="A42" s="30" t="s">
        <v>53</v>
      </c>
      <c r="B42" s="30"/>
      <c r="C42" s="17">
        <f t="shared" ref="C42:E42" si="13">C41/B41-1</f>
        <v>-0.20058495272727661</v>
      </c>
      <c r="D42" s="17">
        <f t="shared" si="13"/>
        <v>3.8324583044616611E-2</v>
      </c>
      <c r="E42" s="17">
        <f t="shared" si="13"/>
        <v>0.38570455901253742</v>
      </c>
      <c r="F42" s="17">
        <f>F41/E41-1</f>
        <v>2.4901435053272802E-2</v>
      </c>
      <c r="G42" s="101"/>
      <c r="H42" s="101"/>
      <c r="I42" s="102"/>
    </row>
    <row r="43" spans="1:10">
      <c r="A43" s="30"/>
      <c r="B43" s="30"/>
      <c r="C43" s="88"/>
      <c r="D43" s="88"/>
      <c r="E43" s="88"/>
      <c r="F43" s="88"/>
      <c r="G43" s="101"/>
      <c r="H43" s="101"/>
      <c r="I43" s="102"/>
    </row>
    <row r="44" spans="1:10">
      <c r="A44" s="30" t="s">
        <v>54</v>
      </c>
      <c r="B44" s="167">
        <f>B10/'Sales &amp; Dispatches'!B19</f>
        <v>848.02801519422678</v>
      </c>
      <c r="C44" s="150">
        <f>C10/'Sales &amp; Dispatches'!C19</f>
        <v>767.52859215458204</v>
      </c>
      <c r="D44" s="150">
        <f>D10/'Sales &amp; Dispatches'!D19</f>
        <v>766.53388130267058</v>
      </c>
      <c r="E44" s="150">
        <f>E10/'Sales &amp; Dispatches'!E19</f>
        <v>950.79654233787426</v>
      </c>
      <c r="F44" s="150">
        <f>F10/'Sales &amp; Dispatches'!F19</f>
        <v>1246.2083284886851</v>
      </c>
      <c r="G44" s="127">
        <f ca="1">G10/'Sales &amp; Dispatches'!G19</f>
        <v>848.02801519422678</v>
      </c>
      <c r="H44" s="127">
        <f ca="1">H10/'Sales &amp; Dispatches'!H19</f>
        <v>848.02801519422678</v>
      </c>
      <c r="I44" s="131">
        <f ca="1">I10/'Sales &amp; Dispatches'!I19</f>
        <v>848.02801519422678</v>
      </c>
    </row>
    <row r="45" spans="1:10">
      <c r="A45" s="30" t="s">
        <v>55</v>
      </c>
      <c r="B45" s="30"/>
      <c r="C45" s="17">
        <f t="shared" ref="C45:E45" si="14">C44/B44-1</f>
        <v>-9.4925428874195528E-2</v>
      </c>
      <c r="D45" s="17">
        <f t="shared" si="14"/>
        <v>-1.2959919175377088E-3</v>
      </c>
      <c r="E45" s="17">
        <f t="shared" si="14"/>
        <v>0.24038423549140742</v>
      </c>
      <c r="F45" s="17">
        <f>F44/E44-1</f>
        <v>0.31069926424472993</v>
      </c>
      <c r="G45" s="105">
        <v>0.2</v>
      </c>
      <c r="H45" s="105">
        <v>0.22</v>
      </c>
      <c r="I45" s="106">
        <v>0.25</v>
      </c>
    </row>
    <row r="46" spans="1:10">
      <c r="A46" s="30"/>
      <c r="B46" s="30"/>
      <c r="C46" s="88" t="s">
        <v>56</v>
      </c>
      <c r="D46" s="88"/>
      <c r="E46" s="88"/>
      <c r="F46" s="88"/>
      <c r="G46" s="101"/>
      <c r="H46" s="101"/>
      <c r="I46" s="102"/>
    </row>
    <row r="47" spans="1:10">
      <c r="A47" s="30" t="s">
        <v>1730</v>
      </c>
      <c r="B47" s="167">
        <f>B11/'Sales &amp; Dispatches'!B19</f>
        <v>1475.7443254087307</v>
      </c>
      <c r="C47" s="150">
        <f>C11/'Sales &amp; Dispatches'!C19</f>
        <v>1716.2982287073626</v>
      </c>
      <c r="D47" s="150">
        <f>D11/'Sales &amp; Dispatches'!D19</f>
        <v>1783.8792194261757</v>
      </c>
      <c r="E47" s="150">
        <f>E11/'Sales &amp; Dispatches'!E19</f>
        <v>2363.9834711340886</v>
      </c>
      <c r="F47" s="150">
        <f>F11/'Sales &amp; Dispatches'!F19</f>
        <v>2250.2243653510754</v>
      </c>
      <c r="G47" s="127">
        <f>G11/'Sales &amp; Dispatches'!G19</f>
        <v>2870.67019190478</v>
      </c>
      <c r="H47" s="127">
        <f>H11/'Sales &amp; Dispatches'!H19</f>
        <v>3302.6377064961657</v>
      </c>
      <c r="I47" s="131">
        <f>I11/'Sales &amp; Dispatches'!I19</f>
        <v>3742.9894006956542</v>
      </c>
    </row>
    <row r="48" spans="1:10">
      <c r="A48" s="30" t="s">
        <v>1731</v>
      </c>
      <c r="B48" s="30"/>
      <c r="C48" s="17">
        <f t="shared" ref="C48:E48" si="15">C47/B47-1</f>
        <v>0.16300513520999416</v>
      </c>
      <c r="D48" s="17">
        <f>D47/C47-1</f>
        <v>3.9376018449726047E-2</v>
      </c>
      <c r="E48" s="17">
        <f t="shared" si="15"/>
        <v>0.32519256090359994</v>
      </c>
      <c r="F48" s="17">
        <f>F47/E47-1</f>
        <v>-4.8121785609794854E-2</v>
      </c>
      <c r="G48" s="105">
        <f>G59</f>
        <v>0.38</v>
      </c>
      <c r="H48" s="105">
        <f t="shared" ref="H48:I48" si="16">H59</f>
        <v>0.20800000000000002</v>
      </c>
      <c r="I48" s="106">
        <f t="shared" si="16"/>
        <v>0.19</v>
      </c>
    </row>
    <row r="49" spans="1:9">
      <c r="A49" s="30"/>
      <c r="B49" s="30"/>
      <c r="C49" s="88"/>
      <c r="D49" s="88"/>
      <c r="E49" s="88"/>
      <c r="F49" s="88"/>
      <c r="G49" s="111">
        <f>F50*(1+G56)</f>
        <v>100.5</v>
      </c>
      <c r="H49" s="111">
        <f t="shared" ref="H49:I49" si="17">G50*(1+H56)</f>
        <v>101.39999999999999</v>
      </c>
      <c r="I49" s="112">
        <f t="shared" si="17"/>
        <v>110.77949999999998</v>
      </c>
    </row>
    <row r="50" spans="1:9">
      <c r="A50" s="30" t="s">
        <v>57</v>
      </c>
      <c r="B50" s="260">
        <v>52</v>
      </c>
      <c r="C50" s="16">
        <v>78</v>
      </c>
      <c r="D50" s="16">
        <v>93</v>
      </c>
      <c r="E50" s="16">
        <v>88</v>
      </c>
      <c r="F50" s="16">
        <v>67</v>
      </c>
      <c r="G50" s="127">
        <v>84.5</v>
      </c>
      <c r="H50" s="103">
        <f>G50*1.14</f>
        <v>96.33</v>
      </c>
      <c r="I50" s="104">
        <f>H50*1.15</f>
        <v>110.77949999999998</v>
      </c>
    </row>
    <row r="51" spans="1:9">
      <c r="A51" s="30" t="s">
        <v>58</v>
      </c>
      <c r="B51" s="167">
        <f>Assumptions!B10</f>
        <v>104.28851883333333</v>
      </c>
      <c r="C51" s="150">
        <f>Assumptions!C10</f>
        <v>104.73418125000001</v>
      </c>
      <c r="D51" s="150">
        <f>Assumptions!D10</f>
        <v>109.85716250000002</v>
      </c>
      <c r="E51" s="150">
        <f>Assumptions!E10</f>
        <v>136.13485683333332</v>
      </c>
      <c r="F51" s="150">
        <f>Assumptions!F10</f>
        <v>158.34448216666667</v>
      </c>
      <c r="G51" s="127">
        <f>Assumptions!G10</f>
        <v>160.06359991666667</v>
      </c>
      <c r="H51" s="127">
        <f>Assumptions!H10</f>
        <v>147.43333333333331</v>
      </c>
      <c r="I51" s="131">
        <f>Assumptions!I10</f>
        <v>146.27499999999998</v>
      </c>
    </row>
    <row r="52" spans="1:9">
      <c r="A52" s="30" t="s">
        <v>59</v>
      </c>
      <c r="B52" s="261">
        <f t="shared" ref="B52:E52" si="18">B50*B51</f>
        <v>5423.0029793333333</v>
      </c>
      <c r="C52" s="151">
        <f t="shared" si="18"/>
        <v>8169.2661375000007</v>
      </c>
      <c r="D52" s="151">
        <f t="shared" si="18"/>
        <v>10216.716112500002</v>
      </c>
      <c r="E52" s="151">
        <f t="shared" si="18"/>
        <v>11979.867401333331</v>
      </c>
      <c r="F52" s="151">
        <f>F50*F51</f>
        <v>10609.080305166666</v>
      </c>
      <c r="G52" s="152">
        <f t="shared" ref="G52:I52" si="19">G50*G51</f>
        <v>13525.374192958334</v>
      </c>
      <c r="H52" s="152">
        <f t="shared" si="19"/>
        <v>14202.252999999997</v>
      </c>
      <c r="I52" s="153">
        <f t="shared" si="19"/>
        <v>16204.271362499996</v>
      </c>
    </row>
    <row r="53" spans="1:9">
      <c r="A53" s="30" t="s">
        <v>60</v>
      </c>
      <c r="B53" s="30"/>
      <c r="C53" s="17">
        <f t="shared" ref="C53:E53" si="20">C52/B52-1</f>
        <v>0.5064100404577454</v>
      </c>
      <c r="D53" s="17">
        <f t="shared" si="20"/>
        <v>0.25062838454992131</v>
      </c>
      <c r="E53" s="17">
        <f t="shared" si="20"/>
        <v>0.17257514737794666</v>
      </c>
      <c r="F53" s="17">
        <f>F52/E52-1</f>
        <v>-0.11442422943797359</v>
      </c>
      <c r="G53" s="101"/>
      <c r="H53" s="101"/>
      <c r="I53" s="102"/>
    </row>
    <row r="54" spans="1:9">
      <c r="A54" s="30"/>
      <c r="B54" s="30"/>
      <c r="C54" s="88"/>
      <c r="D54" s="88"/>
      <c r="E54" s="88"/>
      <c r="F54" s="88"/>
      <c r="G54" s="101"/>
      <c r="H54" s="101"/>
      <c r="I54" s="102"/>
    </row>
    <row r="55" spans="1:9">
      <c r="A55" s="30" t="s">
        <v>61</v>
      </c>
      <c r="B55" s="30"/>
      <c r="C55" s="88"/>
      <c r="D55" s="88"/>
      <c r="E55" s="88"/>
      <c r="F55" s="88"/>
      <c r="G55" s="105">
        <v>0.6</v>
      </c>
      <c r="H55" s="105">
        <f>G55</f>
        <v>0.6</v>
      </c>
      <c r="I55" s="106">
        <f>H55</f>
        <v>0.6</v>
      </c>
    </row>
    <row r="56" spans="1:9">
      <c r="A56" s="30" t="s">
        <v>62</v>
      </c>
      <c r="B56" s="30"/>
      <c r="C56" s="88"/>
      <c r="D56" s="88"/>
      <c r="E56" s="88"/>
      <c r="F56" s="88"/>
      <c r="G56" s="105">
        <v>0.5</v>
      </c>
      <c r="H56" s="105">
        <v>0.2</v>
      </c>
      <c r="I56" s="106">
        <v>0.15</v>
      </c>
    </row>
    <row r="57" spans="1:9">
      <c r="A57" s="30" t="s">
        <v>63</v>
      </c>
      <c r="B57" s="30"/>
      <c r="C57" s="88"/>
      <c r="D57" s="88"/>
      <c r="E57" s="88"/>
      <c r="F57" s="88"/>
      <c r="G57" s="105">
        <v>0.4</v>
      </c>
      <c r="H57" s="105">
        <f>G57</f>
        <v>0.4</v>
      </c>
      <c r="I57" s="106">
        <f>H57</f>
        <v>0.4</v>
      </c>
    </row>
    <row r="58" spans="1:9">
      <c r="A58" s="30" t="s">
        <v>64</v>
      </c>
      <c r="B58" s="30"/>
      <c r="C58" s="88"/>
      <c r="D58" s="88"/>
      <c r="E58" s="88"/>
      <c r="F58" s="88"/>
      <c r="G58" s="105">
        <v>0.2</v>
      </c>
      <c r="H58" s="105">
        <v>0.22</v>
      </c>
      <c r="I58" s="106">
        <v>0.25</v>
      </c>
    </row>
    <row r="59" spans="1:9">
      <c r="A59" s="30" t="s">
        <v>65</v>
      </c>
      <c r="B59" s="30"/>
      <c r="C59" s="88"/>
      <c r="D59" s="88"/>
      <c r="E59" s="88"/>
      <c r="F59" s="88"/>
      <c r="G59" s="105">
        <f>(G55*G56)+(G57*G58)</f>
        <v>0.38</v>
      </c>
      <c r="H59" s="105">
        <f t="shared" ref="H59:I59" si="21">(H55*H56)+(H57*H58)</f>
        <v>0.20800000000000002</v>
      </c>
      <c r="I59" s="106">
        <f t="shared" si="21"/>
        <v>0.19</v>
      </c>
    </row>
    <row r="60" spans="1:9">
      <c r="A60" s="30"/>
      <c r="B60" s="30"/>
      <c r="C60" s="88"/>
      <c r="D60" s="88"/>
      <c r="E60" s="88"/>
      <c r="F60" s="88"/>
      <c r="G60" s="101"/>
      <c r="H60" s="101"/>
      <c r="I60" s="102"/>
    </row>
    <row r="61" spans="1:9">
      <c r="A61" s="30" t="s">
        <v>66</v>
      </c>
      <c r="B61" s="30"/>
      <c r="C61" s="88"/>
      <c r="D61" s="88"/>
      <c r="E61" s="88"/>
      <c r="F61" s="88"/>
      <c r="G61" s="101"/>
      <c r="H61" s="101"/>
      <c r="I61" s="102"/>
    </row>
    <row r="62" spans="1:9">
      <c r="A62" s="30" t="s">
        <v>36</v>
      </c>
      <c r="B62" s="30"/>
      <c r="C62" s="17">
        <f>C14/B14-1</f>
        <v>9.2468180443880943E-3</v>
      </c>
      <c r="D62" s="17">
        <f>D14/C14-1</f>
        <v>9.4999860217058973E-2</v>
      </c>
      <c r="E62" s="17">
        <f>E14/D14-1</f>
        <v>0.17471242317851909</v>
      </c>
      <c r="F62" s="17">
        <f>F14/E14-1</f>
        <v>-0.11800176068042578</v>
      </c>
      <c r="G62" s="105">
        <v>0.1</v>
      </c>
      <c r="H62" s="105">
        <f>G62</f>
        <v>0.1</v>
      </c>
      <c r="I62" s="106">
        <f>H62</f>
        <v>0.1</v>
      </c>
    </row>
    <row r="63" spans="1:9">
      <c r="A63" s="30" t="s">
        <v>37</v>
      </c>
      <c r="B63" s="30"/>
      <c r="C63" s="17">
        <f t="shared" ref="C63:C68" si="22">C15/B14-1</f>
        <v>-0.16334055200640352</v>
      </c>
      <c r="D63" s="17">
        <f t="shared" ref="D63:I68" si="23">D15/C15-1</f>
        <v>0.16320390570354504</v>
      </c>
      <c r="E63" s="17">
        <f t="shared" si="23"/>
        <v>0.30616126398093901</v>
      </c>
      <c r="F63" s="17">
        <f t="shared" si="23"/>
        <v>-6.3398092219076219E-2</v>
      </c>
      <c r="G63" s="105">
        <f>[1]Assumptions!G5</f>
        <v>0.09</v>
      </c>
      <c r="H63" s="105">
        <f>[1]Assumptions!H5</f>
        <v>0.08</v>
      </c>
      <c r="I63" s="106">
        <f>[1]Assumptions!I5</f>
        <v>7.0000000000000007E-2</v>
      </c>
    </row>
    <row r="64" spans="1:9">
      <c r="A64" s="30" t="s">
        <v>38</v>
      </c>
      <c r="B64" s="30"/>
      <c r="C64" s="17">
        <f t="shared" si="22"/>
        <v>-0.20752753607196117</v>
      </c>
      <c r="D64" s="17">
        <f t="shared" si="23"/>
        <v>-5.2317553796836891E-2</v>
      </c>
      <c r="E64" s="17">
        <f t="shared" si="23"/>
        <v>0.12758576535903776</v>
      </c>
      <c r="F64" s="17">
        <f t="shared" si="23"/>
        <v>-6.7963892856695685E-2</v>
      </c>
      <c r="G64" s="105">
        <v>0.1</v>
      </c>
      <c r="H64" s="105">
        <f>G64</f>
        <v>0.1</v>
      </c>
      <c r="I64" s="106">
        <f>H64</f>
        <v>0.1</v>
      </c>
    </row>
    <row r="65" spans="1:9">
      <c r="A65" s="30" t="s">
        <v>39</v>
      </c>
      <c r="B65" s="30"/>
      <c r="C65" s="17">
        <f t="shared" si="22"/>
        <v>-0.86871936219378698</v>
      </c>
      <c r="D65" s="17">
        <f t="shared" si="23"/>
        <v>7.7506639073859018E-2</v>
      </c>
      <c r="E65" s="17">
        <f t="shared" si="23"/>
        <v>-0.13642150345476112</v>
      </c>
      <c r="F65" s="17">
        <f t="shared" si="23"/>
        <v>-0.20014556590554822</v>
      </c>
      <c r="G65" s="105">
        <v>-0.1</v>
      </c>
      <c r="H65" s="105">
        <f t="shared" ref="H65:I67" si="24">G65</f>
        <v>-0.1</v>
      </c>
      <c r="I65" s="106">
        <f t="shared" si="24"/>
        <v>-0.1</v>
      </c>
    </row>
    <row r="66" spans="1:9">
      <c r="A66" s="30" t="s">
        <v>40</v>
      </c>
      <c r="B66" s="30"/>
      <c r="C66" s="17">
        <f t="shared" si="22"/>
        <v>2.8610000154977548</v>
      </c>
      <c r="D66" s="17">
        <f t="shared" si="23"/>
        <v>0.36569022577324906</v>
      </c>
      <c r="E66" s="17">
        <f t="shared" si="23"/>
        <v>-5.2031623342518873E-4</v>
      </c>
      <c r="F66" s="17">
        <f t="shared" si="23"/>
        <v>-0.16144383144558438</v>
      </c>
      <c r="G66" s="105">
        <v>-0.1</v>
      </c>
      <c r="H66" s="105">
        <f t="shared" si="24"/>
        <v>-0.1</v>
      </c>
      <c r="I66" s="106">
        <f t="shared" si="24"/>
        <v>-0.1</v>
      </c>
    </row>
    <row r="67" spans="1:9">
      <c r="A67" s="30" t="s">
        <v>41</v>
      </c>
      <c r="B67" s="30"/>
      <c r="C67" s="17">
        <f t="shared" si="22"/>
        <v>-0.66620272415732495</v>
      </c>
      <c r="D67" s="17">
        <f t="shared" si="23"/>
        <v>0.27488046148749623</v>
      </c>
      <c r="E67" s="17">
        <f t="shared" si="23"/>
        <v>-6.5141312332029022E-2</v>
      </c>
      <c r="F67" s="17">
        <f t="shared" si="23"/>
        <v>3.3219416398746704E-2</v>
      </c>
      <c r="G67" s="105">
        <v>0.05</v>
      </c>
      <c r="H67" s="105">
        <f t="shared" si="24"/>
        <v>0.05</v>
      </c>
      <c r="I67" s="106">
        <f t="shared" si="24"/>
        <v>0.05</v>
      </c>
    </row>
    <row r="68" spans="1:9">
      <c r="A68" s="30" t="s">
        <v>4</v>
      </c>
      <c r="B68" s="30"/>
      <c r="C68" s="17">
        <f t="shared" si="22"/>
        <v>23.012593666815011</v>
      </c>
      <c r="D68" s="17">
        <f t="shared" si="23"/>
        <v>5.1904752828265455E-2</v>
      </c>
      <c r="E68" s="17">
        <f t="shared" si="23"/>
        <v>0.11891327091575898</v>
      </c>
      <c r="F68" s="17">
        <f t="shared" si="23"/>
        <v>0.36276050724108089</v>
      </c>
      <c r="G68" s="109">
        <f t="shared" si="23"/>
        <v>0.46478473046588298</v>
      </c>
      <c r="H68" s="109">
        <f t="shared" si="23"/>
        <v>0.18095121992035046</v>
      </c>
      <c r="I68" s="110">
        <f t="shared" si="23"/>
        <v>0.13979550010441955</v>
      </c>
    </row>
    <row r="69" spans="1:9">
      <c r="A69" s="30" t="s">
        <v>42</v>
      </c>
      <c r="B69" s="30"/>
      <c r="C69" s="17">
        <f>('[1]Selling&amp;Admin'!C16+'[1]Selling&amp;Admin'!C17)/('[1]Selling&amp;Admin'!B16+'[1]Selling&amp;Admin'!B17)-1</f>
        <v>-0.27388127997656975</v>
      </c>
      <c r="D69" s="17">
        <f>'[1]Selling&amp;Admin'!D16/('[1]Selling&amp;Admin'!C16+'[1]Selling&amp;Admin'!C17)-1</f>
        <v>-0.56114562329825857</v>
      </c>
      <c r="E69" s="17">
        <f>E21/'[1]Selling&amp;Admin'!D16-1</f>
        <v>3.311065186526263E-2</v>
      </c>
      <c r="F69" s="17">
        <f>F21/E21-1</f>
        <v>0.99551657464007071</v>
      </c>
      <c r="G69" s="105">
        <v>0.1</v>
      </c>
      <c r="H69" s="105">
        <f>G69</f>
        <v>0.1</v>
      </c>
      <c r="I69" s="106">
        <f>H69</f>
        <v>0.1</v>
      </c>
    </row>
    <row r="70" spans="1:9" ht="15.75" thickBot="1">
      <c r="A70" s="37" t="s">
        <v>43</v>
      </c>
      <c r="B70" s="37"/>
      <c r="C70" s="96">
        <f t="shared" ref="C70:D70" si="25">C22/B22-1</f>
        <v>0.22844267174192945</v>
      </c>
      <c r="D70" s="96">
        <f t="shared" si="25"/>
        <v>0.37388297189956599</v>
      </c>
      <c r="E70" s="96">
        <f>E22/D22-1</f>
        <v>0.40622037731256544</v>
      </c>
      <c r="F70" s="96">
        <f>F22/E22-1</f>
        <v>-7.6438544787514107E-2</v>
      </c>
      <c r="G70" s="130">
        <v>0.08</v>
      </c>
      <c r="H70" s="130">
        <v>0.1</v>
      </c>
      <c r="I70" s="133">
        <v>0.1</v>
      </c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 ht="15.75">
      <c r="A76" s="3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</sheetData>
  <mergeCells count="3">
    <mergeCell ref="A1:I3"/>
    <mergeCell ref="B4:F6"/>
    <mergeCell ref="G4:I6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topLeftCell="A32" zoomScale="57" zoomScaleNormal="57" workbookViewId="0">
      <selection activeCell="I21" sqref="I21"/>
    </sheetView>
  </sheetViews>
  <sheetFormatPr defaultRowHeight="15"/>
  <cols>
    <col min="1" max="1" width="34.7109375" bestFit="1" customWidth="1"/>
    <col min="2" max="2" width="14.140625" bestFit="1" customWidth="1"/>
    <col min="3" max="3" width="15" bestFit="1" customWidth="1"/>
    <col min="4" max="4" width="14.7109375" bestFit="1" customWidth="1"/>
    <col min="5" max="5" width="14.42578125" bestFit="1" customWidth="1"/>
    <col min="6" max="6" width="15" bestFit="1" customWidth="1"/>
    <col min="7" max="7" width="14.42578125" bestFit="1" customWidth="1"/>
    <col min="8" max="8" width="14.7109375" bestFit="1" customWidth="1"/>
    <col min="9" max="9" width="15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 ht="15" customHeight="1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 ht="15" customHeight="1">
      <c r="B5" s="374"/>
      <c r="C5" s="374"/>
      <c r="D5" s="374"/>
      <c r="E5" s="374"/>
      <c r="F5" s="374"/>
      <c r="G5" s="376"/>
      <c r="H5" s="376"/>
      <c r="I5" s="376"/>
    </row>
    <row r="6" spans="1:9" ht="15.75" customHeight="1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97">
        <v>2016</v>
      </c>
      <c r="C7" s="98">
        <v>2017</v>
      </c>
      <c r="D7" s="98">
        <v>2018</v>
      </c>
      <c r="E7" s="98">
        <v>2019</v>
      </c>
      <c r="F7" s="98">
        <v>2020</v>
      </c>
      <c r="G7" s="57">
        <v>2021</v>
      </c>
      <c r="H7" s="57">
        <v>2022</v>
      </c>
      <c r="I7" s="58">
        <v>2023</v>
      </c>
    </row>
    <row r="8" spans="1:9">
      <c r="A8" s="139" t="s">
        <v>110</v>
      </c>
      <c r="B8" s="26"/>
      <c r="C8" s="27"/>
      <c r="D8" s="27"/>
      <c r="E8" s="27"/>
      <c r="F8" s="27"/>
      <c r="G8" s="161"/>
      <c r="H8" s="161"/>
      <c r="I8" s="162"/>
    </row>
    <row r="9" spans="1:9">
      <c r="A9" s="140" t="s">
        <v>37</v>
      </c>
      <c r="B9" s="135">
        <v>36815310</v>
      </c>
      <c r="C9" s="14">
        <v>34954773</v>
      </c>
      <c r="D9" s="14">
        <v>45100723</v>
      </c>
      <c r="E9" s="14">
        <v>55229708</v>
      </c>
      <c r="F9" s="14">
        <v>44871216</v>
      </c>
      <c r="G9" s="111">
        <f>F9*(1+G25)</f>
        <v>48909625.440000005</v>
      </c>
      <c r="H9" s="111">
        <f t="shared" ref="H9:I9" si="0">G9*(1+H25)</f>
        <v>52822395.475200012</v>
      </c>
      <c r="I9" s="112">
        <f t="shared" si="0"/>
        <v>56519963.158464015</v>
      </c>
    </row>
    <row r="10" spans="1:9">
      <c r="A10" s="140" t="s">
        <v>111</v>
      </c>
      <c r="B10" s="135">
        <v>2252638</v>
      </c>
      <c r="C10" s="14">
        <v>2157564</v>
      </c>
      <c r="D10" s="14">
        <v>1842469</v>
      </c>
      <c r="E10" s="14">
        <v>2530970</v>
      </c>
      <c r="F10" s="14">
        <v>2078526</v>
      </c>
      <c r="G10" s="111">
        <f t="shared" ref="G10:I17" si="1">F10*(1+G26)</f>
        <v>2081993.5899166039</v>
      </c>
      <c r="H10" s="111">
        <f t="shared" si="1"/>
        <v>2108303.2699107137</v>
      </c>
      <c r="I10" s="112">
        <f t="shared" si="1"/>
        <v>2218581.1726098335</v>
      </c>
    </row>
    <row r="11" spans="1:9">
      <c r="A11" s="140" t="s">
        <v>112</v>
      </c>
      <c r="B11" s="135">
        <v>1810609</v>
      </c>
      <c r="C11" s="14">
        <v>1725713</v>
      </c>
      <c r="D11" s="14">
        <v>1646403</v>
      </c>
      <c r="E11" s="14">
        <v>1689792</v>
      </c>
      <c r="F11" s="14">
        <v>1603158</v>
      </c>
      <c r="G11" s="111">
        <f t="shared" si="1"/>
        <v>1555960.578025982</v>
      </c>
      <c r="H11" s="111">
        <f t="shared" si="1"/>
        <v>1516939.6876527767</v>
      </c>
      <c r="I11" s="112">
        <f t="shared" si="1"/>
        <v>1486815.6067131183</v>
      </c>
    </row>
    <row r="12" spans="1:9">
      <c r="A12" s="140" t="s">
        <v>113</v>
      </c>
      <c r="B12" s="135">
        <v>786261</v>
      </c>
      <c r="C12" s="14">
        <v>634312</v>
      </c>
      <c r="D12" s="14">
        <v>439826</v>
      </c>
      <c r="E12" s="14">
        <v>369218</v>
      </c>
      <c r="F12" s="14">
        <v>364134</v>
      </c>
      <c r="G12" s="111">
        <f t="shared" si="1"/>
        <v>302761.91011529299</v>
      </c>
      <c r="H12" s="111">
        <f t="shared" si="1"/>
        <v>253604.13778965341</v>
      </c>
      <c r="I12" s="112">
        <f t="shared" si="1"/>
        <v>221573.11694088776</v>
      </c>
    </row>
    <row r="13" spans="1:9">
      <c r="A13" s="140" t="s">
        <v>114</v>
      </c>
      <c r="B13" s="135">
        <v>1084567</v>
      </c>
      <c r="C13" s="14">
        <v>1016125</v>
      </c>
      <c r="D13" s="14">
        <v>1197096</v>
      </c>
      <c r="E13" s="14">
        <v>1225180</v>
      </c>
      <c r="F13" s="14">
        <v>1433938</v>
      </c>
      <c r="G13" s="111">
        <f t="shared" si="1"/>
        <v>1544653.6244138826</v>
      </c>
      <c r="H13" s="111">
        <f t="shared" si="1"/>
        <v>1718102.7033160501</v>
      </c>
      <c r="I13" s="112">
        <f t="shared" si="1"/>
        <v>1882761.6292535348</v>
      </c>
    </row>
    <row r="14" spans="1:9">
      <c r="A14" s="140" t="s">
        <v>115</v>
      </c>
      <c r="B14" s="135">
        <v>1687674</v>
      </c>
      <c r="C14" s="14">
        <v>1458952</v>
      </c>
      <c r="D14" s="14">
        <v>1495559</v>
      </c>
      <c r="E14" s="14">
        <v>1941584</v>
      </c>
      <c r="F14" s="14">
        <v>2292812</v>
      </c>
      <c r="G14" s="111">
        <f t="shared" si="1"/>
        <v>2504150.1902691149</v>
      </c>
      <c r="H14" s="111">
        <f t="shared" si="1"/>
        <v>2877516.579554324</v>
      </c>
      <c r="I14" s="112">
        <f t="shared" si="1"/>
        <v>3395760.1221102295</v>
      </c>
    </row>
    <row r="15" spans="1:9">
      <c r="A15" s="140" t="s">
        <v>39</v>
      </c>
      <c r="B15" s="135">
        <v>2032980</v>
      </c>
      <c r="C15" s="14">
        <v>2312714</v>
      </c>
      <c r="D15" s="14">
        <v>2874565</v>
      </c>
      <c r="E15" s="14">
        <v>3468483</v>
      </c>
      <c r="F15" s="14">
        <v>4825886</v>
      </c>
      <c r="G15" s="111">
        <f t="shared" si="1"/>
        <v>6006422.063929081</v>
      </c>
      <c r="H15" s="111">
        <f t="shared" si="1"/>
        <v>7636461.1398396641</v>
      </c>
      <c r="I15" s="112">
        <f t="shared" si="1"/>
        <v>9763164.8221704289</v>
      </c>
    </row>
    <row r="16" spans="1:9">
      <c r="A16" s="140" t="s">
        <v>116</v>
      </c>
      <c r="B16" s="135">
        <v>341844</v>
      </c>
      <c r="C16" s="14">
        <v>397180</v>
      </c>
      <c r="D16" s="14">
        <v>452248</v>
      </c>
      <c r="E16" s="14">
        <v>463092</v>
      </c>
      <c r="F16" s="14">
        <v>444210</v>
      </c>
      <c r="G16" s="111">
        <f t="shared" si="1"/>
        <v>475718.56054831843</v>
      </c>
      <c r="H16" s="111">
        <f t="shared" si="1"/>
        <v>498646.21869351849</v>
      </c>
      <c r="I16" s="112">
        <f t="shared" si="1"/>
        <v>511403.05521426833</v>
      </c>
    </row>
    <row r="17" spans="1:9">
      <c r="A17" s="140" t="s">
        <v>117</v>
      </c>
      <c r="B17" s="135">
        <v>5999679</v>
      </c>
      <c r="C17" s="14">
        <v>10207003</v>
      </c>
      <c r="D17" s="14">
        <v>7047219</v>
      </c>
      <c r="E17" s="14">
        <v>14406917</v>
      </c>
      <c r="F17" s="14">
        <v>3348596</v>
      </c>
      <c r="G17" s="111">
        <f t="shared" si="1"/>
        <v>3908195.3442250723</v>
      </c>
      <c r="H17" s="111">
        <f>G17*(1+H33)</f>
        <v>4039427.5709734126</v>
      </c>
      <c r="I17" s="112">
        <f t="shared" si="1"/>
        <v>4521597.7226010831</v>
      </c>
    </row>
    <row r="18" spans="1:9">
      <c r="A18" s="140" t="s">
        <v>4</v>
      </c>
      <c r="B18" s="135">
        <v>949815</v>
      </c>
      <c r="C18" s="14">
        <v>1132532</v>
      </c>
      <c r="D18" s="14">
        <v>1487695</v>
      </c>
      <c r="E18" s="14">
        <v>2309594</v>
      </c>
      <c r="F18" s="14">
        <v>1966023</v>
      </c>
      <c r="G18" s="111">
        <f>'Fixed Assets'!G33</f>
        <v>3199463.1560925064</v>
      </c>
      <c r="H18" s="111">
        <f>'Fixed Assets'!H33</f>
        <v>3937474.6141852718</v>
      </c>
      <c r="I18" s="112">
        <f>'Fixed Assets'!I33</f>
        <v>4669017.2976718815</v>
      </c>
    </row>
    <row r="19" spans="1:9">
      <c r="A19" s="140" t="s">
        <v>118</v>
      </c>
      <c r="B19" s="135">
        <v>26141810</v>
      </c>
      <c r="C19" s="14">
        <v>29531133</v>
      </c>
      <c r="D19" s="14">
        <v>31879318</v>
      </c>
      <c r="E19" s="14">
        <v>0</v>
      </c>
      <c r="F19" s="14">
        <v>0</v>
      </c>
      <c r="G19" s="111">
        <f>F19</f>
        <v>0</v>
      </c>
      <c r="H19" s="111">
        <f t="shared" ref="H19:I20" si="2">G19</f>
        <v>0</v>
      </c>
      <c r="I19" s="112">
        <f t="shared" si="2"/>
        <v>0</v>
      </c>
    </row>
    <row r="20" spans="1:9">
      <c r="A20" s="140" t="s">
        <v>119</v>
      </c>
      <c r="B20" s="135">
        <v>73899865</v>
      </c>
      <c r="C20" s="14">
        <v>43111000</v>
      </c>
      <c r="D20" s="14">
        <v>0</v>
      </c>
      <c r="E20" s="14">
        <v>0</v>
      </c>
      <c r="F20" s="14">
        <v>0</v>
      </c>
      <c r="G20" s="111">
        <f>F20</f>
        <v>0</v>
      </c>
      <c r="H20" s="111">
        <f t="shared" si="2"/>
        <v>0</v>
      </c>
      <c r="I20" s="112">
        <f t="shared" si="2"/>
        <v>0</v>
      </c>
    </row>
    <row r="21" spans="1:9">
      <c r="A21" s="140" t="s">
        <v>120</v>
      </c>
      <c r="B21" s="135">
        <v>781096</v>
      </c>
      <c r="C21" s="14">
        <v>1027116</v>
      </c>
      <c r="D21" s="92">
        <v>1415802</v>
      </c>
      <c r="E21" s="14">
        <v>1707015</v>
      </c>
      <c r="F21" s="14">
        <v>1031935</v>
      </c>
      <c r="G21" s="111">
        <f>F21*(1+G35)</f>
        <v>1161857.1677639212</v>
      </c>
      <c r="H21" s="111">
        <f t="shared" ref="H21:I21" si="3">G21*(1+H35)</f>
        <v>1253219.7567304643</v>
      </c>
      <c r="I21" s="112">
        <f t="shared" si="3"/>
        <v>1257841.0515139878</v>
      </c>
    </row>
    <row r="22" spans="1:9">
      <c r="A22" s="140"/>
      <c r="B22" s="135">
        <f t="shared" ref="B22:E22" si="4">SUM(B9:B21)</f>
        <v>154584148</v>
      </c>
      <c r="C22" s="14">
        <f t="shared" si="4"/>
        <v>129666117</v>
      </c>
      <c r="D22" s="14">
        <f t="shared" si="4"/>
        <v>96878923</v>
      </c>
      <c r="E22" s="14">
        <f t="shared" si="4"/>
        <v>85341553</v>
      </c>
      <c r="F22" s="14">
        <f>SUM(F9:F21)</f>
        <v>64260434</v>
      </c>
      <c r="G22" s="107">
        <f t="shared" ref="G22:I22" si="5">SUM(G9:G21)</f>
        <v>71650801.625299782</v>
      </c>
      <c r="H22" s="107">
        <f t="shared" si="5"/>
        <v>78662091.153845862</v>
      </c>
      <c r="I22" s="108">
        <f t="shared" si="5"/>
        <v>86448478.755263269</v>
      </c>
    </row>
    <row r="23" spans="1:9">
      <c r="A23" s="140"/>
      <c r="B23" s="30"/>
      <c r="C23" s="88"/>
      <c r="D23" s="88"/>
      <c r="E23" s="88"/>
      <c r="F23" s="88"/>
      <c r="G23" s="101"/>
      <c r="H23" s="101"/>
      <c r="I23" s="102"/>
    </row>
    <row r="24" spans="1:9">
      <c r="A24" s="140"/>
      <c r="B24" s="30"/>
      <c r="C24" s="88"/>
      <c r="D24" s="88"/>
      <c r="E24" s="88"/>
      <c r="F24" s="88"/>
      <c r="G24" s="101"/>
      <c r="H24" s="101"/>
      <c r="I24" s="102"/>
    </row>
    <row r="25" spans="1:9">
      <c r="A25" s="155" t="s">
        <v>37</v>
      </c>
      <c r="B25" s="156"/>
      <c r="C25" s="157">
        <f t="shared" ref="C25:F34" si="6">C9/B9-1</f>
        <v>-5.0537045593259999E-2</v>
      </c>
      <c r="D25" s="157">
        <f t="shared" si="6"/>
        <v>0.29025935885780174</v>
      </c>
      <c r="E25" s="157">
        <f t="shared" si="6"/>
        <v>0.22458586750372045</v>
      </c>
      <c r="F25" s="157">
        <f t="shared" si="6"/>
        <v>-0.18755290178249717</v>
      </c>
      <c r="G25" s="158">
        <f>Assumptions!G8</f>
        <v>0.09</v>
      </c>
      <c r="H25" s="158">
        <f>Assumptions!H8</f>
        <v>0.08</v>
      </c>
      <c r="I25" s="159">
        <f>Assumptions!I8</f>
        <v>7.0000000000000007E-2</v>
      </c>
    </row>
    <row r="26" spans="1:9">
      <c r="A26" s="155" t="s">
        <v>111</v>
      </c>
      <c r="B26" s="156"/>
      <c r="C26" s="157">
        <f t="shared" si="6"/>
        <v>-4.2205627357791209E-2</v>
      </c>
      <c r="D26" s="157">
        <f t="shared" si="6"/>
        <v>-0.14604201775706305</v>
      </c>
      <c r="E26" s="157">
        <f t="shared" si="6"/>
        <v>0.37368389915922595</v>
      </c>
      <c r="F26" s="157">
        <f t="shared" si="6"/>
        <v>-0.17876308292867948</v>
      </c>
      <c r="G26" s="158">
        <f>AVERAGE(C26:F26)</f>
        <v>1.6682927789230528E-3</v>
      </c>
      <c r="H26" s="158">
        <f t="shared" ref="H26:I35" si="7">AVERAGE(D26:G26)</f>
        <v>1.2636772813101618E-2</v>
      </c>
      <c r="I26" s="159">
        <f t="shared" si="7"/>
        <v>5.2306470455642781E-2</v>
      </c>
    </row>
    <row r="27" spans="1:9">
      <c r="A27" s="155" t="s">
        <v>112</v>
      </c>
      <c r="B27" s="156"/>
      <c r="C27" s="157">
        <f t="shared" si="6"/>
        <v>-4.6888091244437602E-2</v>
      </c>
      <c r="D27" s="157">
        <f t="shared" si="6"/>
        <v>-4.5957815697048154E-2</v>
      </c>
      <c r="E27" s="157">
        <f t="shared" si="6"/>
        <v>2.6353814952961185E-2</v>
      </c>
      <c r="F27" s="157">
        <f t="shared" si="6"/>
        <v>-5.126903192818999E-2</v>
      </c>
      <c r="G27" s="158">
        <f t="shared" ref="G27:G35" si="8">AVERAGE(C27:F27)</f>
        <v>-2.944028097917864E-2</v>
      </c>
      <c r="H27" s="158">
        <f t="shared" si="7"/>
        <v>-2.50783284128639E-2</v>
      </c>
      <c r="I27" s="159">
        <f t="shared" si="7"/>
        <v>-1.9858456591817834E-2</v>
      </c>
    </row>
    <row r="28" spans="1:9">
      <c r="A28" s="155" t="s">
        <v>113</v>
      </c>
      <c r="B28" s="156"/>
      <c r="C28" s="157">
        <f t="shared" si="6"/>
        <v>-0.1932551659054691</v>
      </c>
      <c r="D28" s="157">
        <f t="shared" si="6"/>
        <v>-0.30660936573799646</v>
      </c>
      <c r="E28" s="157">
        <f t="shared" si="6"/>
        <v>-0.16053621204749147</v>
      </c>
      <c r="F28" s="157">
        <f t="shared" si="6"/>
        <v>-1.3769642866815812E-2</v>
      </c>
      <c r="G28" s="158">
        <f t="shared" si="8"/>
        <v>-0.16854259663944321</v>
      </c>
      <c r="H28" s="158">
        <f t="shared" si="7"/>
        <v>-0.16236445432293672</v>
      </c>
      <c r="I28" s="159">
        <f t="shared" si="7"/>
        <v>-0.1263032264691718</v>
      </c>
    </row>
    <row r="29" spans="1:9">
      <c r="A29" s="155" t="s">
        <v>114</v>
      </c>
      <c r="B29" s="156"/>
      <c r="C29" s="157">
        <f t="shared" si="6"/>
        <v>-6.310536831749447E-2</v>
      </c>
      <c r="D29" s="157">
        <f t="shared" si="6"/>
        <v>0.17809915118710795</v>
      </c>
      <c r="E29" s="157">
        <f t="shared" si="6"/>
        <v>2.3460106791769464E-2</v>
      </c>
      <c r="F29" s="157">
        <f t="shared" si="6"/>
        <v>0.17038965702998743</v>
      </c>
      <c r="G29" s="158">
        <f t="shared" si="8"/>
        <v>7.7210886672842594E-2</v>
      </c>
      <c r="H29" s="158">
        <f t="shared" si="7"/>
        <v>0.11228995042042686</v>
      </c>
      <c r="I29" s="159">
        <f t="shared" si="7"/>
        <v>9.5837650228756593E-2</v>
      </c>
    </row>
    <row r="30" spans="1:9">
      <c r="A30" s="155" t="s">
        <v>115</v>
      </c>
      <c r="B30" s="156"/>
      <c r="C30" s="157">
        <f t="shared" si="6"/>
        <v>-0.13552498883078135</v>
      </c>
      <c r="D30" s="157">
        <f t="shared" si="6"/>
        <v>2.5091298411462404E-2</v>
      </c>
      <c r="E30" s="157">
        <f t="shared" si="6"/>
        <v>0.29823296840846791</v>
      </c>
      <c r="F30" s="157">
        <f t="shared" si="6"/>
        <v>0.18089765881877895</v>
      </c>
      <c r="G30" s="158">
        <f t="shared" si="8"/>
        <v>9.217423420198198E-2</v>
      </c>
      <c r="H30" s="158">
        <f t="shared" si="7"/>
        <v>0.14909903996017282</v>
      </c>
      <c r="I30" s="159">
        <f t="shared" si="7"/>
        <v>0.18010097534735042</v>
      </c>
    </row>
    <row r="31" spans="1:9">
      <c r="A31" s="155" t="s">
        <v>39</v>
      </c>
      <c r="B31" s="156"/>
      <c r="C31" s="157">
        <f t="shared" si="6"/>
        <v>0.13759800883432205</v>
      </c>
      <c r="D31" s="157">
        <f t="shared" si="6"/>
        <v>0.24294011278523842</v>
      </c>
      <c r="E31" s="157">
        <f t="shared" si="6"/>
        <v>0.20661143512148805</v>
      </c>
      <c r="F31" s="157">
        <f t="shared" si="6"/>
        <v>0.39135351103061478</v>
      </c>
      <c r="G31" s="158">
        <f t="shared" si="8"/>
        <v>0.24462576694291582</v>
      </c>
      <c r="H31" s="158">
        <f t="shared" si="7"/>
        <v>0.27138270647006424</v>
      </c>
      <c r="I31" s="159">
        <f t="shared" si="7"/>
        <v>0.27849335489127069</v>
      </c>
    </row>
    <row r="32" spans="1:9">
      <c r="A32" s="155" t="s">
        <v>116</v>
      </c>
      <c r="B32" s="156"/>
      <c r="C32" s="157">
        <f t="shared" si="6"/>
        <v>0.16187500731327731</v>
      </c>
      <c r="D32" s="157">
        <f t="shared" si="6"/>
        <v>0.13864746462561062</v>
      </c>
      <c r="E32" s="157">
        <f t="shared" si="6"/>
        <v>2.3977994374767775E-2</v>
      </c>
      <c r="F32" s="157">
        <f t="shared" si="6"/>
        <v>-4.0773755538856205E-2</v>
      </c>
      <c r="G32" s="158">
        <f t="shared" si="8"/>
        <v>7.0931677693699874E-2</v>
      </c>
      <c r="H32" s="158">
        <f t="shared" si="7"/>
        <v>4.8195845288805515E-2</v>
      </c>
      <c r="I32" s="159">
        <f t="shared" si="7"/>
        <v>2.5582940454604242E-2</v>
      </c>
    </row>
    <row r="33" spans="1:9">
      <c r="A33" s="155" t="s">
        <v>117</v>
      </c>
      <c r="B33" s="156"/>
      <c r="C33" s="157">
        <f t="shared" si="6"/>
        <v>0.70125818397950956</v>
      </c>
      <c r="D33" s="157">
        <f t="shared" si="6"/>
        <v>-0.30957020390804235</v>
      </c>
      <c r="E33" s="157">
        <f t="shared" si="6"/>
        <v>1.0443407534234428</v>
      </c>
      <c r="F33" s="157">
        <f t="shared" si="6"/>
        <v>-0.76757025809199841</v>
      </c>
      <c r="G33" s="158">
        <f t="shared" si="8"/>
        <v>0.1671146188507279</v>
      </c>
      <c r="H33" s="158">
        <f t="shared" si="7"/>
        <v>3.3578727568532481E-2</v>
      </c>
      <c r="I33" s="159">
        <f t="shared" si="7"/>
        <v>0.11936596043767618</v>
      </c>
    </row>
    <row r="34" spans="1:9">
      <c r="A34" s="155" t="s">
        <v>4</v>
      </c>
      <c r="B34" s="156"/>
      <c r="C34" s="157">
        <f t="shared" si="6"/>
        <v>0.19237114596000282</v>
      </c>
      <c r="D34" s="157">
        <f t="shared" si="6"/>
        <v>0.31360085189645859</v>
      </c>
      <c r="E34" s="157">
        <f t="shared" si="6"/>
        <v>0.55246471891079829</v>
      </c>
      <c r="F34" s="157">
        <f t="shared" si="6"/>
        <v>-0.14875818000912711</v>
      </c>
      <c r="G34" s="158">
        <f t="shared" si="8"/>
        <v>0.22741963418953315</v>
      </c>
      <c r="H34" s="158">
        <f t="shared" si="7"/>
        <v>0.23618175624691573</v>
      </c>
      <c r="I34" s="159">
        <f t="shared" si="7"/>
        <v>0.21682698233453002</v>
      </c>
    </row>
    <row r="35" spans="1:9">
      <c r="A35" s="155" t="s">
        <v>120</v>
      </c>
      <c r="B35" s="156"/>
      <c r="C35" s="157">
        <f t="shared" ref="C35:E35" si="9">C21/B21-1</f>
        <v>0.31496768643034923</v>
      </c>
      <c r="D35" s="157">
        <f t="shared" si="9"/>
        <v>0.37842463752876987</v>
      </c>
      <c r="E35" s="157">
        <f t="shared" si="9"/>
        <v>0.20568765971512959</v>
      </c>
      <c r="F35" s="157">
        <f>F21/E21-1</f>
        <v>-0.39547397064466339</v>
      </c>
      <c r="G35" s="158">
        <f t="shared" si="8"/>
        <v>0.12590150325739632</v>
      </c>
      <c r="H35" s="158">
        <f t="shared" si="7"/>
        <v>7.8634957464158106E-2</v>
      </c>
      <c r="I35" s="159">
        <f t="shared" si="7"/>
        <v>3.6875374480051584E-3</v>
      </c>
    </row>
    <row r="36" spans="1:9">
      <c r="A36" s="140"/>
      <c r="B36" s="30"/>
      <c r="C36" s="88"/>
      <c r="D36" s="88"/>
      <c r="E36" s="88"/>
      <c r="F36" s="88"/>
      <c r="G36" s="101"/>
      <c r="H36" s="101"/>
      <c r="I36" s="102"/>
    </row>
    <row r="37" spans="1:9">
      <c r="A37" s="140"/>
      <c r="B37" s="30"/>
      <c r="C37" s="88"/>
      <c r="D37" s="88"/>
      <c r="E37" s="88"/>
      <c r="F37" s="88"/>
      <c r="G37" s="101"/>
      <c r="H37" s="101"/>
      <c r="I37" s="102"/>
    </row>
    <row r="38" spans="1:9">
      <c r="A38" s="140" t="s">
        <v>121</v>
      </c>
      <c r="B38" s="30"/>
      <c r="C38" s="88"/>
      <c r="D38" s="88"/>
      <c r="E38" s="88"/>
      <c r="F38" s="88"/>
      <c r="G38" s="101"/>
      <c r="H38" s="101"/>
      <c r="I38" s="102"/>
    </row>
    <row r="39" spans="1:9">
      <c r="A39" s="140" t="s">
        <v>37</v>
      </c>
      <c r="B39" s="135">
        <v>82855450</v>
      </c>
      <c r="C39" s="14">
        <v>110218955</v>
      </c>
      <c r="D39" s="14">
        <v>147673646</v>
      </c>
      <c r="E39" s="14">
        <v>185343013</v>
      </c>
      <c r="F39" s="14">
        <v>182884912</v>
      </c>
      <c r="G39" s="111">
        <f>F39*(1+G56)</f>
        <v>199344554.08000001</v>
      </c>
      <c r="H39" s="111">
        <f t="shared" ref="H39:I39" si="10">G39*(1+H56)</f>
        <v>215292118.40640002</v>
      </c>
      <c r="I39" s="112">
        <f t="shared" si="10"/>
        <v>230362566.69484803</v>
      </c>
    </row>
    <row r="40" spans="1:9">
      <c r="A40" s="140" t="s">
        <v>111</v>
      </c>
      <c r="B40" s="135">
        <v>993431</v>
      </c>
      <c r="C40" s="14">
        <v>2059394</v>
      </c>
      <c r="D40" s="14">
        <v>2863941</v>
      </c>
      <c r="E40" s="14">
        <v>2901360</v>
      </c>
      <c r="F40" s="14">
        <v>2773768</v>
      </c>
      <c r="G40" s="111">
        <f t="shared" ref="G40:I49" si="11">F40*(1+G57)</f>
        <v>3767312.4752179761</v>
      </c>
      <c r="H40" s="111">
        <f t="shared" si="11"/>
        <v>4443501.4921661429</v>
      </c>
      <c r="I40" s="112">
        <f t="shared" si="11"/>
        <v>5006460.3033370441</v>
      </c>
    </row>
    <row r="41" spans="1:9">
      <c r="A41" s="140" t="s">
        <v>112</v>
      </c>
      <c r="B41" s="135">
        <v>1059328</v>
      </c>
      <c r="C41" s="14">
        <v>1209844</v>
      </c>
      <c r="D41" s="14">
        <v>1105957</v>
      </c>
      <c r="E41" s="14">
        <v>1458891</v>
      </c>
      <c r="F41" s="14">
        <v>1582020</v>
      </c>
      <c r="G41" s="111">
        <f t="shared" si="11"/>
        <v>1763848.7388426885</v>
      </c>
      <c r="H41" s="111">
        <f t="shared" si="11"/>
        <v>1954602.9782345323</v>
      </c>
      <c r="I41" s="112">
        <f t="shared" si="11"/>
        <v>2260792.0636274894</v>
      </c>
    </row>
    <row r="42" spans="1:9">
      <c r="A42" s="140" t="s">
        <v>122</v>
      </c>
      <c r="B42" s="135">
        <v>4002172</v>
      </c>
      <c r="C42" s="14">
        <v>3372591</v>
      </c>
      <c r="D42" s="14">
        <v>2231094</v>
      </c>
      <c r="E42" s="14">
        <v>2757952</v>
      </c>
      <c r="F42" s="14">
        <v>3712724</v>
      </c>
      <c r="G42" s="111">
        <f t="shared" si="11"/>
        <v>3793066.7530219336</v>
      </c>
      <c r="H42" s="111">
        <f t="shared" si="11"/>
        <v>4044840.1219384819</v>
      </c>
      <c r="I42" s="112">
        <f t="shared" si="11"/>
        <v>4722703.9655903922</v>
      </c>
    </row>
    <row r="43" spans="1:9">
      <c r="A43" s="140" t="s">
        <v>123</v>
      </c>
      <c r="B43" s="135">
        <v>9181343</v>
      </c>
      <c r="C43" s="14">
        <v>12035026</v>
      </c>
      <c r="D43" s="14">
        <v>9913841</v>
      </c>
      <c r="E43" s="14">
        <v>15829769</v>
      </c>
      <c r="F43" s="14">
        <v>14023187</v>
      </c>
      <c r="G43" s="111">
        <f t="shared" si="11"/>
        <v>16186862.627631558</v>
      </c>
      <c r="H43" s="111">
        <f t="shared" si="11"/>
        <v>18050983.582196932</v>
      </c>
      <c r="I43" s="112">
        <f t="shared" si="11"/>
        <v>21444856.850910865</v>
      </c>
    </row>
    <row r="44" spans="1:9">
      <c r="A44" s="140" t="s">
        <v>114</v>
      </c>
      <c r="B44" s="135">
        <v>3891456</v>
      </c>
      <c r="C44" s="14">
        <v>3569154</v>
      </c>
      <c r="D44" s="14">
        <v>3983329</v>
      </c>
      <c r="E44" s="14">
        <v>4730754</v>
      </c>
      <c r="F44" s="14">
        <v>5034688</v>
      </c>
      <c r="G44" s="111">
        <f t="shared" si="11"/>
        <v>5393541.2004538765</v>
      </c>
      <c r="H44" s="111">
        <f t="shared" si="11"/>
        <v>5985757.0911037084</v>
      </c>
      <c r="I44" s="112">
        <f t="shared" si="11"/>
        <v>6633658.1198614733</v>
      </c>
    </row>
    <row r="45" spans="1:9">
      <c r="A45" s="140" t="s">
        <v>40</v>
      </c>
      <c r="B45" s="135">
        <v>13661660</v>
      </c>
      <c r="C45" s="14">
        <v>13290869</v>
      </c>
      <c r="D45" s="14">
        <v>14184455</v>
      </c>
      <c r="E45" s="14">
        <v>15223573</v>
      </c>
      <c r="F45" s="14">
        <v>2735372</v>
      </c>
      <c r="G45" s="111">
        <f t="shared" si="11"/>
        <v>2251915.2617584453</v>
      </c>
      <c r="H45" s="111">
        <f t="shared" si="11"/>
        <v>1769683.3887757622</v>
      </c>
      <c r="I45" s="112">
        <f t="shared" si="11"/>
        <v>1266231.4537319746</v>
      </c>
    </row>
    <row r="46" spans="1:9">
      <c r="A46" s="140" t="s">
        <v>39</v>
      </c>
      <c r="B46" s="135">
        <v>1958411</v>
      </c>
      <c r="C46" s="14">
        <v>1482306</v>
      </c>
      <c r="D46" s="14">
        <v>1665724</v>
      </c>
      <c r="E46" s="14">
        <v>4762296</v>
      </c>
      <c r="F46" s="14">
        <v>5327842</v>
      </c>
      <c r="G46" s="111">
        <f t="shared" si="11"/>
        <v>7803130.7921795081</v>
      </c>
      <c r="H46" s="111">
        <f t="shared" si="11"/>
        <v>12809000.800339367</v>
      </c>
      <c r="I46" s="112">
        <f t="shared" si="11"/>
        <v>22684308.97154405</v>
      </c>
    </row>
    <row r="47" spans="1:9">
      <c r="A47" s="140" t="s">
        <v>116</v>
      </c>
      <c r="B47" s="135">
        <v>3454659</v>
      </c>
      <c r="C47" s="14">
        <v>3314239</v>
      </c>
      <c r="D47" s="14">
        <v>3131023</v>
      </c>
      <c r="E47" s="14">
        <v>4413243</v>
      </c>
      <c r="F47" s="14">
        <v>4462100</v>
      </c>
      <c r="G47" s="111">
        <f t="shared" si="11"/>
        <v>4824270.3865201715</v>
      </c>
      <c r="H47" s="111">
        <f t="shared" si="11"/>
        <v>5362750.7262588898</v>
      </c>
      <c r="I47" s="112">
        <f t="shared" si="11"/>
        <v>6185097.1459596716</v>
      </c>
    </row>
    <row r="48" spans="1:9">
      <c r="A48" s="140" t="s">
        <v>115</v>
      </c>
      <c r="B48" s="135">
        <v>2779771</v>
      </c>
      <c r="C48" s="14">
        <v>2832361</v>
      </c>
      <c r="D48" s="14">
        <v>2677949</v>
      </c>
      <c r="E48" s="14">
        <v>3070619</v>
      </c>
      <c r="F48" s="14">
        <v>2776688</v>
      </c>
      <c r="G48" s="111">
        <f t="shared" si="11"/>
        <v>2787315.0372875058</v>
      </c>
      <c r="H48" s="111">
        <f t="shared" si="11"/>
        <v>2787466.4930276293</v>
      </c>
      <c r="I48" s="112">
        <f t="shared" si="11"/>
        <v>2825646.9438358881</v>
      </c>
    </row>
    <row r="49" spans="1:9">
      <c r="A49" s="140" t="s">
        <v>124</v>
      </c>
      <c r="B49" s="135">
        <v>1215500</v>
      </c>
      <c r="C49" s="14">
        <v>2095500</v>
      </c>
      <c r="D49" s="14">
        <v>3032500</v>
      </c>
      <c r="E49" s="14">
        <v>1645000</v>
      </c>
      <c r="F49" s="14">
        <v>2367500</v>
      </c>
      <c r="G49" s="111">
        <f t="shared" si="11"/>
        <v>3049811.7229829878</v>
      </c>
      <c r="H49" s="111">
        <f t="shared" si="11"/>
        <v>3596501.4129407578</v>
      </c>
      <c r="I49" s="112">
        <f t="shared" si="11"/>
        <v>4000315.9454621598</v>
      </c>
    </row>
    <row r="50" spans="1:9">
      <c r="A50" s="140" t="s">
        <v>4</v>
      </c>
      <c r="B50" s="135">
        <v>4478670</v>
      </c>
      <c r="C50" s="14">
        <v>4678926</v>
      </c>
      <c r="D50" s="14">
        <v>4370213</v>
      </c>
      <c r="E50" s="14">
        <v>4893724</v>
      </c>
      <c r="F50" s="14">
        <v>4661249</v>
      </c>
      <c r="G50" s="111">
        <f>'Fixed Assets'!G35</f>
        <v>9848990.1261249799</v>
      </c>
      <c r="H50" s="111">
        <f>'Fixed Assets'!H35</f>
        <v>11145935.169835318</v>
      </c>
      <c r="I50" s="111">
        <f>'Fixed Assets'!I35</f>
        <v>12285899.76058759</v>
      </c>
    </row>
    <row r="51" spans="1:9">
      <c r="A51" s="140" t="s">
        <v>125</v>
      </c>
      <c r="B51" s="135">
        <v>368681</v>
      </c>
      <c r="C51" s="14">
        <v>304668</v>
      </c>
      <c r="D51" s="14">
        <v>3755946</v>
      </c>
      <c r="E51" s="14">
        <v>4186952</v>
      </c>
      <c r="F51" s="14">
        <v>4807703</v>
      </c>
      <c r="G51" s="111">
        <f>'Fixed Assets'!G41</f>
        <v>4890461.0354244858</v>
      </c>
      <c r="H51" s="111">
        <f>'Fixed Assets'!H41</f>
        <v>5224116.507714848</v>
      </c>
      <c r="I51" s="112">
        <f>'Fixed Assets'!I41</f>
        <v>5622150.6709413873</v>
      </c>
    </row>
    <row r="52" spans="1:9">
      <c r="A52" s="140" t="s">
        <v>126</v>
      </c>
      <c r="B52" s="135">
        <v>1917464</v>
      </c>
      <c r="C52" s="14">
        <v>613111</v>
      </c>
      <c r="D52" s="14">
        <v>477706</v>
      </c>
      <c r="E52" s="14">
        <v>1021439</v>
      </c>
      <c r="F52" s="14">
        <v>196603</v>
      </c>
      <c r="G52" s="111">
        <f>F52*(1+G69)</f>
        <v>168567.17684806883</v>
      </c>
      <c r="H52" s="111">
        <f t="shared" ref="H52:I53" si="12">G52*(1+H69)</f>
        <v>167186.73939926302</v>
      </c>
      <c r="I52" s="112">
        <f t="shared" si="12"/>
        <v>174706.08288563383</v>
      </c>
    </row>
    <row r="53" spans="1:9">
      <c r="A53" s="140" t="s">
        <v>120</v>
      </c>
      <c r="B53" s="135">
        <v>1273983</v>
      </c>
      <c r="C53" s="14">
        <v>1932285</v>
      </c>
      <c r="D53" s="14">
        <v>2082264</v>
      </c>
      <c r="E53" s="14">
        <v>1925205</v>
      </c>
      <c r="F53" s="14">
        <v>1381247</v>
      </c>
      <c r="G53" s="111">
        <f>F53*(1+G70)</f>
        <v>1462869.1540166507</v>
      </c>
      <c r="H53" s="111">
        <f t="shared" si="12"/>
        <v>1381949.812547602</v>
      </c>
      <c r="I53" s="112">
        <f t="shared" si="12"/>
        <v>1259579.9042211697</v>
      </c>
    </row>
    <row r="54" spans="1:9">
      <c r="A54" s="140"/>
      <c r="B54" s="135">
        <f>SUM(B39:B53)</f>
        <v>133091979</v>
      </c>
      <c r="C54" s="14">
        <f t="shared" ref="C54:E54" si="13">SUM(C39:C53)</f>
        <v>163009229</v>
      </c>
      <c r="D54" s="14">
        <f t="shared" si="13"/>
        <v>203149588</v>
      </c>
      <c r="E54" s="14">
        <f t="shared" si="13"/>
        <v>254163790</v>
      </c>
      <c r="F54" s="14">
        <f>SUM(F39:F53)</f>
        <v>238727603</v>
      </c>
      <c r="G54" s="107">
        <f t="shared" ref="G54:I54" si="14">SUM(G39:G53)</f>
        <v>267336516.56831077</v>
      </c>
      <c r="H54" s="107">
        <f t="shared" si="14"/>
        <v>294016394.72287929</v>
      </c>
      <c r="I54" s="108">
        <f t="shared" si="14"/>
        <v>326734974.87734479</v>
      </c>
    </row>
    <row r="55" spans="1:9">
      <c r="A55" s="140"/>
      <c r="B55" s="30"/>
      <c r="C55" s="88"/>
      <c r="D55" s="88"/>
      <c r="E55" s="88"/>
      <c r="F55" s="88"/>
      <c r="G55" s="101"/>
      <c r="H55" s="101"/>
      <c r="I55" s="102"/>
    </row>
    <row r="56" spans="1:9">
      <c r="A56" s="231" t="s">
        <v>37</v>
      </c>
      <c r="B56" s="232"/>
      <c r="C56" s="233">
        <f t="shared" ref="C56:F70" si="15">C39/B39-1</f>
        <v>0.33025594574647776</v>
      </c>
      <c r="D56" s="233">
        <f t="shared" si="15"/>
        <v>0.33982077765117635</v>
      </c>
      <c r="E56" s="233">
        <f t="shared" si="15"/>
        <v>0.25508523707744035</v>
      </c>
      <c r="F56" s="233">
        <f>F39/E39-1</f>
        <v>-1.3262442215720371E-2</v>
      </c>
      <c r="G56" s="234">
        <f>Assumptions!G8</f>
        <v>0.09</v>
      </c>
      <c r="H56" s="234">
        <f>Assumptions!H8</f>
        <v>0.08</v>
      </c>
      <c r="I56" s="235">
        <f>Assumptions!I8</f>
        <v>7.0000000000000007E-2</v>
      </c>
    </row>
    <row r="57" spans="1:9">
      <c r="A57" s="231" t="s">
        <v>111</v>
      </c>
      <c r="B57" s="232"/>
      <c r="C57" s="233">
        <f t="shared" si="15"/>
        <v>1.073011613287687</v>
      </c>
      <c r="D57" s="233">
        <f t="shared" si="15"/>
        <v>0.39067172187546428</v>
      </c>
      <c r="E57" s="233">
        <f t="shared" si="15"/>
        <v>1.3065562453975055E-2</v>
      </c>
      <c r="F57" s="233">
        <f t="shared" si="15"/>
        <v>-4.3976617861968159E-2</v>
      </c>
      <c r="G57" s="234">
        <f>AVERAGE(C57:F57)</f>
        <v>0.35819306993878952</v>
      </c>
      <c r="H57" s="234">
        <f t="shared" ref="H57:I70" si="16">AVERAGE(D57:G57)</f>
        <v>0.17948843410156518</v>
      </c>
      <c r="I57" s="235">
        <f t="shared" si="16"/>
        <v>0.12669261215809041</v>
      </c>
    </row>
    <row r="58" spans="1:9">
      <c r="A58" s="231" t="s">
        <v>112</v>
      </c>
      <c r="B58" s="232"/>
      <c r="C58" s="233">
        <f t="shared" si="15"/>
        <v>0.14208630376993714</v>
      </c>
      <c r="D58" s="233">
        <f t="shared" si="15"/>
        <v>-8.586809539081075E-2</v>
      </c>
      <c r="E58" s="233">
        <f t="shared" si="15"/>
        <v>0.31912090614734567</v>
      </c>
      <c r="F58" s="233">
        <f t="shared" si="15"/>
        <v>8.4399040092782762E-2</v>
      </c>
      <c r="G58" s="234">
        <f t="shared" ref="G58:G70" si="17">AVERAGE(C58:F58)</f>
        <v>0.11493453865481371</v>
      </c>
      <c r="H58" s="234">
        <f t="shared" si="16"/>
        <v>0.10814659737603285</v>
      </c>
      <c r="I58" s="235">
        <f t="shared" si="16"/>
        <v>0.15665027056774375</v>
      </c>
    </row>
    <row r="59" spans="1:9">
      <c r="A59" s="231" t="s">
        <v>122</v>
      </c>
      <c r="B59" s="232"/>
      <c r="C59" s="233">
        <f t="shared" si="15"/>
        <v>-0.15730983076189631</v>
      </c>
      <c r="D59" s="233">
        <f t="shared" si="15"/>
        <v>-0.3384629206446913</v>
      </c>
      <c r="E59" s="233">
        <f t="shared" si="15"/>
        <v>0.23614334492405975</v>
      </c>
      <c r="F59" s="233">
        <f t="shared" si="15"/>
        <v>0.34618876615691652</v>
      </c>
      <c r="G59" s="234">
        <f t="shared" si="17"/>
        <v>2.1639839918597165E-2</v>
      </c>
      <c r="H59" s="234">
        <f t="shared" si="16"/>
        <v>6.637725758872054E-2</v>
      </c>
      <c r="I59" s="235">
        <f t="shared" si="16"/>
        <v>0.16758730214707351</v>
      </c>
    </row>
    <row r="60" spans="1:9">
      <c r="A60" s="231" t="s">
        <v>123</v>
      </c>
      <c r="B60" s="232"/>
      <c r="C60" s="233">
        <f t="shared" si="15"/>
        <v>0.31081324377054642</v>
      </c>
      <c r="D60" s="233">
        <f t="shared" si="15"/>
        <v>-0.17625096946196872</v>
      </c>
      <c r="E60" s="233">
        <f t="shared" si="15"/>
        <v>0.59673420221284568</v>
      </c>
      <c r="F60" s="233">
        <f t="shared" si="15"/>
        <v>-0.11412560726565246</v>
      </c>
      <c r="G60" s="234">
        <f t="shared" si="17"/>
        <v>0.15429271731394273</v>
      </c>
      <c r="H60" s="234">
        <f t="shared" si="16"/>
        <v>0.11516258569979181</v>
      </c>
      <c r="I60" s="235">
        <f t="shared" si="16"/>
        <v>0.18801597449023194</v>
      </c>
    </row>
    <row r="61" spans="1:9">
      <c r="A61" s="231" t="s">
        <v>114</v>
      </c>
      <c r="B61" s="232"/>
      <c r="C61" s="233">
        <f t="shared" si="15"/>
        <v>-8.2822984507598174E-2</v>
      </c>
      <c r="D61" s="233">
        <f t="shared" si="15"/>
        <v>0.1160429054055947</v>
      </c>
      <c r="E61" s="233">
        <f t="shared" si="15"/>
        <v>0.18763827943913247</v>
      </c>
      <c r="F61" s="233">
        <f t="shared" si="15"/>
        <v>6.424641822424082E-2</v>
      </c>
      <c r="G61" s="234">
        <f t="shared" si="17"/>
        <v>7.1276154640342454E-2</v>
      </c>
      <c r="H61" s="234">
        <f t="shared" si="16"/>
        <v>0.1098009394273276</v>
      </c>
      <c r="I61" s="235">
        <f t="shared" si="16"/>
        <v>0.10824044793276083</v>
      </c>
    </row>
    <row r="62" spans="1:9">
      <c r="A62" s="231" t="s">
        <v>40</v>
      </c>
      <c r="B62" s="232"/>
      <c r="C62" s="233">
        <f t="shared" si="15"/>
        <v>-2.7140991651087742E-2</v>
      </c>
      <c r="D62" s="233">
        <f t="shared" si="15"/>
        <v>6.7233075579933965E-2</v>
      </c>
      <c r="E62" s="233">
        <f t="shared" si="15"/>
        <v>7.325752029246102E-2</v>
      </c>
      <c r="F62" s="233">
        <f t="shared" si="15"/>
        <v>-0.82031997350424901</v>
      </c>
      <c r="G62" s="234">
        <f t="shared" si="17"/>
        <v>-0.17674259232073544</v>
      </c>
      <c r="H62" s="234">
        <f t="shared" si="16"/>
        <v>-0.21414299248814736</v>
      </c>
      <c r="I62" s="235">
        <f t="shared" si="16"/>
        <v>-0.2844870095051677</v>
      </c>
    </row>
    <row r="63" spans="1:9">
      <c r="A63" s="231" t="s">
        <v>39</v>
      </c>
      <c r="B63" s="232"/>
      <c r="C63" s="233">
        <f t="shared" si="15"/>
        <v>-0.2431078052564043</v>
      </c>
      <c r="D63" s="233">
        <f t="shared" si="15"/>
        <v>0.12373828345834137</v>
      </c>
      <c r="E63" s="233">
        <f t="shared" si="15"/>
        <v>1.8589946473725538</v>
      </c>
      <c r="F63" s="233">
        <f t="shared" si="15"/>
        <v>0.11875490309716152</v>
      </c>
      <c r="G63" s="234">
        <f t="shared" si="17"/>
        <v>0.46459500716791313</v>
      </c>
      <c r="H63" s="234">
        <f t="shared" si="16"/>
        <v>0.64152071027399249</v>
      </c>
      <c r="I63" s="235">
        <f t="shared" si="16"/>
        <v>0.77096631697790519</v>
      </c>
    </row>
    <row r="64" spans="1:9">
      <c r="A64" s="231" t="s">
        <v>116</v>
      </c>
      <c r="B64" s="232"/>
      <c r="C64" s="233">
        <f t="shared" si="15"/>
        <v>-4.0646558748634765E-2</v>
      </c>
      <c r="D64" s="233">
        <f t="shared" si="15"/>
        <v>-5.5281468837944381E-2</v>
      </c>
      <c r="E64" s="233">
        <f t="shared" si="15"/>
        <v>0.40952110540229181</v>
      </c>
      <c r="F64" s="233">
        <f t="shared" si="15"/>
        <v>1.1070543815511646E-2</v>
      </c>
      <c r="G64" s="234">
        <f t="shared" si="17"/>
        <v>8.1165905407806077E-2</v>
      </c>
      <c r="H64" s="234">
        <f t="shared" si="16"/>
        <v>0.11161902144691629</v>
      </c>
      <c r="I64" s="235">
        <f t="shared" si="16"/>
        <v>0.15334414401813146</v>
      </c>
    </row>
    <row r="65" spans="1:9">
      <c r="A65" s="231" t="s">
        <v>115</v>
      </c>
      <c r="B65" s="232"/>
      <c r="C65" s="233">
        <f t="shared" si="15"/>
        <v>1.8918824608214146E-2</v>
      </c>
      <c r="D65" s="233">
        <f t="shared" si="15"/>
        <v>-5.4517061914071019E-2</v>
      </c>
      <c r="E65" s="233">
        <f t="shared" si="15"/>
        <v>0.14663087310475298</v>
      </c>
      <c r="F65" s="233">
        <f t="shared" si="15"/>
        <v>-9.5723696101665534E-2</v>
      </c>
      <c r="G65" s="234">
        <f t="shared" si="17"/>
        <v>3.8272349243076431E-3</v>
      </c>
      <c r="H65" s="234">
        <f t="shared" si="16"/>
        <v>5.4337503331017278E-5</v>
      </c>
      <c r="I65" s="235">
        <f t="shared" si="16"/>
        <v>1.3697187357681526E-2</v>
      </c>
    </row>
    <row r="66" spans="1:9">
      <c r="A66" s="231" t="s">
        <v>124</v>
      </c>
      <c r="B66" s="232"/>
      <c r="C66" s="233">
        <f t="shared" si="15"/>
        <v>0.72398190045248878</v>
      </c>
      <c r="D66" s="233">
        <f t="shared" si="15"/>
        <v>0.44714865187306141</v>
      </c>
      <c r="E66" s="233">
        <f t="shared" si="15"/>
        <v>-0.45754328112118714</v>
      </c>
      <c r="F66" s="233">
        <f t="shared" si="15"/>
        <v>0.4392097264437691</v>
      </c>
      <c r="G66" s="234">
        <f t="shared" si="17"/>
        <v>0.28819924941203301</v>
      </c>
      <c r="H66" s="234">
        <f t="shared" si="16"/>
        <v>0.17925358665191909</v>
      </c>
      <c r="I66" s="235">
        <f t="shared" si="16"/>
        <v>0.11227982034663352</v>
      </c>
    </row>
    <row r="67" spans="1:9">
      <c r="A67" s="231" t="s">
        <v>4</v>
      </c>
      <c r="B67" s="232"/>
      <c r="C67" s="233">
        <f t="shared" si="15"/>
        <v>4.4713274253293855E-2</v>
      </c>
      <c r="D67" s="233">
        <f t="shared" si="15"/>
        <v>-6.5979457678963072E-2</v>
      </c>
      <c r="E67" s="233">
        <f t="shared" si="15"/>
        <v>0.11979072873564744</v>
      </c>
      <c r="F67" s="233">
        <f t="shared" si="15"/>
        <v>-4.7504722375025676E-2</v>
      </c>
      <c r="G67" s="234">
        <f t="shared" si="17"/>
        <v>1.2754955733738138E-2</v>
      </c>
      <c r="H67" s="234">
        <f t="shared" si="16"/>
        <v>4.7653761038492087E-3</v>
      </c>
      <c r="I67" s="235">
        <f t="shared" si="16"/>
        <v>2.2451584549552279E-2</v>
      </c>
    </row>
    <row r="68" spans="1:9">
      <c r="A68" s="231" t="s">
        <v>125</v>
      </c>
      <c r="B68" s="232"/>
      <c r="C68" s="233">
        <f t="shared" si="15"/>
        <v>-0.1736270651321874</v>
      </c>
      <c r="D68" s="233">
        <f t="shared" si="15"/>
        <v>11.327996376383473</v>
      </c>
      <c r="E68" s="233">
        <f t="shared" si="15"/>
        <v>0.11475298100664921</v>
      </c>
      <c r="F68" s="233">
        <f t="shared" si="15"/>
        <v>0.14825844671732558</v>
      </c>
      <c r="G68" s="234">
        <f t="shared" si="17"/>
        <v>2.8543451847438153</v>
      </c>
      <c r="H68" s="234">
        <f t="shared" si="16"/>
        <v>3.6113382472128159</v>
      </c>
      <c r="I68" s="235">
        <f t="shared" si="16"/>
        <v>1.6821737149201517</v>
      </c>
    </row>
    <row r="69" spans="1:9">
      <c r="A69" s="231" t="s">
        <v>126</v>
      </c>
      <c r="B69" s="232"/>
      <c r="C69" s="233">
        <f t="shared" si="15"/>
        <v>-0.68024901640917379</v>
      </c>
      <c r="D69" s="233">
        <f t="shared" si="15"/>
        <v>-0.22084907953046018</v>
      </c>
      <c r="E69" s="233">
        <f t="shared" si="15"/>
        <v>1.1382168111767488</v>
      </c>
      <c r="F69" s="233">
        <f t="shared" si="15"/>
        <v>-0.80752350360618697</v>
      </c>
      <c r="G69" s="234">
        <f t="shared" si="17"/>
        <v>-0.14260119709226804</v>
      </c>
      <c r="H69" s="234">
        <f t="shared" si="16"/>
        <v>-8.1892422630416017E-3</v>
      </c>
      <c r="I69" s="235">
        <f t="shared" si="16"/>
        <v>4.4975717053813043E-2</v>
      </c>
    </row>
    <row r="70" spans="1:9" ht="15.75" thickBot="1">
      <c r="A70" s="236" t="s">
        <v>120</v>
      </c>
      <c r="B70" s="237"/>
      <c r="C70" s="238">
        <f t="shared" si="15"/>
        <v>0.51672746025653393</v>
      </c>
      <c r="D70" s="238">
        <f t="shared" si="15"/>
        <v>7.7617432211086967E-2</v>
      </c>
      <c r="E70" s="238">
        <f t="shared" si="15"/>
        <v>-7.5427035188621594E-2</v>
      </c>
      <c r="F70" s="238">
        <f t="shared" si="15"/>
        <v>-0.28254549515506144</v>
      </c>
      <c r="G70" s="239">
        <f t="shared" si="17"/>
        <v>5.9093090530984466E-2</v>
      </c>
      <c r="H70" s="239">
        <f t="shared" si="16"/>
        <v>-5.5315501900402901E-2</v>
      </c>
      <c r="I70" s="240">
        <f t="shared" si="16"/>
        <v>-8.8548735428275377E-2</v>
      </c>
    </row>
  </sheetData>
  <mergeCells count="3">
    <mergeCell ref="A1:I3"/>
    <mergeCell ref="B4:F6"/>
    <mergeCell ref="G4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zoomScale="61" zoomScaleNormal="80" workbookViewId="0">
      <selection activeCell="H19" sqref="H19"/>
    </sheetView>
  </sheetViews>
  <sheetFormatPr defaultRowHeight="15"/>
  <cols>
    <col min="1" max="1" width="43.28515625" bestFit="1" customWidth="1"/>
    <col min="2" max="9" width="16.28515625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>
      <c r="B5" s="374"/>
      <c r="C5" s="374"/>
      <c r="D5" s="374"/>
      <c r="E5" s="374"/>
      <c r="F5" s="374"/>
      <c r="G5" s="376"/>
      <c r="H5" s="376"/>
      <c r="I5" s="376"/>
    </row>
    <row r="6" spans="1:9" ht="15.75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97">
        <v>2016</v>
      </c>
      <c r="C7" s="98">
        <v>2017</v>
      </c>
      <c r="D7" s="98">
        <v>2018</v>
      </c>
      <c r="E7" s="98">
        <v>2019</v>
      </c>
      <c r="F7" s="98">
        <v>2020</v>
      </c>
      <c r="G7" s="57">
        <v>2021</v>
      </c>
      <c r="H7" s="57">
        <v>2022</v>
      </c>
      <c r="I7" s="58">
        <v>2023</v>
      </c>
    </row>
    <row r="8" spans="1:9">
      <c r="A8" s="160" t="s">
        <v>127</v>
      </c>
      <c r="B8" s="27"/>
      <c r="C8" s="27"/>
      <c r="D8" s="27"/>
      <c r="E8" s="27"/>
      <c r="F8" s="27"/>
      <c r="G8" s="161"/>
      <c r="H8" s="161"/>
      <c r="I8" s="162"/>
    </row>
    <row r="9" spans="1:9">
      <c r="A9" s="142" t="s">
        <v>128</v>
      </c>
      <c r="B9" s="14">
        <v>10115518697</v>
      </c>
      <c r="C9" s="14">
        <f>B12</f>
        <v>11785785791</v>
      </c>
      <c r="D9" s="14">
        <f>C12</f>
        <v>11950793829</v>
      </c>
      <c r="E9" s="14">
        <f>D12</f>
        <v>13011792365</v>
      </c>
      <c r="F9" s="14">
        <f>E12</f>
        <v>13629355308</v>
      </c>
      <c r="G9" s="107">
        <f>F12</f>
        <v>29018905601</v>
      </c>
      <c r="H9" s="107">
        <f t="shared" ref="H9:I9" si="0">G12</f>
        <v>29741402850.57</v>
      </c>
      <c r="I9" s="108">
        <f t="shared" si="0"/>
        <v>30521081287.350597</v>
      </c>
    </row>
    <row r="10" spans="1:9">
      <c r="A10" s="142" t="s">
        <v>129</v>
      </c>
      <c r="B10" s="14">
        <v>2101299244</v>
      </c>
      <c r="C10" s="14">
        <v>182523887</v>
      </c>
      <c r="D10" s="14">
        <v>1120158092</v>
      </c>
      <c r="E10" s="14">
        <v>681758723</v>
      </c>
      <c r="F10" s="14">
        <v>15408295528</v>
      </c>
      <c r="G10" s="107">
        <f>E10*(1+Assumptions!G8)</f>
        <v>743117008.07000005</v>
      </c>
      <c r="H10" s="107">
        <f>G10*(1+Assumptions!H8)</f>
        <v>802566368.71560013</v>
      </c>
      <c r="I10" s="108">
        <f>H10*(1+Assumptions!I8)</f>
        <v>858746014.52569222</v>
      </c>
    </row>
    <row r="11" spans="1:9">
      <c r="A11" s="142" t="s">
        <v>130</v>
      </c>
      <c r="B11" s="14">
        <f>8175800+422856350</f>
        <v>431032150</v>
      </c>
      <c r="C11" s="14">
        <v>17515849</v>
      </c>
      <c r="D11" s="14">
        <v>59159556</v>
      </c>
      <c r="E11" s="14">
        <v>64195780</v>
      </c>
      <c r="F11" s="14">
        <v>18745235</v>
      </c>
      <c r="G11" s="107">
        <f>F11*(1+G27)</f>
        <v>20619758.5</v>
      </c>
      <c r="H11" s="107">
        <f t="shared" ref="H11:I11" si="1">G11*(1+H27)</f>
        <v>22887931.935000002</v>
      </c>
      <c r="I11" s="108">
        <f t="shared" si="1"/>
        <v>24947845.809150003</v>
      </c>
    </row>
    <row r="12" spans="1:9">
      <c r="A12" s="142" t="s">
        <v>131</v>
      </c>
      <c r="B12" s="14">
        <f t="shared" ref="B12:E12" si="2">B9+B10-B11</f>
        <v>11785785791</v>
      </c>
      <c r="C12" s="14">
        <f t="shared" si="2"/>
        <v>11950793829</v>
      </c>
      <c r="D12" s="14">
        <f>D9+D10-D11</f>
        <v>13011792365</v>
      </c>
      <c r="E12" s="14">
        <f t="shared" si="2"/>
        <v>13629355308</v>
      </c>
      <c r="F12" s="14">
        <f>F9+F10-F11</f>
        <v>29018905601</v>
      </c>
      <c r="G12" s="107">
        <f t="shared" ref="G12:I12" si="3">G9+G10-G11</f>
        <v>29741402850.57</v>
      </c>
      <c r="H12" s="107">
        <f t="shared" si="3"/>
        <v>30521081287.350597</v>
      </c>
      <c r="I12" s="108">
        <f t="shared" si="3"/>
        <v>31354879456.067139</v>
      </c>
    </row>
    <row r="13" spans="1:9">
      <c r="A13" s="140"/>
      <c r="B13" s="88"/>
      <c r="C13" s="88"/>
      <c r="D13" s="88"/>
      <c r="E13" s="88"/>
      <c r="F13" s="88"/>
      <c r="G13" s="101"/>
      <c r="H13" s="101"/>
      <c r="I13" s="102"/>
    </row>
    <row r="14" spans="1:9">
      <c r="A14" s="141" t="s">
        <v>132</v>
      </c>
      <c r="B14" s="88"/>
      <c r="C14" s="88"/>
      <c r="D14" s="88"/>
      <c r="E14" s="88"/>
      <c r="F14" s="88"/>
      <c r="G14" s="101"/>
      <c r="H14" s="101"/>
      <c r="I14" s="102"/>
    </row>
    <row r="15" spans="1:9">
      <c r="A15" s="142" t="s">
        <v>133</v>
      </c>
      <c r="B15" s="14">
        <v>3650476114</v>
      </c>
      <c r="C15" s="14">
        <v>4087329205</v>
      </c>
      <c r="D15" s="14">
        <f>C18</f>
        <v>4571930466</v>
      </c>
      <c r="E15" s="14">
        <f t="shared" ref="E15:F15" si="4">D18</f>
        <v>5051771278</v>
      </c>
      <c r="F15" s="14">
        <f t="shared" si="4"/>
        <v>5621169098</v>
      </c>
      <c r="G15" s="107">
        <f>F18</f>
        <v>6405817352</v>
      </c>
      <c r="H15" s="107">
        <f t="shared" ref="H15:I15" si="5">G18</f>
        <v>7561360769.5688343</v>
      </c>
      <c r="I15" s="108">
        <f t="shared" si="5"/>
        <v>8927363995.3590279</v>
      </c>
    </row>
    <row r="16" spans="1:9">
      <c r="A16" s="142" t="s">
        <v>134</v>
      </c>
      <c r="B16" s="14">
        <v>439413127</v>
      </c>
      <c r="C16" s="14">
        <v>496875698</v>
      </c>
      <c r="D16" s="14">
        <v>522410716</v>
      </c>
      <c r="E16" s="14">
        <v>585181110</v>
      </c>
      <c r="F16" s="14">
        <v>794272581</v>
      </c>
      <c r="G16" s="107">
        <f>G22*(G12-G15)</f>
        <v>1166779274.9284999</v>
      </c>
      <c r="H16" s="107">
        <f t="shared" ref="H16:I16" si="6">H22*(H12-H15)</f>
        <v>1377583231.0669057</v>
      </c>
      <c r="I16" s="108">
        <f t="shared" si="6"/>
        <v>1569926082.249568</v>
      </c>
    </row>
    <row r="17" spans="1:9">
      <c r="A17" s="142" t="s">
        <v>135</v>
      </c>
      <c r="B17" s="14">
        <v>2560036</v>
      </c>
      <c r="C17" s="14">
        <v>12274437</v>
      </c>
      <c r="D17" s="14">
        <v>42569904</v>
      </c>
      <c r="E17" s="14">
        <v>15783290</v>
      </c>
      <c r="F17" s="14">
        <v>9624327</v>
      </c>
      <c r="G17" s="107">
        <f>G28*G11</f>
        <v>11235857.359666241</v>
      </c>
      <c r="H17" s="107">
        <f t="shared" ref="H17:I17" si="7">H28*H11</f>
        <v>11580005.276712768</v>
      </c>
      <c r="I17" s="108">
        <f t="shared" si="7"/>
        <v>11289778.099962404</v>
      </c>
    </row>
    <row r="18" spans="1:9">
      <c r="A18" s="142" t="s">
        <v>136</v>
      </c>
      <c r="B18" s="14">
        <f t="shared" ref="B18:E18" si="8">B15+B16-B17</f>
        <v>4087329205</v>
      </c>
      <c r="C18" s="14">
        <f t="shared" si="8"/>
        <v>4571930466</v>
      </c>
      <c r="D18" s="14">
        <f t="shared" si="8"/>
        <v>5051771278</v>
      </c>
      <c r="E18" s="14">
        <f t="shared" si="8"/>
        <v>5621169098</v>
      </c>
      <c r="F18" s="14">
        <f>F15+F16-F17</f>
        <v>6405817352</v>
      </c>
      <c r="G18" s="107">
        <f t="shared" ref="G18:I18" si="9">G15+G16-G17</f>
        <v>7561360769.5688343</v>
      </c>
      <c r="H18" s="107">
        <f t="shared" si="9"/>
        <v>8927363995.3590279</v>
      </c>
      <c r="I18" s="108">
        <f t="shared" si="9"/>
        <v>10486000299.508635</v>
      </c>
    </row>
    <row r="19" spans="1:9">
      <c r="A19" s="140"/>
      <c r="B19" s="88"/>
      <c r="C19" s="88"/>
      <c r="D19" s="88"/>
      <c r="E19" s="88"/>
      <c r="F19" s="88"/>
      <c r="G19" s="101"/>
      <c r="H19" s="101"/>
      <c r="I19" s="102"/>
    </row>
    <row r="20" spans="1:9">
      <c r="A20" s="141" t="s">
        <v>137</v>
      </c>
      <c r="B20" s="14">
        <f t="shared" ref="B20:E20" si="10">B12-B18</f>
        <v>7698456586</v>
      </c>
      <c r="C20" s="14">
        <f t="shared" si="10"/>
        <v>7378863363</v>
      </c>
      <c r="D20" s="14">
        <f t="shared" si="10"/>
        <v>7960021087</v>
      </c>
      <c r="E20" s="14">
        <f t="shared" si="10"/>
        <v>8008186210</v>
      </c>
      <c r="F20" s="14">
        <f>F12-F18</f>
        <v>22613088249</v>
      </c>
      <c r="G20" s="107">
        <f t="shared" ref="G20:I20" si="11">G12-G18</f>
        <v>22180042081.001167</v>
      </c>
      <c r="H20" s="107">
        <f t="shared" si="11"/>
        <v>21593717291.99157</v>
      </c>
      <c r="I20" s="108">
        <f t="shared" si="11"/>
        <v>20868879156.558502</v>
      </c>
    </row>
    <row r="21" spans="1:9">
      <c r="A21" s="141"/>
      <c r="B21" s="88"/>
      <c r="C21" s="88"/>
      <c r="D21" s="88"/>
      <c r="E21" s="88"/>
      <c r="F21" s="88"/>
      <c r="G21" s="101"/>
      <c r="H21" s="101"/>
      <c r="I21" s="102"/>
    </row>
    <row r="22" spans="1:9">
      <c r="A22" s="141" t="s">
        <v>138</v>
      </c>
      <c r="B22" s="17">
        <f t="shared" ref="B22:D22" si="12">B16/(B12-B15)</f>
        <v>5.4013079335172798E-2</v>
      </c>
      <c r="C22" s="17">
        <f t="shared" si="12"/>
        <v>6.3187884953852372E-2</v>
      </c>
      <c r="D22" s="17">
        <f t="shared" si="12"/>
        <v>6.1898017082708194E-2</v>
      </c>
      <c r="E22" s="17">
        <f>E16/(E12-E15)</f>
        <v>6.8222136670807995E-2</v>
      </c>
      <c r="F22" s="17">
        <f>F16/(F12-F15)</f>
        <v>3.394655636446544E-2</v>
      </c>
      <c r="G22" s="109">
        <v>0.05</v>
      </c>
      <c r="H22" s="105">
        <v>0.06</v>
      </c>
      <c r="I22" s="106">
        <v>7.0000000000000007E-2</v>
      </c>
    </row>
    <row r="23" spans="1:9">
      <c r="A23" s="140"/>
      <c r="B23" s="88"/>
      <c r="C23" s="88"/>
      <c r="D23" s="88"/>
      <c r="E23" s="88"/>
      <c r="F23" s="88"/>
      <c r="G23" s="101"/>
      <c r="H23" s="101"/>
      <c r="I23" s="102"/>
    </row>
    <row r="24" spans="1:9">
      <c r="A24" s="141" t="s">
        <v>139</v>
      </c>
      <c r="B24" s="14"/>
      <c r="C24" s="14">
        <f>C20-B20+C16</f>
        <v>177282475</v>
      </c>
      <c r="D24" s="14">
        <f t="shared" ref="D24:E24" si="13">D20-C20+D16</f>
        <v>1103568440</v>
      </c>
      <c r="E24" s="14">
        <f t="shared" si="13"/>
        <v>633346233</v>
      </c>
      <c r="F24" s="14">
        <f>F20-E20+F16</f>
        <v>15399174620</v>
      </c>
      <c r="G24" s="107">
        <f>G20-F20+G16</f>
        <v>733733106.92966723</v>
      </c>
      <c r="H24" s="107">
        <f t="shared" ref="H24:I24" si="14">H20-G20+H16</f>
        <v>791258442.05730796</v>
      </c>
      <c r="I24" s="108">
        <f t="shared" si="14"/>
        <v>845087946.81650066</v>
      </c>
    </row>
    <row r="25" spans="1:9">
      <c r="A25" s="140"/>
      <c r="B25" s="88"/>
      <c r="C25" s="128"/>
      <c r="D25" s="128"/>
      <c r="E25" s="128"/>
      <c r="F25" s="88"/>
      <c r="G25" s="101"/>
      <c r="H25" s="101"/>
      <c r="I25" s="102"/>
    </row>
    <row r="26" spans="1:9">
      <c r="A26" s="140" t="s">
        <v>140</v>
      </c>
      <c r="B26" s="88"/>
      <c r="C26" s="17">
        <f t="shared" ref="C26:E27" si="15">C10/B10-1</f>
        <v>-0.91313760402228561</v>
      </c>
      <c r="D26" s="17">
        <f t="shared" si="15"/>
        <v>5.1370492948136697</v>
      </c>
      <c r="E26" s="17">
        <f t="shared" si="15"/>
        <v>-0.39137276437226332</v>
      </c>
      <c r="F26" s="17">
        <f>F10/E10-1</f>
        <v>21.600804372839686</v>
      </c>
      <c r="G26" s="109">
        <f t="shared" ref="G26:I26" si="16">G10/F10-1</f>
        <v>-0.95177162803506687</v>
      </c>
      <c r="H26" s="109">
        <f t="shared" si="16"/>
        <v>8.0000000000000071E-2</v>
      </c>
      <c r="I26" s="110">
        <f t="shared" si="16"/>
        <v>7.0000000000000062E-2</v>
      </c>
    </row>
    <row r="27" spans="1:9">
      <c r="A27" s="140" t="s">
        <v>141</v>
      </c>
      <c r="B27" s="88"/>
      <c r="C27" s="17">
        <f t="shared" si="15"/>
        <v>-0.95936301039261229</v>
      </c>
      <c r="D27" s="17">
        <f t="shared" si="15"/>
        <v>2.3774872117246502</v>
      </c>
      <c r="E27" s="17">
        <f t="shared" si="15"/>
        <v>8.5129509761702638E-2</v>
      </c>
      <c r="F27" s="17">
        <f>F11/E11-1</f>
        <v>-0.70799895257912593</v>
      </c>
      <c r="G27" s="105">
        <v>0.1</v>
      </c>
      <c r="H27" s="105">
        <v>0.11</v>
      </c>
      <c r="I27" s="106">
        <v>0.09</v>
      </c>
    </row>
    <row r="28" spans="1:9">
      <c r="A28" s="140" t="s">
        <v>142</v>
      </c>
      <c r="B28" s="17"/>
      <c r="C28" s="17">
        <f t="shared" ref="C28:E28" si="17">C17/C11</f>
        <v>0.70076175011556674</v>
      </c>
      <c r="D28" s="17">
        <f t="shared" si="17"/>
        <v>0.71957781427568523</v>
      </c>
      <c r="E28" s="17">
        <f t="shared" si="17"/>
        <v>0.24586179963854321</v>
      </c>
      <c r="F28" s="17">
        <f>F17/F11</f>
        <v>0.5134279191485196</v>
      </c>
      <c r="G28" s="105">
        <f>AVERAGE(C28:F28)</f>
        <v>0.54490732079457871</v>
      </c>
      <c r="H28" s="105">
        <f t="shared" ref="H28:I28" si="18">AVERAGE(D28:G28)</f>
        <v>0.50594371346433165</v>
      </c>
      <c r="I28" s="106">
        <f t="shared" si="18"/>
        <v>0.4525351882614933</v>
      </c>
    </row>
    <row r="29" spans="1:9">
      <c r="A29" s="140"/>
      <c r="B29" s="88"/>
      <c r="C29" s="88"/>
      <c r="D29" s="88"/>
      <c r="E29" s="88"/>
      <c r="F29" s="88"/>
      <c r="G29" s="101"/>
      <c r="H29" s="101"/>
      <c r="I29" s="102"/>
    </row>
    <row r="30" spans="1:9">
      <c r="A30" s="141" t="s">
        <v>143</v>
      </c>
      <c r="B30" s="88"/>
      <c r="C30" s="88"/>
      <c r="D30" s="88"/>
      <c r="E30" s="88"/>
      <c r="F30" s="88"/>
      <c r="G30" s="101"/>
      <c r="H30" s="101"/>
      <c r="I30" s="102"/>
    </row>
    <row r="31" spans="1:9">
      <c r="A31" s="142" t="s">
        <v>10</v>
      </c>
      <c r="B31" s="14">
        <v>433984642</v>
      </c>
      <c r="C31" s="14">
        <v>491064240</v>
      </c>
      <c r="D31" s="14">
        <v>516552808</v>
      </c>
      <c r="E31" s="14">
        <v>577977792</v>
      </c>
      <c r="F31" s="14">
        <v>787645309</v>
      </c>
      <c r="G31" s="107">
        <f>G32*G16</f>
        <v>1153730821.6462822</v>
      </c>
      <c r="H31" s="107">
        <f t="shared" ref="H31:I31" si="19">H32*H16</f>
        <v>1362499821.2828853</v>
      </c>
      <c r="I31" s="108">
        <f t="shared" si="19"/>
        <v>1552971165.1913085</v>
      </c>
    </row>
    <row r="32" spans="1:9">
      <c r="A32" s="142"/>
      <c r="B32" s="95">
        <f t="shared" ref="B32:E32" si="20">B31/B16</f>
        <v>0.98764605637282199</v>
      </c>
      <c r="C32" s="95">
        <f t="shared" si="20"/>
        <v>0.98830400032967602</v>
      </c>
      <c r="D32" s="95">
        <f t="shared" si="20"/>
        <v>0.98878677672454174</v>
      </c>
      <c r="E32" s="95">
        <f t="shared" si="20"/>
        <v>0.9876904468088521</v>
      </c>
      <c r="F32" s="95">
        <f>F31/F16</f>
        <v>0.99165617426745845</v>
      </c>
      <c r="G32" s="129">
        <f>AVERAGE(B32:F32)</f>
        <v>0.98881669090066993</v>
      </c>
      <c r="H32" s="129">
        <f t="shared" ref="H32:I32" si="21">AVERAGE(C32:G32)</f>
        <v>0.98905081780623971</v>
      </c>
      <c r="I32" s="132">
        <f t="shared" si="21"/>
        <v>0.98920018130155241</v>
      </c>
    </row>
    <row r="33" spans="1:9">
      <c r="A33" s="142" t="s">
        <v>110</v>
      </c>
      <c r="B33" s="14">
        <v>949815</v>
      </c>
      <c r="C33" s="14">
        <v>1132532</v>
      </c>
      <c r="D33" s="14">
        <v>1487695</v>
      </c>
      <c r="E33" s="14">
        <v>2309594</v>
      </c>
      <c r="F33" s="14">
        <v>1966023</v>
      </c>
      <c r="G33" s="107">
        <f>G34*G16</f>
        <v>3199463.1560925064</v>
      </c>
      <c r="H33" s="107">
        <f t="shared" ref="H33:I33" si="22">H34*H16</f>
        <v>3937474.6141852718</v>
      </c>
      <c r="I33" s="108">
        <f t="shared" si="22"/>
        <v>4669017.2976718815</v>
      </c>
    </row>
    <row r="34" spans="1:9">
      <c r="A34" s="142"/>
      <c r="B34" s="95">
        <f t="shared" ref="B34:E34" si="23">B33/B16</f>
        <v>2.1615535395691538E-3</v>
      </c>
      <c r="C34" s="95">
        <f t="shared" si="23"/>
        <v>2.2793064836107158E-3</v>
      </c>
      <c r="D34" s="95">
        <f t="shared" si="23"/>
        <v>2.8477497770164422E-3</v>
      </c>
      <c r="E34" s="95">
        <f t="shared" si="23"/>
        <v>3.9468020421916904E-3</v>
      </c>
      <c r="F34" s="95">
        <f>F33/F16</f>
        <v>2.4752497404917973E-3</v>
      </c>
      <c r="G34" s="129">
        <f>AVERAGE(B34:F34)</f>
        <v>2.7421323165759599E-3</v>
      </c>
      <c r="H34" s="129">
        <f t="shared" ref="H34:I34" si="24">AVERAGE(C34:G34)</f>
        <v>2.8582480719773211E-3</v>
      </c>
      <c r="I34" s="132">
        <f t="shared" si="24"/>
        <v>2.9740363896506418E-3</v>
      </c>
    </row>
    <row r="35" spans="1:9">
      <c r="A35" s="142" t="s">
        <v>121</v>
      </c>
      <c r="B35" s="14">
        <v>4478670</v>
      </c>
      <c r="C35" s="14">
        <v>4678926</v>
      </c>
      <c r="D35" s="14">
        <v>4370213</v>
      </c>
      <c r="E35" s="14">
        <v>4893724</v>
      </c>
      <c r="F35" s="14">
        <v>4661249</v>
      </c>
      <c r="G35" s="107">
        <f>G36*G16</f>
        <v>9848990.1261249799</v>
      </c>
      <c r="H35" s="107">
        <f t="shared" ref="H35:I35" si="25">H36*H16</f>
        <v>11145935.169835318</v>
      </c>
      <c r="I35" s="108">
        <f t="shared" si="25"/>
        <v>12285899.76058759</v>
      </c>
    </row>
    <row r="36" spans="1:9">
      <c r="A36" s="140"/>
      <c r="B36" s="95">
        <f t="shared" ref="B36:E36" si="26">B35/B16</f>
        <v>1.0192390087608831E-2</v>
      </c>
      <c r="C36" s="95">
        <f t="shared" si="26"/>
        <v>9.4166931867132701E-3</v>
      </c>
      <c r="D36" s="95">
        <f t="shared" si="26"/>
        <v>8.3654734984417896E-3</v>
      </c>
      <c r="E36" s="95">
        <f t="shared" si="26"/>
        <v>8.3627511489562604E-3</v>
      </c>
      <c r="F36" s="95">
        <f>F35/F16</f>
        <v>5.8685759920497618E-3</v>
      </c>
      <c r="G36" s="129">
        <f>AVERAGE(B36:F36)</f>
        <v>8.441176782753983E-3</v>
      </c>
      <c r="H36" s="129">
        <f t="shared" ref="H36:I36" si="27">AVERAGE(C36:G36)</f>
        <v>8.0909341217830118E-3</v>
      </c>
      <c r="I36" s="132">
        <f t="shared" si="27"/>
        <v>7.8257823087969601E-3</v>
      </c>
    </row>
    <row r="37" spans="1:9">
      <c r="A37" s="140"/>
      <c r="B37" s="95"/>
      <c r="C37" s="95"/>
      <c r="D37" s="95"/>
      <c r="E37" s="95"/>
      <c r="F37" s="95"/>
      <c r="G37" s="129"/>
      <c r="H37" s="129"/>
      <c r="I37" s="132"/>
    </row>
    <row r="38" spans="1:9">
      <c r="A38" s="141" t="s">
        <v>144</v>
      </c>
      <c r="B38" s="88"/>
      <c r="C38" s="88"/>
      <c r="D38" s="88"/>
      <c r="E38" s="88"/>
      <c r="F38" s="88"/>
      <c r="G38" s="101"/>
      <c r="H38" s="101"/>
      <c r="I38" s="102"/>
    </row>
    <row r="39" spans="1:9">
      <c r="A39" s="142" t="s">
        <v>145</v>
      </c>
      <c r="B39" s="14">
        <v>445181</v>
      </c>
      <c r="C39" s="14">
        <f t="shared" ref="C39:I39" si="28">B42</f>
        <v>593775</v>
      </c>
      <c r="D39" s="14">
        <f t="shared" si="28"/>
        <v>14741587</v>
      </c>
      <c r="E39" s="14">
        <f t="shared" si="28"/>
        <v>15259395</v>
      </c>
      <c r="F39" s="14">
        <f t="shared" si="28"/>
        <v>13878685</v>
      </c>
      <c r="G39" s="107">
        <f t="shared" si="28"/>
        <v>11210982</v>
      </c>
      <c r="H39" s="107">
        <f t="shared" si="28"/>
        <v>8032520.9645755142</v>
      </c>
      <c r="I39" s="108">
        <f t="shared" si="28"/>
        <v>4691604.4568606662</v>
      </c>
    </row>
    <row r="40" spans="1:9">
      <c r="A40" s="142" t="s">
        <v>146</v>
      </c>
      <c r="B40" s="14">
        <f>5369559-4852284</f>
        <v>517275</v>
      </c>
      <c r="C40" s="14">
        <f t="shared" ref="C40:E41" si="29">C44-B44</f>
        <v>14452480</v>
      </c>
      <c r="D40" s="14">
        <f t="shared" si="29"/>
        <v>4273754</v>
      </c>
      <c r="E40" s="14">
        <f t="shared" si="29"/>
        <v>2806242</v>
      </c>
      <c r="F40" s="14">
        <v>2140000</v>
      </c>
      <c r="G40" s="107">
        <f>F40*(1+G51)</f>
        <v>1712000</v>
      </c>
      <c r="H40" s="107">
        <f t="shared" ref="H40:I40" si="30">G40*(1+H51)</f>
        <v>1883200.0000000002</v>
      </c>
      <c r="I40" s="108">
        <f t="shared" si="30"/>
        <v>2165680</v>
      </c>
    </row>
    <row r="41" spans="1:9">
      <c r="A41" s="142" t="s">
        <v>147</v>
      </c>
      <c r="B41" s="14">
        <f>4775784-4407103</f>
        <v>368681</v>
      </c>
      <c r="C41" s="14">
        <f t="shared" si="29"/>
        <v>304668</v>
      </c>
      <c r="D41" s="14">
        <f t="shared" si="29"/>
        <v>3755946</v>
      </c>
      <c r="E41" s="14">
        <f t="shared" si="29"/>
        <v>4186952</v>
      </c>
      <c r="F41" s="14">
        <v>4807703</v>
      </c>
      <c r="G41" s="107">
        <f>G44*G49</f>
        <v>4890461.0354244858</v>
      </c>
      <c r="H41" s="107">
        <f t="shared" ref="H41:I41" si="31">H44*H49</f>
        <v>5224116.507714848</v>
      </c>
      <c r="I41" s="108">
        <f t="shared" si="31"/>
        <v>5622150.6709413873</v>
      </c>
    </row>
    <row r="42" spans="1:9">
      <c r="A42" s="142" t="s">
        <v>148</v>
      </c>
      <c r="B42" s="14">
        <v>593775</v>
      </c>
      <c r="C42" s="14">
        <f t="shared" ref="C42:E42" si="32">C39+C40-C41</f>
        <v>14741587</v>
      </c>
      <c r="D42" s="14">
        <f t="shared" si="32"/>
        <v>15259395</v>
      </c>
      <c r="E42" s="14">
        <f t="shared" si="32"/>
        <v>13878685</v>
      </c>
      <c r="F42" s="14">
        <f>F39+F40-F41</f>
        <v>11210982</v>
      </c>
      <c r="G42" s="107">
        <f>G39+G40-G41</f>
        <v>8032520.9645755142</v>
      </c>
      <c r="H42" s="107">
        <f t="shared" ref="H42:I42" si="33">H39+H40-H41</f>
        <v>4691604.4568606662</v>
      </c>
      <c r="I42" s="108">
        <f t="shared" si="33"/>
        <v>1235133.7859192789</v>
      </c>
    </row>
    <row r="43" spans="1:9">
      <c r="A43" s="140"/>
      <c r="B43" s="88"/>
      <c r="C43" s="88"/>
      <c r="D43" s="88"/>
      <c r="E43" s="92"/>
      <c r="F43" s="88"/>
      <c r="G43" s="101"/>
      <c r="H43" s="163"/>
      <c r="I43" s="102"/>
    </row>
    <row r="44" spans="1:9">
      <c r="A44" s="142" t="s">
        <v>149</v>
      </c>
      <c r="B44" s="14">
        <v>5369559</v>
      </c>
      <c r="C44" s="14">
        <v>19822039</v>
      </c>
      <c r="D44" s="14">
        <v>24095793</v>
      </c>
      <c r="E44" s="14">
        <v>26902035</v>
      </c>
      <c r="F44" s="14">
        <v>29042040</v>
      </c>
      <c r="G44" s="107">
        <f>F44+G40</f>
        <v>30754040</v>
      </c>
      <c r="H44" s="107">
        <f t="shared" ref="H44:I45" si="34">G44+H40</f>
        <v>32637240</v>
      </c>
      <c r="I44" s="108">
        <f t="shared" si="34"/>
        <v>34802920</v>
      </c>
    </row>
    <row r="45" spans="1:9">
      <c r="A45" s="142" t="s">
        <v>150</v>
      </c>
      <c r="B45" s="14">
        <v>4775784</v>
      </c>
      <c r="C45" s="14">
        <v>5080452</v>
      </c>
      <c r="D45" s="14">
        <v>8836398</v>
      </c>
      <c r="E45" s="14">
        <v>13023350</v>
      </c>
      <c r="F45" s="14">
        <v>17831058</v>
      </c>
      <c r="G45" s="107">
        <f>F45+G41</f>
        <v>22721519.035424486</v>
      </c>
      <c r="H45" s="107">
        <f t="shared" si="34"/>
        <v>27945635.543139335</v>
      </c>
      <c r="I45" s="108">
        <f t="shared" si="34"/>
        <v>33567786.214080721</v>
      </c>
    </row>
    <row r="46" spans="1:9">
      <c r="A46" s="142" t="s">
        <v>151</v>
      </c>
      <c r="B46" s="14">
        <f t="shared" ref="B46:E46" si="35">B44-B45</f>
        <v>593775</v>
      </c>
      <c r="C46" s="14">
        <f t="shared" si="35"/>
        <v>14741587</v>
      </c>
      <c r="D46" s="14">
        <f t="shared" si="35"/>
        <v>15259395</v>
      </c>
      <c r="E46" s="14">
        <f t="shared" si="35"/>
        <v>13878685</v>
      </c>
      <c r="F46" s="14">
        <f>F44-F45</f>
        <v>11210982</v>
      </c>
      <c r="G46" s="107">
        <f>G44-G45</f>
        <v>8032520.9645755142</v>
      </c>
      <c r="H46" s="107">
        <f t="shared" ref="H46:I46" si="36">H44-H45</f>
        <v>4691604.4568606652</v>
      </c>
      <c r="I46" s="108">
        <f t="shared" si="36"/>
        <v>1235133.7859192789</v>
      </c>
    </row>
    <row r="47" spans="1:9">
      <c r="A47" s="140"/>
      <c r="B47" s="88"/>
      <c r="C47" s="88"/>
      <c r="D47" s="88"/>
      <c r="E47" s="88"/>
      <c r="F47" s="88"/>
      <c r="G47" s="101"/>
      <c r="H47" s="101"/>
      <c r="I47" s="102"/>
    </row>
    <row r="48" spans="1:9">
      <c r="A48" s="141" t="s">
        <v>152</v>
      </c>
      <c r="B48" s="93">
        <v>0.2</v>
      </c>
      <c r="C48" s="93">
        <f>B48</f>
        <v>0.2</v>
      </c>
      <c r="D48" s="93">
        <f t="shared" ref="D48:F48" si="37">C48</f>
        <v>0.2</v>
      </c>
      <c r="E48" s="93">
        <f t="shared" si="37"/>
        <v>0.2</v>
      </c>
      <c r="F48" s="93">
        <f t="shared" si="37"/>
        <v>0.2</v>
      </c>
      <c r="G48" s="105">
        <f>F48</f>
        <v>0.2</v>
      </c>
      <c r="H48" s="105">
        <f t="shared" ref="H48:I48" si="38">G48</f>
        <v>0.2</v>
      </c>
      <c r="I48" s="106">
        <f t="shared" si="38"/>
        <v>0.2</v>
      </c>
    </row>
    <row r="49" spans="1:9">
      <c r="A49" s="141" t="s">
        <v>153</v>
      </c>
      <c r="B49" s="17">
        <f t="shared" ref="B49:E49" si="39">B41/B44</f>
        <v>6.8661318368975932E-2</v>
      </c>
      <c r="C49" s="17">
        <f>C41/C44</f>
        <v>1.5370164492159459E-2</v>
      </c>
      <c r="D49" s="17">
        <f t="shared" si="39"/>
        <v>0.15587559205874651</v>
      </c>
      <c r="E49" s="17">
        <f t="shared" si="39"/>
        <v>0.15563699920842419</v>
      </c>
      <c r="F49" s="17">
        <f>F41/F44</f>
        <v>0.16554288197385583</v>
      </c>
      <c r="G49" s="105">
        <f>AVERAGE(D49:F49)</f>
        <v>0.15901849108034216</v>
      </c>
      <c r="H49" s="105">
        <f t="shared" ref="H49:I49" si="40">AVERAGE(E49:G49)</f>
        <v>0.16006612408754073</v>
      </c>
      <c r="I49" s="106">
        <f t="shared" si="40"/>
        <v>0.16154249904724624</v>
      </c>
    </row>
    <row r="50" spans="1:9">
      <c r="A50" s="140"/>
      <c r="B50" s="88"/>
      <c r="C50" s="92"/>
      <c r="D50" s="88"/>
      <c r="E50" s="88"/>
      <c r="F50" s="88"/>
      <c r="G50" s="101"/>
      <c r="H50" s="101"/>
      <c r="I50" s="102"/>
    </row>
    <row r="51" spans="1:9" ht="15.75" thickBot="1">
      <c r="A51" s="147" t="s">
        <v>154</v>
      </c>
      <c r="B51" s="22"/>
      <c r="C51" s="96">
        <f t="shared" ref="C51:E51" si="41">C40/B40-1</f>
        <v>26.939645256391668</v>
      </c>
      <c r="D51" s="96">
        <f t="shared" si="41"/>
        <v>-0.70428922925338766</v>
      </c>
      <c r="E51" s="96">
        <f t="shared" si="41"/>
        <v>-0.34337774237824636</v>
      </c>
      <c r="F51" s="96">
        <f>F40/E40-1</f>
        <v>-0.23741430710537437</v>
      </c>
      <c r="G51" s="130">
        <v>-0.2</v>
      </c>
      <c r="H51" s="130">
        <v>0.1</v>
      </c>
      <c r="I51" s="133">
        <v>0.15</v>
      </c>
    </row>
  </sheetData>
  <mergeCells count="3">
    <mergeCell ref="A1:I3"/>
    <mergeCell ref="B4:F6"/>
    <mergeCell ref="G4:I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8"/>
  <sheetViews>
    <sheetView topLeftCell="A159" zoomScale="62" zoomScaleNormal="62" workbookViewId="0">
      <selection activeCell="B7" sqref="B1:I1048576"/>
    </sheetView>
  </sheetViews>
  <sheetFormatPr defaultRowHeight="15"/>
  <cols>
    <col min="1" max="1" width="64" style="274" bestFit="1" customWidth="1"/>
    <col min="2" max="4" width="16" style="274" bestFit="1" customWidth="1"/>
    <col min="5" max="6" width="16.7109375" style="274" bestFit="1" customWidth="1"/>
    <col min="7" max="8" width="16.28515625" style="274" bestFit="1" customWidth="1"/>
    <col min="9" max="9" width="16.7109375" style="274" bestFit="1" customWidth="1"/>
    <col min="10" max="11" width="9.140625" style="274"/>
    <col min="12" max="13" width="16" style="274" bestFit="1" customWidth="1"/>
    <col min="14" max="14" width="15.5703125" style="274" bestFit="1" customWidth="1"/>
    <col min="15" max="16384" width="9.140625" style="274"/>
  </cols>
  <sheetData>
    <row r="1" spans="1:9">
      <c r="A1" s="379" t="s">
        <v>472</v>
      </c>
      <c r="B1" s="379"/>
      <c r="C1" s="379"/>
      <c r="D1" s="379"/>
      <c r="E1" s="379"/>
      <c r="F1" s="379"/>
      <c r="G1" s="379"/>
      <c r="H1" s="379"/>
      <c r="I1" s="379"/>
    </row>
    <row r="2" spans="1:9">
      <c r="A2" s="379"/>
      <c r="B2" s="379"/>
      <c r="C2" s="379"/>
      <c r="D2" s="379"/>
      <c r="E2" s="379"/>
      <c r="F2" s="379"/>
      <c r="G2" s="379"/>
      <c r="H2" s="379"/>
      <c r="I2" s="379"/>
    </row>
    <row r="3" spans="1:9">
      <c r="A3" s="379"/>
      <c r="B3" s="379"/>
      <c r="C3" s="379"/>
      <c r="D3" s="379"/>
      <c r="E3" s="379"/>
      <c r="F3" s="379"/>
      <c r="G3" s="379"/>
      <c r="H3" s="379"/>
      <c r="I3" s="379"/>
    </row>
    <row r="4" spans="1:9">
      <c r="B4" s="380" t="s">
        <v>470</v>
      </c>
      <c r="C4" s="380"/>
      <c r="D4" s="380"/>
      <c r="E4" s="380"/>
      <c r="F4" s="380"/>
      <c r="G4" s="382" t="s">
        <v>471</v>
      </c>
      <c r="H4" s="382"/>
      <c r="I4" s="382"/>
    </row>
    <row r="5" spans="1:9">
      <c r="B5" s="380"/>
      <c r="C5" s="380"/>
      <c r="D5" s="380"/>
      <c r="E5" s="380"/>
      <c r="F5" s="380"/>
      <c r="G5" s="382"/>
      <c r="H5" s="382"/>
      <c r="I5" s="382"/>
    </row>
    <row r="6" spans="1:9" ht="15.75" thickBot="1">
      <c r="B6" s="381"/>
      <c r="C6" s="381"/>
      <c r="D6" s="381"/>
      <c r="E6" s="381"/>
      <c r="F6" s="381"/>
      <c r="G6" s="383"/>
      <c r="H6" s="383"/>
      <c r="I6" s="383"/>
    </row>
    <row r="7" spans="1:9" ht="15.75" thickBot="1">
      <c r="A7" s="315"/>
      <c r="B7" s="316">
        <v>2016</v>
      </c>
      <c r="C7" s="317">
        <v>2017</v>
      </c>
      <c r="D7" s="317">
        <v>2018</v>
      </c>
      <c r="E7" s="317">
        <v>2019</v>
      </c>
      <c r="F7" s="317">
        <v>2020</v>
      </c>
      <c r="G7" s="318">
        <v>2021</v>
      </c>
      <c r="H7" s="318">
        <v>2022</v>
      </c>
      <c r="I7" s="319">
        <v>2023</v>
      </c>
    </row>
    <row r="8" spans="1:9">
      <c r="A8" s="225" t="s">
        <v>155</v>
      </c>
      <c r="B8" s="320"/>
      <c r="C8" s="321"/>
      <c r="D8" s="321"/>
      <c r="E8" s="321"/>
      <c r="F8" s="321"/>
      <c r="G8" s="322"/>
      <c r="H8" s="322"/>
      <c r="I8" s="323"/>
    </row>
    <row r="9" spans="1:9">
      <c r="A9" s="225" t="s">
        <v>156</v>
      </c>
      <c r="B9" s="226"/>
      <c r="C9" s="324"/>
      <c r="D9" s="324"/>
      <c r="E9" s="324"/>
      <c r="F9" s="324"/>
      <c r="G9" s="325"/>
      <c r="H9" s="325"/>
      <c r="I9" s="326"/>
    </row>
    <row r="10" spans="1:9">
      <c r="A10" s="225" t="s">
        <v>157</v>
      </c>
      <c r="B10" s="297">
        <v>3000000000</v>
      </c>
      <c r="C10" s="298">
        <v>3000000000</v>
      </c>
      <c r="D10" s="298">
        <v>3000000000</v>
      </c>
      <c r="E10" s="298">
        <v>3000000000</v>
      </c>
      <c r="F10" s="298">
        <v>3000000000</v>
      </c>
      <c r="G10" s="307">
        <f>F10</f>
        <v>3000000000</v>
      </c>
      <c r="H10" s="307">
        <f t="shared" ref="H10:I10" si="0">G10</f>
        <v>3000000000</v>
      </c>
      <c r="I10" s="308">
        <f t="shared" si="0"/>
        <v>3000000000</v>
      </c>
    </row>
    <row r="11" spans="1:9">
      <c r="A11" s="225"/>
      <c r="B11" s="226"/>
      <c r="C11" s="324"/>
      <c r="D11" s="324"/>
      <c r="E11" s="324"/>
      <c r="F11" s="324"/>
      <c r="G11" s="325"/>
      <c r="H11" s="325"/>
      <c r="I11" s="326"/>
    </row>
    <row r="12" spans="1:9">
      <c r="A12" s="225" t="s">
        <v>158</v>
      </c>
      <c r="B12" s="226"/>
      <c r="C12" s="324"/>
      <c r="D12" s="324"/>
      <c r="E12" s="324"/>
      <c r="F12" s="324"/>
      <c r="G12" s="325"/>
      <c r="H12" s="325"/>
      <c r="I12" s="326"/>
    </row>
    <row r="13" spans="1:9">
      <c r="A13" s="295" t="s">
        <v>159</v>
      </c>
      <c r="B13" s="297">
        <v>207495850</v>
      </c>
      <c r="C13" s="298">
        <v>207495850</v>
      </c>
      <c r="D13" s="298">
        <v>207495850</v>
      </c>
      <c r="E13" s="298">
        <v>207495850</v>
      </c>
      <c r="F13" s="298">
        <v>207495850</v>
      </c>
      <c r="G13" s="300">
        <f t="shared" ref="G13:I15" si="1">F13</f>
        <v>207495850</v>
      </c>
      <c r="H13" s="300">
        <f t="shared" si="1"/>
        <v>207495850</v>
      </c>
      <c r="I13" s="301">
        <f t="shared" si="1"/>
        <v>207495850</v>
      </c>
    </row>
    <row r="14" spans="1:9">
      <c r="A14" s="295" t="s">
        <v>160</v>
      </c>
      <c r="B14" s="297">
        <v>112300000</v>
      </c>
      <c r="C14" s="298">
        <v>112300000</v>
      </c>
      <c r="D14" s="298">
        <v>112300000</v>
      </c>
      <c r="E14" s="298">
        <v>112300000</v>
      </c>
      <c r="F14" s="298">
        <v>112300000</v>
      </c>
      <c r="G14" s="300">
        <f t="shared" si="1"/>
        <v>112300000</v>
      </c>
      <c r="H14" s="300">
        <f t="shared" si="1"/>
        <v>112300000</v>
      </c>
      <c r="I14" s="301">
        <f t="shared" si="1"/>
        <v>112300000</v>
      </c>
    </row>
    <row r="15" spans="1:9">
      <c r="A15" s="295" t="s">
        <v>161</v>
      </c>
      <c r="B15" s="297">
        <v>1225291050</v>
      </c>
      <c r="C15" s="298">
        <v>1225291050</v>
      </c>
      <c r="D15" s="298">
        <v>1225291050</v>
      </c>
      <c r="E15" s="298">
        <v>1688817120</v>
      </c>
      <c r="F15" s="298">
        <v>1688817120</v>
      </c>
      <c r="G15" s="300">
        <f t="shared" si="1"/>
        <v>1688817120</v>
      </c>
      <c r="H15" s="300">
        <f t="shared" si="1"/>
        <v>1688817120</v>
      </c>
      <c r="I15" s="301">
        <f t="shared" si="1"/>
        <v>1688817120</v>
      </c>
    </row>
    <row r="16" spans="1:9">
      <c r="A16" s="295"/>
      <c r="B16" s="309">
        <v>1545086900</v>
      </c>
      <c r="C16" s="310">
        <v>1545086900</v>
      </c>
      <c r="D16" s="310">
        <v>1545086900</v>
      </c>
      <c r="E16" s="310">
        <f>SUM(E13:E15)</f>
        <v>2008612970</v>
      </c>
      <c r="F16" s="310">
        <f t="shared" ref="F16:I16" si="2">SUM(F13:F15)</f>
        <v>2008612970</v>
      </c>
      <c r="G16" s="311">
        <f t="shared" si="2"/>
        <v>2008612970</v>
      </c>
      <c r="H16" s="311">
        <f t="shared" si="2"/>
        <v>2008612970</v>
      </c>
      <c r="I16" s="312">
        <f t="shared" si="2"/>
        <v>2008612970</v>
      </c>
    </row>
    <row r="17" spans="1:9">
      <c r="A17" s="295"/>
      <c r="B17" s="297"/>
      <c r="C17" s="298"/>
      <c r="D17" s="298"/>
      <c r="E17" s="298"/>
      <c r="F17" s="298"/>
      <c r="G17" s="307"/>
      <c r="H17" s="307"/>
      <c r="I17" s="308"/>
    </row>
    <row r="18" spans="1:9">
      <c r="A18" s="295" t="s">
        <v>162</v>
      </c>
      <c r="B18" s="297"/>
      <c r="C18" s="298"/>
      <c r="D18" s="298"/>
      <c r="E18" s="298"/>
      <c r="F18" s="298"/>
      <c r="G18" s="307"/>
      <c r="H18" s="307"/>
      <c r="I18" s="308"/>
    </row>
    <row r="19" spans="1:9">
      <c r="A19" s="295" t="s">
        <v>163</v>
      </c>
      <c r="B19" s="297"/>
      <c r="C19" s="298"/>
      <c r="D19" s="298"/>
      <c r="E19" s="298"/>
      <c r="F19" s="298"/>
      <c r="G19" s="307"/>
      <c r="H19" s="307"/>
      <c r="I19" s="308"/>
    </row>
    <row r="20" spans="1:9">
      <c r="A20" s="295" t="s">
        <v>164</v>
      </c>
      <c r="B20" s="297">
        <v>49704951</v>
      </c>
      <c r="C20" s="298">
        <v>49704951</v>
      </c>
      <c r="D20" s="298">
        <v>49704951</v>
      </c>
      <c r="E20" s="298">
        <v>49704951</v>
      </c>
      <c r="F20" s="298">
        <v>49704951</v>
      </c>
      <c r="G20" s="307">
        <f>F20</f>
        <v>49704951</v>
      </c>
      <c r="H20" s="307">
        <f t="shared" ref="H20:I20" si="3">G20</f>
        <v>49704951</v>
      </c>
      <c r="I20" s="308">
        <f t="shared" si="3"/>
        <v>49704951</v>
      </c>
    </row>
    <row r="21" spans="1:9">
      <c r="A21" s="295" t="s">
        <v>165</v>
      </c>
      <c r="B21" s="297">
        <v>860714</v>
      </c>
      <c r="C21" s="298">
        <v>826514</v>
      </c>
      <c r="D21" s="298">
        <v>329114</v>
      </c>
      <c r="E21" s="298">
        <v>117914</v>
      </c>
      <c r="F21" s="306">
        <v>41314</v>
      </c>
      <c r="G21" s="307">
        <f>F21*(1+G22)</f>
        <v>15242.750508832931</v>
      </c>
      <c r="H21" s="307">
        <f t="shared" ref="H21:I21" si="4">G21*(1+H22)</f>
        <v>5475.195308885437</v>
      </c>
      <c r="I21" s="308">
        <f t="shared" si="4"/>
        <v>1968.3742374105097</v>
      </c>
    </row>
    <row r="22" spans="1:9">
      <c r="A22" s="225"/>
      <c r="B22" s="327"/>
      <c r="C22" s="227">
        <f>C21/B21-1</f>
        <v>-3.9734453023884786E-2</v>
      </c>
      <c r="D22" s="227">
        <f t="shared" ref="D22:E22" si="5">D21/C21-1</f>
        <v>-0.60180468812385512</v>
      </c>
      <c r="E22" s="227">
        <f t="shared" si="5"/>
        <v>-0.64172292883317028</v>
      </c>
      <c r="F22" s="227">
        <f>F21/E21-1</f>
        <v>-0.64962599860915582</v>
      </c>
      <c r="G22" s="228">
        <f>AVERAGE(D22:F22)</f>
        <v>-0.63105120518872704</v>
      </c>
      <c r="H22" s="228">
        <f t="shared" ref="H22:I22" si="6">AVERAGE(E22:G22)</f>
        <v>-0.64080004421035108</v>
      </c>
      <c r="I22" s="229">
        <f t="shared" si="6"/>
        <v>-0.64049241600274465</v>
      </c>
    </row>
    <row r="23" spans="1:9">
      <c r="A23" s="295" t="s">
        <v>166</v>
      </c>
      <c r="B23" s="226"/>
      <c r="C23" s="324"/>
      <c r="D23" s="324"/>
      <c r="E23" s="324"/>
      <c r="F23" s="324"/>
      <c r="G23" s="325"/>
      <c r="H23" s="325"/>
      <c r="I23" s="326"/>
    </row>
    <row r="24" spans="1:9">
      <c r="A24" s="295" t="s">
        <v>167</v>
      </c>
      <c r="B24" s="297">
        <v>70000000</v>
      </c>
      <c r="C24" s="298">
        <v>70000000</v>
      </c>
      <c r="D24" s="298">
        <v>70000000</v>
      </c>
      <c r="E24" s="298">
        <v>70000000</v>
      </c>
      <c r="F24" s="298">
        <v>70000000</v>
      </c>
      <c r="G24" s="300">
        <f>F24</f>
        <v>70000000</v>
      </c>
      <c r="H24" s="300">
        <f t="shared" ref="H24:I24" si="7">G24</f>
        <v>70000000</v>
      </c>
      <c r="I24" s="301">
        <f t="shared" si="7"/>
        <v>70000000</v>
      </c>
    </row>
    <row r="25" spans="1:9">
      <c r="A25" s="295"/>
      <c r="B25" s="309">
        <f>B20+B21+B24</f>
        <v>120565665</v>
      </c>
      <c r="C25" s="310">
        <f t="shared" ref="C25:I25" si="8">C20+C21+C24</f>
        <v>120531465</v>
      </c>
      <c r="D25" s="310">
        <f t="shared" si="8"/>
        <v>120034065</v>
      </c>
      <c r="E25" s="310">
        <f t="shared" si="8"/>
        <v>119822865</v>
      </c>
      <c r="F25" s="310">
        <f t="shared" si="8"/>
        <v>119746265</v>
      </c>
      <c r="G25" s="311">
        <f t="shared" si="8"/>
        <v>119720193.75050883</v>
      </c>
      <c r="H25" s="311">
        <f t="shared" si="8"/>
        <v>119710426.19530889</v>
      </c>
      <c r="I25" s="312">
        <f t="shared" si="8"/>
        <v>119706919.37423742</v>
      </c>
    </row>
    <row r="26" spans="1:9">
      <c r="A26" s="295"/>
      <c r="B26" s="297"/>
      <c r="C26" s="298"/>
      <c r="D26" s="298"/>
      <c r="E26" s="298"/>
      <c r="F26" s="328"/>
      <c r="G26" s="300"/>
      <c r="H26" s="300"/>
      <c r="I26" s="301"/>
    </row>
    <row r="27" spans="1:9">
      <c r="A27" s="295" t="s">
        <v>168</v>
      </c>
      <c r="B27" s="297"/>
      <c r="C27" s="298"/>
      <c r="D27" s="298"/>
      <c r="E27" s="298"/>
      <c r="F27" s="298"/>
      <c r="G27" s="307"/>
      <c r="H27" s="307"/>
      <c r="I27" s="308"/>
    </row>
    <row r="28" spans="1:9">
      <c r="A28" s="295" t="s">
        <v>169</v>
      </c>
      <c r="B28" s="297"/>
      <c r="C28" s="298"/>
      <c r="D28" s="298"/>
      <c r="E28" s="298"/>
      <c r="F28" s="298"/>
      <c r="G28" s="307"/>
      <c r="H28" s="307"/>
      <c r="I28" s="308"/>
    </row>
    <row r="29" spans="1:9">
      <c r="A29" s="295" t="s">
        <v>170</v>
      </c>
      <c r="B29" s="297"/>
      <c r="C29" s="298"/>
      <c r="D29" s="298"/>
      <c r="E29" s="298"/>
      <c r="F29" s="324"/>
      <c r="G29" s="325"/>
      <c r="H29" s="325"/>
      <c r="I29" s="308"/>
    </row>
    <row r="30" spans="1:9">
      <c r="A30" s="295" t="s">
        <v>171</v>
      </c>
      <c r="B30" s="297">
        <v>497368420</v>
      </c>
      <c r="C30" s="298">
        <v>355263156</v>
      </c>
      <c r="D30" s="298">
        <v>213157892</v>
      </c>
      <c r="E30" s="298">
        <v>71052628</v>
      </c>
      <c r="F30" s="298">
        <v>0</v>
      </c>
      <c r="G30" s="300">
        <f>F30</f>
        <v>0</v>
      </c>
      <c r="H30" s="300">
        <f t="shared" ref="H30:I30" si="9">G30</f>
        <v>0</v>
      </c>
      <c r="I30" s="301">
        <f t="shared" si="9"/>
        <v>0</v>
      </c>
    </row>
    <row r="31" spans="1:9">
      <c r="A31" s="295" t="s">
        <v>172</v>
      </c>
      <c r="B31" s="297">
        <v>497368420</v>
      </c>
      <c r="C31" s="298">
        <v>355263156</v>
      </c>
      <c r="D31" s="298">
        <v>213157892</v>
      </c>
      <c r="E31" s="298">
        <v>71052628</v>
      </c>
      <c r="F31" s="298">
        <v>0</v>
      </c>
      <c r="G31" s="300">
        <f t="shared" ref="G31:I33" si="10">F31</f>
        <v>0</v>
      </c>
      <c r="H31" s="300">
        <f t="shared" si="10"/>
        <v>0</v>
      </c>
      <c r="I31" s="301">
        <f t="shared" si="10"/>
        <v>0</v>
      </c>
    </row>
    <row r="32" spans="1:9">
      <c r="A32" s="295"/>
      <c r="B32" s="329">
        <f t="shared" ref="B32:D32" si="11">SUM(B30:B31)</f>
        <v>994736840</v>
      </c>
      <c r="C32" s="328">
        <f t="shared" si="11"/>
        <v>710526312</v>
      </c>
      <c r="D32" s="328">
        <f t="shared" si="11"/>
        <v>426315784</v>
      </c>
      <c r="E32" s="328">
        <f>SUM(E30:E31)</f>
        <v>142105256</v>
      </c>
      <c r="F32" s="328">
        <v>0</v>
      </c>
      <c r="G32" s="300">
        <f t="shared" si="10"/>
        <v>0</v>
      </c>
      <c r="H32" s="300">
        <f t="shared" si="10"/>
        <v>0</v>
      </c>
      <c r="I32" s="301">
        <f t="shared" si="10"/>
        <v>0</v>
      </c>
    </row>
    <row r="33" spans="1:14">
      <c r="A33" s="295" t="s">
        <v>173</v>
      </c>
      <c r="B33" s="297">
        <v>284210528</v>
      </c>
      <c r="C33" s="298">
        <v>284210528</v>
      </c>
      <c r="D33" s="298">
        <v>284210528</v>
      </c>
      <c r="E33" s="298">
        <v>142105256</v>
      </c>
      <c r="F33" s="298">
        <v>0</v>
      </c>
      <c r="G33" s="300">
        <f t="shared" si="10"/>
        <v>0</v>
      </c>
      <c r="H33" s="300">
        <f t="shared" si="10"/>
        <v>0</v>
      </c>
      <c r="I33" s="301">
        <f t="shared" si="10"/>
        <v>0</v>
      </c>
    </row>
    <row r="34" spans="1:14">
      <c r="A34" s="295"/>
      <c r="B34" s="309">
        <f t="shared" ref="B34:D34" si="12">B32-B33</f>
        <v>710526312</v>
      </c>
      <c r="C34" s="310">
        <f t="shared" si="12"/>
        <v>426315784</v>
      </c>
      <c r="D34" s="310">
        <f t="shared" si="12"/>
        <v>142105256</v>
      </c>
      <c r="E34" s="310">
        <f>E32-E33</f>
        <v>0</v>
      </c>
      <c r="F34" s="310">
        <f t="shared" ref="F34:I34" si="13">F32-F33</f>
        <v>0</v>
      </c>
      <c r="G34" s="311">
        <f t="shared" si="13"/>
        <v>0</v>
      </c>
      <c r="H34" s="311">
        <f t="shared" si="13"/>
        <v>0</v>
      </c>
      <c r="I34" s="312">
        <f t="shared" si="13"/>
        <v>0</v>
      </c>
    </row>
    <row r="35" spans="1:14">
      <c r="A35" s="295" t="s">
        <v>174</v>
      </c>
      <c r="B35" s="297"/>
      <c r="C35" s="298"/>
      <c r="D35" s="298"/>
      <c r="E35" s="298"/>
      <c r="F35" s="324"/>
      <c r="G35" s="325"/>
      <c r="H35" s="325"/>
      <c r="I35" s="326"/>
    </row>
    <row r="36" spans="1:14">
      <c r="A36" s="295" t="s">
        <v>175</v>
      </c>
      <c r="B36" s="297">
        <v>0</v>
      </c>
      <c r="C36" s="298">
        <v>0</v>
      </c>
      <c r="D36" s="298">
        <v>0</v>
      </c>
      <c r="E36" s="298">
        <v>2106215582</v>
      </c>
      <c r="F36" s="306">
        <v>2289949713</v>
      </c>
      <c r="G36" s="307">
        <f>'Finance Schedule'!I12</f>
        <v>27231.199999999997</v>
      </c>
      <c r="H36" s="307">
        <f>'Finance Schedule'!J12</f>
        <v>28595.439999999999</v>
      </c>
      <c r="I36" s="308">
        <f>'Finance Schedule'!K12</f>
        <v>29619.327999999998</v>
      </c>
    </row>
    <row r="37" spans="1:14" hidden="1">
      <c r="A37" s="295" t="s">
        <v>176</v>
      </c>
      <c r="B37" s="297">
        <v>0</v>
      </c>
      <c r="C37" s="298">
        <v>0</v>
      </c>
      <c r="D37" s="298">
        <v>0</v>
      </c>
      <c r="E37" s="298">
        <v>1304867135</v>
      </c>
      <c r="F37" s="306">
        <v>1160980816</v>
      </c>
      <c r="G37" s="307">
        <f>'[1]Finance schedule'!G7</f>
        <v>1099876562.5263157</v>
      </c>
      <c r="H37" s="307">
        <f>'[1]Finance schedule'!H7</f>
        <v>855459548.63157892</v>
      </c>
      <c r="I37" s="308">
        <f>'[1]Finance schedule'!I7</f>
        <v>611042534.73684216</v>
      </c>
    </row>
    <row r="38" spans="1:14">
      <c r="A38" s="295"/>
      <c r="B38" s="297">
        <v>0</v>
      </c>
      <c r="C38" s="298">
        <v>0</v>
      </c>
      <c r="D38" s="298">
        <v>0</v>
      </c>
      <c r="E38" s="298">
        <f>SUM(E36:E37)</f>
        <v>3411082717</v>
      </c>
      <c r="F38" s="298">
        <f>SUM(F36:F37)</f>
        <v>3450930529</v>
      </c>
      <c r="G38" s="307">
        <f>SUM(G36:G37)</f>
        <v>1099903793.7263157</v>
      </c>
      <c r="H38" s="307">
        <f>SUM(H36:H37)</f>
        <v>855488144.07157898</v>
      </c>
      <c r="I38" s="308">
        <f>SUM(I36:I37)</f>
        <v>611072154.0648421</v>
      </c>
    </row>
    <row r="39" spans="1:14">
      <c r="A39" s="295" t="s">
        <v>173</v>
      </c>
      <c r="B39" s="297">
        <v>0</v>
      </c>
      <c r="C39" s="298">
        <v>0</v>
      </c>
      <c r="D39" s="298">
        <v>0</v>
      </c>
      <c r="E39" s="298">
        <v>862115396</v>
      </c>
      <c r="F39" s="306">
        <v>222875244</v>
      </c>
      <c r="G39" s="307">
        <v>1034358169</v>
      </c>
      <c r="H39" s="307">
        <v>1034358169</v>
      </c>
      <c r="I39" s="308">
        <v>1034358169</v>
      </c>
      <c r="L39" s="307"/>
      <c r="M39" s="307"/>
      <c r="N39" s="307"/>
    </row>
    <row r="40" spans="1:14">
      <c r="A40" s="225" t="s">
        <v>177</v>
      </c>
      <c r="B40" s="297">
        <v>0</v>
      </c>
      <c r="C40" s="298">
        <v>0</v>
      </c>
      <c r="D40" s="298">
        <v>0</v>
      </c>
      <c r="E40" s="298">
        <v>20207270</v>
      </c>
      <c r="F40" s="306">
        <v>20958540</v>
      </c>
      <c r="G40" s="307">
        <v>20582905</v>
      </c>
      <c r="H40" s="307">
        <v>20770723</v>
      </c>
      <c r="I40" s="308">
        <v>20676814</v>
      </c>
    </row>
    <row r="41" spans="1:14">
      <c r="A41" s="295"/>
      <c r="B41" s="309">
        <v>0</v>
      </c>
      <c r="C41" s="310">
        <v>0</v>
      </c>
      <c r="D41" s="310">
        <v>0</v>
      </c>
      <c r="E41" s="310">
        <f>E38-E39-E40</f>
        <v>2528760051</v>
      </c>
      <c r="F41" s="310">
        <f t="shared" ref="F41" si="14">F38-F39-F40</f>
        <v>3207096745</v>
      </c>
      <c r="G41" s="311">
        <f>G38-G39-G40</f>
        <v>44962719.726315737</v>
      </c>
      <c r="H41" s="311">
        <f>H38-H39-H40</f>
        <v>-199640747.92842102</v>
      </c>
      <c r="I41" s="312">
        <f>I38-I39-I40</f>
        <v>-443962828.9351579</v>
      </c>
    </row>
    <row r="42" spans="1:14" hidden="1">
      <c r="A42" s="295" t="s">
        <v>178</v>
      </c>
      <c r="B42" s="297"/>
      <c r="C42" s="298"/>
      <c r="D42" s="298"/>
      <c r="E42" s="298"/>
      <c r="F42" s="298"/>
      <c r="G42" s="307"/>
      <c r="H42" s="307"/>
      <c r="I42" s="308"/>
    </row>
    <row r="43" spans="1:14" hidden="1">
      <c r="A43" s="295" t="s">
        <v>176</v>
      </c>
      <c r="B43" s="297">
        <v>0</v>
      </c>
      <c r="C43" s="298">
        <v>0</v>
      </c>
      <c r="D43" s="298">
        <v>0</v>
      </c>
      <c r="E43" s="298">
        <v>0</v>
      </c>
      <c r="F43" s="306">
        <v>102484312</v>
      </c>
      <c r="G43" s="307">
        <f>'[1]Finance schedule'!G16</f>
        <v>146250000</v>
      </c>
      <c r="H43" s="307">
        <f>'[1]Finance schedule'!H16</f>
        <v>48750000</v>
      </c>
      <c r="I43" s="308">
        <f>'[1]Finance schedule'!I16</f>
        <v>0</v>
      </c>
    </row>
    <row r="44" spans="1:14">
      <c r="A44" s="295" t="s">
        <v>179</v>
      </c>
      <c r="B44" s="297">
        <v>0</v>
      </c>
      <c r="C44" s="298">
        <v>0</v>
      </c>
      <c r="D44" s="298">
        <v>0</v>
      </c>
      <c r="E44" s="298">
        <v>0</v>
      </c>
      <c r="F44" s="306">
        <v>25621078</v>
      </c>
      <c r="G44" s="307">
        <f>'[1]Finance schedule'!G17</f>
        <v>97500000</v>
      </c>
      <c r="H44" s="307">
        <f>'[1]Finance schedule'!H17</f>
        <v>48750000</v>
      </c>
      <c r="I44" s="308">
        <f>'[1]Finance schedule'!I17</f>
        <v>0</v>
      </c>
    </row>
    <row r="45" spans="1:14">
      <c r="A45" s="295"/>
      <c r="B45" s="330">
        <f t="shared" ref="B45:E45" si="15">B43-B44</f>
        <v>0</v>
      </c>
      <c r="C45" s="331">
        <f t="shared" si="15"/>
        <v>0</v>
      </c>
      <c r="D45" s="331">
        <f t="shared" si="15"/>
        <v>0</v>
      </c>
      <c r="E45" s="331">
        <f t="shared" si="15"/>
        <v>0</v>
      </c>
      <c r="F45" s="310">
        <f>F43-F44</f>
        <v>76863234</v>
      </c>
      <c r="G45" s="311">
        <f t="shared" ref="G45:I45" si="16">G43-G44</f>
        <v>48750000</v>
      </c>
      <c r="H45" s="311">
        <f t="shared" si="16"/>
        <v>0</v>
      </c>
      <c r="I45" s="312">
        <f t="shared" si="16"/>
        <v>0</v>
      </c>
    </row>
    <row r="46" spans="1:14">
      <c r="A46" s="295"/>
      <c r="B46" s="309">
        <f t="shared" ref="B46:I46" si="17">B34+B41+B45</f>
        <v>710526312</v>
      </c>
      <c r="C46" s="310">
        <f t="shared" si="17"/>
        <v>426315784</v>
      </c>
      <c r="D46" s="310">
        <f t="shared" si="17"/>
        <v>142105256</v>
      </c>
      <c r="E46" s="310">
        <f t="shared" si="17"/>
        <v>2528760051</v>
      </c>
      <c r="F46" s="310">
        <f t="shared" si="17"/>
        <v>3283959979</v>
      </c>
      <c r="G46" s="311">
        <f t="shared" si="17"/>
        <v>93712719.726315737</v>
      </c>
      <c r="H46" s="311">
        <f t="shared" si="17"/>
        <v>-199640747.92842102</v>
      </c>
      <c r="I46" s="312">
        <f t="shared" si="17"/>
        <v>-443962828.9351579</v>
      </c>
    </row>
    <row r="47" spans="1:14">
      <c r="A47" s="295"/>
      <c r="B47" s="297"/>
      <c r="C47" s="298"/>
      <c r="D47" s="298"/>
      <c r="E47" s="298"/>
      <c r="F47" s="306"/>
      <c r="G47" s="325"/>
      <c r="H47" s="325"/>
      <c r="I47" s="326"/>
    </row>
    <row r="48" spans="1:14">
      <c r="A48" s="295" t="s">
        <v>180</v>
      </c>
      <c r="B48" s="297"/>
      <c r="C48" s="298"/>
      <c r="D48" s="298"/>
      <c r="E48" s="303"/>
      <c r="F48" s="303"/>
      <c r="G48" s="325"/>
      <c r="H48" s="325"/>
      <c r="I48" s="326"/>
    </row>
    <row r="49" spans="1:9">
      <c r="A49" s="295" t="s">
        <v>181</v>
      </c>
      <c r="B49" s="297">
        <v>0</v>
      </c>
      <c r="C49" s="298">
        <v>0</v>
      </c>
      <c r="D49" s="298">
        <v>0</v>
      </c>
      <c r="E49" s="298">
        <v>0</v>
      </c>
      <c r="F49" s="306">
        <v>20207270</v>
      </c>
      <c r="G49" s="307">
        <f>F52</f>
        <v>20958540</v>
      </c>
      <c r="H49" s="307">
        <f t="shared" ref="H49:I49" si="18">G52</f>
        <v>20958540</v>
      </c>
      <c r="I49" s="308">
        <f t="shared" si="18"/>
        <v>20958540</v>
      </c>
    </row>
    <row r="50" spans="1:9">
      <c r="A50" s="295" t="s">
        <v>182</v>
      </c>
      <c r="B50" s="297">
        <v>0</v>
      </c>
      <c r="C50" s="298">
        <v>0</v>
      </c>
      <c r="D50" s="298">
        <v>0</v>
      </c>
      <c r="E50" s="298">
        <v>22525046</v>
      </c>
      <c r="F50" s="306">
        <v>4732248</v>
      </c>
      <c r="G50" s="307">
        <v>0</v>
      </c>
      <c r="H50" s="307">
        <f>G50</f>
        <v>0</v>
      </c>
      <c r="I50" s="308">
        <v>0</v>
      </c>
    </row>
    <row r="51" spans="1:9">
      <c r="A51" s="295" t="s">
        <v>183</v>
      </c>
      <c r="B51" s="297">
        <v>0</v>
      </c>
      <c r="C51" s="298">
        <v>0</v>
      </c>
      <c r="D51" s="298">
        <v>0</v>
      </c>
      <c r="E51" s="298">
        <v>2317776</v>
      </c>
      <c r="F51" s="306">
        <v>3980978</v>
      </c>
      <c r="G51" s="307">
        <v>0</v>
      </c>
      <c r="H51" s="307">
        <v>0</v>
      </c>
      <c r="I51" s="308">
        <v>0</v>
      </c>
    </row>
    <row r="52" spans="1:9">
      <c r="A52" s="295" t="s">
        <v>184</v>
      </c>
      <c r="B52" s="309">
        <v>0</v>
      </c>
      <c r="C52" s="310">
        <v>0</v>
      </c>
      <c r="D52" s="310">
        <v>0</v>
      </c>
      <c r="E52" s="310">
        <f>E49+E50-E51</f>
        <v>20207270</v>
      </c>
      <c r="F52" s="310">
        <f>F49+F50-F51</f>
        <v>20958540</v>
      </c>
      <c r="G52" s="311">
        <f t="shared" ref="G52:I52" si="19">G49+G50-G51</f>
        <v>20958540</v>
      </c>
      <c r="H52" s="311">
        <f t="shared" si="19"/>
        <v>20958540</v>
      </c>
      <c r="I52" s="312">
        <f t="shared" si="19"/>
        <v>20958540</v>
      </c>
    </row>
    <row r="53" spans="1:9">
      <c r="A53" s="295"/>
      <c r="B53" s="226"/>
      <c r="C53" s="298"/>
      <c r="D53" s="298"/>
      <c r="E53" s="298"/>
      <c r="F53" s="324"/>
      <c r="G53" s="325"/>
      <c r="H53" s="325"/>
      <c r="I53" s="326"/>
    </row>
    <row r="54" spans="1:9">
      <c r="A54" s="225" t="s">
        <v>185</v>
      </c>
      <c r="B54" s="297"/>
      <c r="C54" s="298"/>
      <c r="D54" s="298"/>
      <c r="E54" s="298"/>
      <c r="F54" s="298"/>
      <c r="G54" s="307"/>
      <c r="H54" s="307"/>
      <c r="I54" s="308"/>
    </row>
    <row r="55" spans="1:9">
      <c r="A55" s="295" t="s">
        <v>186</v>
      </c>
      <c r="B55" s="297">
        <v>2036100</v>
      </c>
      <c r="C55" s="298">
        <v>2036100</v>
      </c>
      <c r="D55" s="298">
        <v>2036100</v>
      </c>
      <c r="E55" s="298">
        <v>2036100</v>
      </c>
      <c r="F55" s="306">
        <v>2036100</v>
      </c>
      <c r="G55" s="307">
        <f>F55</f>
        <v>2036100</v>
      </c>
      <c r="H55" s="307">
        <f t="shared" ref="H55:I55" si="20">G55</f>
        <v>2036100</v>
      </c>
      <c r="I55" s="308">
        <f t="shared" si="20"/>
        <v>2036100</v>
      </c>
    </row>
    <row r="56" spans="1:9">
      <c r="A56" s="295" t="s">
        <v>187</v>
      </c>
      <c r="B56" s="297">
        <v>0</v>
      </c>
      <c r="C56" s="298">
        <v>0</v>
      </c>
      <c r="D56" s="298">
        <v>0</v>
      </c>
      <c r="E56" s="298">
        <v>104857705</v>
      </c>
      <c r="F56" s="298">
        <v>0</v>
      </c>
      <c r="G56" s="307">
        <v>0</v>
      </c>
      <c r="H56" s="307">
        <v>0</v>
      </c>
      <c r="I56" s="308">
        <v>0</v>
      </c>
    </row>
    <row r="57" spans="1:9">
      <c r="A57" s="295"/>
      <c r="B57" s="309">
        <f t="shared" ref="B57:D57" si="21">SUM(B55:B56)</f>
        <v>2036100</v>
      </c>
      <c r="C57" s="310">
        <f t="shared" si="21"/>
        <v>2036100</v>
      </c>
      <c r="D57" s="310">
        <f t="shared" si="21"/>
        <v>2036100</v>
      </c>
      <c r="E57" s="310">
        <f>SUM(E55:E56)</f>
        <v>106893805</v>
      </c>
      <c r="F57" s="310">
        <f t="shared" ref="F57:I57" si="22">SUM(F55:F56)</f>
        <v>2036100</v>
      </c>
      <c r="G57" s="311">
        <f t="shared" si="22"/>
        <v>2036100</v>
      </c>
      <c r="H57" s="311">
        <f t="shared" si="22"/>
        <v>2036100</v>
      </c>
      <c r="I57" s="312">
        <f t="shared" si="22"/>
        <v>2036100</v>
      </c>
    </row>
    <row r="58" spans="1:9">
      <c r="A58" s="295"/>
      <c r="B58" s="226"/>
      <c r="C58" s="298"/>
      <c r="D58" s="298"/>
      <c r="E58" s="298"/>
      <c r="F58" s="324"/>
      <c r="G58" s="325"/>
      <c r="H58" s="325"/>
      <c r="I58" s="326"/>
    </row>
    <row r="59" spans="1:9">
      <c r="A59" s="225" t="s">
        <v>188</v>
      </c>
      <c r="B59" s="297"/>
      <c r="C59" s="298"/>
      <c r="D59" s="298"/>
      <c r="E59" s="298"/>
      <c r="F59" s="298"/>
      <c r="G59" s="307"/>
      <c r="H59" s="307"/>
      <c r="I59" s="308"/>
    </row>
    <row r="60" spans="1:9">
      <c r="A60" s="225" t="s">
        <v>189</v>
      </c>
      <c r="B60" s="297">
        <v>1589847454</v>
      </c>
      <c r="C60" s="298">
        <v>1660261314</v>
      </c>
      <c r="D60" s="298">
        <v>1499928327</v>
      </c>
      <c r="E60" s="298">
        <v>1596244399</v>
      </c>
      <c r="F60" s="298">
        <v>1461247800</v>
      </c>
      <c r="G60" s="300">
        <f>AVERAGE(B60:F60)</f>
        <v>1561505858.8</v>
      </c>
      <c r="H60" s="300">
        <f t="shared" ref="H60:I60" si="23">AVERAGE(C60:G60)</f>
        <v>1555837539.76</v>
      </c>
      <c r="I60" s="301">
        <f t="shared" si="23"/>
        <v>1534952784.9120002</v>
      </c>
    </row>
    <row r="61" spans="1:9">
      <c r="A61" s="295" t="s">
        <v>190</v>
      </c>
      <c r="B61" s="297"/>
      <c r="C61" s="298"/>
      <c r="D61" s="298"/>
      <c r="E61" s="298"/>
      <c r="F61" s="298"/>
      <c r="G61" s="307"/>
      <c r="H61" s="307"/>
      <c r="I61" s="308"/>
    </row>
    <row r="62" spans="1:9">
      <c r="A62" s="332" t="s">
        <v>44</v>
      </c>
      <c r="B62" s="297">
        <v>9416950</v>
      </c>
      <c r="C62" s="298">
        <v>10859150</v>
      </c>
      <c r="D62" s="298">
        <v>13616897</v>
      </c>
      <c r="E62" s="298">
        <v>16495508</v>
      </c>
      <c r="F62" s="328">
        <f>E65</f>
        <v>15256864</v>
      </c>
      <c r="G62" s="300">
        <f>AVERAGE(B62:F62)</f>
        <v>13129073.800000001</v>
      </c>
      <c r="H62" s="300">
        <f t="shared" ref="H62:I64" si="24">AVERAGE(C62:G62)</f>
        <v>13871498.559999999</v>
      </c>
      <c r="I62" s="301">
        <f t="shared" si="24"/>
        <v>14473968.272</v>
      </c>
    </row>
    <row r="63" spans="1:9">
      <c r="A63" s="332" t="s">
        <v>191</v>
      </c>
      <c r="B63" s="297">
        <v>3159377</v>
      </c>
      <c r="C63" s="298">
        <v>5155679</v>
      </c>
      <c r="D63" s="298">
        <v>4563905</v>
      </c>
      <c r="E63" s="298">
        <v>897978</v>
      </c>
      <c r="F63" s="306">
        <v>8895107</v>
      </c>
      <c r="G63" s="300">
        <f>AVERAGE(B63:F63)</f>
        <v>4534409.2</v>
      </c>
      <c r="H63" s="300">
        <f t="shared" si="24"/>
        <v>4809415.6399999997</v>
      </c>
      <c r="I63" s="301">
        <f t="shared" si="24"/>
        <v>4740162.9680000003</v>
      </c>
    </row>
    <row r="64" spans="1:9">
      <c r="A64" s="332" t="s">
        <v>192</v>
      </c>
      <c r="B64" s="297">
        <v>1717177</v>
      </c>
      <c r="C64" s="298">
        <v>2397932</v>
      </c>
      <c r="D64" s="298">
        <v>1685294</v>
      </c>
      <c r="E64" s="298">
        <v>2136622</v>
      </c>
      <c r="F64" s="306">
        <v>2910615</v>
      </c>
      <c r="G64" s="300">
        <f>AVERAGE(B64:F64)</f>
        <v>2169528</v>
      </c>
      <c r="H64" s="300">
        <f t="shared" si="24"/>
        <v>2259998.2000000002</v>
      </c>
      <c r="I64" s="301">
        <f t="shared" si="24"/>
        <v>2232411.44</v>
      </c>
    </row>
    <row r="65" spans="1:9">
      <c r="A65" s="332" t="s">
        <v>151</v>
      </c>
      <c r="B65" s="309">
        <f t="shared" ref="B65:D65" si="25">B62+B63-B64</f>
        <v>10859150</v>
      </c>
      <c r="C65" s="310">
        <f t="shared" si="25"/>
        <v>13616897</v>
      </c>
      <c r="D65" s="310">
        <f t="shared" si="25"/>
        <v>16495508</v>
      </c>
      <c r="E65" s="310">
        <f>E62+E63-E64</f>
        <v>15256864</v>
      </c>
      <c r="F65" s="310">
        <f>F62+F63-F64</f>
        <v>21241356</v>
      </c>
      <c r="G65" s="311">
        <f t="shared" ref="G65:I65" si="26">G62+G63-G64</f>
        <v>15493955</v>
      </c>
      <c r="H65" s="311">
        <f t="shared" si="26"/>
        <v>16420916</v>
      </c>
      <c r="I65" s="312">
        <f t="shared" si="26"/>
        <v>16981719.800000001</v>
      </c>
    </row>
    <row r="66" spans="1:9">
      <c r="A66" s="332"/>
      <c r="B66" s="297"/>
      <c r="C66" s="298"/>
      <c r="D66" s="298"/>
      <c r="E66" s="298"/>
      <c r="F66" s="298"/>
      <c r="G66" s="307"/>
      <c r="H66" s="307"/>
      <c r="I66" s="308"/>
    </row>
    <row r="67" spans="1:9">
      <c r="A67" s="333" t="s">
        <v>193</v>
      </c>
      <c r="B67" s="296"/>
      <c r="C67" s="227"/>
      <c r="D67" s="227"/>
      <c r="E67" s="227"/>
      <c r="F67" s="227"/>
      <c r="G67" s="307"/>
      <c r="H67" s="307"/>
      <c r="I67" s="308"/>
    </row>
    <row r="68" spans="1:9">
      <c r="A68" s="295" t="s">
        <v>194</v>
      </c>
      <c r="B68" s="297">
        <v>550792058</v>
      </c>
      <c r="C68" s="298">
        <v>94370965</v>
      </c>
      <c r="D68" s="298">
        <v>263481667</v>
      </c>
      <c r="E68" s="298">
        <v>257486897</v>
      </c>
      <c r="F68" s="306">
        <v>724716328</v>
      </c>
      <c r="G68" s="307">
        <f ca="1">G69*COGS!G27</f>
        <v>619990080.69571972</v>
      </c>
      <c r="H68" s="307">
        <f ca="1">H69*COGS!H27</f>
        <v>616136958.59818423</v>
      </c>
      <c r="I68" s="308">
        <f ca="1">I69*COGS!I27</f>
        <v>831423409.68250895</v>
      </c>
    </row>
    <row r="69" spans="1:9">
      <c r="A69" s="295"/>
      <c r="B69" s="227">
        <f>B68/COGS!B23</f>
        <v>7.0740667496341739E-2</v>
      </c>
      <c r="C69" s="227">
        <f>C68/COGS!C23</f>
        <v>1.1704271647003653E-2</v>
      </c>
      <c r="D69" s="227">
        <f>D68/COGS!D23</f>
        <v>2.9648354901428534E-2</v>
      </c>
      <c r="E69" s="227">
        <f>E68/COGS!E23</f>
        <v>2.1910457336903572E-2</v>
      </c>
      <c r="F69" s="227">
        <f>F68/COGS!F23</f>
        <v>5.9396121858867126E-2</v>
      </c>
      <c r="G69" s="313">
        <f ca="1">G68/COGS!G23</f>
        <v>1.1704271647003653E-2</v>
      </c>
      <c r="H69" s="313">
        <f ca="1">H68/COGS!H23</f>
        <v>7.0740667496341739E-2</v>
      </c>
      <c r="I69" s="314">
        <f ca="1">I68/COGS!I23</f>
        <v>1.1704271647003653E-2</v>
      </c>
    </row>
    <row r="70" spans="1:9">
      <c r="A70" s="295" t="s">
        <v>195</v>
      </c>
      <c r="B70" s="297">
        <v>0</v>
      </c>
      <c r="C70" s="298">
        <v>139285860</v>
      </c>
      <c r="D70" s="298">
        <v>869647071</v>
      </c>
      <c r="E70" s="298">
        <v>26502151</v>
      </c>
      <c r="F70" s="306">
        <v>366584643</v>
      </c>
      <c r="G70" s="307">
        <f ca="1">G71*COGS!G27</f>
        <v>478182072.55019403</v>
      </c>
      <c r="H70" s="307">
        <f ca="1">H71*COGS!H27</f>
        <v>574221049.42889988</v>
      </c>
      <c r="I70" s="308">
        <f ca="1">I71*COGS!I27</f>
        <v>688737610.08928013</v>
      </c>
    </row>
    <row r="71" spans="1:9">
      <c r="A71" s="295"/>
      <c r="B71" s="296">
        <f>B70/COGS!B23</f>
        <v>0</v>
      </c>
      <c r="C71" s="227">
        <f>C70/COGS!C23</f>
        <v>1.7274799955966542E-2</v>
      </c>
      <c r="D71" s="227">
        <f>D70/COGS!D23</f>
        <v>9.7857301775746766E-2</v>
      </c>
      <c r="E71" s="227">
        <f>E70/COGS!E23</f>
        <v>2.2551603813132145E-3</v>
      </c>
      <c r="F71" s="227">
        <f>F70/COGS!F23</f>
        <v>3.0044453651687703E-2</v>
      </c>
      <c r="G71" s="228">
        <f ca="1">G70/COGS!G23</f>
        <v>0</v>
      </c>
      <c r="H71" s="228">
        <f ca="1">H70/COGS!H23</f>
        <v>0</v>
      </c>
      <c r="I71" s="229">
        <f ca="1">I70/COGS!I23</f>
        <v>0</v>
      </c>
    </row>
    <row r="72" spans="1:9">
      <c r="A72" s="295" t="s">
        <v>196</v>
      </c>
      <c r="B72" s="297">
        <v>11460519</v>
      </c>
      <c r="C72" s="298">
        <v>12006222</v>
      </c>
      <c r="D72" s="298">
        <v>89014057</v>
      </c>
      <c r="E72" s="298">
        <v>344779736</v>
      </c>
      <c r="F72" s="306">
        <v>187147806</v>
      </c>
      <c r="G72" s="307">
        <f ca="1">G73*COGS!G27</f>
        <v>289036626.22786319</v>
      </c>
      <c r="H72" s="307">
        <f ca="1">H73*COGS!H27</f>
        <v>400826758.00026757</v>
      </c>
      <c r="I72" s="308">
        <f ca="1">I73*COGS!I27</f>
        <v>416227519.89638174</v>
      </c>
    </row>
    <row r="73" spans="1:9">
      <c r="A73" s="295"/>
      <c r="B73" s="296">
        <f>B72/COGS!B23</f>
        <v>1.4719252976492752E-3</v>
      </c>
      <c r="C73" s="227">
        <f>C72/COGS!C23</f>
        <v>1.4890605785606991E-3</v>
      </c>
      <c r="D73" s="227">
        <f>D72/COGS!D23</f>
        <v>1.0016333899815462E-2</v>
      </c>
      <c r="E73" s="227">
        <f>E72/COGS!E23</f>
        <v>2.9338509199001595E-2</v>
      </c>
      <c r="F73" s="227">
        <f>F72/COGS!F23</f>
        <v>1.5338213672475204E-2</v>
      </c>
      <c r="G73" s="313">
        <f ca="1">G72/COGS!G23</f>
        <v>1.4719252976492752E-3</v>
      </c>
      <c r="H73" s="313">
        <f ca="1">H72/COGS!H23</f>
        <v>1.4719252976492752E-3</v>
      </c>
      <c r="I73" s="314">
        <f ca="1">I72/COGS!I23</f>
        <v>1.4719252976492752E-3</v>
      </c>
    </row>
    <row r="74" spans="1:9">
      <c r="A74" s="295" t="s">
        <v>197</v>
      </c>
      <c r="B74" s="297">
        <v>160777877</v>
      </c>
      <c r="C74" s="298">
        <v>140009609</v>
      </c>
      <c r="D74" s="298">
        <v>228261229</v>
      </c>
      <c r="E74" s="298">
        <v>304745017</v>
      </c>
      <c r="F74" s="306">
        <v>235383171</v>
      </c>
      <c r="G74" s="300">
        <f>AVERAGE(B74:F74)</f>
        <v>213835380.59999999</v>
      </c>
      <c r="H74" s="300">
        <f t="shared" ref="H74:I74" si="27">AVERAGE(C74:G74)</f>
        <v>224446881.31999999</v>
      </c>
      <c r="I74" s="301">
        <f t="shared" si="27"/>
        <v>241334335.78400001</v>
      </c>
    </row>
    <row r="75" spans="1:9">
      <c r="A75" s="295" t="s">
        <v>198</v>
      </c>
      <c r="B75" s="297">
        <v>106777914</v>
      </c>
      <c r="C75" s="298">
        <v>82688697</v>
      </c>
      <c r="D75" s="298">
        <v>53355028</v>
      </c>
      <c r="E75" s="298">
        <v>0</v>
      </c>
      <c r="F75" s="334">
        <v>0</v>
      </c>
      <c r="G75" s="335">
        <f>F75</f>
        <v>0</v>
      </c>
      <c r="H75" s="335">
        <f t="shared" ref="H75:I75" si="28">G75</f>
        <v>0</v>
      </c>
      <c r="I75" s="336">
        <f t="shared" si="28"/>
        <v>0</v>
      </c>
    </row>
    <row r="76" spans="1:9">
      <c r="A76" s="295" t="s">
        <v>199</v>
      </c>
      <c r="B76" s="297">
        <v>865823887</v>
      </c>
      <c r="C76" s="298">
        <v>1107484399</v>
      </c>
      <c r="D76" s="298">
        <v>1231797198</v>
      </c>
      <c r="E76" s="298">
        <v>1349151588</v>
      </c>
      <c r="F76" s="306">
        <v>1349151588</v>
      </c>
      <c r="G76" s="300" t="e">
        <f>G96</f>
        <v>#REF!</v>
      </c>
      <c r="H76" s="300" t="e">
        <f t="shared" ref="H76:I76" si="29">H96</f>
        <v>#REF!</v>
      </c>
      <c r="I76" s="301" t="e">
        <f t="shared" si="29"/>
        <v>#REF!</v>
      </c>
    </row>
    <row r="77" spans="1:9">
      <c r="A77" s="295" t="s">
        <v>200</v>
      </c>
      <c r="B77" s="297">
        <v>86947484</v>
      </c>
      <c r="C77" s="298">
        <v>107569463</v>
      </c>
      <c r="D77" s="298">
        <v>74902288</v>
      </c>
      <c r="E77" s="298">
        <v>73661979</v>
      </c>
      <c r="F77" s="306">
        <v>0</v>
      </c>
      <c r="G77" s="300" t="e">
        <f>G103</f>
        <v>#REF!</v>
      </c>
      <c r="H77" s="300" t="e">
        <f t="shared" ref="H77:I77" si="30">H103</f>
        <v>#REF!</v>
      </c>
      <c r="I77" s="301" t="e">
        <f t="shared" si="30"/>
        <v>#REF!</v>
      </c>
    </row>
    <row r="78" spans="1:9">
      <c r="A78" s="295" t="s">
        <v>201</v>
      </c>
      <c r="B78" s="297">
        <v>2113023</v>
      </c>
      <c r="C78" s="298">
        <v>1857673</v>
      </c>
      <c r="D78" s="298">
        <v>2437236</v>
      </c>
      <c r="E78" s="298">
        <v>2987471</v>
      </c>
      <c r="F78" s="306">
        <v>3627351</v>
      </c>
      <c r="G78" s="307">
        <f t="array" ref="G78">AVERAGE(B78:F78)</f>
        <v>2604550.7999999998</v>
      </c>
      <c r="H78" s="307">
        <f t="array" ref="H78">AVERAGE(C78:G78)</f>
        <v>2702856.3600000003</v>
      </c>
      <c r="I78" s="308">
        <f t="array" ref="I78">AVERAGE(D78:H78)</f>
        <v>2871893.0320000001</v>
      </c>
    </row>
    <row r="79" spans="1:9">
      <c r="A79" s="295"/>
      <c r="B79" s="309">
        <f t="shared" ref="B79:D79" si="31">SUM(B68:B78)</f>
        <v>1784692762.0722127</v>
      </c>
      <c r="C79" s="310">
        <f t="shared" si="31"/>
        <v>1685272888.030468</v>
      </c>
      <c r="D79" s="310">
        <f t="shared" si="31"/>
        <v>2812895774.1375217</v>
      </c>
      <c r="E79" s="310">
        <f>SUM(E68:E78)</f>
        <v>2359314839.053504</v>
      </c>
      <c r="F79" s="310">
        <f t="shared" ref="F79:I79" si="32">SUM(F68:F78)</f>
        <v>2866610887.1047792</v>
      </c>
      <c r="G79" s="311" t="e">
        <f ca="1">SUM(G68:G78)</f>
        <v>#REF!</v>
      </c>
      <c r="H79" s="311" t="e">
        <f t="shared" ca="1" si="32"/>
        <v>#REF!</v>
      </c>
      <c r="I79" s="312" t="e">
        <f t="shared" ca="1" si="32"/>
        <v>#REF!</v>
      </c>
    </row>
    <row r="80" spans="1:9">
      <c r="A80" s="337" t="s">
        <v>202</v>
      </c>
      <c r="B80" s="297"/>
      <c r="C80" s="298"/>
      <c r="D80" s="298"/>
      <c r="E80" s="298"/>
      <c r="F80" s="324"/>
      <c r="G80" s="325"/>
      <c r="H80" s="325"/>
      <c r="I80" s="326"/>
    </row>
    <row r="81" spans="1:9">
      <c r="A81" s="295" t="s">
        <v>203</v>
      </c>
      <c r="B81" s="297">
        <v>8397360</v>
      </c>
      <c r="C81" s="298">
        <v>691</v>
      </c>
      <c r="D81" s="298">
        <v>13082980</v>
      </c>
      <c r="E81" s="298">
        <v>8293619</v>
      </c>
      <c r="F81" s="306">
        <v>11177272</v>
      </c>
      <c r="G81" s="307">
        <v>0</v>
      </c>
      <c r="H81" s="307">
        <v>0</v>
      </c>
      <c r="I81" s="308">
        <v>0</v>
      </c>
    </row>
    <row r="82" spans="1:9">
      <c r="A82" s="295" t="s">
        <v>204</v>
      </c>
      <c r="B82" s="297">
        <v>0</v>
      </c>
      <c r="C82" s="298">
        <v>0</v>
      </c>
      <c r="D82" s="298">
        <v>0</v>
      </c>
      <c r="E82" s="298">
        <v>0</v>
      </c>
      <c r="F82" s="306">
        <v>193450230</v>
      </c>
      <c r="G82" s="307">
        <v>0</v>
      </c>
      <c r="H82" s="307">
        <v>0</v>
      </c>
      <c r="I82" s="308">
        <v>0</v>
      </c>
    </row>
    <row r="83" spans="1:9">
      <c r="A83" s="295" t="s">
        <v>15</v>
      </c>
      <c r="B83" s="297">
        <v>0</v>
      </c>
      <c r="C83" s="298">
        <v>79815400</v>
      </c>
      <c r="D83" s="298">
        <v>0</v>
      </c>
      <c r="E83" s="298">
        <v>246230224</v>
      </c>
      <c r="F83" s="306">
        <v>512098004</v>
      </c>
      <c r="G83" s="307">
        <v>0</v>
      </c>
      <c r="H83" s="307">
        <v>0</v>
      </c>
      <c r="I83" s="308">
        <v>0</v>
      </c>
    </row>
    <row r="84" spans="1:9">
      <c r="A84" s="295" t="s">
        <v>205</v>
      </c>
      <c r="B84" s="297">
        <v>199451336</v>
      </c>
      <c r="C84" s="298">
        <v>57851549</v>
      </c>
      <c r="D84" s="298">
        <v>58891160</v>
      </c>
      <c r="E84" s="298">
        <v>68758783</v>
      </c>
      <c r="F84" s="306">
        <v>80530131</v>
      </c>
      <c r="G84" s="307">
        <f>AVERAGE(B84:F84)</f>
        <v>93096591.799999997</v>
      </c>
      <c r="H84" s="307">
        <f t="shared" ref="H84:I84" si="33">AVERAGE(C84:G84)</f>
        <v>71825642.960000008</v>
      </c>
      <c r="I84" s="308">
        <f t="shared" si="33"/>
        <v>74620461.752000004</v>
      </c>
    </row>
    <row r="85" spans="1:9">
      <c r="A85" s="295"/>
      <c r="B85" s="309">
        <f t="shared" ref="B85:D85" si="34">SUM(B81:B84)</f>
        <v>207848696</v>
      </c>
      <c r="C85" s="310">
        <f t="shared" si="34"/>
        <v>137667640</v>
      </c>
      <c r="D85" s="310">
        <f t="shared" si="34"/>
        <v>71974140</v>
      </c>
      <c r="E85" s="310">
        <f>SUM(E81:E84)</f>
        <v>323282626</v>
      </c>
      <c r="F85" s="310">
        <f t="shared" ref="F85:I85" si="35">SUM(F81:F84)</f>
        <v>797255637</v>
      </c>
      <c r="G85" s="311">
        <f>SUM(G81:G84)</f>
        <v>93096591.799999997</v>
      </c>
      <c r="H85" s="311">
        <f t="shared" si="35"/>
        <v>71825642.960000008</v>
      </c>
      <c r="I85" s="312">
        <f t="shared" si="35"/>
        <v>74620461.752000004</v>
      </c>
    </row>
    <row r="86" spans="1:9">
      <c r="A86" s="225" t="s">
        <v>206</v>
      </c>
      <c r="B86" s="297">
        <v>186648042</v>
      </c>
      <c r="C86" s="298">
        <v>182723893</v>
      </c>
      <c r="D86" s="298">
        <v>237917815</v>
      </c>
      <c r="E86" s="306">
        <v>857470136</v>
      </c>
      <c r="F86" s="306">
        <v>361728116</v>
      </c>
      <c r="G86" s="307">
        <f>AVERAGE(B86:F86)</f>
        <v>365297600.39999998</v>
      </c>
      <c r="H86" s="307">
        <f t="shared" ref="H86:I86" si="36">AVERAGE(C86:G86)</f>
        <v>401027512.08000004</v>
      </c>
      <c r="I86" s="308">
        <f t="shared" si="36"/>
        <v>444688235.89600003</v>
      </c>
    </row>
    <row r="87" spans="1:9">
      <c r="A87" s="225" t="s">
        <v>207</v>
      </c>
      <c r="B87" s="297">
        <v>5769951</v>
      </c>
      <c r="C87" s="298">
        <v>0</v>
      </c>
      <c r="D87" s="298">
        <v>0</v>
      </c>
      <c r="E87" s="306">
        <v>4549192</v>
      </c>
      <c r="F87" s="306">
        <v>4629192</v>
      </c>
      <c r="G87" s="338">
        <f>F87</f>
        <v>4629192</v>
      </c>
      <c r="H87" s="338">
        <f t="shared" ref="H87:I87" si="37">G87</f>
        <v>4629192</v>
      </c>
      <c r="I87" s="339">
        <f t="shared" si="37"/>
        <v>4629192</v>
      </c>
    </row>
    <row r="88" spans="1:9">
      <c r="A88" s="225" t="s">
        <v>208</v>
      </c>
      <c r="B88" s="297">
        <v>155814516</v>
      </c>
      <c r="C88" s="298">
        <v>171910061</v>
      </c>
      <c r="D88" s="298">
        <v>228678517</v>
      </c>
      <c r="E88" s="298">
        <v>255842654</v>
      </c>
      <c r="F88" s="306">
        <v>262981564</v>
      </c>
      <c r="G88" s="307">
        <f>AVERAGE(B88:F88)</f>
        <v>215045462.40000001</v>
      </c>
      <c r="H88" s="307">
        <f t="shared" ref="H88:I88" si="38">AVERAGE(C88:G88)</f>
        <v>226891651.68000001</v>
      </c>
      <c r="I88" s="308">
        <f t="shared" si="38"/>
        <v>237887969.81599998</v>
      </c>
    </row>
    <row r="89" spans="1:9">
      <c r="A89" s="295"/>
      <c r="B89" s="330">
        <f t="shared" ref="B89:E89" si="39">SUM(B86:B88)</f>
        <v>348232509</v>
      </c>
      <c r="C89" s="331">
        <f t="shared" si="39"/>
        <v>354633954</v>
      </c>
      <c r="D89" s="331">
        <f t="shared" si="39"/>
        <v>466596332</v>
      </c>
      <c r="E89" s="331">
        <f t="shared" si="39"/>
        <v>1117861982</v>
      </c>
      <c r="F89" s="331">
        <f>SUM(F86:F88)</f>
        <v>629338872</v>
      </c>
      <c r="G89" s="340">
        <f t="shared" ref="G89:I89" si="40">SUM(G86:G88)</f>
        <v>584972254.79999995</v>
      </c>
      <c r="H89" s="340">
        <f t="shared" si="40"/>
        <v>632548355.75999999</v>
      </c>
      <c r="I89" s="341">
        <f t="shared" si="40"/>
        <v>687205397.71200001</v>
      </c>
    </row>
    <row r="90" spans="1:9">
      <c r="A90" s="295"/>
      <c r="B90" s="342">
        <f>B79+B85+B89</f>
        <v>2340773967.0722127</v>
      </c>
      <c r="C90" s="343">
        <f>C79+C85+C89</f>
        <v>2177574482.030468</v>
      </c>
      <c r="D90" s="343">
        <f>D79+D85+D89</f>
        <v>3351466246.1375217</v>
      </c>
      <c r="E90" s="343">
        <f>E79+E85+E89</f>
        <v>3800459447.053504</v>
      </c>
      <c r="F90" s="343">
        <f>F79+F85+F89</f>
        <v>4293205396.1047792</v>
      </c>
      <c r="G90" s="344" t="e">
        <f t="shared" ref="G90:I90" ca="1" si="41">G79+G85+G89</f>
        <v>#REF!</v>
      </c>
      <c r="H90" s="344" t="e">
        <f t="shared" ca="1" si="41"/>
        <v>#REF!</v>
      </c>
      <c r="I90" s="345" t="e">
        <f t="shared" ca="1" si="41"/>
        <v>#REF!</v>
      </c>
    </row>
    <row r="91" spans="1:9">
      <c r="A91" s="295" t="s">
        <v>209</v>
      </c>
      <c r="B91" s="297"/>
      <c r="C91" s="298"/>
      <c r="D91" s="298"/>
      <c r="E91" s="298"/>
      <c r="F91" s="324"/>
      <c r="G91" s="325"/>
      <c r="H91" s="325"/>
      <c r="I91" s="326"/>
    </row>
    <row r="92" spans="1:9">
      <c r="A92" s="295" t="s">
        <v>44</v>
      </c>
      <c r="B92" s="297">
        <v>563772126</v>
      </c>
      <c r="C92" s="298">
        <v>865823887</v>
      </c>
      <c r="D92" s="298">
        <v>1107484399</v>
      </c>
      <c r="E92" s="298">
        <v>1231797198</v>
      </c>
      <c r="F92" s="306">
        <v>1349151588</v>
      </c>
      <c r="G92" s="300">
        <f>F96</f>
        <v>1349151588</v>
      </c>
      <c r="H92" s="300" t="e">
        <f t="shared" ref="H92:I92" si="42">G96</f>
        <v>#REF!</v>
      </c>
      <c r="I92" s="301" t="e">
        <f t="shared" si="42"/>
        <v>#REF!</v>
      </c>
    </row>
    <row r="93" spans="1:9">
      <c r="A93" s="295" t="s">
        <v>210</v>
      </c>
      <c r="B93" s="297">
        <v>329389076</v>
      </c>
      <c r="C93" s="298">
        <v>291660512</v>
      </c>
      <c r="D93" s="298">
        <v>212857299</v>
      </c>
      <c r="E93" s="298">
        <v>197354390</v>
      </c>
      <c r="F93" s="298">
        <v>0</v>
      </c>
      <c r="G93" s="307" t="e">
        <f>#REF!</f>
        <v>#REF!</v>
      </c>
      <c r="H93" s="307" t="e">
        <f>#REF!</f>
        <v>#REF!</v>
      </c>
      <c r="I93" s="308" t="e">
        <f>#REF!</f>
        <v>#REF!</v>
      </c>
    </row>
    <row r="94" spans="1:9">
      <c r="A94" s="295" t="s">
        <v>211</v>
      </c>
      <c r="B94" s="297">
        <v>27337315</v>
      </c>
      <c r="C94" s="298">
        <v>50000000</v>
      </c>
      <c r="D94" s="298">
        <v>88544500</v>
      </c>
      <c r="E94" s="298">
        <v>80000000</v>
      </c>
      <c r="F94" s="298">
        <v>0</v>
      </c>
      <c r="G94" s="307" t="e">
        <f>G95*(G92+G93)</f>
        <v>#REF!</v>
      </c>
      <c r="H94" s="307" t="e">
        <f t="shared" ref="H94:I94" si="43">H95*(H92+H93)</f>
        <v>#REF!</v>
      </c>
      <c r="I94" s="308" t="e">
        <f t="shared" si="43"/>
        <v>#REF!</v>
      </c>
    </row>
    <row r="95" spans="1:9">
      <c r="A95" s="295" t="s">
        <v>212</v>
      </c>
      <c r="B95" s="296">
        <f t="shared" ref="B95:D95" si="44">B94/(B92+B93)</f>
        <v>3.0607369575374816E-2</v>
      </c>
      <c r="C95" s="227">
        <f t="shared" si="44"/>
        <v>4.3197126495352442E-2</v>
      </c>
      <c r="D95" s="227">
        <f t="shared" si="44"/>
        <v>6.7061806905078902E-2</v>
      </c>
      <c r="E95" s="227">
        <f>E94/(E92+E93)</f>
        <v>5.5977266982542094E-2</v>
      </c>
      <c r="F95" s="227">
        <f>AVERAGE(B95:E95)</f>
        <v>4.9210892489587064E-2</v>
      </c>
      <c r="G95" s="313">
        <f t="shared" ref="G95:I95" si="45">AVERAGE(C95:F95)</f>
        <v>5.3861773218140126E-2</v>
      </c>
      <c r="H95" s="313">
        <f t="shared" si="45"/>
        <v>5.6527934898837048E-2</v>
      </c>
      <c r="I95" s="314">
        <f t="shared" si="45"/>
        <v>5.3894466897276588E-2</v>
      </c>
    </row>
    <row r="96" spans="1:9">
      <c r="A96" s="295" t="s">
        <v>45</v>
      </c>
      <c r="B96" s="342">
        <f t="shared" ref="B96:E96" si="46">B92+B93-B94</f>
        <v>865823887</v>
      </c>
      <c r="C96" s="343">
        <f t="shared" si="46"/>
        <v>1107484399</v>
      </c>
      <c r="D96" s="343">
        <f t="shared" si="46"/>
        <v>1231797198</v>
      </c>
      <c r="E96" s="343">
        <f t="shared" si="46"/>
        <v>1349151588</v>
      </c>
      <c r="F96" s="343">
        <f>F92+F93-F94</f>
        <v>1349151588</v>
      </c>
      <c r="G96" s="344" t="e">
        <f t="shared" ref="G96:I96" si="47">G92+G93-G94</f>
        <v>#REF!</v>
      </c>
      <c r="H96" s="344" t="e">
        <f t="shared" si="47"/>
        <v>#REF!</v>
      </c>
      <c r="I96" s="345" t="e">
        <f t="shared" si="47"/>
        <v>#REF!</v>
      </c>
    </row>
    <row r="97" spans="1:9">
      <c r="A97" s="295"/>
      <c r="B97" s="296"/>
      <c r="C97" s="227"/>
      <c r="D97" s="227"/>
      <c r="E97" s="227"/>
      <c r="F97" s="324"/>
      <c r="G97" s="325"/>
      <c r="H97" s="325"/>
      <c r="I97" s="326"/>
    </row>
    <row r="98" spans="1:9">
      <c r="A98" s="295" t="s">
        <v>213</v>
      </c>
      <c r="B98" s="226"/>
      <c r="C98" s="298"/>
      <c r="D98" s="298"/>
      <c r="E98" s="298"/>
      <c r="F98" s="324"/>
      <c r="G98" s="325"/>
      <c r="H98" s="325"/>
      <c r="I98" s="326"/>
    </row>
    <row r="99" spans="1:9">
      <c r="A99" s="295" t="s">
        <v>44</v>
      </c>
      <c r="B99" s="297">
        <v>81049999</v>
      </c>
      <c r="C99" s="298">
        <v>86947484</v>
      </c>
      <c r="D99" s="298">
        <v>107569463</v>
      </c>
      <c r="E99" s="298">
        <v>74902288</v>
      </c>
      <c r="F99" s="306">
        <v>73661979</v>
      </c>
      <c r="G99" s="300">
        <f>F103</f>
        <v>0</v>
      </c>
      <c r="H99" s="300" t="e">
        <f t="shared" ref="H99:I99" si="48">G103</f>
        <v>#REF!</v>
      </c>
      <c r="I99" s="301" t="e">
        <f t="shared" si="48"/>
        <v>#REF!</v>
      </c>
    </row>
    <row r="100" spans="1:9">
      <c r="A100" s="295" t="s">
        <v>210</v>
      </c>
      <c r="B100" s="297">
        <v>85678851</v>
      </c>
      <c r="C100" s="298">
        <v>106625330</v>
      </c>
      <c r="D100" s="298">
        <v>73936622</v>
      </c>
      <c r="E100" s="298">
        <v>73661979</v>
      </c>
      <c r="F100" s="306">
        <v>-838217</v>
      </c>
      <c r="G100" s="307" t="e">
        <f>#REF!</f>
        <v>#REF!</v>
      </c>
      <c r="H100" s="307" t="e">
        <f>#REF!</f>
        <v>#REF!</v>
      </c>
      <c r="I100" s="308" t="e">
        <f>#REF!</f>
        <v>#REF!</v>
      </c>
    </row>
    <row r="101" spans="1:9">
      <c r="A101" s="295" t="s">
        <v>211</v>
      </c>
      <c r="B101" s="297">
        <v>79781366</v>
      </c>
      <c r="C101" s="298">
        <v>86003351</v>
      </c>
      <c r="D101" s="298">
        <v>106603797</v>
      </c>
      <c r="E101" s="298">
        <v>74902288</v>
      </c>
      <c r="F101" s="306">
        <v>72823762</v>
      </c>
      <c r="G101" s="300" t="e">
        <f>G102*(G99+G100)</f>
        <v>#REF!</v>
      </c>
      <c r="H101" s="300" t="e">
        <f t="shared" ref="H101:I101" si="49">H102*(H99+H100)</f>
        <v>#REF!</v>
      </c>
      <c r="I101" s="301" t="e">
        <f t="shared" si="49"/>
        <v>#REF!</v>
      </c>
    </row>
    <row r="102" spans="1:9">
      <c r="A102" s="295" t="s">
        <v>214</v>
      </c>
      <c r="B102" s="296">
        <f t="shared" ref="B102:E102" si="50">B101/(B99+B100)</f>
        <v>0.47850966404434503</v>
      </c>
      <c r="C102" s="227">
        <f t="shared" si="50"/>
        <v>0.44429457434038233</v>
      </c>
      <c r="D102" s="227">
        <f t="shared" si="50"/>
        <v>0.58732905290750992</v>
      </c>
      <c r="E102" s="227">
        <f t="shared" si="50"/>
        <v>0.50417431804109392</v>
      </c>
      <c r="F102" s="227">
        <f>F101/(F99+F100)</f>
        <v>1</v>
      </c>
      <c r="G102" s="228">
        <f>AVERAGE(B102:E102)</f>
        <v>0.50357690233333274</v>
      </c>
      <c r="H102" s="228">
        <f>G102</f>
        <v>0.50357690233333274</v>
      </c>
      <c r="I102" s="229">
        <f>H102</f>
        <v>0.50357690233333274</v>
      </c>
    </row>
    <row r="103" spans="1:9">
      <c r="A103" s="295" t="s">
        <v>45</v>
      </c>
      <c r="B103" s="309">
        <f t="shared" ref="B103:I103" si="51">B99+B100-B101</f>
        <v>86947484</v>
      </c>
      <c r="C103" s="310">
        <f t="shared" si="51"/>
        <v>107569463</v>
      </c>
      <c r="D103" s="310">
        <f t="shared" si="51"/>
        <v>74902288</v>
      </c>
      <c r="E103" s="310">
        <f t="shared" si="51"/>
        <v>73661979</v>
      </c>
      <c r="F103" s="310">
        <f t="shared" si="51"/>
        <v>0</v>
      </c>
      <c r="G103" s="311" t="e">
        <f t="shared" si="51"/>
        <v>#REF!</v>
      </c>
      <c r="H103" s="311" t="e">
        <f t="shared" si="51"/>
        <v>#REF!</v>
      </c>
      <c r="I103" s="312" t="e">
        <f t="shared" si="51"/>
        <v>#REF!</v>
      </c>
    </row>
    <row r="104" spans="1:9">
      <c r="A104" s="295"/>
      <c r="B104" s="296"/>
      <c r="C104" s="227"/>
      <c r="D104" s="227"/>
      <c r="E104" s="227"/>
      <c r="F104" s="298"/>
      <c r="G104" s="307"/>
      <c r="H104" s="307"/>
      <c r="I104" s="308"/>
    </row>
    <row r="105" spans="1:9">
      <c r="A105" s="295" t="s">
        <v>215</v>
      </c>
      <c r="B105" s="297"/>
      <c r="C105" s="298"/>
      <c r="D105" s="298"/>
      <c r="E105" s="298"/>
      <c r="F105" s="324"/>
      <c r="G105" s="325"/>
      <c r="H105" s="325"/>
      <c r="I105" s="326"/>
    </row>
    <row r="106" spans="1:9">
      <c r="A106" s="295" t="s">
        <v>216</v>
      </c>
      <c r="B106" s="297">
        <v>0</v>
      </c>
      <c r="C106" s="298">
        <v>0</v>
      </c>
      <c r="D106" s="298">
        <v>0</v>
      </c>
      <c r="E106" s="298">
        <v>99319101</v>
      </c>
      <c r="F106" s="306">
        <v>126582689</v>
      </c>
      <c r="G106" s="307">
        <v>0</v>
      </c>
      <c r="H106" s="307">
        <f t="shared" ref="H106:I106" si="52">G106*(1+G107)</f>
        <v>0</v>
      </c>
      <c r="I106" s="308">
        <f t="shared" si="52"/>
        <v>0</v>
      </c>
    </row>
    <row r="107" spans="1:9">
      <c r="A107" s="295"/>
      <c r="B107" s="297"/>
      <c r="C107" s="298"/>
      <c r="D107" s="298"/>
      <c r="E107" s="298"/>
      <c r="F107" s="227"/>
      <c r="G107" s="313"/>
      <c r="H107" s="313"/>
      <c r="I107" s="314"/>
    </row>
    <row r="108" spans="1:9">
      <c r="A108" s="295" t="s">
        <v>217</v>
      </c>
      <c r="B108" s="297">
        <v>5769951</v>
      </c>
      <c r="C108" s="298">
        <v>8027340</v>
      </c>
      <c r="D108" s="298">
        <v>9919087</v>
      </c>
      <c r="E108" s="298">
        <v>9416974</v>
      </c>
      <c r="F108" s="306">
        <v>9416974</v>
      </c>
      <c r="G108" s="338">
        <f>F108</f>
        <v>9416974</v>
      </c>
      <c r="H108" s="338">
        <f t="shared" ref="H108:I108" si="53">G108</f>
        <v>9416974</v>
      </c>
      <c r="I108" s="339">
        <f t="shared" si="53"/>
        <v>9416974</v>
      </c>
    </row>
    <row r="109" spans="1:9">
      <c r="A109" s="295"/>
      <c r="B109" s="297"/>
      <c r="C109" s="298"/>
      <c r="D109" s="298"/>
      <c r="E109" s="298"/>
      <c r="F109" s="298"/>
      <c r="G109" s="307"/>
      <c r="H109" s="307"/>
      <c r="I109" s="308"/>
    </row>
    <row r="110" spans="1:9">
      <c r="A110" s="295" t="s">
        <v>218</v>
      </c>
      <c r="B110" s="297"/>
      <c r="C110" s="298"/>
      <c r="D110" s="298"/>
      <c r="E110" s="298">
        <v>0</v>
      </c>
      <c r="F110" s="298">
        <v>0</v>
      </c>
      <c r="G110" s="307">
        <v>29082559</v>
      </c>
      <c r="H110" s="307">
        <v>29603848</v>
      </c>
      <c r="I110" s="308">
        <v>35734335</v>
      </c>
    </row>
    <row r="111" spans="1:9">
      <c r="A111" s="295" t="s">
        <v>219</v>
      </c>
      <c r="B111" s="226"/>
      <c r="C111" s="298"/>
      <c r="D111" s="298"/>
      <c r="E111" s="298"/>
      <c r="F111" s="298"/>
      <c r="G111" s="307"/>
      <c r="H111" s="307"/>
      <c r="I111" s="308"/>
    </row>
    <row r="112" spans="1:9">
      <c r="A112" s="295" t="s">
        <v>220</v>
      </c>
      <c r="B112" s="346">
        <v>25404392</v>
      </c>
      <c r="C112" s="298">
        <v>29082559</v>
      </c>
      <c r="D112" s="298">
        <v>20972124</v>
      </c>
      <c r="E112" s="298">
        <v>20972124</v>
      </c>
      <c r="F112" s="306">
        <v>20972124</v>
      </c>
      <c r="G112" s="338">
        <f>F112</f>
        <v>20972124</v>
      </c>
      <c r="H112" s="338">
        <f t="shared" ref="H112:I113" si="54">G112</f>
        <v>20972124</v>
      </c>
      <c r="I112" s="339">
        <f t="shared" si="54"/>
        <v>20972124</v>
      </c>
    </row>
    <row r="113" spans="1:9">
      <c r="A113" s="295" t="s">
        <v>221</v>
      </c>
      <c r="B113" s="297">
        <v>0</v>
      </c>
      <c r="C113" s="298">
        <v>0</v>
      </c>
      <c r="D113" s="298">
        <v>8631724</v>
      </c>
      <c r="E113" s="298">
        <v>8597454</v>
      </c>
      <c r="F113" s="306">
        <v>8597453</v>
      </c>
      <c r="G113" s="338">
        <f>F113</f>
        <v>8597453</v>
      </c>
      <c r="H113" s="338">
        <f t="shared" si="54"/>
        <v>8597453</v>
      </c>
      <c r="I113" s="339">
        <f t="shared" si="54"/>
        <v>8597453</v>
      </c>
    </row>
    <row r="114" spans="1:9">
      <c r="A114" s="295" t="s">
        <v>222</v>
      </c>
      <c r="B114" s="297">
        <v>0</v>
      </c>
      <c r="C114" s="298">
        <v>0</v>
      </c>
      <c r="D114" s="298">
        <v>0</v>
      </c>
      <c r="E114" s="298">
        <v>6164757</v>
      </c>
      <c r="F114" s="306">
        <v>9027797</v>
      </c>
      <c r="G114" s="307">
        <v>0</v>
      </c>
      <c r="H114" s="307">
        <f>G114</f>
        <v>0</v>
      </c>
      <c r="I114" s="308">
        <f>H114</f>
        <v>0</v>
      </c>
    </row>
    <row r="115" spans="1:9">
      <c r="A115" s="295"/>
      <c r="B115" s="309">
        <f t="shared" ref="B115" si="55">SUM(B112:B114)</f>
        <v>25404392</v>
      </c>
      <c r="C115" s="310">
        <f t="shared" ref="C115:I115" si="56">SUM(C112:C114)</f>
        <v>29082559</v>
      </c>
      <c r="D115" s="310">
        <f t="shared" si="56"/>
        <v>29603848</v>
      </c>
      <c r="E115" s="310">
        <f t="shared" si="56"/>
        <v>35734335</v>
      </c>
      <c r="F115" s="310">
        <f t="shared" si="56"/>
        <v>38597374</v>
      </c>
      <c r="G115" s="311">
        <f t="shared" si="56"/>
        <v>29569577</v>
      </c>
      <c r="H115" s="311">
        <f t="shared" si="56"/>
        <v>29569577</v>
      </c>
      <c r="I115" s="312">
        <f t="shared" si="56"/>
        <v>29569577</v>
      </c>
    </row>
    <row r="116" spans="1:9">
      <c r="A116" s="295"/>
      <c r="B116" s="297"/>
      <c r="C116" s="298"/>
      <c r="D116" s="298"/>
      <c r="E116" s="298"/>
      <c r="F116" s="298"/>
      <c r="G116" s="307"/>
      <c r="H116" s="307"/>
      <c r="I116" s="308"/>
    </row>
    <row r="117" spans="1:9">
      <c r="A117" s="225" t="s">
        <v>223</v>
      </c>
      <c r="B117" s="297">
        <v>0</v>
      </c>
      <c r="C117" s="298">
        <v>78470775</v>
      </c>
      <c r="D117" s="298">
        <v>0</v>
      </c>
      <c r="E117" s="298">
        <v>228925097</v>
      </c>
      <c r="F117" s="299">
        <v>0</v>
      </c>
      <c r="G117" s="307">
        <f>F117</f>
        <v>0</v>
      </c>
      <c r="H117" s="307">
        <f t="shared" ref="H117:I117" si="57">G117</f>
        <v>0</v>
      </c>
      <c r="I117" s="308">
        <f t="shared" si="57"/>
        <v>0</v>
      </c>
    </row>
    <row r="118" spans="1:9">
      <c r="A118" s="295"/>
      <c r="B118" s="297"/>
      <c r="C118" s="298"/>
      <c r="D118" s="298"/>
      <c r="E118" s="298"/>
      <c r="F118" s="298"/>
      <c r="G118" s="307"/>
      <c r="H118" s="307"/>
      <c r="I118" s="308"/>
    </row>
    <row r="119" spans="1:9">
      <c r="A119" s="295" t="s">
        <v>224</v>
      </c>
      <c r="B119" s="297"/>
      <c r="C119" s="298"/>
      <c r="D119" s="298"/>
      <c r="E119" s="298"/>
      <c r="F119" s="298"/>
      <c r="G119" s="307"/>
      <c r="H119" s="307"/>
      <c r="I119" s="308"/>
    </row>
    <row r="120" spans="1:9">
      <c r="A120" s="295" t="s">
        <v>225</v>
      </c>
      <c r="B120" s="297"/>
      <c r="C120" s="298"/>
      <c r="D120" s="298"/>
      <c r="E120" s="298"/>
      <c r="F120" s="298"/>
      <c r="G120" s="307"/>
      <c r="H120" s="307"/>
      <c r="I120" s="308"/>
    </row>
    <row r="121" spans="1:9">
      <c r="A121" s="295" t="s">
        <v>226</v>
      </c>
      <c r="B121" s="297">
        <v>598000000</v>
      </c>
      <c r="C121" s="298">
        <v>200000000</v>
      </c>
      <c r="D121" s="298">
        <v>0</v>
      </c>
      <c r="E121" s="298">
        <v>243000000</v>
      </c>
      <c r="F121" s="306">
        <v>308000000</v>
      </c>
      <c r="G121" s="307"/>
      <c r="H121" s="307"/>
      <c r="I121" s="308"/>
    </row>
    <row r="122" spans="1:9">
      <c r="A122" s="295" t="s">
        <v>227</v>
      </c>
      <c r="B122" s="347">
        <v>0</v>
      </c>
      <c r="C122" s="298">
        <v>0</v>
      </c>
      <c r="D122" s="298">
        <v>0</v>
      </c>
      <c r="E122" s="298">
        <v>0</v>
      </c>
      <c r="F122" s="306">
        <v>993609100</v>
      </c>
      <c r="G122" s="325"/>
      <c r="H122" s="325"/>
      <c r="I122" s="326"/>
    </row>
    <row r="123" spans="1:9">
      <c r="A123" s="295"/>
      <c r="B123" s="309">
        <f t="shared" ref="B123:E123" si="58">SUM(B121:B122)</f>
        <v>598000000</v>
      </c>
      <c r="C123" s="310">
        <f t="shared" si="58"/>
        <v>200000000</v>
      </c>
      <c r="D123" s="310">
        <f t="shared" si="58"/>
        <v>0</v>
      </c>
      <c r="E123" s="310">
        <f t="shared" si="58"/>
        <v>243000000</v>
      </c>
      <c r="F123" s="310">
        <f>SUM(F121:F122)</f>
        <v>1301609100</v>
      </c>
      <c r="G123" s="325"/>
      <c r="H123" s="311"/>
      <c r="I123" s="312"/>
    </row>
    <row r="124" spans="1:9">
      <c r="A124" s="295"/>
      <c r="B124" s="297"/>
      <c r="C124" s="298"/>
      <c r="D124" s="298"/>
      <c r="E124" s="298"/>
      <c r="F124" s="298"/>
      <c r="G124" s="307"/>
      <c r="H124" s="307"/>
      <c r="I124" s="308"/>
    </row>
    <row r="125" spans="1:9">
      <c r="A125" s="295" t="s">
        <v>228</v>
      </c>
      <c r="B125" s="297"/>
      <c r="C125" s="298"/>
      <c r="D125" s="298"/>
      <c r="E125" s="298"/>
      <c r="F125" s="298"/>
      <c r="G125" s="307"/>
      <c r="H125" s="307"/>
      <c r="I125" s="308"/>
    </row>
    <row r="126" spans="1:9">
      <c r="A126" s="295" t="s">
        <v>229</v>
      </c>
      <c r="B126" s="297"/>
      <c r="C126" s="298"/>
      <c r="D126" s="298"/>
      <c r="E126" s="298"/>
      <c r="F126" s="298"/>
      <c r="G126" s="307"/>
      <c r="H126" s="307"/>
      <c r="I126" s="308"/>
    </row>
    <row r="127" spans="1:9">
      <c r="A127" s="295" t="s">
        <v>230</v>
      </c>
      <c r="B127" s="297">
        <v>7263208</v>
      </c>
      <c r="C127" s="298">
        <v>5215455</v>
      </c>
      <c r="D127" s="298">
        <v>3830579</v>
      </c>
      <c r="E127" s="306">
        <v>101586083</v>
      </c>
      <c r="F127" s="298">
        <v>177894903</v>
      </c>
      <c r="G127" s="307" t="e">
        <f ca="1">G130*#REF!</f>
        <v>#REF!</v>
      </c>
      <c r="H127" s="307">
        <f ca="1">H130*[1]N.PNL!H46</f>
        <v>201037252.96957502</v>
      </c>
      <c r="I127" s="308">
        <f ca="1">I130*[1]N.PNL!I46</f>
        <v>154269822.1578114</v>
      </c>
    </row>
    <row r="128" spans="1:9">
      <c r="A128" s="295" t="s">
        <v>224</v>
      </c>
      <c r="B128" s="297">
        <v>6131376</v>
      </c>
      <c r="C128" s="298">
        <v>1121934</v>
      </c>
      <c r="D128" s="298">
        <v>0</v>
      </c>
      <c r="E128" s="298">
        <v>1243295</v>
      </c>
      <c r="F128" s="306">
        <v>30871853</v>
      </c>
      <c r="G128" s="307">
        <v>0</v>
      </c>
      <c r="H128" s="307">
        <v>0</v>
      </c>
      <c r="I128" s="308">
        <v>0</v>
      </c>
    </row>
    <row r="129" spans="1:9">
      <c r="A129" s="295"/>
      <c r="B129" s="309">
        <f t="shared" ref="B129:E129" si="59">SUM(B127:B128)</f>
        <v>13394584</v>
      </c>
      <c r="C129" s="310">
        <f t="shared" si="59"/>
        <v>6337389</v>
      </c>
      <c r="D129" s="310">
        <f t="shared" si="59"/>
        <v>3830579</v>
      </c>
      <c r="E129" s="310">
        <f t="shared" si="59"/>
        <v>102829378</v>
      </c>
      <c r="F129" s="310">
        <f>SUM(F127:F128)</f>
        <v>208766756</v>
      </c>
      <c r="G129" s="311" t="e">
        <f t="shared" ref="G129:I129" ca="1" si="60">SUM(G127:G128)</f>
        <v>#REF!</v>
      </c>
      <c r="H129" s="311">
        <f t="shared" ca="1" si="60"/>
        <v>201037252.96957502</v>
      </c>
      <c r="I129" s="312">
        <f t="shared" ca="1" si="60"/>
        <v>154269822.1578114</v>
      </c>
    </row>
    <row r="130" spans="1:9">
      <c r="A130" s="295" t="s">
        <v>231</v>
      </c>
      <c r="B130" s="296">
        <f>B127/N.PL!B41</f>
        <v>1.6658356763078062E-2</v>
      </c>
      <c r="C130" s="296">
        <f>C127/N.PL!C41</f>
        <v>1.2785771945723374E-2</v>
      </c>
      <c r="D130" s="296">
        <f>D127/N.PL!D41</f>
        <v>1.2350900691613927E-2</v>
      </c>
      <c r="E130" s="296">
        <f>E127/N.PL!E41</f>
        <v>0.22077943404718575</v>
      </c>
      <c r="F130" s="296">
        <f>F127/N.PL!F41</f>
        <v>10.809988679265921</v>
      </c>
      <c r="G130" s="296">
        <f ca="1">G127/N.PL!G41</f>
        <v>1.6658356763078062E-2</v>
      </c>
      <c r="H130" s="296">
        <f ca="1">H127/N.PL!H41</f>
        <v>1.6658356763078062E-2</v>
      </c>
      <c r="I130" s="296">
        <f ca="1">I127/N.PL!I41</f>
        <v>1.6658356763078062E-2</v>
      </c>
    </row>
    <row r="131" spans="1:9">
      <c r="A131" s="295"/>
      <c r="B131" s="297"/>
      <c r="C131" s="298"/>
      <c r="D131" s="298"/>
      <c r="E131" s="298"/>
      <c r="F131" s="298"/>
      <c r="G131" s="307"/>
      <c r="H131" s="307"/>
      <c r="I131" s="308"/>
    </row>
    <row r="132" spans="1:9">
      <c r="A132" s="295" t="s">
        <v>232</v>
      </c>
      <c r="B132" s="297"/>
      <c r="C132" s="298"/>
      <c r="D132" s="298"/>
      <c r="E132" s="298"/>
      <c r="F132" s="298"/>
      <c r="G132" s="307"/>
      <c r="H132" s="307"/>
      <c r="I132" s="308"/>
    </row>
    <row r="133" spans="1:9">
      <c r="A133" s="295" t="s">
        <v>233</v>
      </c>
      <c r="B133" s="297"/>
      <c r="C133" s="298"/>
      <c r="D133" s="298"/>
      <c r="E133" s="298"/>
      <c r="F133" s="298"/>
      <c r="G133" s="307"/>
      <c r="H133" s="307"/>
      <c r="I133" s="308"/>
    </row>
    <row r="134" spans="1:9">
      <c r="A134" s="295" t="s">
        <v>234</v>
      </c>
      <c r="B134" s="297"/>
      <c r="C134" s="298"/>
      <c r="D134" s="298"/>
      <c r="E134" s="298"/>
      <c r="F134" s="298"/>
      <c r="G134" s="307"/>
      <c r="H134" s="307"/>
      <c r="I134" s="308"/>
    </row>
    <row r="135" spans="1:9">
      <c r="A135" s="295" t="s">
        <v>235</v>
      </c>
      <c r="B135" s="297">
        <v>7698456586</v>
      </c>
      <c r="C135" s="298">
        <v>7378863363</v>
      </c>
      <c r="D135" s="298">
        <v>7960021087</v>
      </c>
      <c r="E135" s="298">
        <v>8008186210</v>
      </c>
      <c r="F135" s="306">
        <v>22613088249</v>
      </c>
      <c r="G135" s="307">
        <f>'Fixed Assets'!G20</f>
        <v>22180042081.001167</v>
      </c>
      <c r="H135" s="307">
        <f>'Fixed Assets'!H20</f>
        <v>21593717291.99157</v>
      </c>
      <c r="I135" s="308">
        <f>'Fixed Assets'!I20</f>
        <v>20868879156.558502</v>
      </c>
    </row>
    <row r="136" spans="1:9">
      <c r="A136" s="295" t="s">
        <v>236</v>
      </c>
      <c r="B136" s="297">
        <v>173299377</v>
      </c>
      <c r="C136" s="298">
        <v>681621351</v>
      </c>
      <c r="D136" s="298">
        <v>1153040980</v>
      </c>
      <c r="E136" s="298">
        <v>13865772369</v>
      </c>
      <c r="F136" s="306">
        <v>164578022</v>
      </c>
      <c r="G136" s="300">
        <f>G142</f>
        <v>1904426447.5999999</v>
      </c>
      <c r="H136" s="300">
        <f t="shared" ref="H136:I136" si="61">H142</f>
        <v>3992244558.3199997</v>
      </c>
      <c r="I136" s="301">
        <f t="shared" si="61"/>
        <v>6497626291.184</v>
      </c>
    </row>
    <row r="137" spans="1:9">
      <c r="A137" s="295"/>
      <c r="B137" s="330">
        <f t="shared" ref="B137:E137" si="62">SUM(B135:B136)</f>
        <v>7871755963</v>
      </c>
      <c r="C137" s="331">
        <f t="shared" si="62"/>
        <v>8060484714</v>
      </c>
      <c r="D137" s="331">
        <f t="shared" si="62"/>
        <v>9113062067</v>
      </c>
      <c r="E137" s="331">
        <f t="shared" si="62"/>
        <v>21873958579</v>
      </c>
      <c r="F137" s="331">
        <f>SUM(F135:F136)</f>
        <v>22777666271</v>
      </c>
      <c r="G137" s="340">
        <f t="shared" ref="G137:I137" si="63">SUM(G135:G136)</f>
        <v>24084468528.601166</v>
      </c>
      <c r="H137" s="340">
        <f t="shared" si="63"/>
        <v>25585961850.311569</v>
      </c>
      <c r="I137" s="341">
        <f t="shared" si="63"/>
        <v>27366505447.7425</v>
      </c>
    </row>
    <row r="138" spans="1:9">
      <c r="A138" s="295" t="s">
        <v>237</v>
      </c>
      <c r="B138" s="296"/>
      <c r="C138" s="227"/>
      <c r="D138" s="227"/>
      <c r="E138" s="227"/>
      <c r="F138" s="227"/>
      <c r="G138" s="307"/>
      <c r="H138" s="307"/>
      <c r="I138" s="326"/>
    </row>
    <row r="139" spans="1:9">
      <c r="A139" s="295" t="s">
        <v>238</v>
      </c>
      <c r="B139" s="297">
        <v>1699137416</v>
      </c>
      <c r="C139" s="298">
        <f>B142</f>
        <v>173299377</v>
      </c>
      <c r="D139" s="298">
        <f t="shared" ref="D139:I139" si="64">C142</f>
        <v>681621351</v>
      </c>
      <c r="E139" s="298">
        <f t="shared" si="64"/>
        <v>1153040980</v>
      </c>
      <c r="F139" s="298">
        <f t="shared" si="64"/>
        <v>13865772369</v>
      </c>
      <c r="G139" s="307">
        <f t="shared" si="64"/>
        <v>164578022</v>
      </c>
      <c r="H139" s="307">
        <f t="shared" si="64"/>
        <v>1904426447.5999999</v>
      </c>
      <c r="I139" s="308">
        <f t="shared" si="64"/>
        <v>3992244558.3199997</v>
      </c>
    </row>
    <row r="140" spans="1:9">
      <c r="A140" s="295" t="s">
        <v>239</v>
      </c>
      <c r="B140" s="297">
        <v>391512221</v>
      </c>
      <c r="C140" s="298">
        <v>526463141</v>
      </c>
      <c r="D140" s="298">
        <v>1534080391</v>
      </c>
      <c r="E140" s="298">
        <v>13264278060</v>
      </c>
      <c r="F140" s="306">
        <v>1449873688</v>
      </c>
      <c r="G140" s="307">
        <f>F140*(1+G143)</f>
        <v>1739848425.5999999</v>
      </c>
      <c r="H140" s="307">
        <f t="shared" ref="H140:I140" si="65">G140*(1+H143)</f>
        <v>2087818110.7199998</v>
      </c>
      <c r="I140" s="308">
        <f t="shared" si="65"/>
        <v>2505381732.8639998</v>
      </c>
    </row>
    <row r="141" spans="1:9">
      <c r="A141" s="295" t="s">
        <v>240</v>
      </c>
      <c r="B141" s="297">
        <v>1917350260</v>
      </c>
      <c r="C141" s="298">
        <v>18141167</v>
      </c>
      <c r="D141" s="298">
        <v>1062660762</v>
      </c>
      <c r="E141" s="298">
        <v>551546671</v>
      </c>
      <c r="F141" s="306">
        <v>15151068035</v>
      </c>
      <c r="G141" s="307">
        <v>0</v>
      </c>
      <c r="H141" s="307">
        <v>0</v>
      </c>
      <c r="I141" s="308">
        <v>0</v>
      </c>
    </row>
    <row r="142" spans="1:9">
      <c r="A142" s="295" t="s">
        <v>241</v>
      </c>
      <c r="B142" s="309">
        <f t="shared" ref="B142:D142" si="66">B139+B140-B141</f>
        <v>173299377</v>
      </c>
      <c r="C142" s="310">
        <f t="shared" si="66"/>
        <v>681621351</v>
      </c>
      <c r="D142" s="310">
        <f t="shared" si="66"/>
        <v>1153040980</v>
      </c>
      <c r="E142" s="310">
        <f>E139+E140-E141</f>
        <v>13865772369</v>
      </c>
      <c r="F142" s="310">
        <f t="shared" ref="F142:I142" si="67">F139+F140-F141</f>
        <v>164578022</v>
      </c>
      <c r="G142" s="311">
        <f t="shared" si="67"/>
        <v>1904426447.5999999</v>
      </c>
      <c r="H142" s="311">
        <f t="shared" si="67"/>
        <v>3992244558.3199997</v>
      </c>
      <c r="I142" s="312">
        <f t="shared" si="67"/>
        <v>6497626291.184</v>
      </c>
    </row>
    <row r="143" spans="1:9">
      <c r="A143" s="337"/>
      <c r="B143" s="296"/>
      <c r="C143" s="227">
        <f>C140/B140-1</f>
        <v>0.34469146238988024</v>
      </c>
      <c r="D143" s="227">
        <f t="shared" ref="D143" si="68">D140/C140-1</f>
        <v>1.9139369340958288</v>
      </c>
      <c r="E143" s="227">
        <f>E140/D140-1</f>
        <v>7.6464034986807938</v>
      </c>
      <c r="F143" s="227">
        <f>F140/E140-1</f>
        <v>-0.89069335839903219</v>
      </c>
      <c r="G143" s="313">
        <v>0.2</v>
      </c>
      <c r="H143" s="228">
        <f>G143</f>
        <v>0.2</v>
      </c>
      <c r="I143" s="229">
        <f>H143</f>
        <v>0.2</v>
      </c>
    </row>
    <row r="144" spans="1:9">
      <c r="A144" s="295"/>
      <c r="B144" s="297"/>
      <c r="C144" s="298"/>
      <c r="D144" s="298"/>
      <c r="E144" s="298"/>
      <c r="F144" s="298"/>
      <c r="G144" s="307"/>
      <c r="H144" s="307"/>
      <c r="I144" s="308"/>
    </row>
    <row r="145" spans="1:9">
      <c r="A145" s="225" t="s">
        <v>242</v>
      </c>
      <c r="B145" s="297">
        <v>137937</v>
      </c>
      <c r="C145" s="298">
        <v>39827</v>
      </c>
      <c r="D145" s="298">
        <v>446</v>
      </c>
      <c r="E145" s="298">
        <v>90603485</v>
      </c>
      <c r="F145" s="299">
        <v>0</v>
      </c>
      <c r="G145" s="307">
        <f>F145</f>
        <v>0</v>
      </c>
      <c r="H145" s="307">
        <f t="shared" ref="H145:I145" si="69">G145</f>
        <v>0</v>
      </c>
      <c r="I145" s="308">
        <f t="shared" si="69"/>
        <v>0</v>
      </c>
    </row>
    <row r="146" spans="1:9">
      <c r="A146" s="295"/>
      <c r="B146" s="297"/>
      <c r="C146" s="298"/>
      <c r="D146" s="298"/>
      <c r="E146" s="298"/>
      <c r="F146" s="298"/>
      <c r="G146" s="307"/>
      <c r="H146" s="307"/>
      <c r="I146" s="308"/>
    </row>
    <row r="147" spans="1:9">
      <c r="A147" s="295" t="s">
        <v>186</v>
      </c>
      <c r="B147" s="297">
        <v>98266640</v>
      </c>
      <c r="C147" s="298">
        <v>125326640</v>
      </c>
      <c r="D147" s="298">
        <v>125326640</v>
      </c>
      <c r="E147" s="298">
        <v>38326640</v>
      </c>
      <c r="F147" s="299">
        <v>38326640</v>
      </c>
      <c r="G147" s="300">
        <f ca="1">G148*COGS!G27</f>
        <v>156260995.24610758</v>
      </c>
      <c r="H147" s="300">
        <f ca="1">H148*COGS!H27</f>
        <v>175705130.06993076</v>
      </c>
      <c r="I147" s="301">
        <f ca="1">I148*COGS!I27</f>
        <v>179333421.46049231</v>
      </c>
    </row>
    <row r="148" spans="1:9">
      <c r="A148" s="295" t="s">
        <v>243</v>
      </c>
      <c r="B148" s="302">
        <f>B147/COGS!B23</f>
        <v>1.2620820517028434E-2</v>
      </c>
      <c r="C148" s="303">
        <f>C147/COGS!C23</f>
        <v>1.5543520606854383E-2</v>
      </c>
      <c r="D148" s="303">
        <f>D147/COGS!D23</f>
        <v>1.4102418371763108E-2</v>
      </c>
      <c r="E148" s="303">
        <f>E147/COGS!E23</f>
        <v>3.261347355422369E-3</v>
      </c>
      <c r="F148" s="303">
        <f>F147/COGS!F23</f>
        <v>3.1411652972732954E-3</v>
      </c>
      <c r="G148" s="304">
        <f ca="1">G147/COGS!G23</f>
        <v>1.2620820517028434E-2</v>
      </c>
      <c r="H148" s="304">
        <f ca="1">H147/COGS!H23</f>
        <v>1.2620820517028434E-2</v>
      </c>
      <c r="I148" s="305">
        <f ca="1">I147/COGS!I23</f>
        <v>1.2620820517028434E-2</v>
      </c>
    </row>
    <row r="149" spans="1:9">
      <c r="A149" s="295"/>
      <c r="B149" s="302"/>
      <c r="C149" s="303"/>
      <c r="D149" s="303"/>
      <c r="E149" s="303"/>
      <c r="F149" s="303"/>
      <c r="G149" s="304"/>
      <c r="H149" s="304"/>
      <c r="I149" s="305"/>
    </row>
    <row r="150" spans="1:9">
      <c r="A150" s="295" t="s">
        <v>244</v>
      </c>
      <c r="B150" s="297"/>
      <c r="C150" s="298"/>
      <c r="D150" s="298"/>
      <c r="E150" s="298"/>
      <c r="F150" s="298"/>
      <c r="G150" s="307"/>
      <c r="H150" s="307"/>
      <c r="I150" s="308"/>
    </row>
    <row r="151" spans="1:9">
      <c r="A151" s="295" t="s">
        <v>245</v>
      </c>
      <c r="B151" s="297">
        <v>476749671</v>
      </c>
      <c r="C151" s="298">
        <v>2156011898</v>
      </c>
      <c r="D151" s="298">
        <v>3062824000</v>
      </c>
      <c r="E151" s="298">
        <v>3655622685</v>
      </c>
      <c r="F151" s="306">
        <v>3691839635</v>
      </c>
      <c r="G151" s="307">
        <f>F154</f>
        <v>3691839635</v>
      </c>
      <c r="H151" s="307">
        <f t="shared" ref="H151:I151" si="70">G154</f>
        <v>3691839635</v>
      </c>
      <c r="I151" s="308">
        <f t="shared" si="70"/>
        <v>3691839635</v>
      </c>
    </row>
    <row r="152" spans="1:9">
      <c r="A152" s="295" t="s">
        <v>146</v>
      </c>
      <c r="B152" s="297">
        <v>1256405877</v>
      </c>
      <c r="C152" s="298">
        <v>906812102</v>
      </c>
      <c r="D152" s="298">
        <v>592798685</v>
      </c>
      <c r="E152" s="298">
        <v>36216950</v>
      </c>
      <c r="F152" s="298">
        <v>0</v>
      </c>
      <c r="G152" s="300">
        <f>F152</f>
        <v>0</v>
      </c>
      <c r="H152" s="300">
        <f t="shared" ref="H152:I153" si="71">G152</f>
        <v>0</v>
      </c>
      <c r="I152" s="301">
        <f t="shared" si="71"/>
        <v>0</v>
      </c>
    </row>
    <row r="153" spans="1:9">
      <c r="A153" s="295" t="s">
        <v>246</v>
      </c>
      <c r="B153" s="297">
        <v>422856350</v>
      </c>
      <c r="C153" s="298">
        <v>0</v>
      </c>
      <c r="D153" s="298">
        <v>0</v>
      </c>
      <c r="E153" s="298">
        <v>0</v>
      </c>
      <c r="F153" s="348">
        <v>0</v>
      </c>
      <c r="G153" s="300">
        <f>F153</f>
        <v>0</v>
      </c>
      <c r="H153" s="300">
        <f t="shared" si="71"/>
        <v>0</v>
      </c>
      <c r="I153" s="301">
        <f t="shared" si="71"/>
        <v>0</v>
      </c>
    </row>
    <row r="154" spans="1:9">
      <c r="A154" s="295"/>
      <c r="B154" s="309">
        <f t="shared" ref="B154:D154" si="72">SUM(B151:B153)</f>
        <v>2156011898</v>
      </c>
      <c r="C154" s="310">
        <f t="shared" si="72"/>
        <v>3062824000</v>
      </c>
      <c r="D154" s="310">
        <f t="shared" si="72"/>
        <v>3655622685</v>
      </c>
      <c r="E154" s="310">
        <f>SUM(E151:E153)</f>
        <v>3691839635</v>
      </c>
      <c r="F154" s="310">
        <f t="shared" ref="F154:H154" si="73">SUM(F151:F153)</f>
        <v>3691839635</v>
      </c>
      <c r="G154" s="311">
        <f t="shared" si="73"/>
        <v>3691839635</v>
      </c>
      <c r="H154" s="311">
        <f t="shared" si="73"/>
        <v>3691839635</v>
      </c>
      <c r="I154" s="312">
        <f>SUM(I151:I153)</f>
        <v>3691839635</v>
      </c>
    </row>
    <row r="155" spans="1:9">
      <c r="A155" s="295"/>
      <c r="B155" s="226"/>
      <c r="C155" s="298"/>
      <c r="D155" s="298"/>
      <c r="E155" s="298"/>
      <c r="F155" s="324"/>
      <c r="G155" s="325"/>
      <c r="H155" s="325"/>
      <c r="I155" s="326"/>
    </row>
    <row r="156" spans="1:9">
      <c r="A156" s="295" t="s">
        <v>91</v>
      </c>
      <c r="B156" s="297"/>
      <c r="C156" s="298"/>
      <c r="D156" s="298"/>
      <c r="E156" s="298"/>
      <c r="F156" s="298"/>
      <c r="G156" s="307"/>
      <c r="H156" s="307"/>
      <c r="I156" s="308"/>
    </row>
    <row r="157" spans="1:9">
      <c r="A157" s="295" t="s">
        <v>247</v>
      </c>
      <c r="B157" s="297"/>
      <c r="C157" s="298"/>
      <c r="D157" s="298"/>
      <c r="E157" s="298"/>
      <c r="F157" s="298"/>
      <c r="G157" s="307"/>
      <c r="H157" s="307"/>
      <c r="I157" s="308"/>
    </row>
    <row r="158" spans="1:9">
      <c r="A158" s="295" t="s">
        <v>248</v>
      </c>
      <c r="B158" s="297">
        <v>767176712</v>
      </c>
      <c r="C158" s="298">
        <v>543164194</v>
      </c>
      <c r="D158" s="298">
        <v>1219139487</v>
      </c>
      <c r="E158" s="298">
        <v>299623915</v>
      </c>
      <c r="F158" s="298">
        <v>992974383</v>
      </c>
      <c r="G158" s="307"/>
      <c r="H158" s="307"/>
      <c r="I158" s="308"/>
    </row>
    <row r="159" spans="1:9">
      <c r="A159" s="295" t="s">
        <v>249</v>
      </c>
      <c r="B159" s="297">
        <v>663483084</v>
      </c>
      <c r="C159" s="298">
        <v>764131793</v>
      </c>
      <c r="D159" s="298">
        <v>867667692</v>
      </c>
      <c r="E159" s="298">
        <v>1077087821</v>
      </c>
      <c r="F159" s="306">
        <v>1215887012</v>
      </c>
      <c r="G159" s="325"/>
      <c r="H159" s="325"/>
      <c r="I159" s="326"/>
    </row>
    <row r="160" spans="1:9">
      <c r="A160" s="295" t="s">
        <v>250</v>
      </c>
      <c r="B160" s="297">
        <v>21989449</v>
      </c>
      <c r="C160" s="298">
        <v>25880575</v>
      </c>
      <c r="D160" s="298">
        <v>32723970</v>
      </c>
      <c r="E160" s="298">
        <v>34216053</v>
      </c>
      <c r="F160" s="306">
        <v>41295042</v>
      </c>
      <c r="G160" s="325"/>
      <c r="H160" s="325"/>
      <c r="I160" s="326"/>
    </row>
    <row r="161" spans="1:9">
      <c r="A161" s="295"/>
      <c r="B161" s="342">
        <f t="shared" ref="B161:E161" si="74">SUM(B158:B160)</f>
        <v>1452649245</v>
      </c>
      <c r="C161" s="343">
        <f t="shared" si="74"/>
        <v>1333176562</v>
      </c>
      <c r="D161" s="343">
        <f t="shared" si="74"/>
        <v>2119531149</v>
      </c>
      <c r="E161" s="343">
        <f t="shared" si="74"/>
        <v>1410927789</v>
      </c>
      <c r="F161" s="343">
        <f>SUM(F158:F160)</f>
        <v>2250156437</v>
      </c>
      <c r="G161" s="344">
        <f>F161*(1+G162)</f>
        <v>2542269635.2934999</v>
      </c>
      <c r="H161" s="344">
        <f>G161*(1+H162)</f>
        <v>2885628860.930923</v>
      </c>
      <c r="I161" s="345">
        <f>H161*(1+I162)</f>
        <v>3296485169.3267822</v>
      </c>
    </row>
    <row r="162" spans="1:9" ht="15" hidden="1" customHeight="1">
      <c r="A162" s="295" t="s">
        <v>251</v>
      </c>
      <c r="B162" s="296">
        <f>B161/'[1]Sales&amp;Dispatches'!B12</f>
        <v>0.10361380498107282</v>
      </c>
      <c r="C162" s="227">
        <f>C161/'[1]Sales&amp;Dispatches'!C12</f>
        <v>9.8459864928001697E-2</v>
      </c>
      <c r="D162" s="227">
        <f>D161/'[1]Sales&amp;Dispatches'!D12</f>
        <v>0.1577167874421454</v>
      </c>
      <c r="E162" s="227">
        <f>E161/'[1]Sales&amp;Dispatches'!E12</f>
        <v>9.0180203772428913E-2</v>
      </c>
      <c r="F162" s="227">
        <f>F161/'[1]Sales&amp;Dispatches'!F12</f>
        <v>0.19912464951830131</v>
      </c>
      <c r="G162" s="313">
        <f>AVERAGE(B162:F162)</f>
        <v>0.12981906212839003</v>
      </c>
      <c r="H162" s="313">
        <f t="shared" ref="H162:I162" si="75">AVERAGE(C162:G162)</f>
        <v>0.13506011355785347</v>
      </c>
      <c r="I162" s="314">
        <f t="shared" si="75"/>
        <v>0.14238016328382383</v>
      </c>
    </row>
    <row r="163" spans="1:9">
      <c r="A163" s="295"/>
      <c r="B163" s="297"/>
      <c r="C163" s="298"/>
      <c r="D163" s="298"/>
      <c r="E163" s="298"/>
      <c r="F163" s="298"/>
      <c r="G163" s="307"/>
      <c r="H163" s="307"/>
      <c r="I163" s="308"/>
    </row>
    <row r="164" spans="1:9">
      <c r="A164" s="295" t="s">
        <v>252</v>
      </c>
      <c r="B164" s="297"/>
      <c r="C164" s="298"/>
      <c r="D164" s="298"/>
      <c r="E164" s="298"/>
      <c r="F164" s="298"/>
      <c r="G164" s="307"/>
      <c r="H164" s="307"/>
      <c r="I164" s="308"/>
    </row>
    <row r="165" spans="1:9">
      <c r="A165" s="295" t="s">
        <v>253</v>
      </c>
      <c r="B165" s="297">
        <v>22266462</v>
      </c>
      <c r="C165" s="298">
        <v>12942787</v>
      </c>
      <c r="D165" s="298">
        <v>5762269</v>
      </c>
      <c r="E165" s="298">
        <v>4820140</v>
      </c>
      <c r="F165" s="306">
        <v>6980341</v>
      </c>
      <c r="G165" s="307">
        <f t="shared" ref="G165:I168" si="76">F165*(1+G170)</f>
        <v>7095591.0532738054</v>
      </c>
      <c r="H165" s="307">
        <f t="shared" si="76"/>
        <v>7212743.9612619597</v>
      </c>
      <c r="I165" s="308">
        <f t="shared" si="76"/>
        <v>7331831.1413561357</v>
      </c>
    </row>
    <row r="166" spans="1:9">
      <c r="A166" s="295" t="s">
        <v>254</v>
      </c>
      <c r="B166" s="297">
        <v>76232958</v>
      </c>
      <c r="C166" s="298">
        <v>65631791</v>
      </c>
      <c r="D166" s="298">
        <v>69124873</v>
      </c>
      <c r="E166" s="298">
        <v>30961693</v>
      </c>
      <c r="F166" s="306">
        <v>98172432</v>
      </c>
      <c r="G166" s="307">
        <f t="shared" si="76"/>
        <v>106587941.4705985</v>
      </c>
      <c r="H166" s="307">
        <f t="shared" si="76"/>
        <v>115724842.86566041</v>
      </c>
      <c r="I166" s="308">
        <f t="shared" si="76"/>
        <v>125644975.13985617</v>
      </c>
    </row>
    <row r="167" spans="1:9">
      <c r="A167" s="295" t="s">
        <v>7</v>
      </c>
      <c r="B167" s="297">
        <v>405860370</v>
      </c>
      <c r="C167" s="298">
        <v>703144382</v>
      </c>
      <c r="D167" s="298">
        <v>491773853</v>
      </c>
      <c r="E167" s="298">
        <v>592673300</v>
      </c>
      <c r="F167" s="306">
        <v>664762089</v>
      </c>
      <c r="G167" s="307">
        <f t="shared" si="76"/>
        <v>704592682.39286661</v>
      </c>
      <c r="H167" s="307">
        <f t="shared" si="76"/>
        <v>747907650.43325734</v>
      </c>
      <c r="I167" s="308">
        <f t="shared" si="76"/>
        <v>790036435.77060235</v>
      </c>
    </row>
    <row r="168" spans="1:9">
      <c r="A168" s="295" t="s">
        <v>9</v>
      </c>
      <c r="B168" s="297">
        <v>124546558</v>
      </c>
      <c r="C168" s="298">
        <v>167423321</v>
      </c>
      <c r="D168" s="298">
        <v>92067529</v>
      </c>
      <c r="E168" s="298">
        <v>80776779</v>
      </c>
      <c r="F168" s="306">
        <v>246109361</v>
      </c>
      <c r="G168" s="307">
        <f t="shared" si="76"/>
        <v>249820859.14836231</v>
      </c>
      <c r="H168" s="307">
        <f t="shared" si="76"/>
        <v>253517414.98177263</v>
      </c>
      <c r="I168" s="308">
        <f t="shared" si="76"/>
        <v>256925677.77296066</v>
      </c>
    </row>
    <row r="169" spans="1:9">
      <c r="A169" s="295"/>
      <c r="B169" s="309">
        <f t="array" ref="B169">SUM(B165:B168)</f>
        <v>628906348</v>
      </c>
      <c r="C169" s="310">
        <f t="array" ref="C169">SUM(C165:C168)</f>
        <v>949142281</v>
      </c>
      <c r="D169" s="310">
        <f t="array" ref="D169">SUM(D165:D168)</f>
        <v>658728524</v>
      </c>
      <c r="E169" s="310">
        <f t="array" ref="E169">SUM(E165:E168)</f>
        <v>709231912</v>
      </c>
      <c r="F169" s="310">
        <f t="array" ref="F169">SUM(F165:F168)</f>
        <v>1016024223</v>
      </c>
      <c r="G169" s="311">
        <f t="array" ref="G169">SUM(G165:G168)</f>
        <v>1068097074.0651013</v>
      </c>
      <c r="H169" s="311">
        <f t="array" ref="H169">SUM(H165:H168)</f>
        <v>1124362652.2419524</v>
      </c>
      <c r="I169" s="312">
        <f t="array" ref="I169">SUM(I165:I168)</f>
        <v>1179938919.8247752</v>
      </c>
    </row>
    <row r="170" spans="1:9" ht="15" hidden="1" customHeight="1">
      <c r="A170" s="295" t="s">
        <v>255</v>
      </c>
      <c r="B170" s="296">
        <f>B165/[1]COGS!B5</f>
        <v>3.6964749873595992E-2</v>
      </c>
      <c r="C170" s="227">
        <f>C165/[1]COGS!C5</f>
        <v>2.0408073742176444E-2</v>
      </c>
      <c r="D170" s="227">
        <f>D165/[1]COGS!D5</f>
        <v>9.2561722574651603E-3</v>
      </c>
      <c r="E170" s="227">
        <f>E165/[1]COGS!E5</f>
        <v>6.5453858196651109E-3</v>
      </c>
      <c r="F170" s="227">
        <f>F165/[1]COGS!F5</f>
        <v>9.378930010497586E-3</v>
      </c>
      <c r="G170" s="313">
        <f>AVERAGE(B170:F170)</f>
        <v>1.6510662340680056E-2</v>
      </c>
      <c r="H170" s="313">
        <f t="shared" ref="H170:I171" si="77">G170</f>
        <v>1.6510662340680056E-2</v>
      </c>
      <c r="I170" s="314">
        <f t="shared" si="77"/>
        <v>1.6510662340680056E-2</v>
      </c>
    </row>
    <row r="171" spans="1:9" ht="15" hidden="1" customHeight="1">
      <c r="A171" s="295" t="s">
        <v>256</v>
      </c>
      <c r="B171" s="296">
        <f>B166/[1]COGS!B6</f>
        <v>8.732872113452568E-2</v>
      </c>
      <c r="C171" s="227">
        <f>C166/[1]COGS!C6</f>
        <v>9.4557225979981396E-2</v>
      </c>
      <c r="D171" s="227">
        <f>D166/[1]COGS!D6</f>
        <v>8.8551257755616827E-2</v>
      </c>
      <c r="E171" s="227">
        <f>E166/[1]COGS!E6</f>
        <v>2.7344500678960122E-2</v>
      </c>
      <c r="F171" s="227">
        <f>F166/[1]COGS!F6</f>
        <v>8.5721717381907162E-2</v>
      </c>
      <c r="G171" s="313">
        <f>F171</f>
        <v>8.5721717381907162E-2</v>
      </c>
      <c r="H171" s="313">
        <f t="shared" si="77"/>
        <v>8.5721717381907162E-2</v>
      </c>
      <c r="I171" s="314">
        <f t="shared" si="77"/>
        <v>8.5721717381907162E-2</v>
      </c>
    </row>
    <row r="172" spans="1:9" ht="15" hidden="1" customHeight="1">
      <c r="A172" s="295" t="s">
        <v>257</v>
      </c>
      <c r="B172" s="296">
        <f>B167/[1]COGS!B20</f>
        <v>5.2126447843792674E-2</v>
      </c>
      <c r="C172" s="227">
        <f>C167/[1]COGS!C20</f>
        <v>8.7206831613860308E-2</v>
      </c>
      <c r="D172" s="227">
        <f>D167/[1]COGS!D20</f>
        <v>5.5337002725836505E-2</v>
      </c>
      <c r="E172" s="227">
        <f>E167/[1]COGS!E20</f>
        <v>5.0432636400802373E-2</v>
      </c>
      <c r="F172" s="227">
        <f>F167/[1]COGS!F20</f>
        <v>5.4482407143169917E-2</v>
      </c>
      <c r="G172" s="313">
        <f>AVERAGE(B172:F172)</f>
        <v>5.9917065145492353E-2</v>
      </c>
      <c r="H172" s="313">
        <f t="shared" ref="H172:I173" si="78">AVERAGE(C172:G172)</f>
        <v>6.1475188605832287E-2</v>
      </c>
      <c r="I172" s="314">
        <f t="shared" si="78"/>
        <v>5.632886000422669E-2</v>
      </c>
    </row>
    <row r="173" spans="1:9" ht="15" hidden="1" customHeight="1">
      <c r="A173" s="295" t="s">
        <v>258</v>
      </c>
      <c r="B173" s="296">
        <f>B168/[1]COGS!B24</f>
        <v>1.6499988752141627E-2</v>
      </c>
      <c r="C173" s="227">
        <f>C168/[1]COGS!C24</f>
        <v>2.1561456873090728E-2</v>
      </c>
      <c r="D173" s="227">
        <f>D168/[1]COGS!D24</f>
        <v>1.0118432046980225E-2</v>
      </c>
      <c r="E173" s="227">
        <f>E168/[1]COGS!E24</f>
        <v>6.9331044513573333E-3</v>
      </c>
      <c r="F173" s="227">
        <f>F168/[1]COGS!F24</f>
        <v>2.0290450994163555E-2</v>
      </c>
      <c r="G173" s="313">
        <f>AVERAGE(B173:F173)</f>
        <v>1.5080686623546693E-2</v>
      </c>
      <c r="H173" s="313">
        <f t="shared" si="78"/>
        <v>1.4796826197827708E-2</v>
      </c>
      <c r="I173" s="314">
        <f t="shared" si="78"/>
        <v>1.3443900062775105E-2</v>
      </c>
    </row>
    <row r="174" spans="1:9">
      <c r="A174" s="295"/>
      <c r="B174" s="296"/>
      <c r="C174" s="227"/>
      <c r="D174" s="227"/>
      <c r="E174" s="227"/>
      <c r="F174" s="227"/>
      <c r="G174" s="313"/>
      <c r="H174" s="313"/>
      <c r="I174" s="314"/>
    </row>
    <row r="175" spans="1:9">
      <c r="A175" s="295" t="s">
        <v>259</v>
      </c>
      <c r="B175" s="296"/>
      <c r="C175" s="227"/>
      <c r="D175" s="227"/>
      <c r="E175" s="227"/>
      <c r="F175" s="227"/>
      <c r="G175" s="307"/>
      <c r="H175" s="307"/>
      <c r="I175" s="308"/>
    </row>
    <row r="176" spans="1:9">
      <c r="A176" s="295" t="s">
        <v>260</v>
      </c>
      <c r="B176" s="297">
        <v>258810589</v>
      </c>
      <c r="C176" s="298">
        <v>343775970</v>
      </c>
      <c r="D176" s="298">
        <v>645524139</v>
      </c>
      <c r="E176" s="298">
        <v>728250425</v>
      </c>
      <c r="F176" s="298">
        <v>517295077</v>
      </c>
      <c r="G176" s="307">
        <f>G179*'Sales &amp; Dispatches'!G15</f>
        <v>978489819.22380078</v>
      </c>
      <c r="H176" s="307">
        <f>H179*'Sales &amp; Dispatches'!H15</f>
        <v>1139585203.4017565</v>
      </c>
      <c r="I176" s="308">
        <f>I179*'Sales &amp; Dispatches'!I15</f>
        <v>1325746895.6300297</v>
      </c>
    </row>
    <row r="177" spans="1:9">
      <c r="A177" s="295" t="s">
        <v>261</v>
      </c>
      <c r="B177" s="297">
        <v>0</v>
      </c>
      <c r="C177" s="298">
        <v>0</v>
      </c>
      <c r="D177" s="298">
        <v>0</v>
      </c>
      <c r="E177" s="298">
        <v>14189922</v>
      </c>
      <c r="F177" s="306">
        <v>22979871</v>
      </c>
      <c r="G177" s="300">
        <f>G184</f>
        <v>39606504.405978516</v>
      </c>
      <c r="H177" s="300">
        <f t="shared" ref="H177:I177" si="79">H184</f>
        <v>58970492.706714012</v>
      </c>
      <c r="I177" s="301">
        <f t="shared" si="79"/>
        <v>81497766.051509991</v>
      </c>
    </row>
    <row r="178" spans="1:9">
      <c r="A178" s="295"/>
      <c r="B178" s="342">
        <f t="shared" ref="B178:E178" si="80">B176-B177</f>
        <v>258810589</v>
      </c>
      <c r="C178" s="343">
        <f t="shared" si="80"/>
        <v>343775970</v>
      </c>
      <c r="D178" s="343">
        <f t="shared" si="80"/>
        <v>645524139</v>
      </c>
      <c r="E178" s="343">
        <f t="shared" si="80"/>
        <v>714060503</v>
      </c>
      <c r="F178" s="343">
        <f>F176-F177</f>
        <v>494315206</v>
      </c>
      <c r="G178" s="344">
        <f t="shared" ref="G178:I178" si="81">G176-G177</f>
        <v>938883314.81782222</v>
      </c>
      <c r="H178" s="344">
        <f t="shared" si="81"/>
        <v>1080614710.6950426</v>
      </c>
      <c r="I178" s="345">
        <f t="shared" si="81"/>
        <v>1244249129.5785196</v>
      </c>
    </row>
    <row r="179" spans="1:9" ht="15" hidden="1" customHeight="1">
      <c r="A179" s="295" t="s">
        <v>262</v>
      </c>
      <c r="B179" s="296">
        <f>B176/'[1]Sales&amp;Dispatches'!B12</f>
        <v>1.8460306221879868E-2</v>
      </c>
      <c r="C179" s="227">
        <f>C176/'[1]Sales&amp;Dispatches'!C12</f>
        <v>2.5389086889522412E-2</v>
      </c>
      <c r="D179" s="227">
        <f>D176/'[1]Sales&amp;Dispatches'!D12</f>
        <v>4.8034204860575476E-2</v>
      </c>
      <c r="E179" s="227">
        <f>E176/'[1]Sales&amp;Dispatches'!E12</f>
        <v>4.65465151624836E-2</v>
      </c>
      <c r="F179" s="227">
        <f>F176/'[1]Sales&amp;Dispatches'!F12</f>
        <v>4.5777350948318841E-2</v>
      </c>
      <c r="G179" s="313">
        <f>F179</f>
        <v>4.5777350948318841E-2</v>
      </c>
      <c r="H179" s="313">
        <f t="shared" ref="H179:I179" si="82">G179</f>
        <v>4.5777350948318841E-2</v>
      </c>
      <c r="I179" s="314">
        <f t="shared" si="82"/>
        <v>4.5777350948318841E-2</v>
      </c>
    </row>
    <row r="180" spans="1:9">
      <c r="A180" s="295"/>
      <c r="B180" s="296"/>
      <c r="C180" s="227"/>
      <c r="D180" s="227"/>
      <c r="E180" s="227"/>
      <c r="F180" s="227"/>
      <c r="G180" s="313"/>
      <c r="H180" s="313"/>
      <c r="I180" s="314"/>
    </row>
    <row r="181" spans="1:9">
      <c r="A181" s="225" t="s">
        <v>263</v>
      </c>
      <c r="B181" s="297"/>
      <c r="C181" s="298"/>
      <c r="D181" s="298"/>
      <c r="E181" s="349"/>
      <c r="F181" s="324"/>
      <c r="G181" s="325"/>
      <c r="H181" s="325"/>
      <c r="I181" s="326"/>
    </row>
    <row r="182" spans="1:9">
      <c r="A182" s="225" t="s">
        <v>264</v>
      </c>
      <c r="B182" s="297">
        <v>0</v>
      </c>
      <c r="C182" s="298">
        <v>0</v>
      </c>
      <c r="D182" s="298">
        <v>0</v>
      </c>
      <c r="E182" s="349">
        <v>0</v>
      </c>
      <c r="F182" s="306">
        <v>14189922</v>
      </c>
      <c r="G182" s="335">
        <f>F184</f>
        <v>22979871</v>
      </c>
      <c r="H182" s="335">
        <f t="shared" ref="H182:I182" si="83">G184</f>
        <v>39606504.405978516</v>
      </c>
      <c r="I182" s="336">
        <f t="shared" si="83"/>
        <v>58970492.706714012</v>
      </c>
    </row>
    <row r="183" spans="1:9">
      <c r="A183" s="225" t="s">
        <v>265</v>
      </c>
      <c r="B183" s="297">
        <v>0</v>
      </c>
      <c r="C183" s="298">
        <v>0</v>
      </c>
      <c r="D183" s="298">
        <v>0</v>
      </c>
      <c r="E183" s="306">
        <v>14189922</v>
      </c>
      <c r="F183" s="306">
        <v>8789949</v>
      </c>
      <c r="G183" s="335">
        <f>G185*G176</f>
        <v>16626633.405978518</v>
      </c>
      <c r="H183" s="335">
        <f t="shared" ref="H183:I183" si="84">H185*H176</f>
        <v>19363988.300735496</v>
      </c>
      <c r="I183" s="336">
        <f t="shared" si="84"/>
        <v>22527273.34479598</v>
      </c>
    </row>
    <row r="184" spans="1:9">
      <c r="A184" s="225" t="s">
        <v>266</v>
      </c>
      <c r="B184" s="350">
        <f t="array" ref="B184">SUM(B182:B183)</f>
        <v>0</v>
      </c>
      <c r="C184" s="351">
        <f t="array" ref="C184">SUM(C182:C183)</f>
        <v>0</v>
      </c>
      <c r="D184" s="351">
        <f t="array" ref="D184">SUM(D182:D183)</f>
        <v>0</v>
      </c>
      <c r="E184" s="343">
        <f t="array" ref="E184">SUM(E182:E183)</f>
        <v>14189922</v>
      </c>
      <c r="F184" s="343">
        <f t="array" ref="F184">SUM(F182:F183)</f>
        <v>22979871</v>
      </c>
      <c r="G184" s="344">
        <f t="array" ref="G184">SUM(G182:G183)</f>
        <v>39606504.405978516</v>
      </c>
      <c r="H184" s="344">
        <f t="array" ref="H184">SUM(H182:H183)</f>
        <v>58970492.706714012</v>
      </c>
      <c r="I184" s="345">
        <f t="array" ref="I184">SUM(I182:I183)</f>
        <v>81497766.051509991</v>
      </c>
    </row>
    <row r="185" spans="1:9">
      <c r="A185" s="225" t="s">
        <v>267</v>
      </c>
      <c r="B185" s="296">
        <f t="shared" ref="B185:E185" si="85">B183/B176</f>
        <v>0</v>
      </c>
      <c r="C185" s="227">
        <f t="shared" si="85"/>
        <v>0</v>
      </c>
      <c r="D185" s="227">
        <f t="shared" si="85"/>
        <v>0</v>
      </c>
      <c r="E185" s="227">
        <f t="shared" si="85"/>
        <v>1.9484948463984762E-2</v>
      </c>
      <c r="F185" s="227">
        <f>F183/F176</f>
        <v>1.699213735219831E-2</v>
      </c>
      <c r="G185" s="228">
        <f>F185</f>
        <v>1.699213735219831E-2</v>
      </c>
      <c r="H185" s="228">
        <f t="shared" ref="H185:I185" si="86">G185</f>
        <v>1.699213735219831E-2</v>
      </c>
      <c r="I185" s="229">
        <f t="shared" si="86"/>
        <v>1.699213735219831E-2</v>
      </c>
    </row>
    <row r="186" spans="1:9">
      <c r="A186" s="295"/>
      <c r="B186" s="297"/>
      <c r="C186" s="298"/>
      <c r="D186" s="298"/>
      <c r="E186" s="349"/>
      <c r="F186" s="349"/>
      <c r="G186" s="325"/>
      <c r="H186" s="325"/>
      <c r="I186" s="326"/>
    </row>
    <row r="187" spans="1:9">
      <c r="A187" s="295" t="s">
        <v>268</v>
      </c>
      <c r="B187" s="297">
        <v>5563776412</v>
      </c>
      <c r="C187" s="298">
        <v>5219113317</v>
      </c>
      <c r="D187" s="298">
        <v>5159792050</v>
      </c>
      <c r="E187" s="298">
        <v>1947138780</v>
      </c>
      <c r="F187" s="306">
        <v>160130600</v>
      </c>
      <c r="G187" s="307">
        <f>F187*(1+G188)</f>
        <v>95529622.935944825</v>
      </c>
      <c r="H187" s="307">
        <f t="shared" ref="H187:I187" si="87">G187*(1+H188)</f>
        <v>56990411.940527268</v>
      </c>
      <c r="I187" s="308">
        <f t="shared" si="87"/>
        <v>33998951.87829645</v>
      </c>
    </row>
    <row r="188" spans="1:9">
      <c r="A188" s="295"/>
      <c r="B188" s="297"/>
      <c r="C188" s="227">
        <f t="shared" ref="C188:E188" si="88">C187/B187-1</f>
        <v>-6.1947689748392376E-2</v>
      </c>
      <c r="D188" s="227">
        <f t="shared" si="88"/>
        <v>-1.1366158080295952E-2</v>
      </c>
      <c r="E188" s="227">
        <f t="shared" si="88"/>
        <v>-0.62263231519184958</v>
      </c>
      <c r="F188" s="227">
        <f>F187/E187-1</f>
        <v>-0.91776107504776827</v>
      </c>
      <c r="G188" s="313">
        <f>AVERAGE(C188:F188)</f>
        <v>-0.40342680951707655</v>
      </c>
      <c r="H188" s="313">
        <f>G188</f>
        <v>-0.40342680951707655</v>
      </c>
      <c r="I188" s="314">
        <f>H188</f>
        <v>-0.40342680951707655</v>
      </c>
    </row>
    <row r="189" spans="1:9">
      <c r="A189" s="295"/>
      <c r="B189" s="297"/>
      <c r="C189" s="298"/>
      <c r="D189" s="298"/>
      <c r="E189" s="298"/>
      <c r="F189" s="298"/>
      <c r="G189" s="307"/>
      <c r="H189" s="307"/>
      <c r="I189" s="308"/>
    </row>
    <row r="190" spans="1:9">
      <c r="A190" s="225" t="s">
        <v>269</v>
      </c>
      <c r="B190" s="297">
        <v>693851340</v>
      </c>
      <c r="C190" s="298">
        <v>587907314</v>
      </c>
      <c r="D190" s="298">
        <v>887836716</v>
      </c>
      <c r="E190" s="298">
        <v>391017347</v>
      </c>
      <c r="F190" s="298">
        <v>425391226</v>
      </c>
      <c r="G190" s="307">
        <f>G191*'Sales &amp; Dispatches'!G15</f>
        <v>947386923.24243462</v>
      </c>
      <c r="H190" s="307">
        <f>H191*'Sales &amp; Dispatches'!H15</f>
        <v>1077629001.4716773</v>
      </c>
      <c r="I190" s="308">
        <f>I191*'Sales &amp; Dispatches'!I15</f>
        <v>1252913689.8368928</v>
      </c>
    </row>
    <row r="191" spans="1:9" ht="15" hidden="1" customHeight="1">
      <c r="A191" s="225" t="s">
        <v>92</v>
      </c>
      <c r="B191" s="296">
        <f>B190/'[1]Sales&amp;Dispatches'!B12</f>
        <v>4.9490665194002872E-2</v>
      </c>
      <c r="C191" s="227">
        <f>C190/'[1]Sales&amp;Dispatches'!C12</f>
        <v>4.3419061193054699E-2</v>
      </c>
      <c r="D191" s="227">
        <f>D190/'[1]Sales&amp;Dispatches'!D12</f>
        <v>6.6064966625647079E-2</v>
      </c>
      <c r="E191" s="227">
        <f>E190/'[1]Sales&amp;Dispatches'!E12</f>
        <v>2.4992082731609268E-2</v>
      </c>
      <c r="F191" s="227">
        <f>F190/'[1]Sales&amp;Dispatches'!F12</f>
        <v>3.7644439912072877E-2</v>
      </c>
      <c r="G191" s="228">
        <f>AVERAGE(B191:F191)</f>
        <v>4.4322243131277361E-2</v>
      </c>
      <c r="H191" s="228">
        <f t="shared" ref="H191:I191" si="89">AVERAGE(C191:G191)</f>
        <v>4.3288558718732259E-2</v>
      </c>
      <c r="I191" s="229">
        <f t="shared" si="89"/>
        <v>4.3262458223867775E-2</v>
      </c>
    </row>
    <row r="192" spans="1:9">
      <c r="A192" s="295"/>
      <c r="B192" s="297"/>
      <c r="C192" s="298"/>
      <c r="D192" s="298"/>
      <c r="E192" s="298"/>
      <c r="F192" s="298"/>
      <c r="G192" s="307"/>
      <c r="H192" s="307"/>
      <c r="I192" s="308"/>
    </row>
    <row r="193" spans="1:9">
      <c r="A193" s="295" t="s">
        <v>270</v>
      </c>
      <c r="B193" s="297">
        <v>146747362</v>
      </c>
      <c r="C193" s="298">
        <v>0</v>
      </c>
      <c r="D193" s="298">
        <v>111221602</v>
      </c>
      <c r="E193" s="298">
        <v>0</v>
      </c>
      <c r="F193" s="298">
        <v>120432026</v>
      </c>
      <c r="G193" s="307">
        <v>0</v>
      </c>
      <c r="H193" s="307">
        <v>0</v>
      </c>
      <c r="I193" s="308">
        <v>0</v>
      </c>
    </row>
    <row r="194" spans="1:9">
      <c r="A194" s="295"/>
      <c r="B194" s="297"/>
      <c r="C194" s="298"/>
      <c r="D194" s="298"/>
      <c r="E194" s="298"/>
      <c r="F194" s="298"/>
      <c r="G194" s="307"/>
      <c r="H194" s="307"/>
      <c r="I194" s="308"/>
    </row>
    <row r="195" spans="1:9">
      <c r="A195" s="225" t="s">
        <v>271</v>
      </c>
      <c r="B195" s="352">
        <v>473634909</v>
      </c>
      <c r="C195" s="353">
        <v>495658567</v>
      </c>
      <c r="D195" s="353">
        <v>824427690</v>
      </c>
      <c r="E195" s="353">
        <v>433886023</v>
      </c>
      <c r="F195" s="354">
        <v>891606087</v>
      </c>
      <c r="G195" s="307"/>
      <c r="H195" s="307"/>
      <c r="I195" s="308"/>
    </row>
    <row r="196" spans="1:9" hidden="1">
      <c r="A196" s="225" t="s">
        <v>272</v>
      </c>
      <c r="B196" s="296">
        <f>B195/SUM([1]BS!B42:B47)</f>
        <v>5.4162255116300469E-2</v>
      </c>
      <c r="C196" s="227">
        <f>C195/SUM([1]BS!C42:C47)</f>
        <v>5.8775261680148301E-2</v>
      </c>
      <c r="D196" s="227">
        <f>D195/SUM([1]BS!D42:D47)</f>
        <v>8.6033513803612613E-2</v>
      </c>
      <c r="E196" s="227">
        <f>E195/SUM([1]BS!E42:E47)</f>
        <v>8.388523866671449E-2</v>
      </c>
      <c r="F196" s="227">
        <f>F195/SUM([1]BS!F42:F47)</f>
        <v>0.19962299886793441</v>
      </c>
      <c r="G196" s="313">
        <f t="array" ref="G196">AVERAGE(B196:F196)</f>
        <v>9.649585362694206E-2</v>
      </c>
      <c r="H196" s="313">
        <f t="array" ref="H196">AVERAGE(C196:G196)</f>
        <v>0.10496257332907037</v>
      </c>
      <c r="I196" s="314">
        <f t="array" ref="I196">AVERAGE(D196:H196)</f>
        <v>0.1142000356588548</v>
      </c>
    </row>
    <row r="197" spans="1:9">
      <c r="A197" s="295"/>
      <c r="B197" s="226"/>
      <c r="C197" s="324"/>
      <c r="D197" s="324"/>
      <c r="E197" s="324"/>
      <c r="F197" s="324"/>
      <c r="G197" s="325"/>
      <c r="H197" s="325"/>
      <c r="I197" s="326"/>
    </row>
    <row r="198" spans="1:9" ht="15.75" thickBot="1">
      <c r="A198" s="355"/>
      <c r="B198" s="230"/>
      <c r="C198" s="356"/>
      <c r="D198" s="356"/>
      <c r="E198" s="356"/>
      <c r="F198" s="356"/>
      <c r="G198" s="357"/>
      <c r="H198" s="357"/>
      <c r="I198" s="358"/>
    </row>
  </sheetData>
  <mergeCells count="3">
    <mergeCell ref="A1:I3"/>
    <mergeCell ref="B4:F6"/>
    <mergeCell ref="G4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topLeftCell="A36" zoomScale="59" zoomScaleNormal="69" workbookViewId="0">
      <selection activeCell="G62" sqref="G62"/>
    </sheetView>
  </sheetViews>
  <sheetFormatPr defaultRowHeight="15"/>
  <cols>
    <col min="1" max="1" width="58.140625" bestFit="1" customWidth="1"/>
    <col min="2" max="2" width="17.140625" bestFit="1" customWidth="1"/>
    <col min="3" max="3" width="16.7109375" bestFit="1" customWidth="1"/>
    <col min="4" max="4" width="17.140625" bestFit="1" customWidth="1"/>
    <col min="5" max="5" width="16.7109375" bestFit="1" customWidth="1"/>
    <col min="6" max="6" width="15.85546875" bestFit="1" customWidth="1"/>
    <col min="7" max="8" width="15.42578125" bestFit="1" customWidth="1"/>
    <col min="9" max="9" width="15.85546875" bestFit="1" customWidth="1"/>
  </cols>
  <sheetData>
    <row r="1" spans="1:9">
      <c r="A1" s="378" t="s">
        <v>472</v>
      </c>
      <c r="B1" s="378"/>
      <c r="C1" s="378"/>
      <c r="D1" s="378"/>
      <c r="E1" s="378"/>
      <c r="F1" s="378"/>
      <c r="G1" s="378"/>
      <c r="H1" s="378"/>
      <c r="I1" s="378"/>
    </row>
    <row r="2" spans="1:9">
      <c r="A2" s="378"/>
      <c r="B2" s="378"/>
      <c r="C2" s="378"/>
      <c r="D2" s="378"/>
      <c r="E2" s="378"/>
      <c r="F2" s="378"/>
      <c r="G2" s="378"/>
      <c r="H2" s="378"/>
      <c r="I2" s="378"/>
    </row>
    <row r="3" spans="1:9">
      <c r="A3" s="378"/>
      <c r="B3" s="378"/>
      <c r="C3" s="378"/>
      <c r="D3" s="378"/>
      <c r="E3" s="378"/>
      <c r="F3" s="378"/>
      <c r="G3" s="378"/>
      <c r="H3" s="378"/>
      <c r="I3" s="378"/>
    </row>
    <row r="4" spans="1:9">
      <c r="B4" s="374" t="s">
        <v>470</v>
      </c>
      <c r="C4" s="374"/>
      <c r="D4" s="374"/>
      <c r="E4" s="374"/>
      <c r="F4" s="374"/>
      <c r="G4" s="376" t="s">
        <v>471</v>
      </c>
      <c r="H4" s="376"/>
      <c r="I4" s="376"/>
    </row>
    <row r="5" spans="1:9">
      <c r="B5" s="374"/>
      <c r="C5" s="374"/>
      <c r="D5" s="374"/>
      <c r="E5" s="374"/>
      <c r="F5" s="374"/>
      <c r="G5" s="376"/>
      <c r="H5" s="376"/>
      <c r="I5" s="376"/>
    </row>
    <row r="6" spans="1:9" ht="15.75" thickBot="1">
      <c r="B6" s="375"/>
      <c r="C6" s="375"/>
      <c r="D6" s="375"/>
      <c r="E6" s="375"/>
      <c r="F6" s="375"/>
      <c r="G6" s="377"/>
      <c r="H6" s="377"/>
      <c r="I6" s="377"/>
    </row>
    <row r="7" spans="1:9" ht="15.75" thickBot="1">
      <c r="B7" s="180">
        <v>2016</v>
      </c>
      <c r="C7" s="181">
        <v>2017</v>
      </c>
      <c r="D7" s="181">
        <v>2018</v>
      </c>
      <c r="E7" s="181">
        <v>2019</v>
      </c>
      <c r="F7" s="181">
        <v>2020</v>
      </c>
      <c r="G7" s="182">
        <v>2021</v>
      </c>
      <c r="H7" s="182">
        <v>2022</v>
      </c>
      <c r="I7" s="183">
        <v>2023</v>
      </c>
    </row>
    <row r="8" spans="1:9">
      <c r="A8" s="139" t="s">
        <v>273</v>
      </c>
      <c r="B8" s="26"/>
      <c r="C8" s="27"/>
      <c r="D8" s="27"/>
      <c r="E8" s="27"/>
      <c r="F8" s="27"/>
      <c r="G8" s="161"/>
      <c r="H8" s="161"/>
      <c r="I8" s="162"/>
    </row>
    <row r="9" spans="1:9">
      <c r="A9" s="140" t="s">
        <v>274</v>
      </c>
      <c r="B9" s="30"/>
      <c r="C9" s="88"/>
      <c r="D9" s="88"/>
      <c r="E9" s="88"/>
      <c r="F9" s="88"/>
      <c r="G9" s="101"/>
      <c r="H9" s="101"/>
      <c r="I9" s="102"/>
    </row>
    <row r="10" spans="1:9">
      <c r="A10" s="140" t="s">
        <v>275</v>
      </c>
      <c r="B10" s="31">
        <v>285366201</v>
      </c>
      <c r="C10" s="92">
        <v>79613672</v>
      </c>
      <c r="D10" s="92">
        <v>39017481</v>
      </c>
      <c r="E10" s="92">
        <v>6288353</v>
      </c>
      <c r="F10" s="92">
        <v>6861920</v>
      </c>
      <c r="G10" s="101"/>
      <c r="H10" s="101"/>
      <c r="I10" s="102"/>
    </row>
    <row r="11" spans="1:9">
      <c r="A11" s="140" t="s">
        <v>276</v>
      </c>
      <c r="B11" s="31">
        <v>123809</v>
      </c>
      <c r="C11" s="92">
        <v>52733</v>
      </c>
      <c r="D11" s="92">
        <v>0</v>
      </c>
      <c r="E11" s="92">
        <v>0</v>
      </c>
      <c r="F11" s="92">
        <v>0</v>
      </c>
      <c r="G11" s="101"/>
      <c r="H11" s="101"/>
      <c r="I11" s="102"/>
    </row>
    <row r="12" spans="1:9">
      <c r="A12" s="140" t="s">
        <v>277</v>
      </c>
      <c r="B12" s="31">
        <v>123091755</v>
      </c>
      <c r="C12" s="92">
        <v>45638225</v>
      </c>
      <c r="D12" s="92">
        <v>0</v>
      </c>
      <c r="E12" s="92">
        <v>0</v>
      </c>
      <c r="F12" s="92">
        <v>0</v>
      </c>
      <c r="G12" s="101"/>
      <c r="H12" s="101"/>
      <c r="I12" s="102"/>
    </row>
    <row r="13" spans="1:9">
      <c r="A13" s="140" t="s">
        <v>278</v>
      </c>
      <c r="B13" s="30">
        <v>0</v>
      </c>
      <c r="C13" s="88">
        <v>0</v>
      </c>
      <c r="D13" s="88">
        <v>0</v>
      </c>
      <c r="E13" s="92">
        <v>22094</v>
      </c>
      <c r="F13" s="92">
        <v>7232384</v>
      </c>
      <c r="G13" s="101"/>
      <c r="H13" s="101"/>
      <c r="I13" s="102"/>
    </row>
    <row r="14" spans="1:9">
      <c r="A14" s="140" t="s">
        <v>279</v>
      </c>
      <c r="B14" s="30">
        <v>0</v>
      </c>
      <c r="C14" s="92">
        <v>258945659</v>
      </c>
      <c r="D14" s="92">
        <v>112214152</v>
      </c>
      <c r="E14" s="92">
        <v>0</v>
      </c>
      <c r="F14" s="92">
        <v>0</v>
      </c>
      <c r="G14" s="101"/>
      <c r="H14" s="101"/>
      <c r="I14" s="102"/>
    </row>
    <row r="15" spans="1:9">
      <c r="A15" s="140" t="s">
        <v>280</v>
      </c>
      <c r="B15" s="31">
        <v>0</v>
      </c>
      <c r="C15" s="92">
        <v>0</v>
      </c>
      <c r="D15" s="88">
        <v>0</v>
      </c>
      <c r="E15" s="92">
        <v>0</v>
      </c>
      <c r="F15" s="92">
        <v>31085812</v>
      </c>
      <c r="G15" s="101"/>
      <c r="H15" s="101"/>
      <c r="I15" s="102"/>
    </row>
    <row r="16" spans="1:9">
      <c r="A16" s="140" t="s">
        <v>281</v>
      </c>
      <c r="B16" s="31">
        <v>0</v>
      </c>
      <c r="C16" s="92">
        <v>21665</v>
      </c>
      <c r="D16" s="92">
        <v>7263</v>
      </c>
      <c r="E16" s="92">
        <v>3565</v>
      </c>
      <c r="F16" s="92">
        <v>8577</v>
      </c>
      <c r="G16" s="101"/>
      <c r="H16" s="101"/>
      <c r="I16" s="102"/>
    </row>
    <row r="17" spans="1:9">
      <c r="A17" s="140" t="s">
        <v>282</v>
      </c>
      <c r="B17" s="30"/>
      <c r="C17" s="88"/>
      <c r="D17" s="88"/>
      <c r="E17" s="88"/>
      <c r="F17" s="88"/>
      <c r="G17" s="101"/>
      <c r="H17" s="101"/>
      <c r="I17" s="102"/>
    </row>
    <row r="18" spans="1:9">
      <c r="A18" s="140" t="s">
        <v>283</v>
      </c>
      <c r="B18" s="135">
        <v>9004797</v>
      </c>
      <c r="C18" s="14">
        <v>361167</v>
      </c>
      <c r="D18" s="14">
        <v>134923015</v>
      </c>
      <c r="E18" s="14">
        <v>244900419</v>
      </c>
      <c r="F18" s="14">
        <v>33583423</v>
      </c>
      <c r="G18" s="107"/>
      <c r="H18" s="107"/>
      <c r="I18" s="108"/>
    </row>
    <row r="19" spans="1:9">
      <c r="A19" s="140" t="s">
        <v>284</v>
      </c>
      <c r="B19" s="135">
        <v>0</v>
      </c>
      <c r="C19" s="14">
        <v>0</v>
      </c>
      <c r="D19" s="14">
        <v>40143008</v>
      </c>
      <c r="E19" s="14">
        <v>0</v>
      </c>
      <c r="F19" s="14">
        <v>0</v>
      </c>
      <c r="G19" s="107"/>
      <c r="H19" s="107"/>
      <c r="I19" s="108"/>
    </row>
    <row r="20" spans="1:9">
      <c r="A20" s="140" t="s">
        <v>285</v>
      </c>
      <c r="B20" s="135">
        <v>0</v>
      </c>
      <c r="C20" s="14">
        <v>0</v>
      </c>
      <c r="D20" s="14">
        <v>0</v>
      </c>
      <c r="E20" s="14">
        <v>-38568137</v>
      </c>
      <c r="F20" s="14">
        <v>0</v>
      </c>
      <c r="G20" s="107"/>
      <c r="H20" s="107"/>
      <c r="I20" s="108"/>
    </row>
    <row r="21" spans="1:9">
      <c r="A21" s="140" t="s">
        <v>279</v>
      </c>
      <c r="B21" s="135">
        <v>0</v>
      </c>
      <c r="C21" s="14">
        <v>0</v>
      </c>
      <c r="D21" s="14">
        <v>25054544</v>
      </c>
      <c r="E21" s="14">
        <v>0</v>
      </c>
      <c r="F21" s="14">
        <v>0</v>
      </c>
      <c r="G21" s="107"/>
      <c r="H21" s="107"/>
      <c r="I21" s="108"/>
    </row>
    <row r="22" spans="1:9">
      <c r="A22" s="140" t="s">
        <v>286</v>
      </c>
      <c r="B22" s="135">
        <v>0</v>
      </c>
      <c r="C22" s="14">
        <v>0</v>
      </c>
      <c r="D22" s="14">
        <v>0</v>
      </c>
      <c r="E22" s="14">
        <v>27566803</v>
      </c>
      <c r="F22" s="14">
        <v>43812866</v>
      </c>
      <c r="G22" s="107"/>
      <c r="H22" s="107"/>
      <c r="I22" s="108"/>
    </row>
    <row r="23" spans="1:9">
      <c r="A23" s="140" t="s">
        <v>287</v>
      </c>
      <c r="B23" s="135">
        <v>0</v>
      </c>
      <c r="C23" s="14">
        <v>0</v>
      </c>
      <c r="D23" s="14">
        <v>682626</v>
      </c>
      <c r="E23" s="14">
        <v>0</v>
      </c>
      <c r="F23" s="14">
        <v>0</v>
      </c>
      <c r="G23" s="107"/>
      <c r="H23" s="107"/>
      <c r="I23" s="108"/>
    </row>
    <row r="24" spans="1:9">
      <c r="A24" s="140" t="s">
        <v>288</v>
      </c>
      <c r="B24" s="135">
        <v>57861447</v>
      </c>
      <c r="C24" s="14">
        <v>0</v>
      </c>
      <c r="D24" s="14">
        <v>0</v>
      </c>
      <c r="E24" s="14">
        <v>0</v>
      </c>
      <c r="F24" s="14">
        <v>0</v>
      </c>
      <c r="G24" s="107"/>
      <c r="H24" s="107"/>
      <c r="I24" s="108"/>
    </row>
    <row r="25" spans="1:9">
      <c r="A25" s="140" t="s">
        <v>289</v>
      </c>
      <c r="B25" s="135">
        <v>0</v>
      </c>
      <c r="C25" s="14">
        <v>30000</v>
      </c>
      <c r="D25" s="14">
        <v>30000</v>
      </c>
      <c r="E25" s="14">
        <v>77141994</v>
      </c>
      <c r="F25" s="14">
        <v>59118446</v>
      </c>
      <c r="G25" s="107"/>
      <c r="H25" s="107"/>
      <c r="I25" s="108"/>
    </row>
    <row r="26" spans="1:9">
      <c r="A26" s="140"/>
      <c r="B26" s="135">
        <f t="shared" ref="B26:E26" si="0">SUM(B10:B25)</f>
        <v>475448009</v>
      </c>
      <c r="C26" s="14">
        <f t="shared" si="0"/>
        <v>384663121</v>
      </c>
      <c r="D26" s="14">
        <f t="shared" si="0"/>
        <v>352072089</v>
      </c>
      <c r="E26" s="14">
        <f t="shared" si="0"/>
        <v>317355091</v>
      </c>
      <c r="F26" s="14">
        <f>SUM(F10:F25)</f>
        <v>181703428</v>
      </c>
      <c r="G26" s="107"/>
      <c r="H26" s="107"/>
      <c r="I26" s="108"/>
    </row>
    <row r="27" spans="1:9">
      <c r="A27" s="140" t="s">
        <v>290</v>
      </c>
      <c r="B27" s="135"/>
      <c r="C27" s="14"/>
      <c r="D27" s="14"/>
      <c r="E27" s="14"/>
      <c r="F27" s="14"/>
      <c r="G27" s="107"/>
      <c r="H27" s="107"/>
      <c r="I27" s="108"/>
    </row>
    <row r="28" spans="1:9">
      <c r="A28" s="140" t="s">
        <v>291</v>
      </c>
      <c r="B28" s="135">
        <v>1290410</v>
      </c>
      <c r="C28" s="14">
        <v>2385920</v>
      </c>
      <c r="D28" s="14">
        <v>8650165</v>
      </c>
      <c r="E28" s="14">
        <v>5753108</v>
      </c>
      <c r="F28" s="14">
        <v>13707412</v>
      </c>
      <c r="G28" s="107"/>
      <c r="H28" s="107"/>
      <c r="I28" s="108"/>
    </row>
    <row r="29" spans="1:9">
      <c r="A29" s="140" t="s">
        <v>292</v>
      </c>
      <c r="B29" s="135">
        <v>0</v>
      </c>
      <c r="C29" s="14">
        <v>2832588</v>
      </c>
      <c r="D29" s="14">
        <v>574669</v>
      </c>
      <c r="E29" s="14">
        <v>0</v>
      </c>
      <c r="F29" s="14">
        <v>0</v>
      </c>
      <c r="G29" s="107"/>
      <c r="H29" s="107"/>
      <c r="I29" s="108"/>
    </row>
    <row r="30" spans="1:9">
      <c r="A30" s="140" t="s">
        <v>293</v>
      </c>
      <c r="B30" s="135">
        <v>2566234</v>
      </c>
      <c r="C30" s="14">
        <v>3222759</v>
      </c>
      <c r="D30" s="14">
        <v>399701</v>
      </c>
      <c r="E30" s="14">
        <v>998163</v>
      </c>
      <c r="F30" s="14">
        <v>741272</v>
      </c>
      <c r="G30" s="107"/>
      <c r="H30" s="107"/>
      <c r="I30" s="108"/>
    </row>
    <row r="31" spans="1:9">
      <c r="A31" s="140" t="s">
        <v>294</v>
      </c>
      <c r="B31" s="135"/>
      <c r="C31" s="14">
        <v>0</v>
      </c>
      <c r="D31" s="14">
        <v>0</v>
      </c>
      <c r="E31" s="14">
        <v>24513945</v>
      </c>
      <c r="F31" s="14">
        <v>0</v>
      </c>
      <c r="G31" s="107"/>
      <c r="H31" s="107"/>
      <c r="I31" s="108"/>
    </row>
    <row r="32" spans="1:9">
      <c r="A32" s="140"/>
      <c r="B32" s="135">
        <f t="shared" ref="B32:E32" si="1">SUM(B28:B31)</f>
        <v>3856644</v>
      </c>
      <c r="C32" s="14">
        <f t="shared" si="1"/>
        <v>8441267</v>
      </c>
      <c r="D32" s="14">
        <f t="shared" si="1"/>
        <v>9624535</v>
      </c>
      <c r="E32" s="14">
        <f t="shared" si="1"/>
        <v>31265216</v>
      </c>
      <c r="F32" s="14">
        <f>SUM(F28:F31)</f>
        <v>14448684</v>
      </c>
      <c r="G32" s="107"/>
      <c r="H32" s="107"/>
      <c r="I32" s="108"/>
    </row>
    <row r="33" spans="1:9">
      <c r="A33" s="140"/>
      <c r="B33" s="165">
        <f t="shared" ref="B33:E33" si="2">B26+B32</f>
        <v>479304653</v>
      </c>
      <c r="C33" s="13">
        <f t="shared" si="2"/>
        <v>393104388</v>
      </c>
      <c r="D33" s="13">
        <f t="shared" si="2"/>
        <v>361696624</v>
      </c>
      <c r="E33" s="13">
        <f t="shared" si="2"/>
        <v>348620307</v>
      </c>
      <c r="F33" s="13">
        <f>F26+F32</f>
        <v>196152112</v>
      </c>
      <c r="G33" s="170">
        <f>AVERAGE(B33:F33)</f>
        <v>355775616.80000001</v>
      </c>
      <c r="H33" s="170">
        <f t="shared" ref="H33:I33" si="3">AVERAGE(C33:G33)</f>
        <v>331069809.56</v>
      </c>
      <c r="I33" s="171">
        <f t="shared" si="3"/>
        <v>318662893.87199998</v>
      </c>
    </row>
    <row r="34" spans="1:9">
      <c r="A34" s="141" t="s">
        <v>43</v>
      </c>
      <c r="B34" s="30"/>
      <c r="C34" s="88"/>
      <c r="D34" s="88"/>
      <c r="E34" s="88"/>
      <c r="F34" s="88"/>
      <c r="G34" s="101"/>
      <c r="H34" s="101"/>
      <c r="I34" s="102"/>
    </row>
    <row r="35" spans="1:9">
      <c r="A35" s="140" t="s">
        <v>295</v>
      </c>
      <c r="B35" s="135">
        <v>329389076</v>
      </c>
      <c r="C35" s="14">
        <v>291660512</v>
      </c>
      <c r="D35" s="14">
        <v>212857299</v>
      </c>
      <c r="E35" s="14">
        <v>197354390</v>
      </c>
      <c r="F35" s="14">
        <v>0</v>
      </c>
      <c r="G35" s="107">
        <f>AVERAGE(B35:F35)</f>
        <v>206252255.40000001</v>
      </c>
      <c r="H35" s="107">
        <f t="shared" ref="H35:I35" si="4">AVERAGE(C35:G35)</f>
        <v>181624891.28</v>
      </c>
      <c r="I35" s="108">
        <f t="shared" si="4"/>
        <v>159617767.13599998</v>
      </c>
    </row>
    <row r="36" spans="1:9">
      <c r="A36" s="140" t="s">
        <v>296</v>
      </c>
      <c r="B36" s="135">
        <v>85678851</v>
      </c>
      <c r="C36" s="14">
        <v>106625330</v>
      </c>
      <c r="D36" s="14">
        <v>73936622</v>
      </c>
      <c r="E36" s="14">
        <v>73661979</v>
      </c>
      <c r="F36" s="14">
        <v>-838217</v>
      </c>
      <c r="G36" s="107">
        <f ca="1">G44*PNL!H10</f>
        <v>113078405.70625725</v>
      </c>
      <c r="H36" s="107">
        <f>H44*[1]PNL!I8</f>
        <v>33875651.514605515</v>
      </c>
      <c r="I36" s="108">
        <f>I44*[1]PNL!J8</f>
        <v>31337494.522945553</v>
      </c>
    </row>
    <row r="37" spans="1:9">
      <c r="A37" s="140" t="s">
        <v>297</v>
      </c>
      <c r="B37" s="135">
        <v>17740000</v>
      </c>
      <c r="C37" s="14">
        <v>9625000</v>
      </c>
      <c r="D37" s="14">
        <v>23351800</v>
      </c>
      <c r="E37" s="14">
        <v>6000000</v>
      </c>
      <c r="F37" s="14">
        <v>7287250</v>
      </c>
      <c r="G37" s="107">
        <f>AVERAGE(E37:F37)</f>
        <v>6643625</v>
      </c>
      <c r="H37" s="107">
        <f t="shared" ref="H37:I37" si="5">AVERAGE(F37:G37)</f>
        <v>6965437.5</v>
      </c>
      <c r="I37" s="108">
        <f t="shared" si="5"/>
        <v>6804531.25</v>
      </c>
    </row>
    <row r="38" spans="1:9">
      <c r="A38" s="140" t="s">
        <v>298</v>
      </c>
      <c r="B38" s="135">
        <v>0</v>
      </c>
      <c r="C38" s="14">
        <v>0</v>
      </c>
      <c r="D38" s="14">
        <v>0</v>
      </c>
      <c r="E38" s="14">
        <v>164547280</v>
      </c>
      <c r="F38" s="14">
        <v>0</v>
      </c>
      <c r="G38" s="107">
        <f>F38</f>
        <v>0</v>
      </c>
      <c r="H38" s="107">
        <f t="shared" ref="H38:I38" si="6">G38</f>
        <v>0</v>
      </c>
      <c r="I38" s="108">
        <f t="shared" si="6"/>
        <v>0</v>
      </c>
    </row>
    <row r="39" spans="1:9">
      <c r="A39" s="140" t="s">
        <v>261</v>
      </c>
      <c r="B39" s="135">
        <v>0</v>
      </c>
      <c r="C39" s="14">
        <v>0</v>
      </c>
      <c r="D39" s="14">
        <v>0</v>
      </c>
      <c r="E39" s="14">
        <v>14189922</v>
      </c>
      <c r="F39" s="177">
        <v>8789949</v>
      </c>
      <c r="G39" s="107">
        <f>AVERAGE(E39:F39)</f>
        <v>11489935.5</v>
      </c>
      <c r="H39" s="107">
        <f t="shared" ref="H39:I39" si="7">AVERAGE(F39:G39)</f>
        <v>10139942.25</v>
      </c>
      <c r="I39" s="108">
        <f t="shared" si="7"/>
        <v>10814938.875</v>
      </c>
    </row>
    <row r="40" spans="1:9">
      <c r="A40" s="140" t="s">
        <v>299</v>
      </c>
      <c r="B40" s="135">
        <v>3201945</v>
      </c>
      <c r="C40" s="14">
        <v>0</v>
      </c>
      <c r="D40" s="14">
        <v>0</v>
      </c>
      <c r="E40" s="14">
        <v>4371184</v>
      </c>
      <c r="F40" s="14">
        <v>1217548</v>
      </c>
      <c r="G40" s="107">
        <v>0</v>
      </c>
      <c r="H40" s="107">
        <v>0</v>
      </c>
      <c r="I40" s="108">
        <v>0</v>
      </c>
    </row>
    <row r="41" spans="1:9">
      <c r="A41" s="140"/>
      <c r="B41" s="135">
        <f t="shared" ref="B41:E41" si="8">SUM(B35:B40)</f>
        <v>436009872</v>
      </c>
      <c r="C41" s="14">
        <f t="shared" si="8"/>
        <v>407910842</v>
      </c>
      <c r="D41" s="14">
        <f t="shared" si="8"/>
        <v>310145721</v>
      </c>
      <c r="E41" s="14">
        <f t="shared" si="8"/>
        <v>460124755</v>
      </c>
      <c r="F41" s="14">
        <f>SUM(F35:F40)</f>
        <v>16456530</v>
      </c>
      <c r="G41" s="107">
        <f t="shared" ref="G41:I41" ca="1" si="9">SUM(G35:G40)</f>
        <v>337464221.60625726</v>
      </c>
      <c r="H41" s="107">
        <f t="shared" si="9"/>
        <v>232605922.54460552</v>
      </c>
      <c r="I41" s="108">
        <f t="shared" si="9"/>
        <v>208574731.78394553</v>
      </c>
    </row>
    <row r="42" spans="1:9">
      <c r="A42" s="140"/>
      <c r="B42" s="30"/>
      <c r="C42" s="88"/>
      <c r="D42" s="88"/>
      <c r="E42" s="88"/>
      <c r="F42" s="88"/>
      <c r="G42" s="101"/>
      <c r="H42" s="101"/>
      <c r="I42" s="102"/>
    </row>
    <row r="43" spans="1:9" hidden="1">
      <c r="A43" s="154" t="s">
        <v>300</v>
      </c>
      <c r="B43" s="166">
        <f>B35/[1]PNL!C8</f>
        <v>5.0702037755262649E-2</v>
      </c>
      <c r="C43" s="18">
        <f>C35/[1]PNL!D8</f>
        <v>5.0050128317648837E-2</v>
      </c>
      <c r="D43" s="18">
        <f>D35/[1]PNL!E8</f>
        <v>4.9211454634139319E-2</v>
      </c>
      <c r="E43" s="18">
        <f>E35/[1]PNL!F8</f>
        <v>4.7291509631325453E-2</v>
      </c>
      <c r="F43" s="18">
        <f>F35/[1]PNL!G8</f>
        <v>0</v>
      </c>
      <c r="G43" s="172">
        <v>0.05</v>
      </c>
      <c r="H43" s="172">
        <v>0.05</v>
      </c>
      <c r="I43" s="173">
        <v>0.05</v>
      </c>
    </row>
    <row r="44" spans="1:9" hidden="1">
      <c r="A44" s="154" t="s">
        <v>296</v>
      </c>
      <c r="B44" s="166">
        <f>B36/[1]PNL!C8</f>
        <v>1.3188331534800271E-2</v>
      </c>
      <c r="C44" s="18">
        <f>C36/[1]PNL!D8</f>
        <v>1.8297339642644704E-2</v>
      </c>
      <c r="D44" s="18">
        <f>D36/[1]PNL!E8</f>
        <v>1.7093746544977566E-2</v>
      </c>
      <c r="E44" s="18">
        <f>E36/[1]PNL!F8</f>
        <v>1.765142487755653E-2</v>
      </c>
      <c r="F44" s="18">
        <f>F36/[1]PNL!G8</f>
        <v>3.4465717380599392E-2</v>
      </c>
      <c r="G44" s="172">
        <f>AVERAGE(B44:F44)</f>
        <v>2.013931199611569E-2</v>
      </c>
      <c r="H44" s="172">
        <f t="shared" ref="H44:I44" si="10">AVERAGE(C44:G44)</f>
        <v>2.1529508088378772E-2</v>
      </c>
      <c r="I44" s="173">
        <f t="shared" si="10"/>
        <v>2.2175941777525594E-2</v>
      </c>
    </row>
    <row r="45" spans="1:9">
      <c r="A45" s="140"/>
      <c r="B45" s="30"/>
      <c r="C45" s="88"/>
      <c r="D45" s="88"/>
      <c r="E45" s="88"/>
      <c r="F45" s="88"/>
      <c r="G45" s="101"/>
      <c r="H45" s="101"/>
      <c r="I45" s="102"/>
    </row>
    <row r="46" spans="1:9">
      <c r="A46" s="140" t="s">
        <v>301</v>
      </c>
      <c r="B46" s="30"/>
      <c r="C46" s="88"/>
      <c r="D46" s="88"/>
      <c r="E46" s="88"/>
      <c r="F46" s="88"/>
      <c r="G46" s="101"/>
      <c r="H46" s="101"/>
      <c r="I46" s="102"/>
    </row>
    <row r="47" spans="1:9">
      <c r="A47" s="140" t="s">
        <v>302</v>
      </c>
      <c r="B47" s="136"/>
      <c r="C47" s="89"/>
      <c r="D47" s="89"/>
      <c r="E47" s="89"/>
      <c r="F47" s="89"/>
      <c r="G47" s="101"/>
      <c r="H47" s="109"/>
      <c r="I47" s="110"/>
    </row>
    <row r="48" spans="1:9">
      <c r="A48" s="140" t="s">
        <v>303</v>
      </c>
      <c r="B48" s="135">
        <v>17567418</v>
      </c>
      <c r="C48" s="14">
        <v>8326649</v>
      </c>
      <c r="D48" s="14">
        <v>6337052</v>
      </c>
      <c r="E48" s="14">
        <v>4051889</v>
      </c>
      <c r="F48" s="14">
        <v>67406429</v>
      </c>
      <c r="G48" s="107">
        <v>0</v>
      </c>
      <c r="H48" s="107">
        <v>0</v>
      </c>
      <c r="I48" s="108">
        <v>0</v>
      </c>
    </row>
    <row r="49" spans="1:9">
      <c r="A49" s="140" t="s">
        <v>304</v>
      </c>
      <c r="B49" s="135">
        <v>28257371</v>
      </c>
      <c r="C49" s="14">
        <v>67381272</v>
      </c>
      <c r="D49" s="14">
        <v>46199844</v>
      </c>
      <c r="E49" s="14">
        <v>30116827</v>
      </c>
      <c r="F49" s="14">
        <v>325804346</v>
      </c>
      <c r="G49" s="107">
        <v>134058269</v>
      </c>
      <c r="H49" s="107">
        <v>502593123</v>
      </c>
      <c r="I49" s="108">
        <v>687559874</v>
      </c>
    </row>
    <row r="50" spans="1:9">
      <c r="A50" s="140"/>
      <c r="B50" s="165">
        <f>SUM(B48:B49)</f>
        <v>45824789</v>
      </c>
      <c r="C50" s="13">
        <f>SUM(C48:C49)</f>
        <v>75707921</v>
      </c>
      <c r="D50" s="13">
        <f>SUM(D48:D49)</f>
        <v>52536896</v>
      </c>
      <c r="E50" s="13">
        <f>SUM(E48:E49)</f>
        <v>34168716</v>
      </c>
      <c r="F50" s="13">
        <f>SUM(F48:F49)</f>
        <v>393210775</v>
      </c>
      <c r="G50" s="170">
        <f>SUM(G49:G49)</f>
        <v>134058269</v>
      </c>
      <c r="H50" s="170">
        <f>SUM(H48:H49)</f>
        <v>502593123</v>
      </c>
      <c r="I50" s="171">
        <f>SUM(I48:I49)</f>
        <v>687559874</v>
      </c>
    </row>
    <row r="51" spans="1:9">
      <c r="A51" s="140" t="s">
        <v>305</v>
      </c>
      <c r="B51" s="135">
        <v>15917286</v>
      </c>
      <c r="C51" s="14">
        <v>9253805</v>
      </c>
      <c r="D51" s="14">
        <v>53994280</v>
      </c>
      <c r="E51" s="14">
        <v>11896385</v>
      </c>
      <c r="F51" s="14">
        <v>10027749</v>
      </c>
      <c r="G51" s="111">
        <f>AVERAGE(B51:C51,E51:F51)</f>
        <v>11773806.25</v>
      </c>
      <c r="H51" s="111">
        <f>AVERAGE(E51:G51)</f>
        <v>11232646.75</v>
      </c>
      <c r="I51" s="112">
        <f>AVERAGE(F51:H51)</f>
        <v>11011400.666666666</v>
      </c>
    </row>
    <row r="52" spans="1:9">
      <c r="A52" s="140" t="s">
        <v>306</v>
      </c>
      <c r="B52" s="135">
        <v>16374471</v>
      </c>
      <c r="C52" s="14">
        <v>0</v>
      </c>
      <c r="D52" s="14">
        <v>0</v>
      </c>
      <c r="E52" s="14">
        <v>0</v>
      </c>
      <c r="F52" s="14">
        <v>0</v>
      </c>
      <c r="G52" s="111">
        <f>F52</f>
        <v>0</v>
      </c>
      <c r="H52" s="111">
        <f t="shared" ref="H52:I52" si="11">G52</f>
        <v>0</v>
      </c>
      <c r="I52" s="112">
        <f t="shared" si="11"/>
        <v>0</v>
      </c>
    </row>
    <row r="53" spans="1:9">
      <c r="A53" s="140" t="s">
        <v>307</v>
      </c>
      <c r="B53" s="135"/>
      <c r="C53" s="14">
        <v>0</v>
      </c>
      <c r="D53" s="14">
        <v>0</v>
      </c>
      <c r="E53" s="14">
        <v>0</v>
      </c>
      <c r="F53" s="14">
        <v>6463659</v>
      </c>
      <c r="G53" s="107">
        <v>0</v>
      </c>
      <c r="H53" s="107">
        <f>G53</f>
        <v>0</v>
      </c>
      <c r="I53" s="108">
        <f>H53</f>
        <v>0</v>
      </c>
    </row>
    <row r="54" spans="1:9">
      <c r="A54" s="140"/>
      <c r="B54" s="165">
        <f t="shared" ref="B54:E54" si="12">SUM(B50:B53)</f>
        <v>78116546</v>
      </c>
      <c r="C54" s="13">
        <f t="shared" si="12"/>
        <v>84961726</v>
      </c>
      <c r="D54" s="13">
        <f t="shared" si="12"/>
        <v>106531176</v>
      </c>
      <c r="E54" s="13">
        <f t="shared" si="12"/>
        <v>46065101</v>
      </c>
      <c r="F54" s="13">
        <f>SUM(F50:F53)</f>
        <v>409702183</v>
      </c>
      <c r="G54" s="170">
        <f t="shared" ref="G54:I54" si="13">SUM(G50:G53)</f>
        <v>145832075.25</v>
      </c>
      <c r="H54" s="170">
        <f t="shared" si="13"/>
        <v>513825769.75</v>
      </c>
      <c r="I54" s="171">
        <f t="shared" si="13"/>
        <v>698571274.66666663</v>
      </c>
    </row>
    <row r="55" spans="1:9">
      <c r="A55" s="140"/>
      <c r="B55" s="30"/>
      <c r="C55" s="88"/>
      <c r="D55" s="88"/>
      <c r="E55" s="88"/>
      <c r="F55" s="88"/>
      <c r="G55" s="101"/>
      <c r="H55" s="101"/>
      <c r="I55" s="102"/>
    </row>
    <row r="56" spans="1:9">
      <c r="A56" s="140" t="s">
        <v>308</v>
      </c>
      <c r="B56" s="30"/>
      <c r="C56" s="88"/>
      <c r="D56" s="88"/>
      <c r="E56" s="88"/>
      <c r="F56" s="88"/>
      <c r="G56" s="101"/>
      <c r="H56" s="101"/>
      <c r="I56" s="102"/>
    </row>
    <row r="57" spans="1:9">
      <c r="A57" s="140" t="s">
        <v>309</v>
      </c>
      <c r="B57" s="135">
        <v>1311323773</v>
      </c>
      <c r="C57" s="14">
        <v>1821543146</v>
      </c>
      <c r="D57" s="14">
        <v>1150690263</v>
      </c>
      <c r="E57" s="14">
        <v>1111099479</v>
      </c>
      <c r="F57" s="14">
        <v>21417348</v>
      </c>
      <c r="G57" s="101"/>
      <c r="H57" s="101"/>
      <c r="I57" s="102"/>
    </row>
    <row r="58" spans="1:9">
      <c r="A58" s="140" t="s">
        <v>310</v>
      </c>
      <c r="B58" s="135">
        <v>-25556</v>
      </c>
      <c r="C58" s="14">
        <v>-1847465</v>
      </c>
      <c r="D58" s="14">
        <v>0</v>
      </c>
      <c r="E58" s="14">
        <v>0</v>
      </c>
      <c r="F58" s="14">
        <v>0</v>
      </c>
      <c r="G58" s="101"/>
      <c r="H58" s="101"/>
      <c r="I58" s="102"/>
    </row>
    <row r="59" spans="1:9">
      <c r="A59" s="140" t="s">
        <v>311</v>
      </c>
      <c r="B59" s="135">
        <v>454693275</v>
      </c>
      <c r="C59" s="14">
        <v>70413860</v>
      </c>
      <c r="D59" s="14">
        <v>-160332995</v>
      </c>
      <c r="E59" s="14">
        <v>96316072</v>
      </c>
      <c r="F59" s="14">
        <v>-134996599</v>
      </c>
      <c r="G59" s="101"/>
      <c r="H59" s="101"/>
      <c r="I59" s="102"/>
    </row>
    <row r="60" spans="1:9" ht="15.75" thickBot="1">
      <c r="A60" s="147"/>
      <c r="B60" s="63">
        <f t="shared" ref="B60:E60" si="14">SUM(B57:B59)</f>
        <v>1765991492</v>
      </c>
      <c r="C60" s="21">
        <f t="shared" si="14"/>
        <v>1890109541</v>
      </c>
      <c r="D60" s="21">
        <f t="shared" si="14"/>
        <v>990357268</v>
      </c>
      <c r="E60" s="21">
        <f t="shared" si="14"/>
        <v>1207415551</v>
      </c>
      <c r="F60" s="21">
        <f>SUM(F57:F59)</f>
        <v>-113579251</v>
      </c>
      <c r="G60" s="178" t="s">
        <v>1719</v>
      </c>
      <c r="H60" s="178"/>
      <c r="I60" s="179"/>
    </row>
  </sheetData>
  <mergeCells count="3">
    <mergeCell ref="A1:I3"/>
    <mergeCell ref="B4:F6"/>
    <mergeCell ref="G4:I6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30" zoomScale="54" workbookViewId="0">
      <selection activeCell="B4" sqref="B1:I1048576"/>
    </sheetView>
  </sheetViews>
  <sheetFormatPr defaultRowHeight="15"/>
  <cols>
    <col min="1" max="1" width="49.7109375" bestFit="1" customWidth="1"/>
    <col min="2" max="3" width="22.85546875" bestFit="1" customWidth="1"/>
    <col min="4" max="4" width="23.7109375" bestFit="1" customWidth="1"/>
    <col min="5" max="6" width="24" bestFit="1" customWidth="1"/>
    <col min="7" max="8" width="24.28515625" bestFit="1" customWidth="1"/>
    <col min="9" max="9" width="24" bestFit="1" customWidth="1"/>
  </cols>
  <sheetData>
    <row r="1" spans="1:11">
      <c r="A1" s="384" t="s">
        <v>472</v>
      </c>
      <c r="B1" s="385"/>
      <c r="C1" s="385"/>
      <c r="D1" s="385"/>
      <c r="E1" s="385"/>
      <c r="F1" s="385"/>
      <c r="G1" s="385"/>
      <c r="H1" s="385"/>
      <c r="I1" s="386"/>
    </row>
    <row r="2" spans="1:11">
      <c r="A2" s="387"/>
      <c r="B2" s="378"/>
      <c r="C2" s="378"/>
      <c r="D2" s="378"/>
      <c r="E2" s="378"/>
      <c r="F2" s="378"/>
      <c r="G2" s="378"/>
      <c r="H2" s="378"/>
      <c r="I2" s="388"/>
    </row>
    <row r="3" spans="1:11">
      <c r="A3" s="387"/>
      <c r="B3" s="378"/>
      <c r="C3" s="378"/>
      <c r="D3" s="378"/>
      <c r="E3" s="378"/>
      <c r="F3" s="378"/>
      <c r="G3" s="378"/>
      <c r="H3" s="378"/>
      <c r="I3" s="388"/>
    </row>
    <row r="4" spans="1:11" ht="21">
      <c r="A4" s="187"/>
      <c r="B4" s="187" t="s">
        <v>470</v>
      </c>
      <c r="C4" s="187"/>
      <c r="D4" s="187"/>
      <c r="E4" s="187"/>
      <c r="F4" s="187"/>
      <c r="G4" s="376" t="s">
        <v>471</v>
      </c>
      <c r="H4" s="376"/>
      <c r="I4" s="389"/>
    </row>
    <row r="5" spans="1:11" ht="21">
      <c r="A5" s="187"/>
      <c r="B5" s="187"/>
      <c r="C5" s="187"/>
      <c r="D5" s="187"/>
      <c r="E5" s="187"/>
      <c r="F5" s="187"/>
      <c r="G5" s="376"/>
      <c r="H5" s="376"/>
      <c r="I5" s="389"/>
    </row>
    <row r="6" spans="1:11" ht="21.75" thickBot="1">
      <c r="A6" s="188"/>
      <c r="B6" s="188"/>
      <c r="C6" s="188"/>
      <c r="D6" s="188"/>
      <c r="E6" s="188"/>
      <c r="F6" s="188"/>
      <c r="G6" s="377"/>
      <c r="H6" s="377"/>
      <c r="I6" s="390"/>
    </row>
    <row r="7" spans="1:11" ht="24" thickBot="1">
      <c r="A7" s="241"/>
      <c r="B7" s="250">
        <v>2016</v>
      </c>
      <c r="C7" s="251">
        <v>2017</v>
      </c>
      <c r="D7" s="251">
        <v>2018</v>
      </c>
      <c r="E7" s="251">
        <v>2019</v>
      </c>
      <c r="F7" s="251">
        <v>2020</v>
      </c>
      <c r="G7" s="252">
        <v>2021</v>
      </c>
      <c r="H7" s="252">
        <v>2022</v>
      </c>
      <c r="I7" s="253">
        <v>2023</v>
      </c>
      <c r="J7" s="242"/>
      <c r="K7" s="242"/>
    </row>
    <row r="8" spans="1:11">
      <c r="A8" s="243" t="s">
        <v>319</v>
      </c>
      <c r="B8" s="262"/>
      <c r="C8" s="263"/>
      <c r="D8" s="263"/>
      <c r="E8" s="263"/>
      <c r="F8" s="263"/>
      <c r="G8" s="161"/>
      <c r="H8" s="161"/>
      <c r="I8" s="162"/>
      <c r="J8" s="242"/>
      <c r="K8" s="242"/>
    </row>
    <row r="9" spans="1:11">
      <c r="A9" s="241" t="s">
        <v>156</v>
      </c>
      <c r="B9" s="260">
        <f>3000000000</f>
        <v>3000000000</v>
      </c>
      <c r="C9" s="16">
        <f>B9</f>
        <v>3000000000</v>
      </c>
      <c r="D9" s="16">
        <f t="shared" ref="D9:I9" si="0">C9</f>
        <v>3000000000</v>
      </c>
      <c r="E9" s="16">
        <f t="shared" si="0"/>
        <v>3000000000</v>
      </c>
      <c r="F9" s="16">
        <f t="shared" si="0"/>
        <v>3000000000</v>
      </c>
      <c r="G9" s="107">
        <f t="shared" si="0"/>
        <v>3000000000</v>
      </c>
      <c r="H9" s="107">
        <f t="shared" si="0"/>
        <v>3000000000</v>
      </c>
      <c r="I9" s="108">
        <f t="shared" si="0"/>
        <v>3000000000</v>
      </c>
      <c r="J9" s="242"/>
      <c r="K9" s="242"/>
    </row>
    <row r="10" spans="1:11">
      <c r="A10" s="241"/>
      <c r="B10" s="260"/>
      <c r="C10" s="16"/>
      <c r="D10" s="16"/>
      <c r="E10" s="16"/>
      <c r="F10" s="16"/>
      <c r="G10" s="101"/>
      <c r="H10" s="101"/>
      <c r="I10" s="102"/>
      <c r="J10" s="242"/>
      <c r="K10" s="242"/>
    </row>
    <row r="11" spans="1:11">
      <c r="A11" s="241" t="s">
        <v>320</v>
      </c>
      <c r="B11" s="260">
        <v>1545086900</v>
      </c>
      <c r="C11" s="16">
        <v>1545086900</v>
      </c>
      <c r="D11" s="16">
        <v>1545086900</v>
      </c>
      <c r="E11" s="16">
        <v>2008612970</v>
      </c>
      <c r="F11" s="16">
        <v>2008612970</v>
      </c>
      <c r="G11" s="107">
        <f t="shared" ref="G11:I13" si="1">AVERAGE(B11:F11)</f>
        <v>1730497328</v>
      </c>
      <c r="H11" s="107">
        <f t="shared" si="1"/>
        <v>1767579413.5999999</v>
      </c>
      <c r="I11" s="108">
        <f t="shared" si="1"/>
        <v>1812077916.3200002</v>
      </c>
      <c r="J11" s="242"/>
      <c r="K11" s="242"/>
    </row>
    <row r="12" spans="1:11">
      <c r="A12" s="241" t="s">
        <v>162</v>
      </c>
      <c r="B12" s="260">
        <v>120565665</v>
      </c>
      <c r="C12" s="16">
        <v>120531465</v>
      </c>
      <c r="D12" s="16">
        <v>120034065</v>
      </c>
      <c r="E12" s="16">
        <v>119822865</v>
      </c>
      <c r="F12" s="16">
        <v>119746265</v>
      </c>
      <c r="G12" s="107">
        <f t="shared" si="1"/>
        <v>120140065</v>
      </c>
      <c r="H12" s="107">
        <f t="shared" si="1"/>
        <v>120054945</v>
      </c>
      <c r="I12" s="108">
        <f t="shared" si="1"/>
        <v>119959641</v>
      </c>
      <c r="J12" s="242"/>
      <c r="K12" s="242"/>
    </row>
    <row r="13" spans="1:11">
      <c r="A13" s="241" t="s">
        <v>321</v>
      </c>
      <c r="B13" s="260">
        <v>12104437366</v>
      </c>
      <c r="C13" s="16">
        <v>13640639246</v>
      </c>
      <c r="D13" s="16">
        <v>16311616659</v>
      </c>
      <c r="E13" s="16">
        <v>17544203029</v>
      </c>
      <c r="F13" s="16">
        <v>16598314088</v>
      </c>
      <c r="G13" s="107">
        <f t="shared" si="1"/>
        <v>15239842077.6</v>
      </c>
      <c r="H13" s="107">
        <f t="shared" si="1"/>
        <v>15866923019.920002</v>
      </c>
      <c r="I13" s="108">
        <f t="shared" si="1"/>
        <v>16312179774.704</v>
      </c>
      <c r="J13" s="242"/>
      <c r="K13" s="242"/>
    </row>
    <row r="14" spans="1:11">
      <c r="A14" s="241"/>
      <c r="B14" s="264">
        <f>SUM(B11:B13)</f>
        <v>13770089931</v>
      </c>
      <c r="C14" s="265">
        <f>SUM(C11:C13)</f>
        <v>15306257611</v>
      </c>
      <c r="D14" s="265">
        <f>SUM(D11:D13)</f>
        <v>17976737624</v>
      </c>
      <c r="E14" s="265">
        <f>SUM(E11:E13)</f>
        <v>19672638864</v>
      </c>
      <c r="F14" s="265">
        <f>SUM(F11:F13)</f>
        <v>18726673323</v>
      </c>
      <c r="G14" s="266">
        <f t="shared" ref="G14:I14" si="2">SUM(G11:G13)</f>
        <v>17090479470.6</v>
      </c>
      <c r="H14" s="266">
        <f t="shared" si="2"/>
        <v>17754557378.52</v>
      </c>
      <c r="I14" s="247">
        <f t="shared" si="2"/>
        <v>18244217332.024002</v>
      </c>
      <c r="J14" s="242"/>
      <c r="K14" s="242"/>
    </row>
    <row r="15" spans="1:11">
      <c r="A15" s="243" t="s">
        <v>168</v>
      </c>
      <c r="B15" s="260"/>
      <c r="C15" s="16"/>
      <c r="D15" s="16"/>
      <c r="E15" s="16"/>
      <c r="F15" s="16"/>
      <c r="G15" s="101"/>
      <c r="H15" s="101"/>
      <c r="I15" s="102"/>
      <c r="J15" s="242"/>
      <c r="K15" s="242"/>
    </row>
    <row r="16" spans="1:11">
      <c r="A16" s="241" t="s">
        <v>322</v>
      </c>
      <c r="B16" s="260">
        <v>710526312</v>
      </c>
      <c r="C16" s="16">
        <v>426315784</v>
      </c>
      <c r="D16" s="16">
        <v>142105256</v>
      </c>
      <c r="E16" s="16">
        <v>4399930462</v>
      </c>
      <c r="F16" s="16">
        <v>5439226142</v>
      </c>
      <c r="G16" s="107">
        <f>AVERAGE(B16:F16)</f>
        <v>2223620791.1999998</v>
      </c>
      <c r="H16" s="107">
        <f>[1]N.BS!H46</f>
        <v>2865262945.2318621</v>
      </c>
      <c r="I16" s="108">
        <f>[1]N.BS!I46</f>
        <v>1916712970.8776393</v>
      </c>
      <c r="J16" s="242"/>
      <c r="K16" s="242"/>
    </row>
    <row r="17" spans="1:11">
      <c r="A17" s="241" t="s">
        <v>323</v>
      </c>
      <c r="B17" s="260">
        <v>2036100</v>
      </c>
      <c r="C17" s="16">
        <v>2036100</v>
      </c>
      <c r="D17" s="16">
        <v>2036100</v>
      </c>
      <c r="E17" s="16">
        <v>106893805</v>
      </c>
      <c r="F17" s="16">
        <v>2036100</v>
      </c>
      <c r="G17" s="107">
        <f t="shared" ref="G17:I20" si="3">AVERAGE(B17:F17)</f>
        <v>23007641</v>
      </c>
      <c r="H17" s="107">
        <f>[1]N.BS!H57</f>
        <v>2036100</v>
      </c>
      <c r="I17" s="108">
        <f>[1]N.BS!I57</f>
        <v>2036100</v>
      </c>
      <c r="J17" s="242"/>
      <c r="K17" s="242"/>
    </row>
    <row r="18" spans="1:11">
      <c r="A18" s="241" t="s">
        <v>188</v>
      </c>
      <c r="B18" s="260"/>
      <c r="C18" s="16"/>
      <c r="D18" s="16"/>
      <c r="E18" s="16"/>
      <c r="F18" s="16"/>
      <c r="G18" s="107"/>
      <c r="H18" s="101"/>
      <c r="I18" s="102"/>
      <c r="J18" s="242"/>
      <c r="K18" s="242"/>
    </row>
    <row r="19" spans="1:11">
      <c r="A19" s="244" t="s">
        <v>189</v>
      </c>
      <c r="B19" s="260">
        <v>1589847454</v>
      </c>
      <c r="C19" s="16">
        <v>1660261314</v>
      </c>
      <c r="D19" s="16">
        <v>1499928327</v>
      </c>
      <c r="E19" s="16">
        <v>1596244399</v>
      </c>
      <c r="F19" s="16">
        <v>1461247800</v>
      </c>
      <c r="G19" s="107">
        <f t="shared" si="3"/>
        <v>1561505858.8</v>
      </c>
      <c r="H19" s="107">
        <f t="shared" si="3"/>
        <v>1555837539.76</v>
      </c>
      <c r="I19" s="108">
        <f t="shared" si="3"/>
        <v>1534952784.9120002</v>
      </c>
      <c r="J19" s="242"/>
      <c r="K19" s="242"/>
    </row>
    <row r="20" spans="1:11">
      <c r="A20" s="244" t="s">
        <v>324</v>
      </c>
      <c r="B20" s="260">
        <v>10859150</v>
      </c>
      <c r="C20" s="16">
        <v>13616897</v>
      </c>
      <c r="D20" s="16">
        <v>16495508</v>
      </c>
      <c r="E20" s="16">
        <v>15256864</v>
      </c>
      <c r="F20" s="16">
        <v>21241356</v>
      </c>
      <c r="G20" s="107">
        <f t="shared" si="3"/>
        <v>15493955</v>
      </c>
      <c r="H20" s="107">
        <f t="shared" si="3"/>
        <v>16420916</v>
      </c>
      <c r="I20" s="108">
        <f t="shared" si="3"/>
        <v>16981719.800000001</v>
      </c>
      <c r="J20" s="242"/>
      <c r="K20" s="242"/>
    </row>
    <row r="21" spans="1:11">
      <c r="A21" s="241"/>
      <c r="B21" s="264">
        <f t="shared" ref="B21:E21" si="4">SUM(B16:B20)</f>
        <v>2313269016</v>
      </c>
      <c r="C21" s="265">
        <f t="shared" si="4"/>
        <v>2102230095</v>
      </c>
      <c r="D21" s="265">
        <f t="shared" si="4"/>
        <v>1660565191</v>
      </c>
      <c r="E21" s="265">
        <f t="shared" si="4"/>
        <v>6118325530</v>
      </c>
      <c r="F21" s="265">
        <f>SUM(F16:F20)</f>
        <v>6923751398</v>
      </c>
      <c r="G21" s="266">
        <f t="shared" ref="G21:I21" si="5">SUM(G16:G20)</f>
        <v>3823628246</v>
      </c>
      <c r="H21" s="266">
        <f t="shared" si="5"/>
        <v>4439557500.9918623</v>
      </c>
      <c r="I21" s="247">
        <f t="shared" si="5"/>
        <v>3470683575.5896397</v>
      </c>
      <c r="J21" s="242"/>
      <c r="K21" s="242"/>
    </row>
    <row r="22" spans="1:11">
      <c r="A22" s="243" t="s">
        <v>84</v>
      </c>
      <c r="B22" s="260"/>
      <c r="C22" s="16"/>
      <c r="D22" s="16"/>
      <c r="E22" s="16"/>
      <c r="F22" s="16"/>
      <c r="G22" s="101"/>
      <c r="H22" s="101"/>
      <c r="I22" s="102"/>
      <c r="J22" s="242"/>
      <c r="K22" s="242"/>
    </row>
    <row r="23" spans="1:11">
      <c r="A23" s="241" t="s">
        <v>325</v>
      </c>
      <c r="B23" s="260">
        <v>284210528</v>
      </c>
      <c r="C23" s="16">
        <v>284210528</v>
      </c>
      <c r="D23" s="16">
        <v>284210528</v>
      </c>
      <c r="E23" s="16">
        <v>1004220652</v>
      </c>
      <c r="F23" s="16">
        <v>248496322</v>
      </c>
      <c r="G23" s="107">
        <f>TREND(B23:F23)</f>
        <v>291353369.20000005</v>
      </c>
      <c r="H23" s="107">
        <f t="shared" ref="H23:I24" si="6">TREND(C23:G23)</f>
        <v>426783984.56</v>
      </c>
      <c r="I23" s="108">
        <f t="shared" si="6"/>
        <v>536557045.08800006</v>
      </c>
      <c r="J23" s="242"/>
      <c r="K23" s="242"/>
    </row>
    <row r="24" spans="1:11">
      <c r="A24" s="241" t="s">
        <v>193</v>
      </c>
      <c r="B24" s="260">
        <v>2335004016</v>
      </c>
      <c r="C24" s="16">
        <v>2177574482.0316372</v>
      </c>
      <c r="D24" s="16">
        <v>3351466246.1343164</v>
      </c>
      <c r="E24" s="16">
        <v>3800459447.0539675</v>
      </c>
      <c r="F24" s="16">
        <v>4293205396.1054015</v>
      </c>
      <c r="G24" s="107">
        <f>TREND(B24:F24)</f>
        <v>2083684372.418438</v>
      </c>
      <c r="H24" s="107">
        <f t="shared" si="6"/>
        <v>2990486202.5998149</v>
      </c>
      <c r="I24" s="108">
        <f t="shared" si="6"/>
        <v>3791607365.2032943</v>
      </c>
      <c r="J24" s="242"/>
      <c r="K24" s="242"/>
    </row>
    <row r="25" spans="1:11">
      <c r="A25" s="241" t="s">
        <v>217</v>
      </c>
      <c r="B25" s="260">
        <v>5769951</v>
      </c>
      <c r="C25" s="16">
        <v>8027340</v>
      </c>
      <c r="D25" s="16">
        <v>9919087</v>
      </c>
      <c r="E25" s="16">
        <v>9416974</v>
      </c>
      <c r="F25" s="16">
        <v>9416974</v>
      </c>
      <c r="G25" s="107">
        <f>AVERAGE(B25:F25)</f>
        <v>8510065.1999999993</v>
      </c>
      <c r="H25" s="107">
        <f t="shared" ref="H25:I29" si="7">AVERAGE(C25:G25)</f>
        <v>9058088.040000001</v>
      </c>
      <c r="I25" s="108">
        <f t="shared" si="7"/>
        <v>9264237.648</v>
      </c>
      <c r="J25" s="242"/>
      <c r="K25" s="242"/>
    </row>
    <row r="26" spans="1:11">
      <c r="A26" s="241" t="s">
        <v>218</v>
      </c>
      <c r="B26" s="260">
        <v>25404392</v>
      </c>
      <c r="C26" s="16">
        <v>29082559</v>
      </c>
      <c r="D26" s="16">
        <v>29603848</v>
      </c>
      <c r="E26" s="16">
        <v>35734335</v>
      </c>
      <c r="F26" s="16">
        <v>38597374</v>
      </c>
      <c r="G26" s="107">
        <f t="shared" ref="G26:G29" si="8">AVERAGE(B26:F26)</f>
        <v>31684501.600000001</v>
      </c>
      <c r="H26" s="107">
        <f t="shared" si="7"/>
        <v>32940523.52</v>
      </c>
      <c r="I26" s="108">
        <f t="shared" si="7"/>
        <v>33712116.424000002</v>
      </c>
      <c r="J26" s="242"/>
      <c r="K26" s="242"/>
    </row>
    <row r="27" spans="1:11">
      <c r="A27" s="241" t="s">
        <v>326</v>
      </c>
      <c r="B27" s="260">
        <v>598000000</v>
      </c>
      <c r="C27" s="16">
        <v>200000000</v>
      </c>
      <c r="D27" s="16">
        <v>0</v>
      </c>
      <c r="E27" s="16">
        <v>243000000</v>
      </c>
      <c r="F27" s="16">
        <v>1301609100</v>
      </c>
      <c r="G27" s="107">
        <f t="shared" si="8"/>
        <v>468521820</v>
      </c>
      <c r="H27" s="107">
        <f t="shared" si="7"/>
        <v>442626184</v>
      </c>
      <c r="I27" s="108">
        <f t="shared" si="7"/>
        <v>491151420.80000001</v>
      </c>
      <c r="J27" s="242"/>
      <c r="K27" s="242"/>
    </row>
    <row r="28" spans="1:11">
      <c r="A28" s="241" t="s">
        <v>223</v>
      </c>
      <c r="B28" s="260">
        <v>0</v>
      </c>
      <c r="C28" s="16">
        <v>78470775</v>
      </c>
      <c r="D28" s="16">
        <v>0</v>
      </c>
      <c r="E28" s="16">
        <v>228925097</v>
      </c>
      <c r="F28" s="16">
        <v>0</v>
      </c>
      <c r="G28" s="107">
        <f t="shared" si="8"/>
        <v>61479174.399999999</v>
      </c>
      <c r="H28" s="107">
        <f t="shared" si="7"/>
        <v>73775009.280000001</v>
      </c>
      <c r="I28" s="108">
        <f t="shared" si="7"/>
        <v>72835856.135999992</v>
      </c>
      <c r="J28" s="242"/>
      <c r="K28" s="242"/>
    </row>
    <row r="29" spans="1:11">
      <c r="A29" s="241" t="s">
        <v>228</v>
      </c>
      <c r="B29" s="260">
        <v>13394584</v>
      </c>
      <c r="C29" s="16">
        <v>6337389</v>
      </c>
      <c r="D29" s="16">
        <v>3830579</v>
      </c>
      <c r="E29" s="16">
        <v>102829378</v>
      </c>
      <c r="F29" s="16">
        <v>208766756</v>
      </c>
      <c r="G29" s="107">
        <f t="shared" si="8"/>
        <v>67031737.200000003</v>
      </c>
      <c r="H29" s="107">
        <f t="shared" si="7"/>
        <v>77759167.840000004</v>
      </c>
      <c r="I29" s="108">
        <f t="shared" si="7"/>
        <v>92043523.607999995</v>
      </c>
      <c r="J29" s="242"/>
      <c r="K29" s="242"/>
    </row>
    <row r="30" spans="1:11">
      <c r="A30" s="241"/>
      <c r="B30" s="264">
        <f t="shared" ref="B30:I30" si="9">SUM(B23:B29)</f>
        <v>3261783471</v>
      </c>
      <c r="C30" s="265">
        <f t="shared" si="9"/>
        <v>2783703073.0316372</v>
      </c>
      <c r="D30" s="265">
        <f t="shared" si="9"/>
        <v>3679030288.1343164</v>
      </c>
      <c r="E30" s="265">
        <f t="shared" si="9"/>
        <v>5424585883.0539675</v>
      </c>
      <c r="F30" s="265">
        <f t="shared" si="9"/>
        <v>6100091922.105402</v>
      </c>
      <c r="G30" s="266">
        <f t="shared" si="9"/>
        <v>3012265040.0184374</v>
      </c>
      <c r="H30" s="266">
        <f t="shared" si="9"/>
        <v>4053429159.8398151</v>
      </c>
      <c r="I30" s="247">
        <f t="shared" si="9"/>
        <v>5027171564.9072933</v>
      </c>
      <c r="J30" s="242"/>
      <c r="K30" s="242"/>
    </row>
    <row r="31" spans="1:11">
      <c r="A31" s="241"/>
      <c r="B31" s="260"/>
      <c r="C31" s="16"/>
      <c r="D31" s="16"/>
      <c r="E31" s="16"/>
      <c r="F31" s="16"/>
      <c r="G31" s="101"/>
      <c r="H31" s="101"/>
      <c r="I31" s="102"/>
      <c r="J31" s="242"/>
      <c r="K31" s="242"/>
    </row>
    <row r="32" spans="1:11">
      <c r="A32" s="241"/>
      <c r="B32" s="260"/>
      <c r="C32" s="16"/>
      <c r="D32" s="16"/>
      <c r="E32" s="16"/>
      <c r="F32" s="16"/>
      <c r="G32" s="101"/>
      <c r="H32" s="101"/>
      <c r="I32" s="102"/>
      <c r="J32" s="242"/>
      <c r="K32" s="242"/>
    </row>
    <row r="33" spans="1:11">
      <c r="A33" s="241"/>
      <c r="B33" s="264">
        <f t="shared" ref="B33:I33" si="10">B14+B21+B30</f>
        <v>19345142418</v>
      </c>
      <c r="C33" s="265">
        <f t="shared" si="10"/>
        <v>20192190779.031639</v>
      </c>
      <c r="D33" s="265">
        <f t="shared" si="10"/>
        <v>23316333103.134315</v>
      </c>
      <c r="E33" s="265">
        <f t="shared" si="10"/>
        <v>31215550277.053967</v>
      </c>
      <c r="F33" s="265">
        <f t="shared" si="10"/>
        <v>31750516643.1054</v>
      </c>
      <c r="G33" s="266">
        <f t="shared" si="10"/>
        <v>23926372756.618435</v>
      </c>
      <c r="H33" s="266">
        <f t="shared" si="10"/>
        <v>26247544039.351677</v>
      </c>
      <c r="I33" s="247">
        <f t="shared" si="10"/>
        <v>26742072472.520935</v>
      </c>
      <c r="J33" s="242"/>
      <c r="K33" s="242"/>
    </row>
    <row r="34" spans="1:11">
      <c r="A34" s="241"/>
      <c r="B34" s="260"/>
      <c r="C34" s="16"/>
      <c r="D34" s="16"/>
      <c r="E34" s="16"/>
      <c r="F34" s="267"/>
      <c r="G34" s="101"/>
      <c r="H34" s="101"/>
      <c r="I34" s="102"/>
      <c r="J34" s="242"/>
      <c r="K34" s="242"/>
    </row>
    <row r="35" spans="1:11">
      <c r="A35" s="243" t="s">
        <v>232</v>
      </c>
      <c r="B35" s="260"/>
      <c r="C35" s="16"/>
      <c r="D35" s="16"/>
      <c r="E35" s="16"/>
      <c r="F35" s="16"/>
      <c r="G35" s="101"/>
      <c r="H35" s="101"/>
      <c r="I35" s="102"/>
      <c r="J35" s="242"/>
      <c r="K35" s="242"/>
    </row>
    <row r="36" spans="1:11">
      <c r="A36" s="241" t="s">
        <v>327</v>
      </c>
      <c r="B36" s="260"/>
      <c r="C36" s="16"/>
      <c r="D36" s="16"/>
      <c r="E36" s="16"/>
      <c r="F36" s="16"/>
      <c r="G36" s="101"/>
      <c r="H36" s="101"/>
      <c r="I36" s="102"/>
      <c r="J36" s="242"/>
      <c r="K36" s="242"/>
    </row>
    <row r="37" spans="1:11">
      <c r="A37" s="241" t="s">
        <v>234</v>
      </c>
      <c r="B37" s="260">
        <f>'Fixed Assets'!B20</f>
        <v>7698456586</v>
      </c>
      <c r="C37" s="16">
        <f>'Fixed Assets'!C20</f>
        <v>7378863363</v>
      </c>
      <c r="D37" s="16">
        <f>'Fixed Assets'!D20</f>
        <v>7960021087</v>
      </c>
      <c r="E37" s="16">
        <f>'Fixed Assets'!E20</f>
        <v>8008186210</v>
      </c>
      <c r="F37" s="16">
        <f>'Fixed Assets'!F20</f>
        <v>22613088249</v>
      </c>
      <c r="G37" s="107">
        <f>'Fixed Assets'!G20</f>
        <v>22180042081.001167</v>
      </c>
      <c r="H37" s="107">
        <f>'Fixed Assets'!H20</f>
        <v>21593717291.99157</v>
      </c>
      <c r="I37" s="108">
        <f>'Fixed Assets'!I20</f>
        <v>20868879156.558502</v>
      </c>
      <c r="J37" s="242"/>
      <c r="K37" s="242"/>
    </row>
    <row r="38" spans="1:11">
      <c r="A38" s="241" t="s">
        <v>328</v>
      </c>
      <c r="B38" s="260">
        <v>593775</v>
      </c>
      <c r="C38" s="16">
        <v>14741587</v>
      </c>
      <c r="D38" s="16">
        <v>15259395</v>
      </c>
      <c r="E38" s="16">
        <v>13878685</v>
      </c>
      <c r="F38" s="16">
        <v>11210982</v>
      </c>
      <c r="G38" s="107">
        <f>AVERAGE(B38:F38)</f>
        <v>11136884.800000001</v>
      </c>
      <c r="H38" s="107">
        <f t="shared" ref="H38:I38" si="11">AVERAGE(C38:G38)</f>
        <v>13245506.76</v>
      </c>
      <c r="I38" s="108">
        <f t="shared" si="11"/>
        <v>12946290.711999999</v>
      </c>
      <c r="J38" s="242"/>
      <c r="K38" s="242"/>
    </row>
    <row r="39" spans="1:11">
      <c r="A39" s="241" t="s">
        <v>186</v>
      </c>
      <c r="B39" s="241">
        <v>98266640</v>
      </c>
      <c r="C39" s="268">
        <v>125326640</v>
      </c>
      <c r="D39" s="268">
        <v>125326640</v>
      </c>
      <c r="E39" s="268">
        <v>38326640</v>
      </c>
      <c r="F39" s="268">
        <v>38326640</v>
      </c>
      <c r="G39" s="101">
        <v>156260995.24610758</v>
      </c>
      <c r="H39" s="101">
        <v>175705130.06993076</v>
      </c>
      <c r="I39" s="102">
        <v>179333421.46049231</v>
      </c>
      <c r="J39" s="242"/>
      <c r="K39" s="242"/>
    </row>
    <row r="40" spans="1:11">
      <c r="A40" s="241" t="s">
        <v>244</v>
      </c>
      <c r="B40" s="241">
        <v>2156011898</v>
      </c>
      <c r="C40" s="268">
        <v>3062824000</v>
      </c>
      <c r="D40" s="268">
        <v>3655622685</v>
      </c>
      <c r="E40" s="268">
        <v>3691839635</v>
      </c>
      <c r="F40" s="268">
        <v>3691839635</v>
      </c>
      <c r="G40" s="101">
        <v>3691839635</v>
      </c>
      <c r="H40" s="101">
        <v>3691839635</v>
      </c>
      <c r="I40" s="102">
        <v>3691839635</v>
      </c>
      <c r="J40" s="242"/>
      <c r="K40" s="242"/>
    </row>
    <row r="41" spans="1:11">
      <c r="A41" s="241"/>
      <c r="B41" s="264">
        <f t="shared" ref="B41:I41" si="12">SUM(B37:B40)</f>
        <v>9953328899</v>
      </c>
      <c r="C41" s="265">
        <f t="shared" si="12"/>
        <v>10581755590</v>
      </c>
      <c r="D41" s="265">
        <f t="shared" si="12"/>
        <v>11756229807</v>
      </c>
      <c r="E41" s="265">
        <f t="shared" si="12"/>
        <v>11752231170</v>
      </c>
      <c r="F41" s="265">
        <f t="shared" si="12"/>
        <v>26354465506</v>
      </c>
      <c r="G41" s="266">
        <f t="shared" si="12"/>
        <v>26039279596.047276</v>
      </c>
      <c r="H41" s="266">
        <f t="shared" si="12"/>
        <v>25474507563.821499</v>
      </c>
      <c r="I41" s="247">
        <f t="shared" si="12"/>
        <v>24752998503.730995</v>
      </c>
      <c r="J41" s="242"/>
      <c r="K41" s="242"/>
    </row>
    <row r="42" spans="1:11">
      <c r="A42" s="243" t="s">
        <v>329</v>
      </c>
      <c r="B42" s="260"/>
      <c r="C42" s="16"/>
      <c r="D42" s="16"/>
      <c r="E42" s="16"/>
      <c r="F42" s="16"/>
      <c r="G42" s="101"/>
      <c r="H42" s="101"/>
      <c r="I42" s="102"/>
      <c r="J42" s="242"/>
      <c r="K42" s="242"/>
    </row>
    <row r="43" spans="1:11">
      <c r="A43" s="241" t="s">
        <v>330</v>
      </c>
      <c r="B43" s="241">
        <v>1452649245</v>
      </c>
      <c r="C43" s="268">
        <v>1333176562</v>
      </c>
      <c r="D43" s="268">
        <v>2119531149</v>
      </c>
      <c r="E43" s="268">
        <v>1410927789</v>
      </c>
      <c r="F43" s="268">
        <v>2250156437</v>
      </c>
      <c r="G43" s="107">
        <f>AVERAGE(B43:F43)</f>
        <v>1713288236.4000001</v>
      </c>
      <c r="H43" s="107">
        <f t="shared" ref="H43:I49" si="13">AVERAGE(C43:G43)</f>
        <v>1765416034.6799998</v>
      </c>
      <c r="I43" s="108">
        <f t="shared" si="13"/>
        <v>1851863929.2160001</v>
      </c>
      <c r="J43" s="242"/>
      <c r="K43" s="242"/>
    </row>
    <row r="44" spans="1:11">
      <c r="A44" s="241" t="s">
        <v>331</v>
      </c>
      <c r="B44" s="241">
        <v>628906348</v>
      </c>
      <c r="C44" s="268">
        <v>949142281</v>
      </c>
      <c r="D44" s="268">
        <v>658728524</v>
      </c>
      <c r="E44" s="268">
        <v>709231912</v>
      </c>
      <c r="F44" s="268">
        <v>1016024223</v>
      </c>
      <c r="G44" s="107">
        <f t="shared" ref="G44:G49" si="14">AVERAGE(B44:F44)</f>
        <v>792406657.60000002</v>
      </c>
      <c r="H44" s="107">
        <f t="shared" si="13"/>
        <v>825106719.51999998</v>
      </c>
      <c r="I44" s="108">
        <f t="shared" si="13"/>
        <v>800299607.22399998</v>
      </c>
      <c r="J44" s="242"/>
      <c r="K44" s="242"/>
    </row>
    <row r="45" spans="1:11">
      <c r="A45" s="241" t="s">
        <v>260</v>
      </c>
      <c r="B45" s="241">
        <v>258810589</v>
      </c>
      <c r="C45" s="268">
        <v>343775970</v>
      </c>
      <c r="D45" s="268">
        <v>645524139</v>
      </c>
      <c r="E45" s="268">
        <v>714060503</v>
      </c>
      <c r="F45" s="268">
        <v>494315206</v>
      </c>
      <c r="G45" s="107">
        <f t="shared" si="14"/>
        <v>491297281.39999998</v>
      </c>
      <c r="H45" s="107">
        <f t="shared" si="13"/>
        <v>537794619.88</v>
      </c>
      <c r="I45" s="108">
        <f t="shared" si="13"/>
        <v>576598349.85600007</v>
      </c>
      <c r="J45" s="242"/>
      <c r="K45" s="242"/>
    </row>
    <row r="46" spans="1:11">
      <c r="A46" s="241" t="s">
        <v>268</v>
      </c>
      <c r="B46" s="241">
        <v>5563776412</v>
      </c>
      <c r="C46" s="268">
        <v>5219113317</v>
      </c>
      <c r="D46" s="268">
        <v>5159792050</v>
      </c>
      <c r="E46" s="268">
        <v>1947138780</v>
      </c>
      <c r="F46" s="268">
        <v>160130600</v>
      </c>
      <c r="G46" s="107">
        <f t="shared" si="14"/>
        <v>3609990231.8000002</v>
      </c>
      <c r="H46" s="107">
        <f t="shared" si="13"/>
        <v>3219232995.7599998</v>
      </c>
      <c r="I46" s="108">
        <f t="shared" si="13"/>
        <v>2819256931.5120001</v>
      </c>
      <c r="J46" s="242"/>
      <c r="K46" s="242"/>
    </row>
    <row r="47" spans="1:11">
      <c r="A47" s="241" t="s">
        <v>332</v>
      </c>
      <c r="B47" s="241">
        <v>693851340</v>
      </c>
      <c r="C47" s="268">
        <v>587907314</v>
      </c>
      <c r="D47" s="268">
        <v>887836716</v>
      </c>
      <c r="E47" s="268">
        <v>391017347</v>
      </c>
      <c r="F47" s="268">
        <v>425391226</v>
      </c>
      <c r="G47" s="107">
        <f t="shared" si="14"/>
        <v>597200788.60000002</v>
      </c>
      <c r="H47" s="107">
        <f t="shared" si="13"/>
        <v>577870678.31999993</v>
      </c>
      <c r="I47" s="108">
        <f t="shared" si="13"/>
        <v>575863351.18400002</v>
      </c>
      <c r="J47" s="242"/>
      <c r="K47" s="242"/>
    </row>
    <row r="48" spans="1:11">
      <c r="A48" s="241" t="s">
        <v>270</v>
      </c>
      <c r="B48" s="241">
        <v>146747362</v>
      </c>
      <c r="C48" s="268">
        <v>0</v>
      </c>
      <c r="D48" s="268">
        <v>111221602</v>
      </c>
      <c r="E48" s="268">
        <v>0</v>
      </c>
      <c r="F48" s="268">
        <v>120432026</v>
      </c>
      <c r="G48" s="107">
        <f t="shared" si="14"/>
        <v>75680198</v>
      </c>
      <c r="H48" s="107">
        <f t="shared" si="13"/>
        <v>61466765.200000003</v>
      </c>
      <c r="I48" s="108">
        <f t="shared" si="13"/>
        <v>73760118.239999995</v>
      </c>
      <c r="J48" s="242"/>
      <c r="K48" s="242"/>
    </row>
    <row r="49" spans="1:11">
      <c r="A49" s="241" t="s">
        <v>271</v>
      </c>
      <c r="B49" s="241">
        <v>473634909</v>
      </c>
      <c r="C49" s="268">
        <v>495658567</v>
      </c>
      <c r="D49" s="268">
        <v>824427690</v>
      </c>
      <c r="E49" s="268">
        <v>433886023</v>
      </c>
      <c r="F49" s="268">
        <v>891606087</v>
      </c>
      <c r="G49" s="107">
        <f t="shared" si="14"/>
        <v>623842655.20000005</v>
      </c>
      <c r="H49" s="107">
        <f t="shared" si="13"/>
        <v>653884204.43999994</v>
      </c>
      <c r="I49" s="108">
        <f t="shared" si="13"/>
        <v>685529331.92799997</v>
      </c>
      <c r="J49" s="242"/>
      <c r="K49" s="242"/>
    </row>
    <row r="50" spans="1:11">
      <c r="A50" s="241"/>
      <c r="B50" s="264">
        <f t="shared" ref="B50:E50" si="15">SUM(B43:B49)</f>
        <v>9218376205</v>
      </c>
      <c r="C50" s="265">
        <f t="shared" si="15"/>
        <v>8928774011</v>
      </c>
      <c r="D50" s="265">
        <f t="shared" si="15"/>
        <v>10407061870</v>
      </c>
      <c r="E50" s="265">
        <f t="shared" si="15"/>
        <v>5606262354</v>
      </c>
      <c r="F50" s="265">
        <f>SUM(F43:F49)</f>
        <v>5358055805</v>
      </c>
      <c r="G50" s="266">
        <f t="shared" ref="G50:I50" si="16">SUM(G43:G49)</f>
        <v>7903706049.000001</v>
      </c>
      <c r="H50" s="266">
        <f t="shared" si="16"/>
        <v>7640772017.7999992</v>
      </c>
      <c r="I50" s="247">
        <f t="shared" si="16"/>
        <v>7383171619.1599998</v>
      </c>
      <c r="J50" s="242"/>
      <c r="K50" s="242"/>
    </row>
    <row r="51" spans="1:11">
      <c r="A51" s="241"/>
      <c r="B51" s="260"/>
      <c r="C51" s="16"/>
      <c r="D51" s="16"/>
      <c r="E51" s="16"/>
      <c r="F51" s="16"/>
      <c r="G51" s="101"/>
      <c r="H51" s="101"/>
      <c r="I51" s="102"/>
      <c r="J51" s="242"/>
      <c r="K51" s="242"/>
    </row>
    <row r="52" spans="1:11" ht="15.75" thickBot="1">
      <c r="A52" s="245"/>
      <c r="B52" s="269">
        <f t="shared" ref="B52:E52" si="17">SUM(B41+B50)</f>
        <v>19171705104</v>
      </c>
      <c r="C52" s="246">
        <f t="shared" si="17"/>
        <v>19510529601</v>
      </c>
      <c r="D52" s="246">
        <f t="shared" si="17"/>
        <v>22163291677</v>
      </c>
      <c r="E52" s="246">
        <f t="shared" si="17"/>
        <v>17358493524</v>
      </c>
      <c r="F52" s="246">
        <f>SUM(F41+F50)</f>
        <v>31712521311</v>
      </c>
      <c r="G52" s="248">
        <f t="shared" ref="G52:I52" si="18">SUM(G41+G50)</f>
        <v>33942985645.047276</v>
      </c>
      <c r="H52" s="248">
        <f t="shared" si="18"/>
        <v>33115279581.621498</v>
      </c>
      <c r="I52" s="249">
        <f t="shared" si="18"/>
        <v>32136170122.890995</v>
      </c>
      <c r="J52" s="242"/>
      <c r="K52" s="242"/>
    </row>
    <row r="53" spans="1:11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</row>
    <row r="54" spans="1:11">
      <c r="A54" s="242"/>
      <c r="B54" s="242"/>
      <c r="C54" s="242"/>
      <c r="D54" s="242"/>
      <c r="E54" s="242"/>
      <c r="F54" s="242"/>
      <c r="G54" s="242"/>
      <c r="H54" s="242"/>
      <c r="I54" s="242"/>
      <c r="J54" s="242"/>
      <c r="K54" s="242"/>
    </row>
    <row r="55" spans="1:11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</row>
    <row r="56" spans="1:11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</row>
    <row r="57" spans="1:11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</row>
    <row r="58" spans="1:11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</row>
  </sheetData>
  <mergeCells count="2">
    <mergeCell ref="A1:I3"/>
    <mergeCell ref="G4:I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zoomScale="75" zoomScaleNormal="75" workbookViewId="0">
      <selection activeCell="E20" sqref="E20"/>
    </sheetView>
  </sheetViews>
  <sheetFormatPr defaultRowHeight="15"/>
  <cols>
    <col min="1" max="1" width="40.7109375" bestFit="1" customWidth="1"/>
    <col min="3" max="10" width="16.85546875" bestFit="1" customWidth="1"/>
  </cols>
  <sheetData>
    <row r="1" spans="1:10" ht="15" customHeight="1">
      <c r="A1" s="378" t="s">
        <v>472</v>
      </c>
      <c r="B1" s="378"/>
      <c r="C1" s="378"/>
      <c r="D1" s="378"/>
      <c r="E1" s="378"/>
      <c r="F1" s="378"/>
      <c r="G1" s="378"/>
      <c r="H1" s="378"/>
      <c r="I1" s="378"/>
      <c r="J1" s="378"/>
    </row>
    <row r="2" spans="1:10" ht="15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</row>
    <row r="3" spans="1:10" ht="15" customHeight="1">
      <c r="A3" s="378"/>
      <c r="B3" s="378"/>
      <c r="C3" s="378"/>
      <c r="D3" s="378"/>
      <c r="E3" s="378"/>
      <c r="F3" s="378"/>
      <c r="G3" s="378"/>
      <c r="H3" s="378"/>
      <c r="I3" s="378"/>
      <c r="J3" s="378"/>
    </row>
    <row r="4" spans="1:10" ht="15" customHeight="1">
      <c r="B4" s="187"/>
      <c r="C4" s="374" t="s">
        <v>470</v>
      </c>
      <c r="D4" s="374"/>
      <c r="E4" s="374"/>
      <c r="F4" s="374"/>
      <c r="G4" s="374"/>
      <c r="H4" s="376" t="s">
        <v>471</v>
      </c>
      <c r="I4" s="376"/>
      <c r="J4" s="376"/>
    </row>
    <row r="5" spans="1:10" ht="15" customHeight="1">
      <c r="B5" s="187"/>
      <c r="C5" s="374"/>
      <c r="D5" s="374"/>
      <c r="E5" s="374"/>
      <c r="F5" s="374"/>
      <c r="G5" s="374"/>
      <c r="H5" s="376"/>
      <c r="I5" s="376"/>
      <c r="J5" s="376"/>
    </row>
    <row r="6" spans="1:10" ht="15.75" customHeight="1" thickBot="1">
      <c r="B6" s="188"/>
      <c r="C6" s="375"/>
      <c r="D6" s="375"/>
      <c r="E6" s="375"/>
      <c r="F6" s="375"/>
      <c r="G6" s="375"/>
      <c r="H6" s="377"/>
      <c r="I6" s="377"/>
      <c r="J6" s="377"/>
    </row>
    <row r="7" spans="1:10">
      <c r="A7" s="139"/>
      <c r="B7" s="191" t="s">
        <v>312</v>
      </c>
      <c r="C7" s="180">
        <v>2016</v>
      </c>
      <c r="D7" s="181">
        <v>2017</v>
      </c>
      <c r="E7" s="181">
        <v>2018</v>
      </c>
      <c r="F7" s="181">
        <v>2019</v>
      </c>
      <c r="G7" s="181">
        <v>2020</v>
      </c>
      <c r="H7" s="182">
        <v>2021</v>
      </c>
      <c r="I7" s="182">
        <v>2022</v>
      </c>
      <c r="J7" s="183">
        <v>2023</v>
      </c>
    </row>
    <row r="8" spans="1:10">
      <c r="A8" s="140" t="s">
        <v>313</v>
      </c>
      <c r="B8" s="192">
        <v>26</v>
      </c>
      <c r="C8" s="135">
        <f>'Sales &amp; Dispatches'!B15</f>
        <v>14019842677</v>
      </c>
      <c r="D8" s="14">
        <f>'Sales &amp; Dispatches'!C15</f>
        <v>13540304600</v>
      </c>
      <c r="E8" s="14">
        <f>'Sales &amp; Dispatches'!D15</f>
        <v>13438843026</v>
      </c>
      <c r="F8" s="14">
        <f>'Sales &amp; Dispatches'!E15</f>
        <v>15645648712</v>
      </c>
      <c r="G8" s="14">
        <f>'Sales &amp; Dispatches'!F15</f>
        <v>11300240540</v>
      </c>
      <c r="H8" s="14">
        <f>'Sales &amp; Dispatches'!G15</f>
        <v>21374976903.501568</v>
      </c>
      <c r="I8" s="14">
        <f>'Sales &amp; Dispatches'!H15</f>
        <v>24894083641.674931</v>
      </c>
      <c r="J8" s="78">
        <f>'Sales &amp; Dispatches'!I15</f>
        <v>28960760467.043087</v>
      </c>
    </row>
    <row r="9" spans="1:10">
      <c r="A9" s="184" t="s">
        <v>314</v>
      </c>
      <c r="B9" s="193">
        <v>27</v>
      </c>
      <c r="C9" s="169">
        <f>COGS!B35</f>
        <v>7523277833</v>
      </c>
      <c r="D9" s="19">
        <f>COGS!C35</f>
        <v>7712936683</v>
      </c>
      <c r="E9" s="19">
        <f>COGS!D35</f>
        <v>9113482181</v>
      </c>
      <c r="F9" s="19">
        <f>COGS!E35</f>
        <v>11472502379</v>
      </c>
      <c r="G9" s="19">
        <f>COGS!F35</f>
        <v>11324560852</v>
      </c>
      <c r="H9" s="19">
        <f ca="1">COGS!G35</f>
        <v>15760167136.014629</v>
      </c>
      <c r="I9" s="19">
        <f ca="1">COGS!H35</f>
        <v>18926972158.662052</v>
      </c>
      <c r="J9" s="373">
        <f ca="1">COGS!I35</f>
        <v>22704377547.919922</v>
      </c>
    </row>
    <row r="10" spans="1:10">
      <c r="A10" s="140" t="s">
        <v>315</v>
      </c>
      <c r="B10" s="192"/>
      <c r="C10" s="135">
        <f t="shared" ref="C10:F10" si="0">C8-C9</f>
        <v>6496564844</v>
      </c>
      <c r="D10" s="14">
        <f t="shared" si="0"/>
        <v>5827367917</v>
      </c>
      <c r="E10" s="14">
        <f t="shared" si="0"/>
        <v>4325360845</v>
      </c>
      <c r="F10" s="14">
        <f t="shared" si="0"/>
        <v>4173146333</v>
      </c>
      <c r="G10" s="14">
        <f>G8-G9</f>
        <v>-24320312</v>
      </c>
      <c r="H10" s="107">
        <f t="shared" ref="H10:J10" ca="1" si="1">H8-H9</f>
        <v>5614809767.4869385</v>
      </c>
      <c r="I10" s="107">
        <f t="shared" ca="1" si="1"/>
        <v>5967111483.0128784</v>
      </c>
      <c r="J10" s="108">
        <f t="shared" ca="1" si="1"/>
        <v>6256382919.1231651</v>
      </c>
    </row>
    <row r="11" spans="1:10">
      <c r="A11" s="140"/>
      <c r="B11" s="192"/>
      <c r="C11" s="135"/>
      <c r="D11" s="14"/>
      <c r="E11" s="14"/>
      <c r="F11" s="14"/>
      <c r="G11" s="14"/>
      <c r="H11" s="101"/>
      <c r="I11" s="101"/>
      <c r="J11" s="102"/>
    </row>
    <row r="12" spans="1:10">
      <c r="A12" s="140" t="s">
        <v>110</v>
      </c>
      <c r="B12" s="192">
        <v>28</v>
      </c>
      <c r="C12" s="135">
        <f>'AD&amp;S Exp'!B22</f>
        <v>154584148</v>
      </c>
      <c r="D12" s="14">
        <f>'AD&amp;S Exp'!C22</f>
        <v>129666117</v>
      </c>
      <c r="E12" s="14">
        <f>'AD&amp;S Exp'!D22</f>
        <v>96878923</v>
      </c>
      <c r="F12" s="14">
        <f>'AD&amp;S Exp'!E22</f>
        <v>85341553</v>
      </c>
      <c r="G12" s="14">
        <f>'AD&amp;S Exp'!F22</f>
        <v>64260434</v>
      </c>
      <c r="H12" s="14">
        <f>'AD&amp;S Exp'!G22</f>
        <v>71650801.625299782</v>
      </c>
      <c r="I12" s="14">
        <f>'AD&amp;S Exp'!H22</f>
        <v>78662091.153845862</v>
      </c>
      <c r="J12" s="78">
        <f>'AD&amp;S Exp'!I22</f>
        <v>86448478.755263269</v>
      </c>
    </row>
    <row r="13" spans="1:10">
      <c r="A13" s="140" t="s">
        <v>121</v>
      </c>
      <c r="B13" s="192">
        <v>29</v>
      </c>
      <c r="C13" s="135">
        <f>'AD&amp;S Exp'!B54</f>
        <v>133091979</v>
      </c>
      <c r="D13" s="14">
        <f>'AD&amp;S Exp'!C54</f>
        <v>163009229</v>
      </c>
      <c r="E13" s="14">
        <f>'AD&amp;S Exp'!D54</f>
        <v>203149588</v>
      </c>
      <c r="F13" s="14">
        <f>'AD&amp;S Exp'!E54</f>
        <v>254163790</v>
      </c>
      <c r="G13" s="14">
        <f>'AD&amp;S Exp'!F54</f>
        <v>238727603</v>
      </c>
      <c r="H13" s="14">
        <f>'AD&amp;S Exp'!G54</f>
        <v>267336516.56831077</v>
      </c>
      <c r="I13" s="14">
        <f>'AD&amp;S Exp'!H54</f>
        <v>294016394.72287929</v>
      </c>
      <c r="J13" s="78">
        <f>'AD&amp;S Exp'!I54</f>
        <v>326734974.87734479</v>
      </c>
    </row>
    <row r="14" spans="1:10">
      <c r="A14" s="140" t="s">
        <v>273</v>
      </c>
      <c r="B14" s="192">
        <v>30</v>
      </c>
      <c r="C14" s="135">
        <f>N.PL!B33</f>
        <v>479304653</v>
      </c>
      <c r="D14" s="14">
        <f>N.PL!C33</f>
        <v>393104388</v>
      </c>
      <c r="E14" s="14">
        <f>N.PL!D33</f>
        <v>361696624</v>
      </c>
      <c r="F14" s="14">
        <f>N.PL!E33</f>
        <v>348620307</v>
      </c>
      <c r="G14" s="14">
        <f>N.PL!F33</f>
        <v>196152112</v>
      </c>
      <c r="H14" s="14">
        <f>N.PL!G33</f>
        <v>355775616.80000001</v>
      </c>
      <c r="I14" s="14">
        <f>N.PL!H33</f>
        <v>331069809.56</v>
      </c>
      <c r="J14" s="78">
        <f>N.PL!I33</f>
        <v>318662893.87199998</v>
      </c>
    </row>
    <row r="15" spans="1:10">
      <c r="A15" s="140" t="s">
        <v>43</v>
      </c>
      <c r="B15" s="192">
        <v>31</v>
      </c>
      <c r="C15" s="135">
        <f>N.PL!B41</f>
        <v>436009872</v>
      </c>
      <c r="D15" s="14">
        <f>N.PL!C41</f>
        <v>407910842</v>
      </c>
      <c r="E15" s="14">
        <f>N.PL!D41</f>
        <v>310145721</v>
      </c>
      <c r="F15" s="14">
        <f>N.PL!E41</f>
        <v>460124755</v>
      </c>
      <c r="G15" s="14">
        <f>N.PL!F41</f>
        <v>16456530</v>
      </c>
      <c r="H15" s="14">
        <f ca="1">N.PL!G41</f>
        <v>337464221.60625726</v>
      </c>
      <c r="I15" s="14">
        <f>N.PL!H41</f>
        <v>232605922.54460552</v>
      </c>
      <c r="J15" s="78">
        <f>N.PL!I41</f>
        <v>208574731.78394553</v>
      </c>
    </row>
    <row r="16" spans="1:10">
      <c r="A16" s="140"/>
      <c r="B16" s="192"/>
      <c r="C16" s="135">
        <f t="shared" ref="C16:F16" si="2">-C12-C13+C14-C15</f>
        <v>-244381346</v>
      </c>
      <c r="D16" s="14">
        <f t="shared" si="2"/>
        <v>-307481800</v>
      </c>
      <c r="E16" s="14">
        <f t="shared" si="2"/>
        <v>-248477608</v>
      </c>
      <c r="F16" s="14">
        <f t="shared" si="2"/>
        <v>-451009791</v>
      </c>
      <c r="G16" s="14">
        <f>-G12-G13+G14-G15</f>
        <v>-123292455</v>
      </c>
      <c r="H16" s="107">
        <f t="shared" ref="H16:J16" ca="1" si="3">-H12-H13+H14-H15</f>
        <v>-320675922.9998678</v>
      </c>
      <c r="I16" s="107">
        <f t="shared" si="3"/>
        <v>-274214598.86133063</v>
      </c>
      <c r="J16" s="108">
        <f t="shared" si="3"/>
        <v>-303095291.54455364</v>
      </c>
    </row>
    <row r="17" spans="1:10">
      <c r="A17" s="186" t="s">
        <v>316</v>
      </c>
      <c r="B17" s="194"/>
      <c r="C17" s="165">
        <f t="shared" ref="C17:F17" si="4">C10+C16</f>
        <v>6252183498</v>
      </c>
      <c r="D17" s="13">
        <f t="shared" si="4"/>
        <v>5519886117</v>
      </c>
      <c r="E17" s="13">
        <f t="shared" si="4"/>
        <v>4076883237</v>
      </c>
      <c r="F17" s="13">
        <f t="shared" si="4"/>
        <v>3722136542</v>
      </c>
      <c r="G17" s="13">
        <f>G10+G16</f>
        <v>-147612767</v>
      </c>
      <c r="H17" s="170">
        <f t="shared" ref="H17:J17" ca="1" si="5">H10+H16</f>
        <v>5294133844.487071</v>
      </c>
      <c r="I17" s="170">
        <f t="shared" ca="1" si="5"/>
        <v>5692896884.1515474</v>
      </c>
      <c r="J17" s="171">
        <f t="shared" ca="1" si="5"/>
        <v>5953287627.5786114</v>
      </c>
    </row>
    <row r="18" spans="1:10">
      <c r="A18" s="140" t="s">
        <v>301</v>
      </c>
      <c r="B18" s="192">
        <v>32</v>
      </c>
      <c r="C18" s="135">
        <f>N.PL!B54</f>
        <v>78116546</v>
      </c>
      <c r="D18" s="14">
        <f>N.PL!C54</f>
        <v>84961726</v>
      </c>
      <c r="E18" s="14">
        <f>N.PL!D54</f>
        <v>106531176</v>
      </c>
      <c r="F18" s="14">
        <f>N.PL!E54</f>
        <v>46065101</v>
      </c>
      <c r="G18" s="14">
        <f>N.PL!F54</f>
        <v>409702183</v>
      </c>
      <c r="H18" s="14">
        <f>N.PL!G54</f>
        <v>145832075.25</v>
      </c>
      <c r="I18" s="14">
        <f>N.PL!H54</f>
        <v>513825769.75</v>
      </c>
      <c r="J18" s="78">
        <f>N.PL!I54</f>
        <v>698571274.66666663</v>
      </c>
    </row>
    <row r="19" spans="1:10">
      <c r="A19" s="186" t="s">
        <v>317</v>
      </c>
      <c r="B19" s="194"/>
      <c r="C19" s="165">
        <f t="shared" ref="C19:F19" si="6">C17-C18</f>
        <v>6174066952</v>
      </c>
      <c r="D19" s="13">
        <f t="shared" si="6"/>
        <v>5434924391</v>
      </c>
      <c r="E19" s="13">
        <f t="shared" si="6"/>
        <v>3970352061</v>
      </c>
      <c r="F19" s="13">
        <f t="shared" si="6"/>
        <v>3676071441</v>
      </c>
      <c r="G19" s="13">
        <f>G17-G18</f>
        <v>-557314950</v>
      </c>
      <c r="H19" s="170">
        <f t="shared" ref="H19:J19" ca="1" si="7">H17-H18</f>
        <v>5148301769.237071</v>
      </c>
      <c r="I19" s="170">
        <f t="shared" ca="1" si="7"/>
        <v>5179071114.4015474</v>
      </c>
      <c r="J19" s="171">
        <f t="shared" ca="1" si="7"/>
        <v>5254716352.9119444</v>
      </c>
    </row>
    <row r="20" spans="1:10">
      <c r="A20" s="184" t="s">
        <v>83</v>
      </c>
      <c r="B20" s="193">
        <v>33</v>
      </c>
      <c r="C20" s="169">
        <f>N.PL!B60</f>
        <v>1765991492</v>
      </c>
      <c r="D20" s="19">
        <f>N.PL!C60</f>
        <v>1890109541</v>
      </c>
      <c r="E20" s="19">
        <f>N.PL!D60</f>
        <v>990357268</v>
      </c>
      <c r="F20" s="19">
        <f>N.PL!E60</f>
        <v>1207415551</v>
      </c>
      <c r="G20" s="19">
        <f>N.PL!F60</f>
        <v>-113579251</v>
      </c>
      <c r="H20" s="107">
        <f ca="1">H19*29%</f>
        <v>1493007513.0787506</v>
      </c>
      <c r="I20" s="107">
        <f t="shared" ref="I20:J20" ca="1" si="8">I19*29%</f>
        <v>1501930623.1764486</v>
      </c>
      <c r="J20" s="108">
        <f t="shared" ca="1" si="8"/>
        <v>1523867742.3444638</v>
      </c>
    </row>
    <row r="21" spans="1:10" ht="15.75" thickBot="1">
      <c r="A21" s="185" t="s">
        <v>318</v>
      </c>
      <c r="B21" s="195"/>
      <c r="C21" s="63">
        <f>C19-C20</f>
        <v>4408075460</v>
      </c>
      <c r="D21" s="21">
        <f t="shared" ref="D21:G21" si="9">D19-D20</f>
        <v>3544814850</v>
      </c>
      <c r="E21" s="21">
        <f t="shared" si="9"/>
        <v>2979994793</v>
      </c>
      <c r="F21" s="21">
        <f t="shared" si="9"/>
        <v>2468655890</v>
      </c>
      <c r="G21" s="21">
        <f t="shared" si="9"/>
        <v>-443735699</v>
      </c>
      <c r="H21" s="189">
        <f t="shared" ref="H21:J21" ca="1" si="10">H19-H20</f>
        <v>3655294256.1583204</v>
      </c>
      <c r="I21" s="189">
        <f t="shared" ca="1" si="10"/>
        <v>3677140491.2250986</v>
      </c>
      <c r="J21" s="190">
        <f t="shared" ca="1" si="10"/>
        <v>3730848610.5674806</v>
      </c>
    </row>
  </sheetData>
  <mergeCells count="3">
    <mergeCell ref="A1:J3"/>
    <mergeCell ref="H4:J6"/>
    <mergeCell ref="C4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0"/>
  <sheetViews>
    <sheetView topLeftCell="A3" zoomScale="60" zoomScaleNormal="60" workbookViewId="0">
      <selection activeCell="K34" sqref="K34"/>
    </sheetView>
  </sheetViews>
  <sheetFormatPr defaultRowHeight="15"/>
  <cols>
    <col min="1" max="1" width="45" customWidth="1"/>
    <col min="3" max="3" width="12.28515625" bestFit="1" customWidth="1"/>
    <col min="4" max="4" width="11.85546875" bestFit="1" customWidth="1"/>
    <col min="5" max="5" width="12.5703125" bestFit="1" customWidth="1"/>
    <col min="6" max="6" width="12" bestFit="1" customWidth="1"/>
    <col min="7" max="7" width="11.85546875" bestFit="1" customWidth="1"/>
    <col min="8" max="8" width="11.140625" bestFit="1" customWidth="1"/>
    <col min="9" max="10" width="11.28515625" bestFit="1" customWidth="1"/>
  </cols>
  <sheetData>
    <row r="1" spans="1:10" ht="15" customHeight="1">
      <c r="A1" s="378" t="s">
        <v>472</v>
      </c>
      <c r="B1" s="378"/>
      <c r="C1" s="378"/>
      <c r="D1" s="378"/>
      <c r="E1" s="378"/>
      <c r="F1" s="378"/>
      <c r="G1" s="378"/>
      <c r="H1" s="378"/>
      <c r="I1" s="378"/>
      <c r="J1" s="378"/>
    </row>
    <row r="2" spans="1:10" ht="15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</row>
    <row r="3" spans="1:10" ht="15" customHeight="1">
      <c r="A3" s="378"/>
      <c r="B3" s="378"/>
      <c r="C3" s="378"/>
      <c r="D3" s="378"/>
      <c r="E3" s="378"/>
      <c r="F3" s="378"/>
      <c r="G3" s="378"/>
      <c r="H3" s="378"/>
      <c r="I3" s="378"/>
      <c r="J3" s="378"/>
    </row>
    <row r="4" spans="1:10" ht="15" customHeight="1">
      <c r="B4" s="374" t="s">
        <v>470</v>
      </c>
      <c r="C4" s="374"/>
      <c r="D4" s="374"/>
      <c r="E4" s="374"/>
      <c r="F4" s="374"/>
      <c r="G4" s="374"/>
      <c r="H4" s="376" t="s">
        <v>471</v>
      </c>
      <c r="I4" s="376"/>
      <c r="J4" s="376"/>
    </row>
    <row r="5" spans="1:10" ht="15" customHeight="1">
      <c r="B5" s="374"/>
      <c r="C5" s="374"/>
      <c r="D5" s="374"/>
      <c r="E5" s="374"/>
      <c r="F5" s="374"/>
      <c r="G5" s="374"/>
      <c r="H5" s="376"/>
      <c r="I5" s="376"/>
      <c r="J5" s="376"/>
    </row>
    <row r="6" spans="1:10" ht="15.75" customHeight="1" thickBot="1">
      <c r="B6" s="391"/>
      <c r="C6" s="391"/>
      <c r="D6" s="391"/>
      <c r="E6" s="391"/>
      <c r="F6" s="391"/>
      <c r="G6" s="391"/>
      <c r="H6" s="392"/>
      <c r="I6" s="392"/>
      <c r="J6" s="392"/>
    </row>
    <row r="7" spans="1:10" ht="16.5" thickBot="1">
      <c r="B7" s="199"/>
      <c r="C7" s="200">
        <v>2016</v>
      </c>
      <c r="D7" s="200">
        <v>2017</v>
      </c>
      <c r="E7" s="200">
        <v>2018</v>
      </c>
      <c r="F7" s="200">
        <v>2019</v>
      </c>
      <c r="G7" s="200">
        <v>2020</v>
      </c>
      <c r="H7" s="201">
        <v>2021</v>
      </c>
      <c r="I7" s="201">
        <v>2022</v>
      </c>
      <c r="J7" s="202">
        <v>2023</v>
      </c>
    </row>
    <row r="8" spans="1:10">
      <c r="A8" s="359" t="s">
        <v>333</v>
      </c>
      <c r="B8" s="363"/>
      <c r="C8" s="364">
        <v>18400222</v>
      </c>
      <c r="D8" s="364">
        <v>18778253</v>
      </c>
      <c r="E8" s="364">
        <v>15118655</v>
      </c>
      <c r="F8" s="364">
        <v>12221215</v>
      </c>
      <c r="G8" s="364">
        <v>3819928</v>
      </c>
      <c r="H8" s="365">
        <f>AVERAGE(C8:G8)</f>
        <v>13667654.6</v>
      </c>
      <c r="I8" s="365">
        <f>AVERAGE(D8:H8)</f>
        <v>12721141.120000001</v>
      </c>
      <c r="J8" s="366">
        <f>AVERAGE(E8:I8)</f>
        <v>11509718.743999999</v>
      </c>
    </row>
    <row r="9" spans="1:10">
      <c r="A9" s="360" t="s">
        <v>334</v>
      </c>
      <c r="B9" s="207"/>
      <c r="C9" s="196"/>
      <c r="D9" s="196"/>
      <c r="E9" s="196"/>
      <c r="F9" s="196"/>
      <c r="G9" s="196"/>
      <c r="H9" s="203"/>
      <c r="I9" s="203"/>
      <c r="J9" s="204"/>
    </row>
    <row r="10" spans="1:10">
      <c r="A10" s="360" t="s">
        <v>335</v>
      </c>
      <c r="B10" s="207"/>
      <c r="C10" s="197">
        <v>2545069</v>
      </c>
      <c r="D10" s="197">
        <v>2580612</v>
      </c>
      <c r="E10" s="197">
        <v>2974884</v>
      </c>
      <c r="F10" s="197">
        <v>3276104</v>
      </c>
      <c r="G10" s="197">
        <v>3843568</v>
      </c>
      <c r="H10" s="203">
        <f t="shared" ref="H10:J18" si="0">AVERAGE(C10:G10)</f>
        <v>3044047.4</v>
      </c>
      <c r="I10" s="203">
        <f t="shared" si="0"/>
        <v>3143843.08</v>
      </c>
      <c r="J10" s="204">
        <f t="shared" si="0"/>
        <v>3256489.2960000001</v>
      </c>
    </row>
    <row r="11" spans="1:10">
      <c r="A11" s="361" t="s">
        <v>4</v>
      </c>
      <c r="B11" s="207"/>
      <c r="C11" s="197">
        <v>24008</v>
      </c>
      <c r="D11" s="197">
        <v>51479</v>
      </c>
      <c r="E11" s="197">
        <v>41256</v>
      </c>
      <c r="F11" s="197">
        <v>44533</v>
      </c>
      <c r="G11" s="197">
        <v>10869</v>
      </c>
      <c r="H11" s="203">
        <f t="shared" si="0"/>
        <v>34429</v>
      </c>
      <c r="I11" s="203">
        <f t="shared" si="0"/>
        <v>36513.199999999997</v>
      </c>
      <c r="J11" s="204">
        <f t="shared" si="0"/>
        <v>33520.04</v>
      </c>
    </row>
    <row r="12" spans="1:10">
      <c r="A12" s="361" t="s">
        <v>336</v>
      </c>
      <c r="B12" s="207"/>
      <c r="C12" s="197">
        <v>4206</v>
      </c>
      <c r="D12" s="197">
        <v>1535</v>
      </c>
      <c r="E12" s="198">
        <v>867</v>
      </c>
      <c r="F12" s="197">
        <v>17263</v>
      </c>
      <c r="G12" s="197">
        <v>2180</v>
      </c>
      <c r="H12" s="203">
        <f t="shared" si="0"/>
        <v>5210.2</v>
      </c>
      <c r="I12" s="203">
        <f t="shared" si="0"/>
        <v>5411.04</v>
      </c>
      <c r="J12" s="204">
        <f t="shared" si="0"/>
        <v>6186.2480000000005</v>
      </c>
    </row>
    <row r="13" spans="1:10">
      <c r="A13" s="361" t="s">
        <v>337</v>
      </c>
      <c r="B13" s="207"/>
      <c r="C13" s="197">
        <v>-31152</v>
      </c>
      <c r="D13" s="197">
        <v>-42678</v>
      </c>
      <c r="E13" s="197">
        <v>-132906</v>
      </c>
      <c r="F13" s="197">
        <v>-144991</v>
      </c>
      <c r="G13" s="197">
        <v>-46319</v>
      </c>
      <c r="H13" s="203">
        <f t="shared" si="0"/>
        <v>-79609.2</v>
      </c>
      <c r="I13" s="203">
        <f t="shared" si="0"/>
        <v>-89300.64</v>
      </c>
      <c r="J13" s="204">
        <f t="shared" si="0"/>
        <v>-98625.168000000005</v>
      </c>
    </row>
    <row r="14" spans="1:10">
      <c r="A14" s="361" t="s">
        <v>292</v>
      </c>
      <c r="B14" s="207"/>
      <c r="C14" s="197">
        <v>-1305141</v>
      </c>
      <c r="D14" s="197">
        <v>-1841745</v>
      </c>
      <c r="E14" s="197">
        <v>-1956183</v>
      </c>
      <c r="F14" s="197">
        <v>-2132516</v>
      </c>
      <c r="G14" s="197">
        <v>-1537055</v>
      </c>
      <c r="H14" s="203">
        <f t="shared" si="0"/>
        <v>-1754528</v>
      </c>
      <c r="I14" s="203">
        <f t="shared" si="0"/>
        <v>-1844405.4</v>
      </c>
      <c r="J14" s="204">
        <f t="shared" si="0"/>
        <v>-1844937.48</v>
      </c>
    </row>
    <row r="15" spans="1:10">
      <c r="A15" s="361" t="s">
        <v>338</v>
      </c>
      <c r="B15" s="207"/>
      <c r="C15" s="197"/>
      <c r="D15" s="196" t="s">
        <v>340</v>
      </c>
      <c r="E15" s="196" t="s">
        <v>340</v>
      </c>
      <c r="F15" s="197">
        <v>-457000</v>
      </c>
      <c r="G15" s="197">
        <v>-1162684</v>
      </c>
      <c r="H15" s="203">
        <f t="shared" si="0"/>
        <v>-809842</v>
      </c>
      <c r="I15" s="203">
        <f t="shared" si="0"/>
        <v>-809842</v>
      </c>
      <c r="J15" s="204">
        <f t="shared" si="0"/>
        <v>-809842</v>
      </c>
    </row>
    <row r="16" spans="1:10">
      <c r="A16" s="361" t="s">
        <v>339</v>
      </c>
      <c r="B16" s="207"/>
      <c r="C16" s="197"/>
      <c r="D16" s="196"/>
      <c r="E16" s="197">
        <v>-138000</v>
      </c>
      <c r="F16" s="197">
        <v>-183410</v>
      </c>
      <c r="G16" s="197">
        <v>-122273</v>
      </c>
      <c r="H16" s="203">
        <f t="shared" si="0"/>
        <v>-147894.33333333334</v>
      </c>
      <c r="I16" s="203">
        <f t="shared" si="0"/>
        <v>-147894.33333333334</v>
      </c>
      <c r="J16" s="204">
        <f t="shared" si="0"/>
        <v>-147894.33333333334</v>
      </c>
    </row>
    <row r="17" spans="1:10">
      <c r="A17" s="361" t="s">
        <v>341</v>
      </c>
      <c r="B17" s="207"/>
      <c r="C17" s="196"/>
      <c r="D17" s="196"/>
      <c r="E17" s="196" t="s">
        <v>340</v>
      </c>
      <c r="F17" s="197">
        <v>-37503</v>
      </c>
      <c r="G17" s="197">
        <v>-200861</v>
      </c>
      <c r="H17" s="203">
        <f t="shared" si="0"/>
        <v>-119182</v>
      </c>
      <c r="I17" s="203">
        <f t="shared" si="0"/>
        <v>-119182</v>
      </c>
      <c r="J17" s="204">
        <f t="shared" si="0"/>
        <v>-119182</v>
      </c>
    </row>
    <row r="18" spans="1:10">
      <c r="A18" s="361" t="s">
        <v>342</v>
      </c>
      <c r="B18" s="207"/>
      <c r="C18" s="197">
        <v>257696</v>
      </c>
      <c r="D18" s="197">
        <v>253481</v>
      </c>
      <c r="E18" s="197">
        <v>276864</v>
      </c>
      <c r="F18" s="197">
        <v>356307</v>
      </c>
      <c r="G18" s="197">
        <v>472636</v>
      </c>
      <c r="H18" s="203">
        <f t="shared" si="0"/>
        <v>323396.8</v>
      </c>
      <c r="I18" s="203">
        <f t="shared" si="0"/>
        <v>336536.96</v>
      </c>
      <c r="J18" s="204">
        <f t="shared" si="0"/>
        <v>353148.152</v>
      </c>
    </row>
    <row r="19" spans="1:10">
      <c r="A19" s="361" t="s">
        <v>343</v>
      </c>
      <c r="B19" s="207"/>
      <c r="C19" s="197">
        <v>0</v>
      </c>
      <c r="D19" s="197">
        <v>0</v>
      </c>
      <c r="E19" s="197">
        <v>0</v>
      </c>
      <c r="F19" s="197">
        <v>24933</v>
      </c>
      <c r="G19" s="197">
        <v>176378</v>
      </c>
      <c r="H19" s="203">
        <v>0</v>
      </c>
      <c r="I19" s="203">
        <v>0</v>
      </c>
      <c r="J19" s="204">
        <v>0</v>
      </c>
    </row>
    <row r="20" spans="1:10">
      <c r="A20" s="361" t="s">
        <v>301</v>
      </c>
      <c r="B20" s="207"/>
      <c r="C20" s="197">
        <v>-34922</v>
      </c>
      <c r="D20" s="197">
        <v>3374</v>
      </c>
      <c r="E20" s="196"/>
      <c r="F20" s="197"/>
      <c r="G20" s="197"/>
      <c r="H20" s="205"/>
      <c r="I20" s="205"/>
      <c r="J20" s="206"/>
    </row>
    <row r="21" spans="1:10" ht="27">
      <c r="A21" s="361" t="s">
        <v>344</v>
      </c>
      <c r="B21" s="207"/>
      <c r="C21" s="197">
        <f t="shared" ref="C21:J21" si="1">SUM(C8:C20)</f>
        <v>19859986</v>
      </c>
      <c r="D21" s="197">
        <f t="shared" si="1"/>
        <v>19784311</v>
      </c>
      <c r="E21" s="197">
        <f t="shared" si="1"/>
        <v>16185437</v>
      </c>
      <c r="F21" s="197">
        <f t="shared" si="1"/>
        <v>12984935</v>
      </c>
      <c r="G21" s="197">
        <f t="shared" si="1"/>
        <v>5256367</v>
      </c>
      <c r="H21" s="203">
        <f t="shared" si="1"/>
        <v>14163682.466666667</v>
      </c>
      <c r="I21" s="203">
        <f t="shared" si="1"/>
        <v>13232821.026666665</v>
      </c>
      <c r="J21" s="204">
        <f t="shared" si="1"/>
        <v>12138581.498666665</v>
      </c>
    </row>
    <row r="22" spans="1:10">
      <c r="A22" s="360" t="s">
        <v>345</v>
      </c>
      <c r="B22" s="207"/>
      <c r="C22" s="196"/>
      <c r="D22" s="196"/>
      <c r="E22" s="196"/>
      <c r="F22" s="196"/>
      <c r="G22" s="196"/>
      <c r="H22" s="205"/>
      <c r="I22" s="205"/>
      <c r="J22" s="206"/>
    </row>
    <row r="23" spans="1:10">
      <c r="A23" s="360" t="s">
        <v>346</v>
      </c>
      <c r="B23" s="207"/>
      <c r="C23" s="197">
        <v>-998546</v>
      </c>
      <c r="D23" s="197">
        <v>99890</v>
      </c>
      <c r="E23" s="197">
        <v>-1889032</v>
      </c>
      <c r="F23" s="197">
        <v>973387</v>
      </c>
      <c r="G23" s="197">
        <v>196634</v>
      </c>
      <c r="H23" s="203">
        <f t="shared" ref="H23:J28" si="2">AVERAGE(C23:G23)</f>
        <v>-323533.40000000002</v>
      </c>
      <c r="I23" s="203">
        <f t="shared" si="2"/>
        <v>-188530.88</v>
      </c>
      <c r="J23" s="204">
        <f t="shared" si="2"/>
        <v>-246215.05600000001</v>
      </c>
    </row>
    <row r="24" spans="1:10">
      <c r="A24" s="360" t="s">
        <v>347</v>
      </c>
      <c r="B24" s="207"/>
      <c r="C24" s="197">
        <v>-7724</v>
      </c>
      <c r="D24" s="197">
        <v>-920804</v>
      </c>
      <c r="E24" s="197">
        <v>-287385</v>
      </c>
      <c r="F24" s="197">
        <v>-1456362</v>
      </c>
      <c r="G24" s="197">
        <v>1337468</v>
      </c>
      <c r="H24" s="203">
        <f t="shared" si="2"/>
        <v>-266961.40000000002</v>
      </c>
      <c r="I24" s="203">
        <f t="shared" si="2"/>
        <v>-318808.88</v>
      </c>
      <c r="J24" s="204">
        <f t="shared" si="2"/>
        <v>-198409.856</v>
      </c>
    </row>
    <row r="25" spans="1:10">
      <c r="A25" s="360" t="s">
        <v>331</v>
      </c>
      <c r="B25" s="207"/>
      <c r="C25" s="197">
        <v>-143795</v>
      </c>
      <c r="D25" s="197">
        <v>597564</v>
      </c>
      <c r="E25" s="197">
        <v>-842648</v>
      </c>
      <c r="F25" s="197">
        <v>348488</v>
      </c>
      <c r="G25" s="197">
        <v>-1366228</v>
      </c>
      <c r="H25" s="203">
        <f t="shared" si="2"/>
        <v>-281323.8</v>
      </c>
      <c r="I25" s="203">
        <f t="shared" si="2"/>
        <v>-308829.56</v>
      </c>
      <c r="J25" s="204">
        <f t="shared" si="2"/>
        <v>-490108.272</v>
      </c>
    </row>
    <row r="26" spans="1:10">
      <c r="A26" s="360" t="s">
        <v>259</v>
      </c>
      <c r="B26" s="207"/>
      <c r="C26" s="197">
        <v>-193699</v>
      </c>
      <c r="D26" s="197">
        <v>-172112</v>
      </c>
      <c r="E26" s="197">
        <v>198490</v>
      </c>
      <c r="F26" s="197">
        <v>-265854</v>
      </c>
      <c r="G26" s="197">
        <v>295559</v>
      </c>
      <c r="H26" s="203">
        <f t="shared" si="2"/>
        <v>-27523.200000000001</v>
      </c>
      <c r="I26" s="203">
        <f t="shared" si="2"/>
        <v>5711.96</v>
      </c>
      <c r="J26" s="204">
        <f t="shared" si="2"/>
        <v>41276.751999999993</v>
      </c>
    </row>
    <row r="27" spans="1:10">
      <c r="A27" s="360" t="s">
        <v>348</v>
      </c>
      <c r="B27" s="207"/>
      <c r="C27" s="197">
        <v>-1350</v>
      </c>
      <c r="D27" s="198">
        <v>-826</v>
      </c>
      <c r="E27" s="197">
        <v>-27803</v>
      </c>
      <c r="F27" s="197">
        <v>-6646</v>
      </c>
      <c r="G27" s="197">
        <v>-6946</v>
      </c>
      <c r="H27" s="203">
        <f t="shared" si="2"/>
        <v>-8714.2000000000007</v>
      </c>
      <c r="I27" s="203">
        <f t="shared" si="2"/>
        <v>-10187.039999999999</v>
      </c>
      <c r="J27" s="204">
        <f t="shared" si="2"/>
        <v>-12059.248</v>
      </c>
    </row>
    <row r="28" spans="1:10">
      <c r="A28" s="360" t="s">
        <v>349</v>
      </c>
      <c r="B28" s="207"/>
      <c r="C28" s="197">
        <v>-241173</v>
      </c>
      <c r="D28" s="197">
        <v>39007</v>
      </c>
      <c r="E28" s="197">
        <v>16683</v>
      </c>
      <c r="F28" s="197">
        <v>-819727</v>
      </c>
      <c r="G28" s="197">
        <v>-1539393</v>
      </c>
      <c r="H28" s="203">
        <f t="shared" si="2"/>
        <v>-508920.6</v>
      </c>
      <c r="I28" s="203">
        <f t="shared" si="2"/>
        <v>-562470.12</v>
      </c>
      <c r="J28" s="204">
        <f t="shared" si="2"/>
        <v>-682765.54399999999</v>
      </c>
    </row>
    <row r="29" spans="1:10">
      <c r="A29" s="360" t="s">
        <v>350</v>
      </c>
      <c r="B29" s="207"/>
      <c r="C29" s="197">
        <f t="shared" ref="C29:J29" si="3">SUM(C23:C28)</f>
        <v>-1586287</v>
      </c>
      <c r="D29" s="197">
        <f t="shared" si="3"/>
        <v>-357281</v>
      </c>
      <c r="E29" s="197">
        <f t="shared" si="3"/>
        <v>-2831695</v>
      </c>
      <c r="F29" s="197">
        <f t="shared" si="3"/>
        <v>-1226714</v>
      </c>
      <c r="G29" s="197">
        <f t="shared" si="3"/>
        <v>-1082906</v>
      </c>
      <c r="H29" s="203">
        <f t="shared" si="3"/>
        <v>-1416976.6</v>
      </c>
      <c r="I29" s="203">
        <f t="shared" si="3"/>
        <v>-1383114.52</v>
      </c>
      <c r="J29" s="204">
        <f t="shared" si="3"/>
        <v>-1588281.2239999999</v>
      </c>
    </row>
    <row r="30" spans="1:10">
      <c r="A30" s="360"/>
      <c r="B30" s="207"/>
      <c r="C30" s="196"/>
      <c r="D30" s="196"/>
      <c r="E30" s="196"/>
      <c r="F30" s="196"/>
      <c r="G30" s="196"/>
      <c r="H30" s="205"/>
      <c r="I30" s="205"/>
      <c r="J30" s="206"/>
    </row>
    <row r="31" spans="1:10">
      <c r="A31" s="360" t="s">
        <v>351</v>
      </c>
      <c r="B31" s="207"/>
      <c r="C31" s="197">
        <v>2159790</v>
      </c>
      <c r="D31" s="197">
        <v>728790</v>
      </c>
      <c r="E31" s="197">
        <v>3961564</v>
      </c>
      <c r="F31" s="197">
        <v>4899926</v>
      </c>
      <c r="G31" s="197">
        <v>-124604</v>
      </c>
      <c r="H31" s="203">
        <f>AVERAGE(C31:G31)</f>
        <v>2325093.2000000002</v>
      </c>
      <c r="I31" s="203">
        <f>AVERAGE(D31:H31)</f>
        <v>2358153.84</v>
      </c>
      <c r="J31" s="204">
        <f>AVERAGE(E31:I31)</f>
        <v>2684026.608</v>
      </c>
    </row>
    <row r="32" spans="1:10">
      <c r="A32" s="360" t="s">
        <v>193</v>
      </c>
      <c r="B32" s="207"/>
      <c r="C32" s="197">
        <f>SUM(C21,C29,C31)</f>
        <v>20433489</v>
      </c>
      <c r="D32" s="197">
        <f t="shared" ref="D32:J32" si="4">SUM(D21,D29,D31)</f>
        <v>20155820</v>
      </c>
      <c r="E32" s="197">
        <f t="shared" si="4"/>
        <v>17315306</v>
      </c>
      <c r="F32" s="197">
        <f t="shared" si="4"/>
        <v>16658147</v>
      </c>
      <c r="G32" s="197">
        <f t="shared" si="4"/>
        <v>4048857</v>
      </c>
      <c r="H32" s="203">
        <f t="shared" si="4"/>
        <v>15071799.066666666</v>
      </c>
      <c r="I32" s="203">
        <f t="shared" si="4"/>
        <v>14207860.346666666</v>
      </c>
      <c r="J32" s="204">
        <f t="shared" si="4"/>
        <v>13234326.882666666</v>
      </c>
    </row>
    <row r="33" spans="1:10">
      <c r="A33" s="360"/>
      <c r="B33" s="207"/>
      <c r="C33" s="196"/>
      <c r="D33" s="196"/>
      <c r="E33" s="196"/>
      <c r="F33" s="196"/>
      <c r="G33" s="196"/>
      <c r="H33" s="205"/>
      <c r="I33" s="205"/>
      <c r="J33" s="206"/>
    </row>
    <row r="34" spans="1:10">
      <c r="A34" s="360"/>
      <c r="B34" s="207"/>
      <c r="C34" s="196"/>
      <c r="D34" s="196"/>
      <c r="E34" s="196"/>
      <c r="F34" s="196"/>
      <c r="G34" s="196"/>
      <c r="H34" s="205"/>
      <c r="I34" s="205"/>
      <c r="J34" s="206"/>
    </row>
    <row r="35" spans="1:10">
      <c r="A35" s="360" t="s">
        <v>352</v>
      </c>
      <c r="B35" s="207"/>
      <c r="C35" s="196"/>
      <c r="D35" s="197"/>
      <c r="E35" s="196"/>
      <c r="F35" s="196"/>
      <c r="G35" s="196"/>
      <c r="H35" s="205"/>
      <c r="I35" s="205"/>
      <c r="J35" s="206"/>
    </row>
    <row r="36" spans="1:10">
      <c r="A36" s="360" t="s">
        <v>353</v>
      </c>
      <c r="B36" s="207"/>
      <c r="C36" s="197">
        <v>55783526</v>
      </c>
      <c r="D36" s="197">
        <v>61499167</v>
      </c>
      <c r="E36" s="197">
        <v>65782734</v>
      </c>
      <c r="F36" s="197">
        <v>66974358</v>
      </c>
      <c r="G36" s="197">
        <v>60152412</v>
      </c>
      <c r="H36" s="205"/>
      <c r="I36" s="205"/>
      <c r="J36" s="206"/>
    </row>
    <row r="37" spans="1:10">
      <c r="A37" s="360" t="s">
        <v>354</v>
      </c>
      <c r="B37" s="207"/>
      <c r="C37" s="197">
        <v>1073755</v>
      </c>
      <c r="D37" s="197">
        <v>1981547</v>
      </c>
      <c r="E37" s="197">
        <v>2362748</v>
      </c>
      <c r="F37" s="197">
        <v>1628063</v>
      </c>
      <c r="G37" s="197">
        <v>180626</v>
      </c>
      <c r="H37" s="205"/>
      <c r="I37" s="205"/>
      <c r="J37" s="206"/>
    </row>
    <row r="38" spans="1:10">
      <c r="A38" s="360" t="s">
        <v>355</v>
      </c>
      <c r="B38" s="207"/>
      <c r="C38" s="197">
        <v>-22855207</v>
      </c>
      <c r="D38" s="197">
        <v>-23774075</v>
      </c>
      <c r="E38" s="197">
        <v>-26947286</v>
      </c>
      <c r="F38" s="197">
        <v>-26813784</v>
      </c>
      <c r="G38" s="197">
        <v>-41061909</v>
      </c>
      <c r="H38" s="205"/>
      <c r="I38" s="205"/>
      <c r="J38" s="206"/>
    </row>
    <row r="39" spans="1:10">
      <c r="A39" s="360" t="s">
        <v>356</v>
      </c>
      <c r="B39" s="207"/>
      <c r="C39" s="197">
        <v>-2218717</v>
      </c>
      <c r="D39" s="197">
        <v>-2516738</v>
      </c>
      <c r="E39" s="197">
        <v>-2966048</v>
      </c>
      <c r="F39" s="197">
        <v>-4570693</v>
      </c>
      <c r="G39" s="197">
        <v>-3139897</v>
      </c>
      <c r="H39" s="205"/>
      <c r="I39" s="205"/>
      <c r="J39" s="206"/>
    </row>
    <row r="40" spans="1:10">
      <c r="A40" s="360" t="s">
        <v>357</v>
      </c>
      <c r="B40" s="207"/>
      <c r="C40" s="197">
        <v>-4997212</v>
      </c>
      <c r="D40" s="197">
        <v>-5025425</v>
      </c>
      <c r="E40" s="197">
        <v>-2125980</v>
      </c>
      <c r="F40" s="197">
        <v>-1623723</v>
      </c>
      <c r="G40" s="197">
        <v>-603777</v>
      </c>
      <c r="H40" s="205"/>
      <c r="I40" s="205"/>
      <c r="J40" s="206"/>
    </row>
    <row r="41" spans="1:10">
      <c r="A41" s="360" t="s">
        <v>358</v>
      </c>
      <c r="B41" s="207"/>
      <c r="C41" s="197">
        <v>-96688</v>
      </c>
      <c r="D41" s="197">
        <v>-73490</v>
      </c>
      <c r="E41" s="197">
        <v>-91708</v>
      </c>
      <c r="F41" s="197">
        <v>-85056</v>
      </c>
      <c r="G41" s="197">
        <v>-109054</v>
      </c>
      <c r="H41" s="205"/>
      <c r="I41" s="205"/>
      <c r="J41" s="206"/>
    </row>
    <row r="42" spans="1:10">
      <c r="A42" s="360" t="s">
        <v>359</v>
      </c>
      <c r="B42" s="207"/>
      <c r="C42" s="196"/>
      <c r="D42" s="197"/>
      <c r="E42" s="196"/>
      <c r="F42" s="196" t="s">
        <v>340</v>
      </c>
      <c r="G42" s="197">
        <v>-140543</v>
      </c>
      <c r="H42" s="205"/>
      <c r="I42" s="205"/>
      <c r="J42" s="206"/>
    </row>
    <row r="43" spans="1:10">
      <c r="A43" s="360" t="s">
        <v>360</v>
      </c>
      <c r="B43" s="207"/>
      <c r="C43" s="197">
        <v>-10086623</v>
      </c>
      <c r="D43" s="197">
        <v>-15227058</v>
      </c>
      <c r="E43" s="197">
        <v>-18934532</v>
      </c>
      <c r="F43" s="197">
        <v>-18865611</v>
      </c>
      <c r="G43" s="197">
        <v>-10323917</v>
      </c>
      <c r="H43" s="205"/>
      <c r="I43" s="205"/>
      <c r="J43" s="206"/>
    </row>
    <row r="44" spans="1:10">
      <c r="A44" s="360" t="s">
        <v>361</v>
      </c>
      <c r="B44" s="207"/>
      <c r="C44" s="197">
        <f>SUM(C36:C43)</f>
        <v>16602834</v>
      </c>
      <c r="D44" s="197">
        <f>SUM(D36:D43)</f>
        <v>16863928</v>
      </c>
      <c r="E44" s="197">
        <f>SUM(E36:E43)</f>
        <v>17079928</v>
      </c>
      <c r="F44" s="197">
        <f>SUM(F36:F43)</f>
        <v>16643554</v>
      </c>
      <c r="G44" s="197">
        <f>SUM(G36:G43)</f>
        <v>4953941</v>
      </c>
      <c r="H44" s="205"/>
      <c r="I44" s="205"/>
      <c r="J44" s="206"/>
    </row>
    <row r="45" spans="1:10">
      <c r="A45" s="360" t="s">
        <v>362</v>
      </c>
      <c r="B45" s="207"/>
      <c r="C45" s="196"/>
      <c r="D45" s="197"/>
      <c r="E45" s="196"/>
      <c r="F45" s="196"/>
      <c r="G45" s="196"/>
      <c r="H45" s="205"/>
      <c r="I45" s="205"/>
      <c r="J45" s="206"/>
    </row>
    <row r="46" spans="1:10">
      <c r="A46" s="360" t="s">
        <v>363</v>
      </c>
      <c r="B46" s="207"/>
      <c r="C46" s="196"/>
      <c r="D46" s="197">
        <v>33738377</v>
      </c>
      <c r="E46" s="197">
        <v>27435361</v>
      </c>
      <c r="F46" s="197">
        <v>15657246</v>
      </c>
      <c r="G46" s="197">
        <v>7816606</v>
      </c>
      <c r="H46" s="205"/>
      <c r="I46" s="205"/>
      <c r="J46" s="206"/>
    </row>
    <row r="47" spans="1:10">
      <c r="A47" s="360" t="s">
        <v>271</v>
      </c>
      <c r="B47" s="207"/>
      <c r="C47" s="196"/>
      <c r="D47" s="196" t="s">
        <v>340</v>
      </c>
      <c r="E47" s="197">
        <v>-7887015</v>
      </c>
      <c r="F47" s="197">
        <v>-7885560</v>
      </c>
      <c r="G47" s="197">
        <v>-1950000</v>
      </c>
      <c r="H47" s="205"/>
      <c r="I47" s="205"/>
      <c r="J47" s="206"/>
    </row>
    <row r="48" spans="1:10">
      <c r="A48" s="360" t="s">
        <v>364</v>
      </c>
      <c r="B48" s="207"/>
      <c r="C48" s="196"/>
      <c r="D48" s="196" t="s">
        <v>340</v>
      </c>
      <c r="E48" s="196" t="s">
        <v>340</v>
      </c>
      <c r="F48" s="197">
        <v>-2900000</v>
      </c>
      <c r="G48" s="197">
        <v>-7931444</v>
      </c>
      <c r="H48" s="205"/>
      <c r="I48" s="205"/>
      <c r="J48" s="206"/>
    </row>
    <row r="49" spans="1:10">
      <c r="A49" s="360" t="s">
        <v>365</v>
      </c>
      <c r="B49" s="207"/>
      <c r="C49" s="196"/>
      <c r="D49" s="197">
        <f>SUM(D46:D48)</f>
        <v>33738377</v>
      </c>
      <c r="E49" s="197">
        <f>SUM(E46:E48)</f>
        <v>19548346</v>
      </c>
      <c r="F49" s="197">
        <f>SUM(F46:F48)</f>
        <v>4871686</v>
      </c>
      <c r="G49" s="197">
        <f>SUM(G46:G48)</f>
        <v>-2064838</v>
      </c>
      <c r="H49" s="205"/>
      <c r="I49" s="205"/>
      <c r="J49" s="206"/>
    </row>
    <row r="50" spans="1:10" ht="15.75" thickBot="1">
      <c r="A50" s="362"/>
      <c r="B50" s="37"/>
      <c r="C50" s="22"/>
      <c r="D50" s="22"/>
      <c r="E50" s="22"/>
      <c r="F50" s="22"/>
      <c r="G50" s="22"/>
      <c r="H50" s="178"/>
      <c r="I50" s="178"/>
      <c r="J50" s="179"/>
    </row>
  </sheetData>
  <mergeCells count="3">
    <mergeCell ref="A1:J3"/>
    <mergeCell ref="B4:G6"/>
    <mergeCell ref="H4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5"/>
  <sheetViews>
    <sheetView zoomScale="50" zoomScaleNormal="50" workbookViewId="0">
      <selection sqref="A1:M3"/>
    </sheetView>
  </sheetViews>
  <sheetFormatPr defaultRowHeight="15"/>
  <cols>
    <col min="1" max="1" width="34.140625" bestFit="1" customWidth="1"/>
    <col min="3" max="3" width="24" customWidth="1"/>
  </cols>
  <sheetData>
    <row r="1" spans="1:13" ht="15" customHeight="1">
      <c r="A1" s="378" t="s">
        <v>472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</row>
    <row r="2" spans="1:13" ht="15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</row>
    <row r="3" spans="1:13" ht="15" customHeight="1">
      <c r="A3" s="378"/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</row>
    <row r="4" spans="1:13" ht="15" customHeight="1">
      <c r="B4" s="219"/>
      <c r="C4" s="219"/>
      <c r="D4" s="374" t="s">
        <v>470</v>
      </c>
      <c r="E4" s="374"/>
      <c r="F4" s="374"/>
      <c r="G4" s="374"/>
      <c r="H4" s="374"/>
      <c r="I4" s="374"/>
      <c r="J4" s="376" t="s">
        <v>471</v>
      </c>
      <c r="K4" s="376"/>
      <c r="L4" s="376"/>
      <c r="M4" s="376"/>
    </row>
    <row r="5" spans="1:13" ht="15" customHeight="1">
      <c r="B5" s="219"/>
      <c r="C5" s="219"/>
      <c r="D5" s="374"/>
      <c r="E5" s="374"/>
      <c r="F5" s="374"/>
      <c r="G5" s="374"/>
      <c r="H5" s="374"/>
      <c r="I5" s="374"/>
      <c r="J5" s="376"/>
      <c r="K5" s="376"/>
      <c r="L5" s="376"/>
      <c r="M5" s="376"/>
    </row>
    <row r="6" spans="1:13" ht="15.75" customHeight="1" thickBot="1">
      <c r="B6" s="220"/>
      <c r="C6" s="220"/>
      <c r="D6" s="375"/>
      <c r="E6" s="375"/>
      <c r="F6" s="375"/>
      <c r="G6" s="375"/>
      <c r="H6" s="375"/>
      <c r="I6" s="375"/>
      <c r="J6" s="377"/>
      <c r="K6" s="377"/>
      <c r="L6" s="377"/>
      <c r="M6" s="377"/>
    </row>
    <row r="7" spans="1:13" ht="15.75" thickBot="1">
      <c r="B7" s="26"/>
      <c r="C7" s="28"/>
      <c r="D7" s="125">
        <v>2015</v>
      </c>
      <c r="E7" s="126">
        <v>2016</v>
      </c>
      <c r="F7" s="126">
        <v>2017</v>
      </c>
      <c r="G7" s="126">
        <v>2018</v>
      </c>
      <c r="H7" s="126">
        <v>2019</v>
      </c>
      <c r="I7" s="209">
        <v>2020</v>
      </c>
      <c r="J7" s="210">
        <v>2021</v>
      </c>
      <c r="K7" s="74">
        <v>2022</v>
      </c>
      <c r="L7" s="74">
        <v>2023</v>
      </c>
      <c r="M7" s="75">
        <v>2024</v>
      </c>
    </row>
    <row r="8" spans="1:13" ht="16.5" thickBot="1">
      <c r="A8" s="208" t="s">
        <v>366</v>
      </c>
      <c r="B8" s="26"/>
      <c r="C8" s="28"/>
      <c r="D8" s="26"/>
      <c r="E8" s="27"/>
      <c r="F8" s="27"/>
      <c r="G8" s="27"/>
      <c r="H8" s="27"/>
      <c r="I8" s="28"/>
      <c r="J8" s="211"/>
      <c r="K8" s="161"/>
      <c r="L8" s="161"/>
      <c r="M8" s="162"/>
    </row>
    <row r="9" spans="1:13" ht="15.75" thickBot="1">
      <c r="A9" s="221" t="s">
        <v>367</v>
      </c>
      <c r="B9" s="30"/>
      <c r="C9" s="29"/>
      <c r="D9" s="30"/>
      <c r="E9" s="88"/>
      <c r="F9" s="88"/>
      <c r="G9" s="88"/>
      <c r="H9" s="88"/>
      <c r="I9" s="25"/>
      <c r="J9" s="212"/>
      <c r="K9" s="101"/>
      <c r="L9" s="101"/>
      <c r="M9" s="102"/>
    </row>
    <row r="10" spans="1:13">
      <c r="A10" s="30"/>
      <c r="B10" s="30" t="s">
        <v>149</v>
      </c>
      <c r="C10" s="25"/>
      <c r="D10" s="31">
        <v>43500</v>
      </c>
      <c r="E10" s="92">
        <f>D10+D14</f>
        <v>43500</v>
      </c>
      <c r="F10" s="92">
        <f t="shared" ref="F10:M11" si="0">E10+E14</f>
        <v>43500</v>
      </c>
      <c r="G10" s="92">
        <f t="shared" si="0"/>
        <v>43500</v>
      </c>
      <c r="H10" s="92">
        <f t="shared" si="0"/>
        <v>43500</v>
      </c>
      <c r="I10" s="32">
        <f t="shared" si="0"/>
        <v>43500</v>
      </c>
      <c r="J10" s="213">
        <f t="shared" si="0"/>
        <v>43500</v>
      </c>
      <c r="K10" s="163">
        <f t="shared" si="0"/>
        <v>43500</v>
      </c>
      <c r="L10" s="163">
        <f t="shared" si="0"/>
        <v>43500</v>
      </c>
      <c r="M10" s="174">
        <f t="shared" si="0"/>
        <v>43500</v>
      </c>
    </row>
    <row r="11" spans="1:13">
      <c r="A11" s="30"/>
      <c r="B11" s="30" t="s">
        <v>368</v>
      </c>
      <c r="C11" s="25"/>
      <c r="D11" s="31">
        <v>-43500</v>
      </c>
      <c r="E11" s="92">
        <f>D11+D15</f>
        <v>-43500</v>
      </c>
      <c r="F11" s="92">
        <f t="shared" si="0"/>
        <v>-43500</v>
      </c>
      <c r="G11" s="92">
        <f t="shared" si="0"/>
        <v>-43500</v>
      </c>
      <c r="H11" s="92">
        <f t="shared" si="0"/>
        <v>-43500</v>
      </c>
      <c r="I11" s="32">
        <f t="shared" si="0"/>
        <v>-43500</v>
      </c>
      <c r="J11" s="213">
        <f t="shared" si="0"/>
        <v>-43500</v>
      </c>
      <c r="K11" s="163">
        <f t="shared" si="0"/>
        <v>-43500</v>
      </c>
      <c r="L11" s="163">
        <f t="shared" si="0"/>
        <v>-43500</v>
      </c>
      <c r="M11" s="174">
        <f t="shared" si="0"/>
        <v>-43500</v>
      </c>
    </row>
    <row r="12" spans="1:13">
      <c r="A12" s="30"/>
      <c r="B12" s="30" t="s">
        <v>369</v>
      </c>
      <c r="C12" s="25"/>
      <c r="D12" s="33">
        <f>SUM(D10:D11)</f>
        <v>0</v>
      </c>
      <c r="E12" s="15">
        <f t="shared" ref="E12:M12" si="1">SUM(E10:E11)</f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32">
        <f t="shared" si="1"/>
        <v>0</v>
      </c>
      <c r="J12" s="214">
        <f t="shared" si="1"/>
        <v>0</v>
      </c>
      <c r="K12" s="175">
        <f t="shared" si="1"/>
        <v>0</v>
      </c>
      <c r="L12" s="175">
        <f t="shared" si="1"/>
        <v>0</v>
      </c>
      <c r="M12" s="176">
        <f t="shared" si="1"/>
        <v>0</v>
      </c>
    </row>
    <row r="13" spans="1:13">
      <c r="A13" s="30"/>
      <c r="B13" s="30"/>
      <c r="C13" s="25"/>
      <c r="D13" s="30"/>
      <c r="E13" s="88"/>
      <c r="F13" s="88"/>
      <c r="G13" s="88"/>
      <c r="H13" s="88"/>
      <c r="I13" s="25"/>
      <c r="J13" s="212"/>
      <c r="K13" s="101"/>
      <c r="L13" s="101"/>
      <c r="M13" s="102"/>
    </row>
    <row r="14" spans="1:13">
      <c r="A14" s="30"/>
      <c r="B14" s="30" t="s">
        <v>370</v>
      </c>
      <c r="C14" s="25"/>
      <c r="D14" s="30">
        <v>0</v>
      </c>
      <c r="E14" s="88">
        <v>0</v>
      </c>
      <c r="F14" s="88">
        <v>0</v>
      </c>
      <c r="G14" s="88">
        <v>0</v>
      </c>
      <c r="H14" s="88">
        <v>0</v>
      </c>
      <c r="I14" s="25">
        <v>0</v>
      </c>
      <c r="J14" s="212">
        <v>0</v>
      </c>
      <c r="K14" s="101">
        <v>0</v>
      </c>
      <c r="L14" s="101">
        <v>0</v>
      </c>
      <c r="M14" s="102">
        <v>0</v>
      </c>
    </row>
    <row r="15" spans="1:13">
      <c r="A15" s="30"/>
      <c r="B15" s="30" t="s">
        <v>371</v>
      </c>
      <c r="C15" s="25"/>
      <c r="D15" s="31">
        <v>0</v>
      </c>
      <c r="E15" s="88">
        <v>0</v>
      </c>
      <c r="F15" s="88">
        <v>0</v>
      </c>
      <c r="G15" s="88">
        <v>0</v>
      </c>
      <c r="H15" s="88">
        <v>0</v>
      </c>
      <c r="I15" s="25">
        <v>0</v>
      </c>
      <c r="J15" s="212">
        <v>0</v>
      </c>
      <c r="K15" s="101">
        <v>0</v>
      </c>
      <c r="L15" s="101">
        <v>0</v>
      </c>
      <c r="M15" s="102">
        <v>0</v>
      </c>
    </row>
    <row r="16" spans="1:13">
      <c r="A16" s="30"/>
      <c r="B16" s="30" t="s">
        <v>372</v>
      </c>
      <c r="C16" s="25"/>
      <c r="D16" s="33">
        <f>D12+D14+D15</f>
        <v>0</v>
      </c>
      <c r="E16" s="15">
        <f t="shared" ref="E16:M16" si="2">E12+E14-E15</f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32">
        <f t="shared" si="2"/>
        <v>0</v>
      </c>
      <c r="J16" s="214">
        <f t="shared" si="2"/>
        <v>0</v>
      </c>
      <c r="K16" s="175">
        <f t="shared" si="2"/>
        <v>0</v>
      </c>
      <c r="L16" s="175">
        <f t="shared" si="2"/>
        <v>0</v>
      </c>
      <c r="M16" s="176">
        <f t="shared" si="2"/>
        <v>0</v>
      </c>
    </row>
    <row r="17" spans="1:13" ht="15.75" thickBot="1">
      <c r="A17" s="30"/>
      <c r="B17" s="30"/>
      <c r="C17" s="25"/>
      <c r="D17" s="30"/>
      <c r="E17" s="88"/>
      <c r="F17" s="88"/>
      <c r="G17" s="88"/>
      <c r="H17" s="88"/>
      <c r="I17" s="25"/>
      <c r="J17" s="212"/>
      <c r="K17" s="101"/>
      <c r="L17" s="101"/>
      <c r="M17" s="102"/>
    </row>
    <row r="18" spans="1:13" ht="15.75" thickBot="1">
      <c r="A18" s="221" t="s">
        <v>373</v>
      </c>
      <c r="B18" s="30"/>
      <c r="C18" s="25"/>
      <c r="D18" s="30"/>
      <c r="E18" s="88"/>
      <c r="F18" s="88"/>
      <c r="G18" s="88"/>
      <c r="H18" s="88"/>
      <c r="I18" s="25"/>
      <c r="J18" s="212"/>
      <c r="K18" s="101"/>
      <c r="L18" s="101"/>
      <c r="M18" s="102"/>
    </row>
    <row r="19" spans="1:13">
      <c r="A19" s="30"/>
      <c r="B19" s="30" t="s">
        <v>149</v>
      </c>
      <c r="C19" s="25"/>
      <c r="D19" s="31">
        <v>67587</v>
      </c>
      <c r="E19" s="92">
        <f>D19+D23</f>
        <v>73834</v>
      </c>
      <c r="F19" s="92">
        <f>E19+E23</f>
        <v>80789</v>
      </c>
      <c r="G19" s="92">
        <f t="shared" ref="G19:H19" si="3">F19+F23</f>
        <v>102982</v>
      </c>
      <c r="H19" s="92">
        <f t="shared" si="3"/>
        <v>116248</v>
      </c>
      <c r="I19" s="25"/>
      <c r="J19" s="212"/>
      <c r="K19" s="101"/>
      <c r="L19" s="101"/>
      <c r="M19" s="102"/>
    </row>
    <row r="20" spans="1:13">
      <c r="A20" s="30"/>
      <c r="B20" s="30" t="s">
        <v>368</v>
      </c>
      <c r="C20" s="25"/>
      <c r="D20" s="31">
        <v>-62777</v>
      </c>
      <c r="E20" s="92">
        <f>D20+D24</f>
        <v>-66282</v>
      </c>
      <c r="F20" s="92">
        <f t="shared" ref="F20:H20" si="4">E20+E24</f>
        <v>-74698</v>
      </c>
      <c r="G20" s="92">
        <f t="shared" si="4"/>
        <v>-79825</v>
      </c>
      <c r="H20" s="92">
        <f t="shared" si="4"/>
        <v>-91430</v>
      </c>
      <c r="I20" s="25"/>
      <c r="J20" s="212"/>
      <c r="K20" s="101"/>
      <c r="L20" s="101"/>
      <c r="M20" s="102"/>
    </row>
    <row r="21" spans="1:13">
      <c r="A21" s="30"/>
      <c r="B21" s="30" t="s">
        <v>369</v>
      </c>
      <c r="C21" s="25"/>
      <c r="D21" s="33">
        <v>4810</v>
      </c>
      <c r="E21" s="15">
        <v>7552</v>
      </c>
      <c r="F21" s="15">
        <v>6091</v>
      </c>
      <c r="G21" s="15">
        <v>23157</v>
      </c>
      <c r="H21" s="15">
        <v>24818</v>
      </c>
      <c r="I21" s="32">
        <f>H25</f>
        <v>14435</v>
      </c>
      <c r="J21" s="214">
        <f t="shared" ref="J21:M21" si="5">I25</f>
        <v>17560.657203448856</v>
      </c>
      <c r="K21" s="175">
        <f t="shared" si="5"/>
        <v>21380.086561139397</v>
      </c>
      <c r="L21" s="175">
        <f t="shared" si="5"/>
        <v>26906.573440354903</v>
      </c>
      <c r="M21" s="176">
        <f t="shared" si="5"/>
        <v>27462.120403799279</v>
      </c>
    </row>
    <row r="22" spans="1:13">
      <c r="A22" s="30"/>
      <c r="B22" s="30"/>
      <c r="C22" s="25"/>
      <c r="D22" s="30"/>
      <c r="E22" s="88"/>
      <c r="F22" s="88"/>
      <c r="G22" s="88"/>
      <c r="H22" s="88"/>
      <c r="I22" s="25"/>
      <c r="J22" s="212"/>
      <c r="K22" s="101"/>
      <c r="L22" s="101"/>
      <c r="M22" s="102"/>
    </row>
    <row r="23" spans="1:13">
      <c r="A23" s="30"/>
      <c r="B23" s="30" t="s">
        <v>370</v>
      </c>
      <c r="C23" s="25"/>
      <c r="D23" s="31">
        <v>6247</v>
      </c>
      <c r="E23" s="92">
        <v>6955</v>
      </c>
      <c r="F23" s="92">
        <v>22193</v>
      </c>
      <c r="G23" s="92">
        <v>13266</v>
      </c>
      <c r="H23" s="92">
        <v>2567</v>
      </c>
      <c r="I23" s="36">
        <f>AVERAGE(D23/D21,E23/E21,F23/F21,G23/G21,H23/H21)*I21</f>
        <v>18879.762557426173</v>
      </c>
      <c r="J23" s="215">
        <f t="shared" ref="J23:M23" si="6">AVERAGE(E23/E21,F23/F21,G23/G21,H23/H21,I23/I21)*J21</f>
        <v>23000.040439557888</v>
      </c>
      <c r="K23" s="216">
        <f t="shared" si="6"/>
        <v>29665.047741882358</v>
      </c>
      <c r="L23" s="216">
        <f t="shared" si="6"/>
        <v>25192.502919745079</v>
      </c>
      <c r="M23" s="217">
        <f t="shared" si="6"/>
        <v>27708.734130016663</v>
      </c>
    </row>
    <row r="24" spans="1:13">
      <c r="A24" s="30"/>
      <c r="B24" s="30" t="s">
        <v>371</v>
      </c>
      <c r="C24" s="25"/>
      <c r="D24" s="31">
        <v>-3505</v>
      </c>
      <c r="E24" s="92">
        <v>-8416</v>
      </c>
      <c r="F24" s="92">
        <v>-5127</v>
      </c>
      <c r="G24" s="92">
        <v>-11605</v>
      </c>
      <c r="H24" s="92">
        <v>-12950</v>
      </c>
      <c r="I24" s="25">
        <f>H24/(H23+H21)*(I23+I21)</f>
        <v>-15754.105353977322</v>
      </c>
      <c r="J24" s="212">
        <f t="shared" ref="J24:M24" si="7">I24/(I23+I21)*(J23+J21)</f>
        <v>-19180.611081867348</v>
      </c>
      <c r="K24" s="101">
        <f t="shared" si="7"/>
        <v>-24138.560862666851</v>
      </c>
      <c r="L24" s="101">
        <f t="shared" si="7"/>
        <v>-24636.955956300699</v>
      </c>
      <c r="M24" s="102">
        <f t="shared" si="7"/>
        <v>-26089.558744309525</v>
      </c>
    </row>
    <row r="25" spans="1:13">
      <c r="A25" s="30"/>
      <c r="B25" s="30" t="s">
        <v>372</v>
      </c>
      <c r="C25" s="25"/>
      <c r="D25" s="33">
        <f>D21+D23+D24</f>
        <v>7552</v>
      </c>
      <c r="E25" s="15">
        <f t="shared" ref="E25:M25" si="8">E21+E23+E24</f>
        <v>6091</v>
      </c>
      <c r="F25" s="15">
        <f t="shared" si="8"/>
        <v>23157</v>
      </c>
      <c r="G25" s="15">
        <f t="shared" si="8"/>
        <v>24818</v>
      </c>
      <c r="H25" s="15">
        <f t="shared" si="8"/>
        <v>14435</v>
      </c>
      <c r="I25" s="32">
        <f t="shared" si="8"/>
        <v>17560.657203448856</v>
      </c>
      <c r="J25" s="214">
        <f t="shared" si="8"/>
        <v>21380.086561139397</v>
      </c>
      <c r="K25" s="175">
        <f t="shared" si="8"/>
        <v>26906.573440354903</v>
      </c>
      <c r="L25" s="175">
        <f t="shared" si="8"/>
        <v>27462.120403799279</v>
      </c>
      <c r="M25" s="176">
        <f t="shared" si="8"/>
        <v>29081.295789506421</v>
      </c>
    </row>
    <row r="26" spans="1:13">
      <c r="A26" s="30"/>
      <c r="B26" s="30"/>
      <c r="C26" s="25"/>
      <c r="D26" s="30"/>
      <c r="E26" s="88"/>
      <c r="F26" s="88"/>
      <c r="G26" s="88"/>
      <c r="H26" s="88"/>
      <c r="I26" s="25"/>
      <c r="J26" s="212"/>
      <c r="K26" s="101"/>
      <c r="L26" s="101"/>
      <c r="M26" s="102"/>
    </row>
    <row r="27" spans="1:13">
      <c r="A27" s="30"/>
      <c r="B27" s="222" t="s">
        <v>5</v>
      </c>
      <c r="C27" s="29"/>
      <c r="D27" s="30"/>
      <c r="E27" s="88"/>
      <c r="F27" s="88"/>
      <c r="G27" s="88"/>
      <c r="H27" s="88"/>
      <c r="I27" s="25"/>
      <c r="J27" s="212"/>
      <c r="K27" s="101"/>
      <c r="L27" s="101"/>
      <c r="M27" s="102"/>
    </row>
    <row r="28" spans="1:13">
      <c r="A28" s="30"/>
      <c r="B28" s="30" t="s">
        <v>149</v>
      </c>
      <c r="C28" s="25"/>
      <c r="D28" s="31">
        <f>D10+D19</f>
        <v>111087</v>
      </c>
      <c r="E28" s="92">
        <f>E10+E19</f>
        <v>117334</v>
      </c>
      <c r="F28" s="92">
        <f>F10+F19</f>
        <v>124289</v>
      </c>
      <c r="G28" s="92">
        <f t="shared" ref="G28:M28" si="9">G10+G19</f>
        <v>146482</v>
      </c>
      <c r="H28" s="92">
        <f t="shared" si="9"/>
        <v>159748</v>
      </c>
      <c r="I28" s="32">
        <f t="shared" si="9"/>
        <v>43500</v>
      </c>
      <c r="J28" s="213">
        <f t="shared" si="9"/>
        <v>43500</v>
      </c>
      <c r="K28" s="163">
        <f t="shared" si="9"/>
        <v>43500</v>
      </c>
      <c r="L28" s="163">
        <f t="shared" si="9"/>
        <v>43500</v>
      </c>
      <c r="M28" s="174">
        <f t="shared" si="9"/>
        <v>43500</v>
      </c>
    </row>
    <row r="29" spans="1:13">
      <c r="A29" s="30"/>
      <c r="B29" s="30" t="s">
        <v>368</v>
      </c>
      <c r="C29" s="25"/>
      <c r="D29" s="31">
        <f>D11+D20</f>
        <v>-106277</v>
      </c>
      <c r="E29" s="92">
        <f t="shared" ref="E29:M29" si="10">E11+E20</f>
        <v>-109782</v>
      </c>
      <c r="F29" s="92">
        <f>F11+F20</f>
        <v>-118198</v>
      </c>
      <c r="G29" s="92">
        <f t="shared" si="10"/>
        <v>-123325</v>
      </c>
      <c r="H29" s="92">
        <f t="shared" si="10"/>
        <v>-134930</v>
      </c>
      <c r="I29" s="32">
        <f t="shared" si="10"/>
        <v>-43500</v>
      </c>
      <c r="J29" s="213">
        <f t="shared" si="10"/>
        <v>-43500</v>
      </c>
      <c r="K29" s="163">
        <f t="shared" si="10"/>
        <v>-43500</v>
      </c>
      <c r="L29" s="163">
        <f t="shared" si="10"/>
        <v>-43500</v>
      </c>
      <c r="M29" s="174">
        <f t="shared" si="10"/>
        <v>-43500</v>
      </c>
    </row>
    <row r="30" spans="1:13">
      <c r="A30" s="30"/>
      <c r="B30" s="30" t="s">
        <v>369</v>
      </c>
      <c r="C30" s="25"/>
      <c r="D30" s="33">
        <f t="shared" ref="D30:M30" si="11">D12+D21</f>
        <v>4810</v>
      </c>
      <c r="E30" s="15">
        <f t="shared" si="11"/>
        <v>7552</v>
      </c>
      <c r="F30" s="15">
        <f>F12+F21</f>
        <v>6091</v>
      </c>
      <c r="G30" s="15">
        <f t="shared" si="11"/>
        <v>23157</v>
      </c>
      <c r="H30" s="15">
        <f t="shared" si="11"/>
        <v>24818</v>
      </c>
      <c r="I30" s="32">
        <f t="shared" si="11"/>
        <v>14435</v>
      </c>
      <c r="J30" s="214">
        <f t="shared" si="11"/>
        <v>17560.657203448856</v>
      </c>
      <c r="K30" s="175">
        <f t="shared" si="11"/>
        <v>21380.086561139397</v>
      </c>
      <c r="L30" s="175">
        <f t="shared" si="11"/>
        <v>26906.573440354903</v>
      </c>
      <c r="M30" s="176">
        <f t="shared" si="11"/>
        <v>27462.120403799279</v>
      </c>
    </row>
    <row r="31" spans="1:13">
      <c r="A31" s="30"/>
      <c r="B31" s="30"/>
      <c r="C31" s="25"/>
      <c r="D31" s="30"/>
      <c r="E31" s="88"/>
      <c r="F31" s="88"/>
      <c r="G31" s="88"/>
      <c r="H31" s="88"/>
      <c r="I31" s="25"/>
      <c r="J31" s="212"/>
      <c r="K31" s="101"/>
      <c r="L31" s="101"/>
      <c r="M31" s="102"/>
    </row>
    <row r="32" spans="1:13">
      <c r="A32" s="30"/>
      <c r="B32" s="30" t="s">
        <v>370</v>
      </c>
      <c r="C32" s="25"/>
      <c r="D32" s="31">
        <f>D23+D14</f>
        <v>6247</v>
      </c>
      <c r="E32" s="92">
        <f t="shared" ref="E32:M34" si="12">E23+E14</f>
        <v>6955</v>
      </c>
      <c r="F32" s="92">
        <f t="shared" si="12"/>
        <v>22193</v>
      </c>
      <c r="G32" s="92">
        <f>G23+G14</f>
        <v>13266</v>
      </c>
      <c r="H32" s="92">
        <f t="shared" si="12"/>
        <v>2567</v>
      </c>
      <c r="I32" s="32">
        <f t="shared" si="12"/>
        <v>18879.762557426173</v>
      </c>
      <c r="J32" s="213">
        <f t="shared" si="12"/>
        <v>23000.040439557888</v>
      </c>
      <c r="K32" s="163">
        <f t="shared" si="12"/>
        <v>29665.047741882358</v>
      </c>
      <c r="L32" s="163">
        <f t="shared" si="12"/>
        <v>25192.502919745079</v>
      </c>
      <c r="M32" s="174">
        <f t="shared" si="12"/>
        <v>27708.734130016663</v>
      </c>
    </row>
    <row r="33" spans="1:13">
      <c r="A33" s="30"/>
      <c r="B33" s="30" t="s">
        <v>371</v>
      </c>
      <c r="C33" s="25"/>
      <c r="D33" s="31">
        <f>D24+D15</f>
        <v>-3505</v>
      </c>
      <c r="E33" s="92">
        <f t="shared" si="12"/>
        <v>-8416</v>
      </c>
      <c r="F33" s="92">
        <f t="shared" si="12"/>
        <v>-5127</v>
      </c>
      <c r="G33" s="92">
        <f t="shared" si="12"/>
        <v>-11605</v>
      </c>
      <c r="H33" s="92">
        <f t="shared" si="12"/>
        <v>-12950</v>
      </c>
      <c r="I33" s="32">
        <f t="shared" si="12"/>
        <v>-15754.105353977322</v>
      </c>
      <c r="J33" s="213">
        <f t="shared" si="12"/>
        <v>-19180.611081867348</v>
      </c>
      <c r="K33" s="163">
        <f t="shared" si="12"/>
        <v>-24138.560862666851</v>
      </c>
      <c r="L33" s="163">
        <f t="shared" si="12"/>
        <v>-24636.955956300699</v>
      </c>
      <c r="M33" s="174">
        <f t="shared" si="12"/>
        <v>-26089.558744309525</v>
      </c>
    </row>
    <row r="34" spans="1:13">
      <c r="A34" s="30"/>
      <c r="B34" s="30" t="s">
        <v>372</v>
      </c>
      <c r="C34" s="25"/>
      <c r="D34" s="31">
        <f>D25+D16</f>
        <v>7552</v>
      </c>
      <c r="E34" s="92">
        <f t="shared" si="12"/>
        <v>6091</v>
      </c>
      <c r="F34" s="92">
        <f>F25+F16</f>
        <v>23157</v>
      </c>
      <c r="G34" s="92">
        <f t="shared" si="12"/>
        <v>24818</v>
      </c>
      <c r="H34" s="92">
        <f t="shared" si="12"/>
        <v>14435</v>
      </c>
      <c r="I34" s="32">
        <f t="shared" si="12"/>
        <v>17560.657203448856</v>
      </c>
      <c r="J34" s="213">
        <f t="shared" si="12"/>
        <v>21380.086561139397</v>
      </c>
      <c r="K34" s="163">
        <f t="shared" si="12"/>
        <v>26906.573440354903</v>
      </c>
      <c r="L34" s="163">
        <f t="shared" si="12"/>
        <v>27462.120403799279</v>
      </c>
      <c r="M34" s="174">
        <f t="shared" si="12"/>
        <v>29081.295789506421</v>
      </c>
    </row>
    <row r="35" spans="1:13" ht="15.75" thickBot="1">
      <c r="A35" s="37"/>
      <c r="B35" s="37"/>
      <c r="C35" s="38"/>
      <c r="D35" s="37"/>
      <c r="E35" s="22"/>
      <c r="F35" s="22"/>
      <c r="G35" s="22"/>
      <c r="H35" s="22"/>
      <c r="I35" s="38"/>
      <c r="J35" s="218"/>
      <c r="K35" s="178"/>
      <c r="L35" s="178"/>
      <c r="M35" s="179"/>
    </row>
  </sheetData>
  <mergeCells count="3">
    <mergeCell ref="J4:M6"/>
    <mergeCell ref="D4:I6"/>
    <mergeCell ref="A1: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zoomScale="57" zoomScaleNormal="57" workbookViewId="0">
      <selection activeCell="G12" sqref="G12"/>
    </sheetView>
  </sheetViews>
  <sheetFormatPr defaultRowHeight="15"/>
  <cols>
    <col min="1" max="1" width="47.5703125" bestFit="1" customWidth="1"/>
    <col min="2" max="2" width="34.7109375" bestFit="1" customWidth="1"/>
    <col min="3" max="3" width="18" bestFit="1" customWidth="1"/>
  </cols>
  <sheetData>
    <row r="1" spans="1:13">
      <c r="A1" s="378" t="s">
        <v>472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</row>
    <row r="2" spans="1:13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</row>
    <row r="3" spans="1:13">
      <c r="A3" s="378"/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</row>
    <row r="4" spans="1:13" ht="21">
      <c r="B4" s="219"/>
      <c r="C4" s="219"/>
      <c r="D4" s="374" t="s">
        <v>470</v>
      </c>
      <c r="E4" s="374"/>
      <c r="F4" s="374"/>
      <c r="G4" s="374"/>
      <c r="H4" s="374"/>
      <c r="I4" s="376" t="s">
        <v>471</v>
      </c>
      <c r="J4" s="376"/>
      <c r="K4" s="376"/>
      <c r="L4" s="376"/>
      <c r="M4" s="376"/>
    </row>
    <row r="5" spans="1:13" ht="21">
      <c r="B5" s="219"/>
      <c r="C5" s="219"/>
      <c r="D5" s="374"/>
      <c r="E5" s="374"/>
      <c r="F5" s="374"/>
      <c r="G5" s="374"/>
      <c r="H5" s="374"/>
      <c r="I5" s="376"/>
      <c r="J5" s="376"/>
      <c r="K5" s="376"/>
      <c r="L5" s="376"/>
      <c r="M5" s="376"/>
    </row>
    <row r="6" spans="1:13" ht="21.75" thickBot="1">
      <c r="B6" s="223"/>
      <c r="C6" s="223"/>
      <c r="D6" s="375"/>
      <c r="E6" s="375"/>
      <c r="F6" s="375"/>
      <c r="G6" s="375"/>
      <c r="H6" s="375"/>
      <c r="I6" s="377"/>
      <c r="J6" s="377"/>
      <c r="K6" s="377"/>
      <c r="L6" s="377"/>
      <c r="M6" s="377"/>
    </row>
    <row r="7" spans="1:13" ht="15.75" thickBot="1">
      <c r="D7" s="117">
        <v>2016</v>
      </c>
      <c r="E7" s="118">
        <v>2017</v>
      </c>
      <c r="F7" s="118">
        <v>2018</v>
      </c>
      <c r="G7" s="118">
        <v>2019</v>
      </c>
      <c r="H7" s="118">
        <v>2020</v>
      </c>
      <c r="I7" s="118">
        <v>2021</v>
      </c>
      <c r="J7" s="118">
        <v>2022</v>
      </c>
      <c r="K7" s="118">
        <v>2023</v>
      </c>
      <c r="L7" s="118">
        <v>2024</v>
      </c>
      <c r="M7" s="273">
        <v>2025</v>
      </c>
    </row>
    <row r="8" spans="1:13">
      <c r="A8" s="125" t="s">
        <v>374</v>
      </c>
      <c r="B8" s="27"/>
      <c r="C8" s="27"/>
      <c r="D8" s="26"/>
      <c r="E8" s="27"/>
      <c r="F8" s="27"/>
      <c r="G8" s="27"/>
      <c r="H8" s="28"/>
      <c r="I8" s="211"/>
      <c r="J8" s="161"/>
      <c r="K8" s="161"/>
      <c r="L8" s="161"/>
      <c r="M8" s="162"/>
    </row>
    <row r="9" spans="1:13">
      <c r="A9" s="30"/>
      <c r="B9" s="88" t="s">
        <v>375</v>
      </c>
      <c r="C9" s="88" t="s">
        <v>376</v>
      </c>
      <c r="D9" s="30">
        <v>3</v>
      </c>
      <c r="E9" s="88">
        <v>0</v>
      </c>
      <c r="F9" s="88">
        <v>0</v>
      </c>
      <c r="G9" s="88">
        <v>0</v>
      </c>
      <c r="H9" s="25">
        <v>0</v>
      </c>
      <c r="I9" s="212">
        <f>AVERAGE(D9:H9)</f>
        <v>0.6</v>
      </c>
      <c r="J9" s="101">
        <f t="shared" ref="J9:M10" si="0">AVERAGE(E9:I9)</f>
        <v>0.12</v>
      </c>
      <c r="K9" s="101">
        <f t="shared" si="0"/>
        <v>0.14399999999999999</v>
      </c>
      <c r="L9" s="101">
        <f t="shared" si="0"/>
        <v>0.17280000000000001</v>
      </c>
      <c r="M9" s="102">
        <f t="shared" si="0"/>
        <v>0.20735999999999999</v>
      </c>
    </row>
    <row r="10" spans="1:13">
      <c r="A10" s="30"/>
      <c r="B10" s="88" t="s">
        <v>377</v>
      </c>
      <c r="C10" s="88"/>
      <c r="D10" s="30">
        <v>527</v>
      </c>
      <c r="E10" s="88">
        <v>547</v>
      </c>
      <c r="F10" s="88">
        <v>714</v>
      </c>
      <c r="G10" s="92">
        <v>1352</v>
      </c>
      <c r="H10" s="32">
        <v>2391</v>
      </c>
      <c r="I10" s="212">
        <f>AVERAGE(D10:H10)</f>
        <v>1106.2</v>
      </c>
      <c r="J10" s="101">
        <f t="shared" si="0"/>
        <v>1222.04</v>
      </c>
      <c r="K10" s="101">
        <f t="shared" si="0"/>
        <v>1357.048</v>
      </c>
      <c r="L10" s="101">
        <f t="shared" si="0"/>
        <v>1485.6576</v>
      </c>
      <c r="M10" s="102">
        <f t="shared" si="0"/>
        <v>1512.3891199999998</v>
      </c>
    </row>
    <row r="11" spans="1:13">
      <c r="A11" s="30"/>
      <c r="B11" s="88" t="s">
        <v>378</v>
      </c>
      <c r="C11" s="88"/>
      <c r="D11" s="31">
        <v>19880</v>
      </c>
      <c r="E11" s="92">
        <v>22929</v>
      </c>
      <c r="F11" s="92">
        <v>23820</v>
      </c>
      <c r="G11" s="92">
        <v>27888</v>
      </c>
      <c r="H11" s="32">
        <v>36105</v>
      </c>
      <c r="I11" s="215">
        <f>SUM(D11:H11)/SUM(D9:H9)*I9</f>
        <v>26124.399999999998</v>
      </c>
      <c r="J11" s="216">
        <f t="shared" ref="J11:M11" si="1">SUM(E11:I11)/SUM(E9:I9)*J9</f>
        <v>27373.279999999999</v>
      </c>
      <c r="K11" s="216">
        <f>SUM(F11:J11)/SUM(F9:J9)*K9</f>
        <v>28262.135999999999</v>
      </c>
      <c r="L11" s="216">
        <f t="shared" si="1"/>
        <v>29150.563200000001</v>
      </c>
      <c r="M11" s="217">
        <f t="shared" si="1"/>
        <v>29403.075839999998</v>
      </c>
    </row>
    <row r="12" spans="1:13" ht="15.75" thickBot="1">
      <c r="A12" s="37"/>
      <c r="B12" s="22"/>
      <c r="C12" s="22"/>
      <c r="D12" s="39">
        <f>SUM(D9:D11)</f>
        <v>20410</v>
      </c>
      <c r="E12" s="20">
        <f t="shared" ref="E12:M12" si="2">SUM(E9:E11)</f>
        <v>23476</v>
      </c>
      <c r="F12" s="20">
        <f t="shared" si="2"/>
        <v>24534</v>
      </c>
      <c r="G12" s="20">
        <f t="shared" si="2"/>
        <v>29240</v>
      </c>
      <c r="H12" s="40">
        <f t="shared" si="2"/>
        <v>38496</v>
      </c>
      <c r="I12" s="270">
        <f t="shared" si="2"/>
        <v>27231.199999999997</v>
      </c>
      <c r="J12" s="271">
        <f t="shared" si="2"/>
        <v>28595.439999999999</v>
      </c>
      <c r="K12" s="271">
        <f t="shared" si="2"/>
        <v>29619.327999999998</v>
      </c>
      <c r="L12" s="271">
        <f t="shared" si="2"/>
        <v>30636.393599999999</v>
      </c>
      <c r="M12" s="272">
        <f t="shared" si="2"/>
        <v>30915.672319999998</v>
      </c>
    </row>
  </sheetData>
  <mergeCells count="3">
    <mergeCell ref="A1:L3"/>
    <mergeCell ref="I4:M6"/>
    <mergeCell ref="D4:H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86"/>
  <sheetViews>
    <sheetView zoomScale="59" zoomScaleNormal="59" workbookViewId="0">
      <selection activeCell="N33" sqref="N33:N35"/>
    </sheetView>
  </sheetViews>
  <sheetFormatPr defaultRowHeight="15"/>
  <cols>
    <col min="1" max="1" width="8.28515625" bestFit="1" customWidth="1"/>
    <col min="2" max="2" width="11.5703125" bestFit="1" customWidth="1"/>
    <col min="3" max="6" width="9.85546875" bestFit="1" customWidth="1"/>
    <col min="7" max="7" width="8.85546875" bestFit="1" customWidth="1"/>
  </cols>
  <sheetData>
    <row r="1" spans="1:7" ht="15.75">
      <c r="A1" s="41" t="s">
        <v>379</v>
      </c>
      <c r="B1" s="41" t="s">
        <v>380</v>
      </c>
      <c r="C1" s="41" t="s">
        <v>381</v>
      </c>
      <c r="D1" s="41" t="s">
        <v>382</v>
      </c>
      <c r="E1" s="41" t="s">
        <v>383</v>
      </c>
      <c r="F1" s="41" t="s">
        <v>384</v>
      </c>
      <c r="G1" s="41" t="s">
        <v>385</v>
      </c>
    </row>
    <row r="2" spans="1:7">
      <c r="A2" s="42" t="s">
        <v>386</v>
      </c>
      <c r="B2" s="43">
        <v>41822</v>
      </c>
      <c r="C2" s="42">
        <v>1860</v>
      </c>
      <c r="D2" s="42">
        <v>1860</v>
      </c>
      <c r="E2" s="42">
        <v>1740</v>
      </c>
      <c r="F2" s="42">
        <v>1740</v>
      </c>
      <c r="G2" s="42">
        <v>200</v>
      </c>
    </row>
    <row r="3" spans="1:7">
      <c r="A3" s="42" t="s">
        <v>386</v>
      </c>
      <c r="B3" s="43">
        <v>41824</v>
      </c>
      <c r="C3" s="42">
        <v>1705</v>
      </c>
      <c r="D3" s="42">
        <v>1705</v>
      </c>
      <c r="E3" s="42">
        <v>1702</v>
      </c>
      <c r="F3" s="42">
        <v>1702.21</v>
      </c>
      <c r="G3" s="42">
        <v>280</v>
      </c>
    </row>
    <row r="4" spans="1:7">
      <c r="A4" s="42" t="s">
        <v>386</v>
      </c>
      <c r="B4" s="43">
        <v>41827</v>
      </c>
      <c r="C4" s="42">
        <v>1651</v>
      </c>
      <c r="D4" s="42">
        <v>1651</v>
      </c>
      <c r="E4" s="42">
        <v>1651</v>
      </c>
      <c r="F4" s="42">
        <v>1651</v>
      </c>
      <c r="G4" s="42">
        <v>100</v>
      </c>
    </row>
    <row r="5" spans="1:7">
      <c r="A5" s="42" t="s">
        <v>386</v>
      </c>
      <c r="B5" s="43">
        <v>41828</v>
      </c>
      <c r="C5" s="42">
        <v>1700</v>
      </c>
      <c r="D5" s="42">
        <v>1700</v>
      </c>
      <c r="E5" s="42">
        <v>1651</v>
      </c>
      <c r="F5" s="42">
        <v>1700</v>
      </c>
      <c r="G5" s="42">
        <v>320</v>
      </c>
    </row>
    <row r="6" spans="1:7">
      <c r="A6" s="42" t="s">
        <v>386</v>
      </c>
      <c r="B6" s="43">
        <v>41830</v>
      </c>
      <c r="C6" s="42">
        <v>1655</v>
      </c>
      <c r="D6" s="42">
        <v>1685</v>
      </c>
      <c r="E6" s="42">
        <v>1650</v>
      </c>
      <c r="F6" s="42">
        <v>1685</v>
      </c>
      <c r="G6" s="42">
        <v>940</v>
      </c>
    </row>
    <row r="7" spans="1:7">
      <c r="A7" s="42" t="s">
        <v>386</v>
      </c>
      <c r="B7" s="43">
        <v>41841</v>
      </c>
      <c r="C7" s="42">
        <v>1650.5</v>
      </c>
      <c r="D7" s="42">
        <v>1650.5</v>
      </c>
      <c r="E7" s="42">
        <v>1650.5</v>
      </c>
      <c r="F7" s="42">
        <v>1650.5</v>
      </c>
      <c r="G7" s="42">
        <v>20</v>
      </c>
    </row>
    <row r="8" spans="1:7">
      <c r="A8" s="42" t="s">
        <v>386</v>
      </c>
      <c r="B8" s="43">
        <v>41842</v>
      </c>
      <c r="C8" s="42">
        <v>1675.1</v>
      </c>
      <c r="D8" s="42">
        <v>1730</v>
      </c>
      <c r="E8" s="42">
        <v>1675.1</v>
      </c>
      <c r="F8" s="42">
        <v>1730</v>
      </c>
      <c r="G8" s="42">
        <v>80</v>
      </c>
    </row>
    <row r="9" spans="1:7">
      <c r="A9" s="42" t="s">
        <v>386</v>
      </c>
      <c r="B9" s="43">
        <v>41848</v>
      </c>
      <c r="C9" s="42">
        <v>1650</v>
      </c>
      <c r="D9" s="42">
        <v>1730</v>
      </c>
      <c r="E9" s="42">
        <v>1650</v>
      </c>
      <c r="F9" s="42">
        <v>1730</v>
      </c>
      <c r="G9" s="42">
        <v>540</v>
      </c>
    </row>
    <row r="10" spans="1:7">
      <c r="A10" s="42" t="s">
        <v>386</v>
      </c>
      <c r="B10" s="43">
        <v>41855</v>
      </c>
      <c r="C10" s="42">
        <v>1650</v>
      </c>
      <c r="D10" s="42">
        <v>1675</v>
      </c>
      <c r="E10" s="42">
        <v>1650</v>
      </c>
      <c r="F10" s="42">
        <v>1675</v>
      </c>
      <c r="G10" s="42">
        <v>3760</v>
      </c>
    </row>
    <row r="11" spans="1:7">
      <c r="A11" s="42" t="s">
        <v>386</v>
      </c>
      <c r="B11" s="43">
        <v>41856</v>
      </c>
      <c r="C11" s="42">
        <v>1675</v>
      </c>
      <c r="D11" s="42">
        <v>1675</v>
      </c>
      <c r="E11" s="42">
        <v>1675</v>
      </c>
      <c r="F11" s="42">
        <v>1675</v>
      </c>
      <c r="G11" s="42">
        <v>20</v>
      </c>
    </row>
    <row r="12" spans="1:7">
      <c r="A12" s="42" t="s">
        <v>386</v>
      </c>
      <c r="B12" s="43">
        <v>41857</v>
      </c>
      <c r="C12" s="42">
        <v>1670</v>
      </c>
      <c r="D12" s="42">
        <v>1670</v>
      </c>
      <c r="E12" s="42">
        <v>1650</v>
      </c>
      <c r="F12" s="42">
        <v>1650.1</v>
      </c>
      <c r="G12" s="42">
        <v>7840</v>
      </c>
    </row>
    <row r="13" spans="1:7">
      <c r="A13" s="42" t="s">
        <v>386</v>
      </c>
      <c r="B13" s="43">
        <v>41858</v>
      </c>
      <c r="C13" s="42">
        <v>1650</v>
      </c>
      <c r="D13" s="42">
        <v>1650</v>
      </c>
      <c r="E13" s="42">
        <v>1650</v>
      </c>
      <c r="F13" s="42">
        <v>1650</v>
      </c>
      <c r="G13" s="42">
        <v>680</v>
      </c>
    </row>
    <row r="14" spans="1:7">
      <c r="A14" s="42" t="s">
        <v>386</v>
      </c>
      <c r="B14" s="43">
        <v>41862</v>
      </c>
      <c r="C14" s="42">
        <v>1567.5</v>
      </c>
      <c r="D14" s="42">
        <v>1567.5</v>
      </c>
      <c r="E14" s="42">
        <v>1567.5</v>
      </c>
      <c r="F14" s="42">
        <v>1567.5</v>
      </c>
      <c r="G14" s="42">
        <v>20</v>
      </c>
    </row>
    <row r="15" spans="1:7">
      <c r="A15" s="42" t="s">
        <v>386</v>
      </c>
      <c r="B15" s="43">
        <v>41877</v>
      </c>
      <c r="C15" s="42">
        <v>1490</v>
      </c>
      <c r="D15" s="42">
        <v>1500</v>
      </c>
      <c r="E15" s="42">
        <v>1490</v>
      </c>
      <c r="F15" s="42">
        <v>1490</v>
      </c>
      <c r="G15" s="42">
        <v>240</v>
      </c>
    </row>
    <row r="16" spans="1:7">
      <c r="A16" s="42" t="s">
        <v>386</v>
      </c>
      <c r="B16" s="43">
        <v>41878</v>
      </c>
      <c r="C16" s="42">
        <v>1490</v>
      </c>
      <c r="D16" s="42">
        <v>1500</v>
      </c>
      <c r="E16" s="42">
        <v>1490</v>
      </c>
      <c r="F16" s="42">
        <v>1500</v>
      </c>
      <c r="G16" s="42">
        <v>60</v>
      </c>
    </row>
    <row r="17" spans="1:7">
      <c r="A17" s="42" t="s">
        <v>386</v>
      </c>
      <c r="B17" s="43">
        <v>41885</v>
      </c>
      <c r="C17" s="42">
        <v>1575</v>
      </c>
      <c r="D17" s="42">
        <v>1575</v>
      </c>
      <c r="E17" s="42">
        <v>1570</v>
      </c>
      <c r="F17" s="42">
        <v>1575</v>
      </c>
      <c r="G17" s="42">
        <v>140</v>
      </c>
    </row>
    <row r="18" spans="1:7">
      <c r="A18" s="42" t="s">
        <v>386</v>
      </c>
      <c r="B18" s="43">
        <v>41886</v>
      </c>
      <c r="C18" s="42">
        <v>1653.75</v>
      </c>
      <c r="D18" s="42">
        <v>1653.75</v>
      </c>
      <c r="E18" s="42">
        <v>1653.75</v>
      </c>
      <c r="F18" s="42">
        <v>1653.75</v>
      </c>
      <c r="G18" s="42">
        <v>200</v>
      </c>
    </row>
    <row r="19" spans="1:7">
      <c r="A19" s="42" t="s">
        <v>386</v>
      </c>
      <c r="B19" s="43">
        <v>41887</v>
      </c>
      <c r="C19" s="42">
        <v>1735</v>
      </c>
      <c r="D19" s="42">
        <v>1735</v>
      </c>
      <c r="E19" s="42">
        <v>1571.07</v>
      </c>
      <c r="F19" s="42">
        <v>1585.01</v>
      </c>
      <c r="G19" s="42">
        <v>160</v>
      </c>
    </row>
    <row r="20" spans="1:7">
      <c r="A20" s="42" t="s">
        <v>386</v>
      </c>
      <c r="B20" s="43">
        <v>41891</v>
      </c>
      <c r="C20" s="42">
        <v>1650</v>
      </c>
      <c r="D20" s="42">
        <v>1650</v>
      </c>
      <c r="E20" s="42">
        <v>1560</v>
      </c>
      <c r="F20" s="42">
        <v>1560</v>
      </c>
      <c r="G20" s="42">
        <v>1080</v>
      </c>
    </row>
    <row r="21" spans="1:7">
      <c r="A21" s="42" t="s">
        <v>386</v>
      </c>
      <c r="B21" s="43">
        <v>41893</v>
      </c>
      <c r="C21" s="42">
        <v>1619</v>
      </c>
      <c r="D21" s="42">
        <v>1619</v>
      </c>
      <c r="E21" s="42">
        <v>1599.99</v>
      </c>
      <c r="F21" s="42">
        <v>1599.99</v>
      </c>
      <c r="G21" s="42">
        <v>920</v>
      </c>
    </row>
    <row r="22" spans="1:7">
      <c r="A22" s="42" t="s">
        <v>386</v>
      </c>
      <c r="B22" s="43">
        <v>41894</v>
      </c>
      <c r="C22" s="42">
        <v>1600</v>
      </c>
      <c r="D22" s="42">
        <v>1600</v>
      </c>
      <c r="E22" s="42">
        <v>1520</v>
      </c>
      <c r="F22" s="42">
        <v>1520</v>
      </c>
      <c r="G22" s="42">
        <v>300</v>
      </c>
    </row>
    <row r="23" spans="1:7">
      <c r="A23" s="42" t="s">
        <v>386</v>
      </c>
      <c r="B23" s="43">
        <v>41897</v>
      </c>
      <c r="C23" s="42">
        <v>1520</v>
      </c>
      <c r="D23" s="42">
        <v>1520</v>
      </c>
      <c r="E23" s="42">
        <v>1501</v>
      </c>
      <c r="F23" s="42">
        <v>1501</v>
      </c>
      <c r="G23" s="42">
        <v>120</v>
      </c>
    </row>
    <row r="24" spans="1:7">
      <c r="A24" s="42" t="s">
        <v>386</v>
      </c>
      <c r="B24" s="43">
        <v>41900</v>
      </c>
      <c r="C24" s="42">
        <v>1569</v>
      </c>
      <c r="D24" s="42">
        <v>1569</v>
      </c>
      <c r="E24" s="42">
        <v>1450</v>
      </c>
      <c r="F24" s="42">
        <v>1450</v>
      </c>
      <c r="G24" s="42">
        <v>420</v>
      </c>
    </row>
    <row r="25" spans="1:7">
      <c r="A25" s="42" t="s">
        <v>386</v>
      </c>
      <c r="B25" s="43">
        <v>41904</v>
      </c>
      <c r="C25" s="42">
        <v>1522</v>
      </c>
      <c r="D25" s="42">
        <v>1522</v>
      </c>
      <c r="E25" s="42">
        <v>1377.99</v>
      </c>
      <c r="F25" s="42">
        <v>1510</v>
      </c>
      <c r="G25" s="42">
        <v>160</v>
      </c>
    </row>
    <row r="26" spans="1:7">
      <c r="A26" s="42" t="s">
        <v>386</v>
      </c>
      <c r="B26" s="43">
        <v>41905</v>
      </c>
      <c r="C26" s="42">
        <v>1520</v>
      </c>
      <c r="D26" s="42">
        <v>1520</v>
      </c>
      <c r="E26" s="42">
        <v>1520</v>
      </c>
      <c r="F26" s="42">
        <v>1520</v>
      </c>
      <c r="G26" s="42">
        <v>20</v>
      </c>
    </row>
    <row r="27" spans="1:7">
      <c r="A27" s="42" t="s">
        <v>386</v>
      </c>
      <c r="B27" s="43">
        <v>41906</v>
      </c>
      <c r="C27" s="42">
        <v>1500</v>
      </c>
      <c r="D27" s="42">
        <v>1500</v>
      </c>
      <c r="E27" s="42">
        <v>1500</v>
      </c>
      <c r="F27" s="42">
        <v>1500</v>
      </c>
      <c r="G27" s="42">
        <v>1020</v>
      </c>
    </row>
    <row r="28" spans="1:7">
      <c r="A28" s="42" t="s">
        <v>386</v>
      </c>
      <c r="B28" s="43">
        <v>41907</v>
      </c>
      <c r="C28" s="42">
        <v>1554</v>
      </c>
      <c r="D28" s="42">
        <v>1554</v>
      </c>
      <c r="E28" s="42">
        <v>1550</v>
      </c>
      <c r="F28" s="42">
        <v>1550</v>
      </c>
      <c r="G28" s="42">
        <v>3020</v>
      </c>
    </row>
    <row r="29" spans="1:7">
      <c r="A29" s="42" t="s">
        <v>386</v>
      </c>
      <c r="B29" s="43">
        <v>41913</v>
      </c>
      <c r="C29" s="42">
        <v>1506.5</v>
      </c>
      <c r="D29" s="42">
        <v>1506.5</v>
      </c>
      <c r="E29" s="42">
        <v>1506.5</v>
      </c>
      <c r="F29" s="42">
        <v>1506.5</v>
      </c>
      <c r="G29" s="42">
        <v>1000</v>
      </c>
    </row>
    <row r="30" spans="1:7">
      <c r="A30" s="42" t="s">
        <v>386</v>
      </c>
      <c r="B30" s="43">
        <v>41926</v>
      </c>
      <c r="C30" s="42">
        <v>1490</v>
      </c>
      <c r="D30" s="42">
        <v>1490</v>
      </c>
      <c r="E30" s="42">
        <v>1490</v>
      </c>
      <c r="F30" s="42">
        <v>1490</v>
      </c>
      <c r="G30" s="42">
        <v>20</v>
      </c>
    </row>
    <row r="31" spans="1:7">
      <c r="A31" s="42" t="s">
        <v>386</v>
      </c>
      <c r="B31" s="43">
        <v>41928</v>
      </c>
      <c r="C31" s="42">
        <v>1489</v>
      </c>
      <c r="D31" s="42">
        <v>1490</v>
      </c>
      <c r="E31" s="42">
        <v>1451</v>
      </c>
      <c r="F31" s="42">
        <v>1451</v>
      </c>
      <c r="G31" s="42">
        <v>80</v>
      </c>
    </row>
    <row r="32" spans="1:7">
      <c r="A32" s="42" t="s">
        <v>386</v>
      </c>
      <c r="B32" s="43">
        <v>41929</v>
      </c>
      <c r="C32" s="42">
        <v>1485</v>
      </c>
      <c r="D32" s="42">
        <v>1523.55</v>
      </c>
      <c r="E32" s="42">
        <v>1485</v>
      </c>
      <c r="F32" s="42">
        <v>1523.55</v>
      </c>
      <c r="G32" s="42">
        <v>120</v>
      </c>
    </row>
    <row r="33" spans="1:7">
      <c r="A33" s="42" t="s">
        <v>386</v>
      </c>
      <c r="B33" s="43">
        <v>41932</v>
      </c>
      <c r="C33" s="42">
        <v>1590</v>
      </c>
      <c r="D33" s="42">
        <v>1598</v>
      </c>
      <c r="E33" s="42">
        <v>1590</v>
      </c>
      <c r="F33" s="42">
        <v>1598</v>
      </c>
      <c r="G33" s="42">
        <v>60</v>
      </c>
    </row>
    <row r="34" spans="1:7">
      <c r="A34" s="42" t="s">
        <v>386</v>
      </c>
      <c r="B34" s="43">
        <v>41935</v>
      </c>
      <c r="C34" s="42">
        <v>1520.1</v>
      </c>
      <c r="D34" s="42">
        <v>1520.1</v>
      </c>
      <c r="E34" s="42">
        <v>1520.1</v>
      </c>
      <c r="F34" s="42">
        <v>1520.1</v>
      </c>
      <c r="G34" s="42">
        <v>20</v>
      </c>
    </row>
    <row r="35" spans="1:7">
      <c r="A35" s="42" t="s">
        <v>386</v>
      </c>
      <c r="B35" s="43">
        <v>41939</v>
      </c>
      <c r="C35" s="42">
        <v>1596</v>
      </c>
      <c r="D35" s="42">
        <v>1596.1</v>
      </c>
      <c r="E35" s="42">
        <v>1525</v>
      </c>
      <c r="F35" s="42">
        <v>1596.1</v>
      </c>
      <c r="G35" s="42">
        <v>740</v>
      </c>
    </row>
    <row r="36" spans="1:7">
      <c r="A36" s="42" t="s">
        <v>386</v>
      </c>
      <c r="B36" s="43">
        <v>41940</v>
      </c>
      <c r="C36" s="42">
        <v>1634.57</v>
      </c>
      <c r="D36" s="42">
        <v>1675.9</v>
      </c>
      <c r="E36" s="42">
        <v>1610</v>
      </c>
      <c r="F36" s="42">
        <v>1667.22</v>
      </c>
      <c r="G36" s="42">
        <v>1080</v>
      </c>
    </row>
    <row r="37" spans="1:7">
      <c r="A37" s="42" t="s">
        <v>386</v>
      </c>
      <c r="B37" s="43">
        <v>41941</v>
      </c>
      <c r="C37" s="42">
        <v>1687.99</v>
      </c>
      <c r="D37" s="42">
        <v>1688</v>
      </c>
      <c r="E37" s="42">
        <v>1687.9</v>
      </c>
      <c r="F37" s="42">
        <v>1688</v>
      </c>
      <c r="G37" s="42">
        <v>160</v>
      </c>
    </row>
    <row r="38" spans="1:7">
      <c r="A38" s="42" t="s">
        <v>386</v>
      </c>
      <c r="B38" s="43">
        <v>41949</v>
      </c>
      <c r="C38" s="42">
        <v>1650</v>
      </c>
      <c r="D38" s="42">
        <v>1650</v>
      </c>
      <c r="E38" s="42">
        <v>1604</v>
      </c>
      <c r="F38" s="42">
        <v>1604</v>
      </c>
      <c r="G38" s="42">
        <v>3060</v>
      </c>
    </row>
    <row r="39" spans="1:7">
      <c r="A39" s="42" t="s">
        <v>386</v>
      </c>
      <c r="B39" s="43">
        <v>41953</v>
      </c>
      <c r="C39" s="42">
        <v>1680</v>
      </c>
      <c r="D39" s="42">
        <v>1684.2</v>
      </c>
      <c r="E39" s="42">
        <v>1611</v>
      </c>
      <c r="F39" s="42">
        <v>1684.2</v>
      </c>
      <c r="G39" s="42">
        <v>980</v>
      </c>
    </row>
    <row r="40" spans="1:7">
      <c r="A40" s="42" t="s">
        <v>386</v>
      </c>
      <c r="B40" s="43">
        <v>41954</v>
      </c>
      <c r="C40" s="42">
        <v>1680</v>
      </c>
      <c r="D40" s="42">
        <v>1768.41</v>
      </c>
      <c r="E40" s="42">
        <v>1680</v>
      </c>
      <c r="F40" s="42">
        <v>1768.41</v>
      </c>
      <c r="G40" s="42">
        <v>1020</v>
      </c>
    </row>
    <row r="41" spans="1:7">
      <c r="A41" s="42" t="s">
        <v>386</v>
      </c>
      <c r="B41" s="43">
        <v>41955</v>
      </c>
      <c r="C41" s="42">
        <v>1800</v>
      </c>
      <c r="D41" s="42">
        <v>1856</v>
      </c>
      <c r="E41" s="42">
        <v>1800</v>
      </c>
      <c r="F41" s="42">
        <v>1800</v>
      </c>
      <c r="G41" s="42">
        <v>1120</v>
      </c>
    </row>
    <row r="42" spans="1:7">
      <c r="A42" s="42" t="s">
        <v>386</v>
      </c>
      <c r="B42" s="43">
        <v>41957</v>
      </c>
      <c r="C42" s="42">
        <v>1750</v>
      </c>
      <c r="D42" s="42">
        <v>1750</v>
      </c>
      <c r="E42" s="42">
        <v>1750</v>
      </c>
      <c r="F42" s="42">
        <v>1750</v>
      </c>
      <c r="G42" s="42">
        <v>20</v>
      </c>
    </row>
    <row r="43" spans="1:7">
      <c r="A43" s="42" t="s">
        <v>386</v>
      </c>
      <c r="B43" s="43">
        <v>41960</v>
      </c>
      <c r="C43" s="42">
        <v>1794</v>
      </c>
      <c r="D43" s="42">
        <v>1794</v>
      </c>
      <c r="E43" s="42">
        <v>1750</v>
      </c>
      <c r="F43" s="42">
        <v>1750</v>
      </c>
      <c r="G43" s="42">
        <v>980</v>
      </c>
    </row>
    <row r="44" spans="1:7">
      <c r="A44" s="42" t="s">
        <v>386</v>
      </c>
      <c r="B44" s="43">
        <v>41961</v>
      </c>
      <c r="C44" s="42">
        <v>1691</v>
      </c>
      <c r="D44" s="42">
        <v>1819</v>
      </c>
      <c r="E44" s="42">
        <v>1691</v>
      </c>
      <c r="F44" s="42">
        <v>1799</v>
      </c>
      <c r="G44" s="42">
        <v>2200</v>
      </c>
    </row>
    <row r="45" spans="1:7">
      <c r="A45" s="42" t="s">
        <v>386</v>
      </c>
      <c r="B45" s="43">
        <v>41962</v>
      </c>
      <c r="C45" s="42">
        <v>1799</v>
      </c>
      <c r="D45" s="42">
        <v>1800</v>
      </c>
      <c r="E45" s="42">
        <v>1799</v>
      </c>
      <c r="F45" s="42">
        <v>1799.99</v>
      </c>
      <c r="G45" s="42">
        <v>100</v>
      </c>
    </row>
    <row r="46" spans="1:7">
      <c r="A46" s="42" t="s">
        <v>386</v>
      </c>
      <c r="B46" s="43">
        <v>41963</v>
      </c>
      <c r="C46" s="42">
        <v>1710</v>
      </c>
      <c r="D46" s="42">
        <v>1710</v>
      </c>
      <c r="E46" s="42">
        <v>1710</v>
      </c>
      <c r="F46" s="42">
        <v>1710</v>
      </c>
      <c r="G46" s="42">
        <v>80</v>
      </c>
    </row>
    <row r="47" spans="1:7">
      <c r="A47" s="42" t="s">
        <v>386</v>
      </c>
      <c r="B47" s="43">
        <v>41964</v>
      </c>
      <c r="C47" s="42">
        <v>1789</v>
      </c>
      <c r="D47" s="42">
        <v>1795</v>
      </c>
      <c r="E47" s="42">
        <v>1789</v>
      </c>
      <c r="F47" s="42">
        <v>1795</v>
      </c>
      <c r="G47" s="42">
        <v>120</v>
      </c>
    </row>
    <row r="48" spans="1:7">
      <c r="A48" s="42" t="s">
        <v>386</v>
      </c>
      <c r="B48" s="43">
        <v>41967</v>
      </c>
      <c r="C48" s="42">
        <v>1751</v>
      </c>
      <c r="D48" s="42">
        <v>1810</v>
      </c>
      <c r="E48" s="42">
        <v>1750</v>
      </c>
      <c r="F48" s="42">
        <v>1795</v>
      </c>
      <c r="G48" s="42">
        <v>1400</v>
      </c>
    </row>
    <row r="49" spans="1:7">
      <c r="A49" s="42" t="s">
        <v>386</v>
      </c>
      <c r="B49" s="43">
        <v>41968</v>
      </c>
      <c r="C49" s="42">
        <v>1800</v>
      </c>
      <c r="D49" s="42">
        <v>1800</v>
      </c>
      <c r="E49" s="42">
        <v>1790</v>
      </c>
      <c r="F49" s="42">
        <v>1795</v>
      </c>
      <c r="G49" s="42">
        <v>1120</v>
      </c>
    </row>
    <row r="50" spans="1:7">
      <c r="A50" s="42" t="s">
        <v>386</v>
      </c>
      <c r="B50" s="43">
        <v>41969</v>
      </c>
      <c r="C50" s="42">
        <v>1730</v>
      </c>
      <c r="D50" s="42">
        <v>1730</v>
      </c>
      <c r="E50" s="42">
        <v>1711</v>
      </c>
      <c r="F50" s="42">
        <v>1711</v>
      </c>
      <c r="G50" s="42">
        <v>160</v>
      </c>
    </row>
    <row r="51" spans="1:7">
      <c r="A51" s="42" t="s">
        <v>386</v>
      </c>
      <c r="B51" s="43">
        <v>41970</v>
      </c>
      <c r="C51" s="42">
        <v>1793</v>
      </c>
      <c r="D51" s="42">
        <v>1793</v>
      </c>
      <c r="E51" s="42">
        <v>1686</v>
      </c>
      <c r="F51" s="42">
        <v>1700</v>
      </c>
      <c r="G51" s="42">
        <v>4040</v>
      </c>
    </row>
    <row r="52" spans="1:7">
      <c r="A52" s="42" t="s">
        <v>386</v>
      </c>
      <c r="B52" s="43">
        <v>41971</v>
      </c>
      <c r="C52" s="42">
        <v>1761</v>
      </c>
      <c r="D52" s="42">
        <v>1783</v>
      </c>
      <c r="E52" s="42">
        <v>1700</v>
      </c>
      <c r="F52" s="42">
        <v>1783</v>
      </c>
      <c r="G52" s="42">
        <v>3000</v>
      </c>
    </row>
    <row r="53" spans="1:7">
      <c r="A53" s="42" t="s">
        <v>386</v>
      </c>
      <c r="B53" s="43">
        <v>41974</v>
      </c>
      <c r="C53" s="42">
        <v>1700</v>
      </c>
      <c r="D53" s="42">
        <v>1700</v>
      </c>
      <c r="E53" s="42">
        <v>1700</v>
      </c>
      <c r="F53" s="42">
        <v>1700</v>
      </c>
      <c r="G53" s="42">
        <v>20</v>
      </c>
    </row>
    <row r="54" spans="1:7">
      <c r="A54" s="42" t="s">
        <v>386</v>
      </c>
      <c r="B54" s="43">
        <v>41975</v>
      </c>
      <c r="C54" s="42">
        <v>1780</v>
      </c>
      <c r="D54" s="42">
        <v>1780</v>
      </c>
      <c r="E54" s="42">
        <v>1780</v>
      </c>
      <c r="F54" s="42">
        <v>1780</v>
      </c>
      <c r="G54" s="42">
        <v>1000</v>
      </c>
    </row>
    <row r="55" spans="1:7">
      <c r="A55" s="42" t="s">
        <v>386</v>
      </c>
      <c r="B55" s="43">
        <v>41976</v>
      </c>
      <c r="C55" s="42">
        <v>1700</v>
      </c>
      <c r="D55" s="42">
        <v>1700</v>
      </c>
      <c r="E55" s="42">
        <v>1700</v>
      </c>
      <c r="F55" s="42">
        <v>1700</v>
      </c>
      <c r="G55" s="42">
        <v>20</v>
      </c>
    </row>
    <row r="56" spans="1:7">
      <c r="A56" s="42" t="s">
        <v>386</v>
      </c>
      <c r="B56" s="43">
        <v>41977</v>
      </c>
      <c r="C56" s="42">
        <v>1783</v>
      </c>
      <c r="D56" s="42">
        <v>1785</v>
      </c>
      <c r="E56" s="42">
        <v>1783</v>
      </c>
      <c r="F56" s="42">
        <v>1785</v>
      </c>
      <c r="G56" s="42">
        <v>480</v>
      </c>
    </row>
    <row r="57" spans="1:7">
      <c r="A57" s="42" t="s">
        <v>386</v>
      </c>
      <c r="B57" s="43">
        <v>41978</v>
      </c>
      <c r="C57" s="42">
        <v>1800</v>
      </c>
      <c r="D57" s="42">
        <v>1805</v>
      </c>
      <c r="E57" s="42">
        <v>1750</v>
      </c>
      <c r="F57" s="42">
        <v>1780</v>
      </c>
      <c r="G57" s="42">
        <v>1260</v>
      </c>
    </row>
    <row r="58" spans="1:7">
      <c r="A58" s="42" t="s">
        <v>386</v>
      </c>
      <c r="B58" s="43">
        <v>41983</v>
      </c>
      <c r="C58" s="42">
        <v>1691</v>
      </c>
      <c r="D58" s="42">
        <v>1720</v>
      </c>
      <c r="E58" s="42">
        <v>1691</v>
      </c>
      <c r="F58" s="42">
        <v>1692</v>
      </c>
      <c r="G58" s="42">
        <v>1100</v>
      </c>
    </row>
    <row r="59" spans="1:7">
      <c r="A59" s="42" t="s">
        <v>386</v>
      </c>
      <c r="B59" s="43">
        <v>41984</v>
      </c>
      <c r="C59" s="42">
        <v>1740</v>
      </c>
      <c r="D59" s="42">
        <v>1776.6</v>
      </c>
      <c r="E59" s="42">
        <v>1695</v>
      </c>
      <c r="F59" s="42">
        <v>1776.6</v>
      </c>
      <c r="G59" s="42">
        <v>5720</v>
      </c>
    </row>
    <row r="60" spans="1:7">
      <c r="A60" s="42" t="s">
        <v>386</v>
      </c>
      <c r="B60" s="43">
        <v>41985</v>
      </c>
      <c r="C60" s="42">
        <v>1864</v>
      </c>
      <c r="D60" s="42">
        <v>1865.43</v>
      </c>
      <c r="E60" s="42">
        <v>1810</v>
      </c>
      <c r="F60" s="42">
        <v>1865.43</v>
      </c>
      <c r="G60" s="42">
        <v>5640</v>
      </c>
    </row>
    <row r="61" spans="1:7">
      <c r="A61" s="42" t="s">
        <v>386</v>
      </c>
      <c r="B61" s="43">
        <v>41988</v>
      </c>
      <c r="C61" s="42">
        <v>1900</v>
      </c>
      <c r="D61" s="42">
        <v>1900</v>
      </c>
      <c r="E61" s="42">
        <v>1800</v>
      </c>
      <c r="F61" s="42">
        <v>1800</v>
      </c>
      <c r="G61" s="42">
        <v>240</v>
      </c>
    </row>
    <row r="62" spans="1:7">
      <c r="A62" s="42" t="s">
        <v>386</v>
      </c>
      <c r="B62" s="43">
        <v>41989</v>
      </c>
      <c r="C62" s="42">
        <v>1750</v>
      </c>
      <c r="D62" s="42">
        <v>1800</v>
      </c>
      <c r="E62" s="42">
        <v>1710</v>
      </c>
      <c r="F62" s="42">
        <v>1710.59</v>
      </c>
      <c r="G62" s="42">
        <v>2460</v>
      </c>
    </row>
    <row r="63" spans="1:7">
      <c r="A63" s="42" t="s">
        <v>386</v>
      </c>
      <c r="B63" s="43">
        <v>41991</v>
      </c>
      <c r="C63" s="42">
        <v>1796</v>
      </c>
      <c r="D63" s="42">
        <v>1796.11</v>
      </c>
      <c r="E63" s="42">
        <v>1796</v>
      </c>
      <c r="F63" s="42">
        <v>1796.11</v>
      </c>
      <c r="G63" s="42">
        <v>420</v>
      </c>
    </row>
    <row r="64" spans="1:7">
      <c r="A64" s="42" t="s">
        <v>386</v>
      </c>
      <c r="B64" s="43">
        <v>41992</v>
      </c>
      <c r="C64" s="42">
        <v>1880</v>
      </c>
      <c r="D64" s="42">
        <v>1885.91</v>
      </c>
      <c r="E64" s="42">
        <v>1810.01</v>
      </c>
      <c r="F64" s="42">
        <v>1885.91</v>
      </c>
      <c r="G64" s="42">
        <v>1080</v>
      </c>
    </row>
    <row r="65" spans="1:7">
      <c r="A65" s="42" t="s">
        <v>386</v>
      </c>
      <c r="B65" s="43">
        <v>41995</v>
      </c>
      <c r="C65" s="42">
        <v>1974.98</v>
      </c>
      <c r="D65" s="42">
        <v>1980.2</v>
      </c>
      <c r="E65" s="42">
        <v>1970</v>
      </c>
      <c r="F65" s="42">
        <v>1980.2</v>
      </c>
      <c r="G65" s="42">
        <v>880</v>
      </c>
    </row>
    <row r="66" spans="1:7">
      <c r="A66" s="42" t="s">
        <v>386</v>
      </c>
      <c r="B66" s="43">
        <v>41996</v>
      </c>
      <c r="C66" s="42">
        <v>2000</v>
      </c>
      <c r="D66" s="42">
        <v>2079.21</v>
      </c>
      <c r="E66" s="42">
        <v>2000</v>
      </c>
      <c r="F66" s="42">
        <v>2079.21</v>
      </c>
      <c r="G66" s="42">
        <v>1020</v>
      </c>
    </row>
    <row r="67" spans="1:7">
      <c r="A67" s="42" t="s">
        <v>386</v>
      </c>
      <c r="B67" s="43">
        <v>41997</v>
      </c>
      <c r="C67" s="42">
        <v>2183.0700000000002</v>
      </c>
      <c r="D67" s="42">
        <v>2183.17</v>
      </c>
      <c r="E67" s="42">
        <v>2025</v>
      </c>
      <c r="F67" s="42">
        <v>2183.17</v>
      </c>
      <c r="G67" s="42">
        <v>2820</v>
      </c>
    </row>
    <row r="68" spans="1:7">
      <c r="A68" s="42" t="s">
        <v>386</v>
      </c>
      <c r="B68" s="43">
        <v>41999</v>
      </c>
      <c r="C68" s="42">
        <v>2290</v>
      </c>
      <c r="D68" s="42">
        <v>2290</v>
      </c>
      <c r="E68" s="42">
        <v>2076</v>
      </c>
      <c r="F68" s="42">
        <v>2100</v>
      </c>
      <c r="G68" s="42">
        <v>1500</v>
      </c>
    </row>
    <row r="69" spans="1:7">
      <c r="A69" s="42" t="s">
        <v>386</v>
      </c>
      <c r="B69" s="43">
        <v>42002</v>
      </c>
      <c r="C69" s="42">
        <v>2050</v>
      </c>
      <c r="D69" s="42">
        <v>2050</v>
      </c>
      <c r="E69" s="42">
        <v>2000</v>
      </c>
      <c r="F69" s="42">
        <v>2000</v>
      </c>
      <c r="G69" s="42">
        <v>340</v>
      </c>
    </row>
    <row r="70" spans="1:7">
      <c r="A70" s="42" t="s">
        <v>386</v>
      </c>
      <c r="B70" s="43">
        <v>42003</v>
      </c>
      <c r="C70" s="42">
        <v>2050</v>
      </c>
      <c r="D70" s="42">
        <v>2097</v>
      </c>
      <c r="E70" s="42">
        <v>2000</v>
      </c>
      <c r="F70" s="42">
        <v>2073.5</v>
      </c>
      <c r="G70" s="42">
        <v>160</v>
      </c>
    </row>
    <row r="71" spans="1:7">
      <c r="A71" s="42" t="s">
        <v>386</v>
      </c>
      <c r="B71" s="43">
        <v>42004</v>
      </c>
      <c r="C71" s="42">
        <v>2176</v>
      </c>
      <c r="D71" s="42">
        <v>2176</v>
      </c>
      <c r="E71" s="42">
        <v>1970.1</v>
      </c>
      <c r="F71" s="42">
        <v>2000</v>
      </c>
      <c r="G71" s="42">
        <v>6360</v>
      </c>
    </row>
    <row r="72" spans="1:7">
      <c r="A72" s="42" t="s">
        <v>386</v>
      </c>
      <c r="B72" s="43">
        <v>42005</v>
      </c>
      <c r="C72" s="42">
        <v>1915</v>
      </c>
      <c r="D72" s="42">
        <v>2045</v>
      </c>
      <c r="E72" s="42">
        <v>1915</v>
      </c>
      <c r="F72" s="42">
        <v>2000</v>
      </c>
      <c r="G72" s="42">
        <v>420</v>
      </c>
    </row>
    <row r="73" spans="1:7">
      <c r="A73" s="42" t="s">
        <v>386</v>
      </c>
      <c r="B73" s="43">
        <v>42006</v>
      </c>
      <c r="C73" s="42">
        <v>2050</v>
      </c>
      <c r="D73" s="42">
        <v>2050</v>
      </c>
      <c r="E73" s="42">
        <v>2050</v>
      </c>
      <c r="F73" s="42">
        <v>2050</v>
      </c>
      <c r="G73" s="42">
        <v>20</v>
      </c>
    </row>
    <row r="74" spans="1:7">
      <c r="A74" s="42" t="s">
        <v>386</v>
      </c>
      <c r="B74" s="43">
        <v>42009</v>
      </c>
      <c r="C74" s="42">
        <v>2000</v>
      </c>
      <c r="D74" s="42">
        <v>2150</v>
      </c>
      <c r="E74" s="42">
        <v>1970</v>
      </c>
      <c r="F74" s="42">
        <v>2000</v>
      </c>
      <c r="G74" s="42">
        <v>1040</v>
      </c>
    </row>
    <row r="75" spans="1:7">
      <c r="A75" s="42" t="s">
        <v>386</v>
      </c>
      <c r="B75" s="43">
        <v>42011</v>
      </c>
      <c r="C75" s="42">
        <v>2000</v>
      </c>
      <c r="D75" s="42">
        <v>2000</v>
      </c>
      <c r="E75" s="42">
        <v>1931.25</v>
      </c>
      <c r="F75" s="42">
        <v>1931.81</v>
      </c>
      <c r="G75" s="42">
        <v>260</v>
      </c>
    </row>
    <row r="76" spans="1:7">
      <c r="A76" s="42" t="s">
        <v>386</v>
      </c>
      <c r="B76" s="43">
        <v>42012</v>
      </c>
      <c r="C76" s="42">
        <v>1980</v>
      </c>
      <c r="D76" s="42">
        <v>2000</v>
      </c>
      <c r="E76" s="42">
        <v>1980</v>
      </c>
      <c r="F76" s="42">
        <v>2000</v>
      </c>
      <c r="G76" s="42">
        <v>60</v>
      </c>
    </row>
    <row r="77" spans="1:7">
      <c r="A77" s="42" t="s">
        <v>386</v>
      </c>
      <c r="B77" s="43">
        <v>42013</v>
      </c>
      <c r="C77" s="42">
        <v>1930</v>
      </c>
      <c r="D77" s="42">
        <v>1932</v>
      </c>
      <c r="E77" s="42">
        <v>1930</v>
      </c>
      <c r="F77" s="42">
        <v>1932</v>
      </c>
      <c r="G77" s="42">
        <v>1180</v>
      </c>
    </row>
    <row r="78" spans="1:7">
      <c r="A78" s="42" t="s">
        <v>386</v>
      </c>
      <c r="B78" s="43">
        <v>42016</v>
      </c>
      <c r="C78" s="42">
        <v>1998</v>
      </c>
      <c r="D78" s="42">
        <v>1998</v>
      </c>
      <c r="E78" s="42">
        <v>1866</v>
      </c>
      <c r="F78" s="42">
        <v>1995</v>
      </c>
      <c r="G78" s="42">
        <v>2780</v>
      </c>
    </row>
    <row r="79" spans="1:7">
      <c r="A79" s="42" t="s">
        <v>386</v>
      </c>
      <c r="B79" s="43">
        <v>42017</v>
      </c>
      <c r="C79" s="42">
        <v>2000</v>
      </c>
      <c r="D79" s="42">
        <v>2000</v>
      </c>
      <c r="E79" s="42">
        <v>2000</v>
      </c>
      <c r="F79" s="42">
        <v>2000</v>
      </c>
      <c r="G79" s="42">
        <v>340</v>
      </c>
    </row>
    <row r="80" spans="1:7">
      <c r="A80" s="42" t="s">
        <v>386</v>
      </c>
      <c r="B80" s="43">
        <v>42018</v>
      </c>
      <c r="C80" s="42">
        <v>2000.5</v>
      </c>
      <c r="D80" s="42">
        <v>2010</v>
      </c>
      <c r="E80" s="42">
        <v>2000</v>
      </c>
      <c r="F80" s="42">
        <v>2000</v>
      </c>
      <c r="G80" s="42">
        <v>240</v>
      </c>
    </row>
    <row r="81" spans="1:7">
      <c r="A81" s="42" t="s">
        <v>386</v>
      </c>
      <c r="B81" s="43">
        <v>42019</v>
      </c>
      <c r="C81" s="42">
        <v>2100</v>
      </c>
      <c r="D81" s="42">
        <v>2100</v>
      </c>
      <c r="E81" s="42">
        <v>1980</v>
      </c>
      <c r="F81" s="42">
        <v>2098.5</v>
      </c>
      <c r="G81" s="42">
        <v>800</v>
      </c>
    </row>
    <row r="82" spans="1:7">
      <c r="A82" s="42" t="s">
        <v>386</v>
      </c>
      <c r="B82" s="43">
        <v>42020</v>
      </c>
      <c r="C82" s="42">
        <v>2050</v>
      </c>
      <c r="D82" s="42">
        <v>2050</v>
      </c>
      <c r="E82" s="42">
        <v>2050</v>
      </c>
      <c r="F82" s="42">
        <v>2050</v>
      </c>
      <c r="G82" s="42">
        <v>80</v>
      </c>
    </row>
    <row r="83" spans="1:7">
      <c r="A83" s="42" t="s">
        <v>386</v>
      </c>
      <c r="B83" s="43">
        <v>42023</v>
      </c>
      <c r="C83" s="42">
        <v>2075</v>
      </c>
      <c r="D83" s="42">
        <v>2149</v>
      </c>
      <c r="E83" s="42">
        <v>2075</v>
      </c>
      <c r="F83" s="42">
        <v>2139.0300000000002</v>
      </c>
      <c r="G83" s="42">
        <v>740</v>
      </c>
    </row>
    <row r="84" spans="1:7">
      <c r="A84" s="42" t="s">
        <v>386</v>
      </c>
      <c r="B84" s="43">
        <v>42024</v>
      </c>
      <c r="C84" s="42">
        <v>2150</v>
      </c>
      <c r="D84" s="42">
        <v>2241</v>
      </c>
      <c r="E84" s="42">
        <v>2100</v>
      </c>
      <c r="F84" s="42">
        <v>2100</v>
      </c>
      <c r="G84" s="42">
        <v>2400</v>
      </c>
    </row>
    <row r="85" spans="1:7">
      <c r="A85" s="42" t="s">
        <v>386</v>
      </c>
      <c r="B85" s="43">
        <v>42025</v>
      </c>
      <c r="C85" s="42">
        <v>2110</v>
      </c>
      <c r="D85" s="42">
        <v>2110</v>
      </c>
      <c r="E85" s="42">
        <v>1995</v>
      </c>
      <c r="F85" s="42">
        <v>1995</v>
      </c>
      <c r="G85" s="42">
        <v>580</v>
      </c>
    </row>
    <row r="86" spans="1:7">
      <c r="A86" s="42" t="s">
        <v>386</v>
      </c>
      <c r="B86" s="43">
        <v>42026</v>
      </c>
      <c r="C86" s="42">
        <v>2000</v>
      </c>
      <c r="D86" s="42">
        <v>2000</v>
      </c>
      <c r="E86" s="42">
        <v>1895.5</v>
      </c>
      <c r="F86" s="42">
        <v>1901.83</v>
      </c>
      <c r="G86" s="42">
        <v>720</v>
      </c>
    </row>
    <row r="87" spans="1:7">
      <c r="A87" s="42" t="s">
        <v>386</v>
      </c>
      <c r="B87" s="43">
        <v>42027</v>
      </c>
      <c r="C87" s="42">
        <v>1831</v>
      </c>
      <c r="D87" s="42">
        <v>1831</v>
      </c>
      <c r="E87" s="42">
        <v>1806.74</v>
      </c>
      <c r="F87" s="42">
        <v>1811.15</v>
      </c>
      <c r="G87" s="42">
        <v>700</v>
      </c>
    </row>
    <row r="88" spans="1:7">
      <c r="A88" s="42" t="s">
        <v>386</v>
      </c>
      <c r="B88" s="43">
        <v>42030</v>
      </c>
      <c r="C88" s="42">
        <v>1815</v>
      </c>
      <c r="D88" s="42">
        <v>1901.7</v>
      </c>
      <c r="E88" s="42">
        <v>1815</v>
      </c>
      <c r="F88" s="42">
        <v>1901.7</v>
      </c>
      <c r="G88" s="42">
        <v>2640</v>
      </c>
    </row>
    <row r="89" spans="1:7">
      <c r="A89" s="42" t="s">
        <v>386</v>
      </c>
      <c r="B89" s="43">
        <v>42031</v>
      </c>
      <c r="C89" s="42">
        <v>1996.75</v>
      </c>
      <c r="D89" s="42">
        <v>1996.75</v>
      </c>
      <c r="E89" s="42">
        <v>1900</v>
      </c>
      <c r="F89" s="42">
        <v>1947.5</v>
      </c>
      <c r="G89" s="42">
        <v>1200</v>
      </c>
    </row>
    <row r="90" spans="1:7">
      <c r="A90" s="42" t="s">
        <v>386</v>
      </c>
      <c r="B90" s="43">
        <v>42032</v>
      </c>
      <c r="C90" s="42">
        <v>1900</v>
      </c>
      <c r="D90" s="42">
        <v>1902</v>
      </c>
      <c r="E90" s="42">
        <v>1900</v>
      </c>
      <c r="F90" s="42">
        <v>1902</v>
      </c>
      <c r="G90" s="42">
        <v>40</v>
      </c>
    </row>
    <row r="91" spans="1:7">
      <c r="A91" s="42" t="s">
        <v>386</v>
      </c>
      <c r="B91" s="43">
        <v>42033</v>
      </c>
      <c r="C91" s="42">
        <v>1901.25</v>
      </c>
      <c r="D91" s="42">
        <v>1960</v>
      </c>
      <c r="E91" s="42">
        <v>1900</v>
      </c>
      <c r="F91" s="42">
        <v>1960</v>
      </c>
      <c r="G91" s="42">
        <v>180</v>
      </c>
    </row>
    <row r="92" spans="1:7">
      <c r="A92" s="42" t="s">
        <v>386</v>
      </c>
      <c r="B92" s="43">
        <v>42034</v>
      </c>
      <c r="C92" s="42">
        <v>1905</v>
      </c>
      <c r="D92" s="42">
        <v>1905</v>
      </c>
      <c r="E92" s="42">
        <v>1900</v>
      </c>
      <c r="F92" s="42">
        <v>1900</v>
      </c>
      <c r="G92" s="42">
        <v>320</v>
      </c>
    </row>
    <row r="93" spans="1:7">
      <c r="A93" s="42" t="s">
        <v>386</v>
      </c>
      <c r="B93" s="43">
        <v>42037</v>
      </c>
      <c r="C93" s="42">
        <v>1831.15</v>
      </c>
      <c r="D93" s="42">
        <v>1840</v>
      </c>
      <c r="E93" s="42">
        <v>1820</v>
      </c>
      <c r="F93" s="42">
        <v>1827.26</v>
      </c>
      <c r="G93" s="42">
        <v>760</v>
      </c>
    </row>
    <row r="94" spans="1:7">
      <c r="A94" s="42" t="s">
        <v>386</v>
      </c>
      <c r="B94" s="43">
        <v>42038</v>
      </c>
      <c r="C94" s="42">
        <v>1830</v>
      </c>
      <c r="D94" s="42">
        <v>1835</v>
      </c>
      <c r="E94" s="42">
        <v>1830</v>
      </c>
      <c r="F94" s="42">
        <v>1830</v>
      </c>
      <c r="G94" s="42">
        <v>100</v>
      </c>
    </row>
    <row r="95" spans="1:7">
      <c r="A95" s="42" t="s">
        <v>386</v>
      </c>
      <c r="B95" s="43">
        <v>42039</v>
      </c>
      <c r="C95" s="42">
        <v>1800</v>
      </c>
      <c r="D95" s="42">
        <v>1820</v>
      </c>
      <c r="E95" s="42">
        <v>1800</v>
      </c>
      <c r="F95" s="42">
        <v>1820</v>
      </c>
      <c r="G95" s="42">
        <v>360</v>
      </c>
    </row>
    <row r="96" spans="1:7">
      <c r="A96" s="42" t="s">
        <v>386</v>
      </c>
      <c r="B96" s="43">
        <v>42045</v>
      </c>
      <c r="C96" s="42">
        <v>1765</v>
      </c>
      <c r="D96" s="42">
        <v>1765</v>
      </c>
      <c r="E96" s="42">
        <v>1750</v>
      </c>
      <c r="F96" s="42">
        <v>1760.5</v>
      </c>
      <c r="G96" s="42">
        <v>460</v>
      </c>
    </row>
    <row r="97" spans="1:7">
      <c r="A97" s="42" t="s">
        <v>386</v>
      </c>
      <c r="B97" s="43">
        <v>42046</v>
      </c>
      <c r="C97" s="42">
        <v>1681</v>
      </c>
      <c r="D97" s="42">
        <v>1848</v>
      </c>
      <c r="E97" s="42">
        <v>1681</v>
      </c>
      <c r="F97" s="42">
        <v>1848</v>
      </c>
      <c r="G97" s="42">
        <v>2240</v>
      </c>
    </row>
    <row r="98" spans="1:7">
      <c r="A98" s="42" t="s">
        <v>386</v>
      </c>
      <c r="B98" s="43">
        <v>42047</v>
      </c>
      <c r="C98" s="42">
        <v>1790</v>
      </c>
      <c r="D98" s="42">
        <v>1790</v>
      </c>
      <c r="E98" s="42">
        <v>1780</v>
      </c>
      <c r="F98" s="42">
        <v>1780</v>
      </c>
      <c r="G98" s="42">
        <v>40</v>
      </c>
    </row>
    <row r="99" spans="1:7">
      <c r="A99" s="42" t="s">
        <v>386</v>
      </c>
      <c r="B99" s="43">
        <v>42052</v>
      </c>
      <c r="C99" s="42">
        <v>1777.77</v>
      </c>
      <c r="D99" s="42">
        <v>1777.77</v>
      </c>
      <c r="E99" s="42">
        <v>1710.2</v>
      </c>
      <c r="F99" s="42">
        <v>1730</v>
      </c>
      <c r="G99" s="42">
        <v>80</v>
      </c>
    </row>
    <row r="100" spans="1:7">
      <c r="A100" s="42" t="s">
        <v>386</v>
      </c>
      <c r="B100" s="43">
        <v>42054</v>
      </c>
      <c r="C100" s="42">
        <v>1750</v>
      </c>
      <c r="D100" s="42">
        <v>1750</v>
      </c>
      <c r="E100" s="42">
        <v>1750</v>
      </c>
      <c r="F100" s="42">
        <v>1750</v>
      </c>
      <c r="G100" s="42">
        <v>500</v>
      </c>
    </row>
    <row r="101" spans="1:7">
      <c r="A101" s="42" t="s">
        <v>386</v>
      </c>
      <c r="B101" s="43">
        <v>42058</v>
      </c>
      <c r="C101" s="42">
        <v>1725</v>
      </c>
      <c r="D101" s="42">
        <v>1725</v>
      </c>
      <c r="E101" s="42">
        <v>1725</v>
      </c>
      <c r="F101" s="42">
        <v>1725</v>
      </c>
      <c r="G101" s="42">
        <v>20</v>
      </c>
    </row>
    <row r="102" spans="1:7">
      <c r="A102" s="42" t="s">
        <v>386</v>
      </c>
      <c r="B102" s="43">
        <v>42059</v>
      </c>
      <c r="C102" s="42">
        <v>1755</v>
      </c>
      <c r="D102" s="42">
        <v>1810</v>
      </c>
      <c r="E102" s="42">
        <v>1755</v>
      </c>
      <c r="F102" s="42">
        <v>1810</v>
      </c>
      <c r="G102" s="42">
        <v>200</v>
      </c>
    </row>
    <row r="103" spans="1:7">
      <c r="A103" s="42" t="s">
        <v>386</v>
      </c>
      <c r="B103" s="43">
        <v>42060</v>
      </c>
      <c r="C103" s="42">
        <v>1754</v>
      </c>
      <c r="D103" s="42">
        <v>1850</v>
      </c>
      <c r="E103" s="42">
        <v>1754</v>
      </c>
      <c r="F103" s="42">
        <v>1820</v>
      </c>
      <c r="G103" s="42">
        <v>640</v>
      </c>
    </row>
    <row r="104" spans="1:7">
      <c r="A104" s="42" t="s">
        <v>386</v>
      </c>
      <c r="B104" s="43">
        <v>42062</v>
      </c>
      <c r="C104" s="42">
        <v>1830</v>
      </c>
      <c r="D104" s="42">
        <v>1900</v>
      </c>
      <c r="E104" s="42">
        <v>1800</v>
      </c>
      <c r="F104" s="42">
        <v>1895</v>
      </c>
      <c r="G104" s="42">
        <v>1540</v>
      </c>
    </row>
    <row r="105" spans="1:7">
      <c r="A105" s="42" t="s">
        <v>386</v>
      </c>
      <c r="B105" s="43">
        <v>42065</v>
      </c>
      <c r="C105" s="42">
        <v>1899</v>
      </c>
      <c r="D105" s="42">
        <v>1955</v>
      </c>
      <c r="E105" s="42">
        <v>1899</v>
      </c>
      <c r="F105" s="42">
        <v>1914.62</v>
      </c>
      <c r="G105" s="42">
        <v>1140</v>
      </c>
    </row>
    <row r="106" spans="1:7">
      <c r="A106" s="42" t="s">
        <v>386</v>
      </c>
      <c r="B106" s="43">
        <v>42069</v>
      </c>
      <c r="C106" s="42">
        <v>1821</v>
      </c>
      <c r="D106" s="42">
        <v>1821</v>
      </c>
      <c r="E106" s="42">
        <v>1818.89</v>
      </c>
      <c r="F106" s="42">
        <v>1819.59</v>
      </c>
      <c r="G106" s="42">
        <v>660</v>
      </c>
    </row>
    <row r="107" spans="1:7">
      <c r="A107" s="42" t="s">
        <v>386</v>
      </c>
      <c r="B107" s="43">
        <v>42075</v>
      </c>
      <c r="C107" s="42">
        <v>1750</v>
      </c>
      <c r="D107" s="42">
        <v>1750</v>
      </c>
      <c r="E107" s="42">
        <v>1750</v>
      </c>
      <c r="F107" s="42">
        <v>1750</v>
      </c>
      <c r="G107" s="42">
        <v>40</v>
      </c>
    </row>
    <row r="108" spans="1:7">
      <c r="A108" s="42" t="s">
        <v>386</v>
      </c>
      <c r="B108" s="43">
        <v>42081</v>
      </c>
      <c r="C108" s="42">
        <v>1837</v>
      </c>
      <c r="D108" s="42">
        <v>1837</v>
      </c>
      <c r="E108" s="42">
        <v>1837</v>
      </c>
      <c r="F108" s="42">
        <v>1837</v>
      </c>
      <c r="G108" s="42">
        <v>2040</v>
      </c>
    </row>
    <row r="109" spans="1:7">
      <c r="A109" s="42" t="s">
        <v>386</v>
      </c>
      <c r="B109" s="43">
        <v>42083</v>
      </c>
      <c r="C109" s="42">
        <v>1825</v>
      </c>
      <c r="D109" s="42">
        <v>1825</v>
      </c>
      <c r="E109" s="42">
        <v>1820</v>
      </c>
      <c r="F109" s="42">
        <v>1824.9</v>
      </c>
      <c r="G109" s="42">
        <v>1020</v>
      </c>
    </row>
    <row r="110" spans="1:7">
      <c r="A110" s="42" t="s">
        <v>386</v>
      </c>
      <c r="B110" s="43">
        <v>42087</v>
      </c>
      <c r="C110" s="42">
        <v>1827</v>
      </c>
      <c r="D110" s="42">
        <v>1827</v>
      </c>
      <c r="E110" s="42">
        <v>1827</v>
      </c>
      <c r="F110" s="42">
        <v>1827</v>
      </c>
      <c r="G110" s="42">
        <v>1000</v>
      </c>
    </row>
    <row r="111" spans="1:7">
      <c r="A111" s="42" t="s">
        <v>386</v>
      </c>
      <c r="B111" s="43">
        <v>42090</v>
      </c>
      <c r="C111" s="42">
        <v>1745</v>
      </c>
      <c r="D111" s="42">
        <v>1745</v>
      </c>
      <c r="E111" s="42">
        <v>1735</v>
      </c>
      <c r="F111" s="42">
        <v>1740</v>
      </c>
      <c r="G111" s="42">
        <v>40</v>
      </c>
    </row>
    <row r="112" spans="1:7">
      <c r="A112" s="42" t="s">
        <v>386</v>
      </c>
      <c r="B112" s="43">
        <v>42093</v>
      </c>
      <c r="C112" s="42">
        <v>1670</v>
      </c>
      <c r="D112" s="42">
        <v>1670</v>
      </c>
      <c r="E112" s="42">
        <v>1653</v>
      </c>
      <c r="F112" s="42">
        <v>1653</v>
      </c>
      <c r="G112" s="42">
        <v>140</v>
      </c>
    </row>
    <row r="113" spans="1:7">
      <c r="A113" s="42" t="s">
        <v>386</v>
      </c>
      <c r="B113" s="43">
        <v>42094</v>
      </c>
      <c r="C113" s="42">
        <v>1735.65</v>
      </c>
      <c r="D113" s="42">
        <v>1735.65</v>
      </c>
      <c r="E113" s="42">
        <v>1610</v>
      </c>
      <c r="F113" s="42">
        <v>1621.67</v>
      </c>
      <c r="G113" s="42">
        <v>1060</v>
      </c>
    </row>
    <row r="114" spans="1:7">
      <c r="A114" s="42" t="s">
        <v>386</v>
      </c>
      <c r="B114" s="43">
        <v>42095</v>
      </c>
      <c r="C114" s="42">
        <v>1600</v>
      </c>
      <c r="D114" s="42">
        <v>1620</v>
      </c>
      <c r="E114" s="42">
        <v>1600</v>
      </c>
      <c r="F114" s="42">
        <v>1600</v>
      </c>
      <c r="G114" s="42">
        <v>100</v>
      </c>
    </row>
    <row r="115" spans="1:7">
      <c r="A115" s="42" t="s">
        <v>386</v>
      </c>
      <c r="B115" s="43">
        <v>42096</v>
      </c>
      <c r="C115" s="42">
        <v>1600</v>
      </c>
      <c r="D115" s="42">
        <v>1650</v>
      </c>
      <c r="E115" s="42">
        <v>1600</v>
      </c>
      <c r="F115" s="42">
        <v>1620</v>
      </c>
      <c r="G115" s="42">
        <v>1420</v>
      </c>
    </row>
    <row r="116" spans="1:7">
      <c r="A116" s="42" t="s">
        <v>386</v>
      </c>
      <c r="B116" s="43">
        <v>42097</v>
      </c>
      <c r="C116" s="42">
        <v>1600</v>
      </c>
      <c r="D116" s="42">
        <v>1645</v>
      </c>
      <c r="E116" s="42">
        <v>1600</v>
      </c>
      <c r="F116" s="42">
        <v>1620</v>
      </c>
      <c r="G116" s="42">
        <v>1140</v>
      </c>
    </row>
    <row r="117" spans="1:7">
      <c r="A117" s="42" t="s">
        <v>386</v>
      </c>
      <c r="B117" s="43">
        <v>42100</v>
      </c>
      <c r="C117" s="42">
        <v>1650</v>
      </c>
      <c r="D117" s="42">
        <v>1650</v>
      </c>
      <c r="E117" s="42">
        <v>1580</v>
      </c>
      <c r="F117" s="42">
        <v>1605.25</v>
      </c>
      <c r="G117" s="42">
        <v>1000</v>
      </c>
    </row>
    <row r="118" spans="1:7">
      <c r="A118" s="42" t="s">
        <v>386</v>
      </c>
      <c r="B118" s="43">
        <v>42101</v>
      </c>
      <c r="C118" s="42">
        <v>1649</v>
      </c>
      <c r="D118" s="42">
        <v>1649</v>
      </c>
      <c r="E118" s="42">
        <v>1605</v>
      </c>
      <c r="F118" s="42">
        <v>1620</v>
      </c>
      <c r="G118" s="42">
        <v>100</v>
      </c>
    </row>
    <row r="119" spans="1:7">
      <c r="A119" s="42" t="s">
        <v>386</v>
      </c>
      <c r="B119" s="43">
        <v>42102</v>
      </c>
      <c r="C119" s="42">
        <v>1620</v>
      </c>
      <c r="D119" s="42">
        <v>1620</v>
      </c>
      <c r="E119" s="42">
        <v>1601</v>
      </c>
      <c r="F119" s="42">
        <v>1601</v>
      </c>
      <c r="G119" s="42">
        <v>60</v>
      </c>
    </row>
    <row r="120" spans="1:7">
      <c r="A120" s="42" t="s">
        <v>386</v>
      </c>
      <c r="B120" s="43">
        <v>42103</v>
      </c>
      <c r="C120" s="42">
        <v>1649.3</v>
      </c>
      <c r="D120" s="42">
        <v>1649.3</v>
      </c>
      <c r="E120" s="42">
        <v>1648.49</v>
      </c>
      <c r="F120" s="42">
        <v>1648.49</v>
      </c>
      <c r="G120" s="42">
        <v>40</v>
      </c>
    </row>
    <row r="121" spans="1:7">
      <c r="A121" s="42" t="s">
        <v>386</v>
      </c>
      <c r="B121" s="43">
        <v>42104</v>
      </c>
      <c r="C121" s="42">
        <v>1582.7</v>
      </c>
      <c r="D121" s="42">
        <v>1625</v>
      </c>
      <c r="E121" s="42">
        <v>1567</v>
      </c>
      <c r="F121" s="42">
        <v>1625</v>
      </c>
      <c r="G121" s="42">
        <v>120</v>
      </c>
    </row>
    <row r="122" spans="1:7">
      <c r="A122" s="42" t="s">
        <v>386</v>
      </c>
      <c r="B122" s="43">
        <v>42107</v>
      </c>
      <c r="C122" s="42">
        <v>1649</v>
      </c>
      <c r="D122" s="42">
        <v>1650</v>
      </c>
      <c r="E122" s="42">
        <v>1605.25</v>
      </c>
      <c r="F122" s="42">
        <v>1605.25</v>
      </c>
      <c r="G122" s="42">
        <v>240</v>
      </c>
    </row>
    <row r="123" spans="1:7">
      <c r="A123" s="42" t="s">
        <v>386</v>
      </c>
      <c r="B123" s="43">
        <v>42111</v>
      </c>
      <c r="C123" s="42">
        <v>1640</v>
      </c>
      <c r="D123" s="42">
        <v>1640</v>
      </c>
      <c r="E123" s="42">
        <v>1640</v>
      </c>
      <c r="F123" s="42">
        <v>1640</v>
      </c>
      <c r="G123" s="42">
        <v>20</v>
      </c>
    </row>
    <row r="124" spans="1:7">
      <c r="A124" s="42" t="s">
        <v>386</v>
      </c>
      <c r="B124" s="43">
        <v>42114</v>
      </c>
      <c r="C124" s="42">
        <v>1570.1</v>
      </c>
      <c r="D124" s="42">
        <v>1570.1</v>
      </c>
      <c r="E124" s="42">
        <v>1558</v>
      </c>
      <c r="F124" s="42">
        <v>1558.4</v>
      </c>
      <c r="G124" s="42">
        <v>200</v>
      </c>
    </row>
    <row r="125" spans="1:7">
      <c r="A125" s="42" t="s">
        <v>386</v>
      </c>
      <c r="B125" s="43">
        <v>42118</v>
      </c>
      <c r="C125" s="42">
        <v>1534</v>
      </c>
      <c r="D125" s="42">
        <v>1534</v>
      </c>
      <c r="E125" s="42">
        <v>1534</v>
      </c>
      <c r="F125" s="42">
        <v>1534</v>
      </c>
      <c r="G125" s="42">
        <v>20</v>
      </c>
    </row>
    <row r="126" spans="1:7">
      <c r="A126" s="42" t="s">
        <v>386</v>
      </c>
      <c r="B126" s="43">
        <v>42122</v>
      </c>
      <c r="C126" s="42">
        <v>1500</v>
      </c>
      <c r="D126" s="42">
        <v>1500</v>
      </c>
      <c r="E126" s="42">
        <v>1500</v>
      </c>
      <c r="F126" s="42">
        <v>1500</v>
      </c>
      <c r="G126" s="42">
        <v>80</v>
      </c>
    </row>
    <row r="127" spans="1:7">
      <c r="A127" s="42" t="s">
        <v>386</v>
      </c>
      <c r="B127" s="43">
        <v>42123</v>
      </c>
      <c r="C127" s="42">
        <v>1551</v>
      </c>
      <c r="D127" s="42">
        <v>1551</v>
      </c>
      <c r="E127" s="42">
        <v>1530</v>
      </c>
      <c r="F127" s="42">
        <v>1533.33</v>
      </c>
      <c r="G127" s="42">
        <v>100</v>
      </c>
    </row>
    <row r="128" spans="1:7">
      <c r="A128" s="42" t="s">
        <v>386</v>
      </c>
      <c r="B128" s="43">
        <v>42124</v>
      </c>
      <c r="C128" s="42">
        <v>1550</v>
      </c>
      <c r="D128" s="42">
        <v>1550</v>
      </c>
      <c r="E128" s="42">
        <v>1550</v>
      </c>
      <c r="F128" s="42">
        <v>1550</v>
      </c>
      <c r="G128" s="42">
        <v>100</v>
      </c>
    </row>
    <row r="129" spans="1:7">
      <c r="A129" s="42" t="s">
        <v>386</v>
      </c>
      <c r="B129" s="43">
        <v>42128</v>
      </c>
      <c r="C129" s="42">
        <v>1515</v>
      </c>
      <c r="D129" s="42">
        <v>1515</v>
      </c>
      <c r="E129" s="42">
        <v>1500</v>
      </c>
      <c r="F129" s="42">
        <v>1500</v>
      </c>
      <c r="G129" s="42">
        <v>320</v>
      </c>
    </row>
    <row r="130" spans="1:7">
      <c r="A130" s="42" t="s">
        <v>386</v>
      </c>
      <c r="B130" s="43">
        <v>42129</v>
      </c>
      <c r="C130" s="42">
        <v>1500</v>
      </c>
      <c r="D130" s="42">
        <v>1530</v>
      </c>
      <c r="E130" s="42">
        <v>1500</v>
      </c>
      <c r="F130" s="42">
        <v>1530</v>
      </c>
      <c r="G130" s="42">
        <v>420</v>
      </c>
    </row>
    <row r="131" spans="1:7">
      <c r="A131" s="42" t="s">
        <v>386</v>
      </c>
      <c r="B131" s="43">
        <v>42130</v>
      </c>
      <c r="C131" s="42">
        <v>1501</v>
      </c>
      <c r="D131" s="42">
        <v>1510</v>
      </c>
      <c r="E131" s="42">
        <v>1501</v>
      </c>
      <c r="F131" s="42">
        <v>1510</v>
      </c>
      <c r="G131" s="42">
        <v>280</v>
      </c>
    </row>
    <row r="132" spans="1:7">
      <c r="A132" s="42" t="s">
        <v>386</v>
      </c>
      <c r="B132" s="43">
        <v>42131</v>
      </c>
      <c r="C132" s="42">
        <v>1501</v>
      </c>
      <c r="D132" s="42">
        <v>1501</v>
      </c>
      <c r="E132" s="42">
        <v>1500.01</v>
      </c>
      <c r="F132" s="42">
        <v>1500.51</v>
      </c>
      <c r="G132" s="42">
        <v>40</v>
      </c>
    </row>
    <row r="133" spans="1:7">
      <c r="A133" s="42" t="s">
        <v>386</v>
      </c>
      <c r="B133" s="43">
        <v>42132</v>
      </c>
      <c r="C133" s="42">
        <v>1500.01</v>
      </c>
      <c r="D133" s="42">
        <v>1501</v>
      </c>
      <c r="E133" s="42">
        <v>1499.99</v>
      </c>
      <c r="F133" s="42">
        <v>1500.01</v>
      </c>
      <c r="G133" s="42">
        <v>1980</v>
      </c>
    </row>
    <row r="134" spans="1:7">
      <c r="A134" s="42" t="s">
        <v>386</v>
      </c>
      <c r="B134" s="43">
        <v>42135</v>
      </c>
      <c r="C134" s="42">
        <v>1470</v>
      </c>
      <c r="D134" s="42">
        <v>1470</v>
      </c>
      <c r="E134" s="42">
        <v>1450</v>
      </c>
      <c r="F134" s="42">
        <v>1450</v>
      </c>
      <c r="G134" s="42">
        <v>1660</v>
      </c>
    </row>
    <row r="135" spans="1:7">
      <c r="A135" s="42" t="s">
        <v>386</v>
      </c>
      <c r="B135" s="43">
        <v>42136</v>
      </c>
      <c r="C135" s="42">
        <v>1402.1</v>
      </c>
      <c r="D135" s="42">
        <v>1500</v>
      </c>
      <c r="E135" s="42">
        <v>1377.5</v>
      </c>
      <c r="F135" s="42">
        <v>1500</v>
      </c>
      <c r="G135" s="42">
        <v>1120</v>
      </c>
    </row>
    <row r="136" spans="1:7">
      <c r="A136" s="42" t="s">
        <v>386</v>
      </c>
      <c r="B136" s="43">
        <v>42137</v>
      </c>
      <c r="C136" s="42">
        <v>1500</v>
      </c>
      <c r="D136" s="42">
        <v>1501</v>
      </c>
      <c r="E136" s="42">
        <v>1500</v>
      </c>
      <c r="F136" s="42">
        <v>1501</v>
      </c>
      <c r="G136" s="42">
        <v>40</v>
      </c>
    </row>
    <row r="137" spans="1:7">
      <c r="A137" s="42" t="s">
        <v>386</v>
      </c>
      <c r="B137" s="43">
        <v>42138</v>
      </c>
      <c r="C137" s="42">
        <v>1500</v>
      </c>
      <c r="D137" s="42">
        <v>1500</v>
      </c>
      <c r="E137" s="42">
        <v>1426</v>
      </c>
      <c r="F137" s="42">
        <v>1470</v>
      </c>
      <c r="G137" s="42">
        <v>1340</v>
      </c>
    </row>
    <row r="138" spans="1:7">
      <c r="A138" s="42" t="s">
        <v>386</v>
      </c>
      <c r="B138" s="43">
        <v>42139</v>
      </c>
      <c r="C138" s="42">
        <v>1430</v>
      </c>
      <c r="D138" s="42">
        <v>1430</v>
      </c>
      <c r="E138" s="42">
        <v>1430</v>
      </c>
      <c r="F138" s="42">
        <v>1430</v>
      </c>
      <c r="G138" s="42">
        <v>500</v>
      </c>
    </row>
    <row r="139" spans="1:7">
      <c r="A139" s="42" t="s">
        <v>386</v>
      </c>
      <c r="B139" s="43">
        <v>42142</v>
      </c>
      <c r="C139" s="42">
        <v>1432</v>
      </c>
      <c r="D139" s="42">
        <v>1432</v>
      </c>
      <c r="E139" s="42">
        <v>1432</v>
      </c>
      <c r="F139" s="42">
        <v>1432</v>
      </c>
      <c r="G139" s="42">
        <v>500</v>
      </c>
    </row>
    <row r="140" spans="1:7">
      <c r="A140" s="42" t="s">
        <v>386</v>
      </c>
      <c r="B140" s="43">
        <v>42146</v>
      </c>
      <c r="C140" s="42">
        <v>1432</v>
      </c>
      <c r="D140" s="42">
        <v>1432</v>
      </c>
      <c r="E140" s="42">
        <v>1400</v>
      </c>
      <c r="F140" s="42">
        <v>1404.13</v>
      </c>
      <c r="G140" s="42">
        <v>1240</v>
      </c>
    </row>
    <row r="141" spans="1:7">
      <c r="A141" s="42" t="s">
        <v>386</v>
      </c>
      <c r="B141" s="43">
        <v>42150</v>
      </c>
      <c r="C141" s="42">
        <v>1400</v>
      </c>
      <c r="D141" s="42">
        <v>1425</v>
      </c>
      <c r="E141" s="42">
        <v>1400</v>
      </c>
      <c r="F141" s="42">
        <v>1425</v>
      </c>
      <c r="G141" s="42">
        <v>60</v>
      </c>
    </row>
    <row r="142" spans="1:7">
      <c r="A142" s="42" t="s">
        <v>386</v>
      </c>
      <c r="B142" s="43">
        <v>42152</v>
      </c>
      <c r="C142" s="42">
        <v>1355</v>
      </c>
      <c r="D142" s="42">
        <v>1490</v>
      </c>
      <c r="E142" s="42">
        <v>1355</v>
      </c>
      <c r="F142" s="42">
        <v>1440</v>
      </c>
      <c r="G142" s="42">
        <v>1100</v>
      </c>
    </row>
    <row r="143" spans="1:7">
      <c r="A143" s="42" t="s">
        <v>386</v>
      </c>
      <c r="B143" s="43">
        <v>42153</v>
      </c>
      <c r="C143" s="42">
        <v>1400</v>
      </c>
      <c r="D143" s="42">
        <v>1425</v>
      </c>
      <c r="E143" s="42">
        <v>1400</v>
      </c>
      <c r="F143" s="42">
        <v>1425</v>
      </c>
      <c r="G143" s="42">
        <v>180</v>
      </c>
    </row>
    <row r="144" spans="1:7">
      <c r="A144" s="42" t="s">
        <v>386</v>
      </c>
      <c r="B144" s="43">
        <v>42156</v>
      </c>
      <c r="C144" s="42">
        <v>1400</v>
      </c>
      <c r="D144" s="42">
        <v>1420</v>
      </c>
      <c r="E144" s="42">
        <v>1400</v>
      </c>
      <c r="F144" s="42">
        <v>1420</v>
      </c>
      <c r="G144" s="42">
        <v>200</v>
      </c>
    </row>
    <row r="145" spans="1:7">
      <c r="A145" s="42" t="s">
        <v>386</v>
      </c>
      <c r="B145" s="43">
        <v>42157</v>
      </c>
      <c r="C145" s="42">
        <v>1490</v>
      </c>
      <c r="D145" s="42">
        <v>1491</v>
      </c>
      <c r="E145" s="42">
        <v>1427</v>
      </c>
      <c r="F145" s="42">
        <v>1456.33</v>
      </c>
      <c r="G145" s="42">
        <v>2420</v>
      </c>
    </row>
    <row r="146" spans="1:7">
      <c r="A146" s="42" t="s">
        <v>386</v>
      </c>
      <c r="B146" s="43">
        <v>42158</v>
      </c>
      <c r="C146" s="42">
        <v>1456.33</v>
      </c>
      <c r="D146" s="42">
        <v>1529.14</v>
      </c>
      <c r="E146" s="42">
        <v>1410</v>
      </c>
      <c r="F146" s="42">
        <v>1529.14</v>
      </c>
      <c r="G146" s="42">
        <v>1620</v>
      </c>
    </row>
    <row r="147" spans="1:7">
      <c r="A147" s="42" t="s">
        <v>386</v>
      </c>
      <c r="B147" s="43">
        <v>42159</v>
      </c>
      <c r="C147" s="42">
        <v>1599</v>
      </c>
      <c r="D147" s="42">
        <v>1605.59</v>
      </c>
      <c r="E147" s="42">
        <v>1599</v>
      </c>
      <c r="F147" s="42">
        <v>1605.59</v>
      </c>
      <c r="G147" s="42">
        <v>880</v>
      </c>
    </row>
    <row r="148" spans="1:7">
      <c r="A148" s="42" t="s">
        <v>386</v>
      </c>
      <c r="B148" s="43">
        <v>42160</v>
      </c>
      <c r="C148" s="42">
        <v>1602</v>
      </c>
      <c r="D148" s="42">
        <v>1610</v>
      </c>
      <c r="E148" s="42">
        <v>1602</v>
      </c>
      <c r="F148" s="42">
        <v>1602.31</v>
      </c>
      <c r="G148" s="42">
        <v>620</v>
      </c>
    </row>
    <row r="149" spans="1:7">
      <c r="A149" s="42" t="s">
        <v>386</v>
      </c>
      <c r="B149" s="43">
        <v>42163</v>
      </c>
      <c r="C149" s="42">
        <v>1630</v>
      </c>
      <c r="D149" s="42">
        <v>1630</v>
      </c>
      <c r="E149" s="42">
        <v>1603.25</v>
      </c>
      <c r="F149" s="42">
        <v>1603.25</v>
      </c>
      <c r="G149" s="42">
        <v>520</v>
      </c>
    </row>
    <row r="150" spans="1:7">
      <c r="A150" s="42" t="s">
        <v>386</v>
      </c>
      <c r="B150" s="43">
        <v>42165</v>
      </c>
      <c r="C150" s="42">
        <v>1616</v>
      </c>
      <c r="D150" s="42">
        <v>1616</v>
      </c>
      <c r="E150" s="42">
        <v>1590</v>
      </c>
      <c r="F150" s="42">
        <v>1595</v>
      </c>
      <c r="G150" s="42">
        <v>340</v>
      </c>
    </row>
    <row r="151" spans="1:7">
      <c r="A151" s="42" t="s">
        <v>386</v>
      </c>
      <c r="B151" s="43">
        <v>42167</v>
      </c>
      <c r="C151" s="42">
        <v>1600</v>
      </c>
      <c r="D151" s="42">
        <v>1600</v>
      </c>
      <c r="E151" s="42">
        <v>1600</v>
      </c>
      <c r="F151" s="42">
        <v>1600</v>
      </c>
      <c r="G151" s="42">
        <v>1500</v>
      </c>
    </row>
    <row r="152" spans="1:7">
      <c r="A152" s="42" t="s">
        <v>386</v>
      </c>
      <c r="B152" s="43">
        <v>42170</v>
      </c>
      <c r="C152" s="42">
        <v>1601.5</v>
      </c>
      <c r="D152" s="42">
        <v>1601.5</v>
      </c>
      <c r="E152" s="42">
        <v>1601.5</v>
      </c>
      <c r="F152" s="42">
        <v>1601.5</v>
      </c>
      <c r="G152" s="42">
        <v>6140</v>
      </c>
    </row>
    <row r="153" spans="1:7">
      <c r="A153" s="42" t="s">
        <v>386</v>
      </c>
      <c r="B153" s="43">
        <v>42171</v>
      </c>
      <c r="C153" s="42">
        <v>1649</v>
      </c>
      <c r="D153" s="42">
        <v>1649</v>
      </c>
      <c r="E153" s="42">
        <v>1649</v>
      </c>
      <c r="F153" s="42">
        <v>1649</v>
      </c>
      <c r="G153" s="42">
        <v>20</v>
      </c>
    </row>
    <row r="154" spans="1:7">
      <c r="A154" s="42" t="s">
        <v>386</v>
      </c>
      <c r="B154" s="43">
        <v>42172</v>
      </c>
      <c r="C154" s="42">
        <v>1605</v>
      </c>
      <c r="D154" s="42">
        <v>1606</v>
      </c>
      <c r="E154" s="42">
        <v>1600</v>
      </c>
      <c r="F154" s="42">
        <v>1605</v>
      </c>
      <c r="G154" s="42">
        <v>120</v>
      </c>
    </row>
    <row r="155" spans="1:7">
      <c r="A155" s="42" t="s">
        <v>386</v>
      </c>
      <c r="B155" s="43">
        <v>42174</v>
      </c>
      <c r="C155" s="42">
        <v>1654</v>
      </c>
      <c r="D155" s="42">
        <v>1655</v>
      </c>
      <c r="E155" s="42">
        <v>1630</v>
      </c>
      <c r="F155" s="42">
        <v>1630</v>
      </c>
      <c r="G155" s="42">
        <v>1320</v>
      </c>
    </row>
    <row r="156" spans="1:7">
      <c r="A156" s="42" t="s">
        <v>386</v>
      </c>
      <c r="B156" s="43">
        <v>42177</v>
      </c>
      <c r="C156" s="42">
        <v>1627</v>
      </c>
      <c r="D156" s="42">
        <v>1627</v>
      </c>
      <c r="E156" s="42">
        <v>1549</v>
      </c>
      <c r="F156" s="42">
        <v>1627</v>
      </c>
      <c r="G156" s="42">
        <v>1260</v>
      </c>
    </row>
    <row r="157" spans="1:7">
      <c r="A157" s="42" t="s">
        <v>386</v>
      </c>
      <c r="B157" s="43">
        <v>42178</v>
      </c>
      <c r="C157" s="42">
        <v>1585</v>
      </c>
      <c r="D157" s="42">
        <v>1585</v>
      </c>
      <c r="E157" s="42">
        <v>1585</v>
      </c>
      <c r="F157" s="42">
        <v>1585</v>
      </c>
      <c r="G157" s="42">
        <v>260</v>
      </c>
    </row>
    <row r="158" spans="1:7">
      <c r="A158" s="42" t="s">
        <v>386</v>
      </c>
      <c r="B158" s="43">
        <v>42180</v>
      </c>
      <c r="C158" s="42">
        <v>1600</v>
      </c>
      <c r="D158" s="42">
        <v>1600</v>
      </c>
      <c r="E158" s="42">
        <v>1600</v>
      </c>
      <c r="F158" s="42">
        <v>1600</v>
      </c>
      <c r="G158" s="42">
        <v>340</v>
      </c>
    </row>
    <row r="159" spans="1:7">
      <c r="A159" s="42" t="s">
        <v>386</v>
      </c>
      <c r="B159" s="43">
        <v>42181</v>
      </c>
      <c r="C159" s="42">
        <v>1550</v>
      </c>
      <c r="D159" s="42">
        <v>1618</v>
      </c>
      <c r="E159" s="42">
        <v>1550</v>
      </c>
      <c r="F159" s="42">
        <v>1584</v>
      </c>
      <c r="G159" s="42">
        <v>1200</v>
      </c>
    </row>
    <row r="160" spans="1:7">
      <c r="A160" s="42" t="s">
        <v>386</v>
      </c>
      <c r="B160" s="43">
        <v>42184</v>
      </c>
      <c r="C160" s="42">
        <v>1620</v>
      </c>
      <c r="D160" s="42">
        <v>1620</v>
      </c>
      <c r="E160" s="42">
        <v>1550</v>
      </c>
      <c r="F160" s="42">
        <v>1550</v>
      </c>
      <c r="G160" s="42">
        <v>1200</v>
      </c>
    </row>
    <row r="161" spans="1:7">
      <c r="A161" s="42" t="s">
        <v>386</v>
      </c>
      <c r="B161" s="43">
        <v>42185</v>
      </c>
      <c r="C161" s="42">
        <v>1517</v>
      </c>
      <c r="D161" s="42">
        <v>1517</v>
      </c>
      <c r="E161" s="42">
        <v>1517</v>
      </c>
      <c r="F161" s="42">
        <v>1517</v>
      </c>
      <c r="G161" s="42">
        <v>40</v>
      </c>
    </row>
    <row r="162" spans="1:7">
      <c r="A162" s="42" t="s">
        <v>386</v>
      </c>
      <c r="B162" s="43">
        <v>42192</v>
      </c>
      <c r="C162" s="42">
        <v>1520</v>
      </c>
      <c r="D162" s="42">
        <v>1520</v>
      </c>
      <c r="E162" s="42">
        <v>1515</v>
      </c>
      <c r="F162" s="42">
        <v>1520</v>
      </c>
      <c r="G162" s="42">
        <v>80</v>
      </c>
    </row>
    <row r="163" spans="1:7">
      <c r="A163" s="42" t="s">
        <v>386</v>
      </c>
      <c r="B163" s="43">
        <v>42193</v>
      </c>
      <c r="C163" s="42">
        <v>1593</v>
      </c>
      <c r="D163" s="42">
        <v>1593</v>
      </c>
      <c r="E163" s="42">
        <v>1593</v>
      </c>
      <c r="F163" s="42">
        <v>1593</v>
      </c>
      <c r="G163" s="42">
        <v>20</v>
      </c>
    </row>
    <row r="164" spans="1:7">
      <c r="A164" s="42" t="s">
        <v>386</v>
      </c>
      <c r="B164" s="43">
        <v>42195</v>
      </c>
      <c r="C164" s="42">
        <v>1550</v>
      </c>
      <c r="D164" s="42">
        <v>1600</v>
      </c>
      <c r="E164" s="42">
        <v>1550</v>
      </c>
      <c r="F164" s="42">
        <v>1600</v>
      </c>
      <c r="G164" s="42">
        <v>3020</v>
      </c>
    </row>
    <row r="165" spans="1:7">
      <c r="A165" s="42" t="s">
        <v>386</v>
      </c>
      <c r="B165" s="43">
        <v>42198</v>
      </c>
      <c r="C165" s="42">
        <v>1602</v>
      </c>
      <c r="D165" s="42">
        <v>1602</v>
      </c>
      <c r="E165" s="42">
        <v>1555</v>
      </c>
      <c r="F165" s="42">
        <v>1555</v>
      </c>
      <c r="G165" s="42">
        <v>1040</v>
      </c>
    </row>
    <row r="166" spans="1:7">
      <c r="A166" s="42" t="s">
        <v>386</v>
      </c>
      <c r="B166" s="43">
        <v>42199</v>
      </c>
      <c r="C166" s="42">
        <v>1600</v>
      </c>
      <c r="D166" s="42">
        <v>1602</v>
      </c>
      <c r="E166" s="42">
        <v>1600</v>
      </c>
      <c r="F166" s="42">
        <v>1602</v>
      </c>
      <c r="G166" s="42">
        <v>1500</v>
      </c>
    </row>
    <row r="167" spans="1:7">
      <c r="A167" s="42" t="s">
        <v>386</v>
      </c>
      <c r="B167" s="43">
        <v>42201</v>
      </c>
      <c r="C167" s="42">
        <v>1600</v>
      </c>
      <c r="D167" s="42">
        <v>1600</v>
      </c>
      <c r="E167" s="42">
        <v>1600</v>
      </c>
      <c r="F167" s="42">
        <v>1600</v>
      </c>
      <c r="G167" s="42">
        <v>20</v>
      </c>
    </row>
    <row r="168" spans="1:7">
      <c r="A168" s="42" t="s">
        <v>386</v>
      </c>
      <c r="B168" s="43">
        <v>42207</v>
      </c>
      <c r="C168" s="42">
        <v>1600</v>
      </c>
      <c r="D168" s="42">
        <v>1600</v>
      </c>
      <c r="E168" s="42">
        <v>1600</v>
      </c>
      <c r="F168" s="42">
        <v>1600</v>
      </c>
      <c r="G168" s="42">
        <v>20</v>
      </c>
    </row>
    <row r="169" spans="1:7">
      <c r="A169" s="42" t="s">
        <v>386</v>
      </c>
      <c r="B169" s="43">
        <v>42209</v>
      </c>
      <c r="C169" s="42">
        <v>1600</v>
      </c>
      <c r="D169" s="42">
        <v>1600</v>
      </c>
      <c r="E169" s="42">
        <v>1600</v>
      </c>
      <c r="F169" s="42">
        <v>1600</v>
      </c>
      <c r="G169" s="42">
        <v>60</v>
      </c>
    </row>
    <row r="170" spans="1:7">
      <c r="A170" s="42" t="s">
        <v>386</v>
      </c>
      <c r="B170" s="43">
        <v>42212</v>
      </c>
      <c r="C170" s="42">
        <v>1650</v>
      </c>
      <c r="D170" s="42">
        <v>1650</v>
      </c>
      <c r="E170" s="42">
        <v>1599.99</v>
      </c>
      <c r="F170" s="42">
        <v>1650</v>
      </c>
      <c r="G170" s="42">
        <v>540</v>
      </c>
    </row>
    <row r="171" spans="1:7">
      <c r="A171" s="42" t="s">
        <v>386</v>
      </c>
      <c r="B171" s="43">
        <v>42213</v>
      </c>
      <c r="C171" s="42">
        <v>1659</v>
      </c>
      <c r="D171" s="42">
        <v>1659</v>
      </c>
      <c r="E171" s="42">
        <v>1600</v>
      </c>
      <c r="F171" s="42">
        <v>1600</v>
      </c>
      <c r="G171" s="42">
        <v>120</v>
      </c>
    </row>
    <row r="172" spans="1:7">
      <c r="A172" s="42" t="s">
        <v>386</v>
      </c>
      <c r="B172" s="43">
        <v>42214</v>
      </c>
      <c r="C172" s="42">
        <v>1550</v>
      </c>
      <c r="D172" s="42">
        <v>1550</v>
      </c>
      <c r="E172" s="42">
        <v>1520</v>
      </c>
      <c r="F172" s="42">
        <v>1522</v>
      </c>
      <c r="G172" s="42">
        <v>300</v>
      </c>
    </row>
    <row r="173" spans="1:7">
      <c r="A173" s="42" t="s">
        <v>386</v>
      </c>
      <c r="B173" s="43">
        <v>42215</v>
      </c>
      <c r="C173" s="42">
        <v>1577.78</v>
      </c>
      <c r="D173" s="42">
        <v>1577.78</v>
      </c>
      <c r="E173" s="42">
        <v>1577.78</v>
      </c>
      <c r="F173" s="42">
        <v>1577.78</v>
      </c>
      <c r="G173" s="42">
        <v>20</v>
      </c>
    </row>
    <row r="174" spans="1:7">
      <c r="A174" s="42" t="s">
        <v>386</v>
      </c>
      <c r="B174" s="43">
        <v>42216</v>
      </c>
      <c r="C174" s="42">
        <v>1527</v>
      </c>
      <c r="D174" s="42">
        <v>1527</v>
      </c>
      <c r="E174" s="42">
        <v>1498.9</v>
      </c>
      <c r="F174" s="42">
        <v>1498.9</v>
      </c>
      <c r="G174" s="42">
        <v>340</v>
      </c>
    </row>
    <row r="175" spans="1:7">
      <c r="A175" s="42" t="s">
        <v>386</v>
      </c>
      <c r="B175" s="43">
        <v>42219</v>
      </c>
      <c r="C175" s="42">
        <v>1500</v>
      </c>
      <c r="D175" s="42">
        <v>1500</v>
      </c>
      <c r="E175" s="42">
        <v>1499.99</v>
      </c>
      <c r="F175" s="42">
        <v>1500</v>
      </c>
      <c r="G175" s="42">
        <v>660</v>
      </c>
    </row>
    <row r="176" spans="1:7">
      <c r="A176" s="42" t="s">
        <v>386</v>
      </c>
      <c r="B176" s="43">
        <v>42220</v>
      </c>
      <c r="C176" s="42">
        <v>1431.21</v>
      </c>
      <c r="D176" s="42">
        <v>1450</v>
      </c>
      <c r="E176" s="42">
        <v>1431.21</v>
      </c>
      <c r="F176" s="42">
        <v>1450</v>
      </c>
      <c r="G176" s="42">
        <v>60</v>
      </c>
    </row>
    <row r="177" spans="1:7">
      <c r="A177" s="42" t="s">
        <v>386</v>
      </c>
      <c r="B177" s="43">
        <v>42226</v>
      </c>
      <c r="C177" s="42">
        <v>1522</v>
      </c>
      <c r="D177" s="42">
        <v>1522</v>
      </c>
      <c r="E177" s="42">
        <v>1493.12</v>
      </c>
      <c r="F177" s="42">
        <v>1495.42</v>
      </c>
      <c r="G177" s="42">
        <v>280</v>
      </c>
    </row>
    <row r="178" spans="1:7">
      <c r="A178" s="42" t="s">
        <v>386</v>
      </c>
      <c r="B178" s="43">
        <v>42227</v>
      </c>
      <c r="C178" s="42">
        <v>1500</v>
      </c>
      <c r="D178" s="42">
        <v>1500</v>
      </c>
      <c r="E178" s="42">
        <v>1455.05</v>
      </c>
      <c r="F178" s="42">
        <v>1490</v>
      </c>
      <c r="G178" s="42">
        <v>1240</v>
      </c>
    </row>
    <row r="179" spans="1:7">
      <c r="A179" s="42" t="s">
        <v>386</v>
      </c>
      <c r="B179" s="43">
        <v>42228</v>
      </c>
      <c r="C179" s="42">
        <v>1500</v>
      </c>
      <c r="D179" s="42">
        <v>1500</v>
      </c>
      <c r="E179" s="42">
        <v>1475</v>
      </c>
      <c r="F179" s="42">
        <v>1475</v>
      </c>
      <c r="G179" s="42">
        <v>260</v>
      </c>
    </row>
    <row r="180" spans="1:7">
      <c r="A180" s="42" t="s">
        <v>386</v>
      </c>
      <c r="B180" s="43">
        <v>42229</v>
      </c>
      <c r="C180" s="42">
        <v>1485</v>
      </c>
      <c r="D180" s="42">
        <v>1485</v>
      </c>
      <c r="E180" s="42">
        <v>1483</v>
      </c>
      <c r="F180" s="42">
        <v>1483</v>
      </c>
      <c r="G180" s="42">
        <v>560</v>
      </c>
    </row>
    <row r="181" spans="1:7">
      <c r="A181" s="42" t="s">
        <v>386</v>
      </c>
      <c r="B181" s="43">
        <v>42233</v>
      </c>
      <c r="C181" s="42">
        <v>1470</v>
      </c>
      <c r="D181" s="42">
        <v>1470</v>
      </c>
      <c r="E181" s="42">
        <v>1470</v>
      </c>
      <c r="F181" s="42">
        <v>1470</v>
      </c>
      <c r="G181" s="42">
        <v>20</v>
      </c>
    </row>
    <row r="182" spans="1:7">
      <c r="A182" s="42" t="s">
        <v>386</v>
      </c>
      <c r="B182" s="43">
        <v>42234</v>
      </c>
      <c r="C182" s="42">
        <v>1445</v>
      </c>
      <c r="D182" s="42">
        <v>1473</v>
      </c>
      <c r="E182" s="42">
        <v>1445</v>
      </c>
      <c r="F182" s="42">
        <v>1473</v>
      </c>
      <c r="G182" s="42">
        <v>520</v>
      </c>
    </row>
    <row r="183" spans="1:7">
      <c r="A183" s="42" t="s">
        <v>386</v>
      </c>
      <c r="B183" s="43">
        <v>42235</v>
      </c>
      <c r="C183" s="42">
        <v>1475</v>
      </c>
      <c r="D183" s="42">
        <v>1475</v>
      </c>
      <c r="E183" s="42">
        <v>1450</v>
      </c>
      <c r="F183" s="42">
        <v>1473.99</v>
      </c>
      <c r="G183" s="42">
        <v>260</v>
      </c>
    </row>
    <row r="184" spans="1:7">
      <c r="A184" s="42" t="s">
        <v>386</v>
      </c>
      <c r="B184" s="43">
        <v>42236</v>
      </c>
      <c r="C184" s="42">
        <v>1475</v>
      </c>
      <c r="D184" s="42">
        <v>1500</v>
      </c>
      <c r="E184" s="42">
        <v>1475</v>
      </c>
      <c r="F184" s="42">
        <v>1490</v>
      </c>
      <c r="G184" s="42">
        <v>160</v>
      </c>
    </row>
    <row r="185" spans="1:7">
      <c r="A185" s="42" t="s">
        <v>386</v>
      </c>
      <c r="B185" s="43">
        <v>42237</v>
      </c>
      <c r="C185" s="42">
        <v>1466</v>
      </c>
      <c r="D185" s="42">
        <v>1487</v>
      </c>
      <c r="E185" s="42">
        <v>1450</v>
      </c>
      <c r="F185" s="42">
        <v>1450</v>
      </c>
      <c r="G185" s="42">
        <v>560</v>
      </c>
    </row>
    <row r="186" spans="1:7">
      <c r="A186" s="42" t="s">
        <v>386</v>
      </c>
      <c r="B186" s="43">
        <v>42240</v>
      </c>
      <c r="C186" s="42">
        <v>1400.01</v>
      </c>
      <c r="D186" s="42">
        <v>1400.01</v>
      </c>
      <c r="E186" s="42">
        <v>1377.5</v>
      </c>
      <c r="F186" s="42">
        <v>1377.5</v>
      </c>
      <c r="G186" s="42">
        <v>160</v>
      </c>
    </row>
    <row r="187" spans="1:7">
      <c r="A187" s="42" t="s">
        <v>386</v>
      </c>
      <c r="B187" s="43">
        <v>42242</v>
      </c>
      <c r="C187" s="42">
        <v>1370</v>
      </c>
      <c r="D187" s="42">
        <v>1388</v>
      </c>
      <c r="E187" s="42">
        <v>1370</v>
      </c>
      <c r="F187" s="42">
        <v>1388</v>
      </c>
      <c r="G187" s="42">
        <v>40</v>
      </c>
    </row>
    <row r="188" spans="1:7">
      <c r="A188" s="42" t="s">
        <v>386</v>
      </c>
      <c r="B188" s="43">
        <v>42244</v>
      </c>
      <c r="C188" s="42">
        <v>1429.99</v>
      </c>
      <c r="D188" s="42">
        <v>1430</v>
      </c>
      <c r="E188" s="42">
        <v>1375</v>
      </c>
      <c r="F188" s="42">
        <v>1428</v>
      </c>
      <c r="G188" s="42">
        <v>80</v>
      </c>
    </row>
    <row r="189" spans="1:7">
      <c r="A189" s="42" t="s">
        <v>386</v>
      </c>
      <c r="B189" s="43">
        <v>42247</v>
      </c>
      <c r="C189" s="42">
        <v>1400</v>
      </c>
      <c r="D189" s="42">
        <v>1410</v>
      </c>
      <c r="E189" s="42">
        <v>1400</v>
      </c>
      <c r="F189" s="42">
        <v>1410</v>
      </c>
      <c r="G189" s="42">
        <v>40</v>
      </c>
    </row>
    <row r="190" spans="1:7">
      <c r="A190" s="42" t="s">
        <v>386</v>
      </c>
      <c r="B190" s="43">
        <v>42248</v>
      </c>
      <c r="C190" s="42">
        <v>1414</v>
      </c>
      <c r="D190" s="42">
        <v>1420</v>
      </c>
      <c r="E190" s="42">
        <v>1410</v>
      </c>
      <c r="F190" s="42">
        <v>1410</v>
      </c>
      <c r="G190" s="42">
        <v>140</v>
      </c>
    </row>
    <row r="191" spans="1:7">
      <c r="A191" s="42" t="s">
        <v>386</v>
      </c>
      <c r="B191" s="43">
        <v>42249</v>
      </c>
      <c r="C191" s="42">
        <v>1400</v>
      </c>
      <c r="D191" s="42">
        <v>1403.67</v>
      </c>
      <c r="E191" s="42">
        <v>1400</v>
      </c>
      <c r="F191" s="42">
        <v>1403.67</v>
      </c>
      <c r="G191" s="42">
        <v>120</v>
      </c>
    </row>
    <row r="192" spans="1:7">
      <c r="A192" s="42" t="s">
        <v>386</v>
      </c>
      <c r="B192" s="43">
        <v>42251</v>
      </c>
      <c r="C192" s="42">
        <v>1350</v>
      </c>
      <c r="D192" s="42">
        <v>1350</v>
      </c>
      <c r="E192" s="42">
        <v>1350</v>
      </c>
      <c r="F192" s="42">
        <v>1350</v>
      </c>
      <c r="G192" s="42">
        <v>60</v>
      </c>
    </row>
    <row r="193" spans="1:7">
      <c r="A193" s="42" t="s">
        <v>386</v>
      </c>
      <c r="B193" s="43">
        <v>42254</v>
      </c>
      <c r="C193" s="42">
        <v>1310</v>
      </c>
      <c r="D193" s="42">
        <v>1310</v>
      </c>
      <c r="E193" s="42">
        <v>1300</v>
      </c>
      <c r="F193" s="42">
        <v>1300</v>
      </c>
      <c r="G193" s="42">
        <v>260</v>
      </c>
    </row>
    <row r="194" spans="1:7">
      <c r="A194" s="42" t="s">
        <v>386</v>
      </c>
      <c r="B194" s="43">
        <v>42255</v>
      </c>
      <c r="C194" s="42">
        <v>1360</v>
      </c>
      <c r="D194" s="42">
        <v>1360</v>
      </c>
      <c r="E194" s="42">
        <v>1360</v>
      </c>
      <c r="F194" s="42">
        <v>1360</v>
      </c>
      <c r="G194" s="42">
        <v>20</v>
      </c>
    </row>
    <row r="195" spans="1:7">
      <c r="A195" s="42" t="s">
        <v>386</v>
      </c>
      <c r="B195" s="43">
        <v>42256</v>
      </c>
      <c r="C195" s="42">
        <v>1400</v>
      </c>
      <c r="D195" s="42">
        <v>1428</v>
      </c>
      <c r="E195" s="42">
        <v>1400</v>
      </c>
      <c r="F195" s="42">
        <v>1427.75</v>
      </c>
      <c r="G195" s="42">
        <v>160</v>
      </c>
    </row>
    <row r="196" spans="1:7">
      <c r="A196" s="42" t="s">
        <v>386</v>
      </c>
      <c r="B196" s="43">
        <v>42257</v>
      </c>
      <c r="C196" s="42">
        <v>1425</v>
      </c>
      <c r="D196" s="42">
        <v>1425</v>
      </c>
      <c r="E196" s="42">
        <v>1425</v>
      </c>
      <c r="F196" s="42">
        <v>1425</v>
      </c>
      <c r="G196" s="42">
        <v>1020</v>
      </c>
    </row>
    <row r="197" spans="1:7">
      <c r="A197" s="42" t="s">
        <v>386</v>
      </c>
      <c r="B197" s="43">
        <v>42258</v>
      </c>
      <c r="C197" s="42">
        <v>1330</v>
      </c>
      <c r="D197" s="42">
        <v>1379</v>
      </c>
      <c r="E197" s="42">
        <v>1330</v>
      </c>
      <c r="F197" s="42">
        <v>1330</v>
      </c>
      <c r="G197" s="42">
        <v>1060</v>
      </c>
    </row>
    <row r="198" spans="1:7">
      <c r="A198" s="42" t="s">
        <v>386</v>
      </c>
      <c r="B198" s="43">
        <v>42261</v>
      </c>
      <c r="C198" s="42">
        <v>1384</v>
      </c>
      <c r="D198" s="42">
        <v>1384</v>
      </c>
      <c r="E198" s="42">
        <v>1384</v>
      </c>
      <c r="F198" s="42">
        <v>1384</v>
      </c>
      <c r="G198" s="42">
        <v>20</v>
      </c>
    </row>
    <row r="199" spans="1:7">
      <c r="A199" s="42" t="s">
        <v>386</v>
      </c>
      <c r="B199" s="43">
        <v>42263</v>
      </c>
      <c r="C199" s="42">
        <v>1379.99</v>
      </c>
      <c r="D199" s="42">
        <v>1380</v>
      </c>
      <c r="E199" s="42">
        <v>1379.99</v>
      </c>
      <c r="F199" s="42">
        <v>1380</v>
      </c>
      <c r="G199" s="42">
        <v>80</v>
      </c>
    </row>
    <row r="200" spans="1:7">
      <c r="A200" s="42" t="s">
        <v>386</v>
      </c>
      <c r="B200" s="43">
        <v>42264</v>
      </c>
      <c r="C200" s="42">
        <v>1331</v>
      </c>
      <c r="D200" s="42">
        <v>1331</v>
      </c>
      <c r="E200" s="42">
        <v>1331</v>
      </c>
      <c r="F200" s="42">
        <v>1331</v>
      </c>
      <c r="G200" s="42">
        <v>20</v>
      </c>
    </row>
    <row r="201" spans="1:7">
      <c r="A201" s="42" t="s">
        <v>386</v>
      </c>
      <c r="B201" s="43">
        <v>42265</v>
      </c>
      <c r="C201" s="42">
        <v>1390</v>
      </c>
      <c r="D201" s="42">
        <v>1390</v>
      </c>
      <c r="E201" s="42">
        <v>1390</v>
      </c>
      <c r="F201" s="42">
        <v>1390</v>
      </c>
      <c r="G201" s="42">
        <v>20</v>
      </c>
    </row>
    <row r="202" spans="1:7">
      <c r="A202" s="42" t="s">
        <v>386</v>
      </c>
      <c r="B202" s="43">
        <v>42268</v>
      </c>
      <c r="C202" s="42">
        <v>1399.99</v>
      </c>
      <c r="D202" s="42">
        <v>1400</v>
      </c>
      <c r="E202" s="42">
        <v>1399.99</v>
      </c>
      <c r="F202" s="42">
        <v>1400</v>
      </c>
      <c r="G202" s="42">
        <v>40</v>
      </c>
    </row>
    <row r="203" spans="1:7">
      <c r="A203" s="42" t="s">
        <v>386</v>
      </c>
      <c r="B203" s="43">
        <v>42275</v>
      </c>
      <c r="C203" s="42">
        <v>1400</v>
      </c>
      <c r="D203" s="42">
        <v>1400</v>
      </c>
      <c r="E203" s="42">
        <v>1400</v>
      </c>
      <c r="F203" s="42">
        <v>1400</v>
      </c>
      <c r="G203" s="42">
        <v>20</v>
      </c>
    </row>
    <row r="204" spans="1:7">
      <c r="A204" s="42" t="s">
        <v>386</v>
      </c>
      <c r="B204" s="43">
        <v>42276</v>
      </c>
      <c r="C204" s="42">
        <v>1340</v>
      </c>
      <c r="D204" s="42">
        <v>1340</v>
      </c>
      <c r="E204" s="42">
        <v>1340</v>
      </c>
      <c r="F204" s="42">
        <v>1340</v>
      </c>
      <c r="G204" s="42">
        <v>20</v>
      </c>
    </row>
    <row r="205" spans="1:7">
      <c r="A205" s="42" t="s">
        <v>386</v>
      </c>
      <c r="B205" s="43">
        <v>42277</v>
      </c>
      <c r="C205" s="42">
        <v>1350</v>
      </c>
      <c r="D205" s="42">
        <v>1350</v>
      </c>
      <c r="E205" s="42">
        <v>1350</v>
      </c>
      <c r="F205" s="42">
        <v>1350</v>
      </c>
      <c r="G205" s="42">
        <v>20</v>
      </c>
    </row>
    <row r="206" spans="1:7">
      <c r="A206" s="42" t="s">
        <v>386</v>
      </c>
      <c r="B206" s="43">
        <v>42278</v>
      </c>
      <c r="C206" s="42">
        <v>1400</v>
      </c>
      <c r="D206" s="42">
        <v>1400</v>
      </c>
      <c r="E206" s="42">
        <v>1350</v>
      </c>
      <c r="F206" s="42">
        <v>1350</v>
      </c>
      <c r="G206" s="42">
        <v>40</v>
      </c>
    </row>
    <row r="207" spans="1:7">
      <c r="A207" s="42" t="s">
        <v>386</v>
      </c>
      <c r="B207" s="43">
        <v>42282</v>
      </c>
      <c r="C207" s="42">
        <v>1340</v>
      </c>
      <c r="D207" s="42">
        <v>1340</v>
      </c>
      <c r="E207" s="42">
        <v>1339</v>
      </c>
      <c r="F207" s="42">
        <v>1340</v>
      </c>
      <c r="G207" s="42">
        <v>100</v>
      </c>
    </row>
    <row r="208" spans="1:7">
      <c r="A208" s="42" t="s">
        <v>386</v>
      </c>
      <c r="B208" s="43">
        <v>42283</v>
      </c>
      <c r="C208" s="42">
        <v>1310.0999999999999</v>
      </c>
      <c r="D208" s="42">
        <v>1310.0999999999999</v>
      </c>
      <c r="E208" s="42">
        <v>1310.0999999999999</v>
      </c>
      <c r="F208" s="42">
        <v>1310.0999999999999</v>
      </c>
      <c r="G208" s="42">
        <v>40</v>
      </c>
    </row>
    <row r="209" spans="1:7">
      <c r="A209" s="42" t="s">
        <v>386</v>
      </c>
      <c r="B209" s="43">
        <v>42284</v>
      </c>
      <c r="C209" s="42">
        <v>1330</v>
      </c>
      <c r="D209" s="42">
        <v>1339.99</v>
      </c>
      <c r="E209" s="42">
        <v>1330</v>
      </c>
      <c r="F209" s="42">
        <v>1330</v>
      </c>
      <c r="G209" s="42">
        <v>360</v>
      </c>
    </row>
    <row r="210" spans="1:7">
      <c r="A210" s="42" t="s">
        <v>386</v>
      </c>
      <c r="B210" s="43">
        <v>42285</v>
      </c>
      <c r="C210" s="42">
        <v>1339.99</v>
      </c>
      <c r="D210" s="42">
        <v>1339.99</v>
      </c>
      <c r="E210" s="42">
        <v>1339.99</v>
      </c>
      <c r="F210" s="42">
        <v>1339.99</v>
      </c>
      <c r="G210" s="42">
        <v>20</v>
      </c>
    </row>
    <row r="211" spans="1:7">
      <c r="A211" s="42" t="s">
        <v>386</v>
      </c>
      <c r="B211" s="43">
        <v>42286</v>
      </c>
      <c r="C211" s="42">
        <v>1339.99</v>
      </c>
      <c r="D211" s="42">
        <v>1339.99</v>
      </c>
      <c r="E211" s="42">
        <v>1330</v>
      </c>
      <c r="F211" s="42">
        <v>1331</v>
      </c>
      <c r="G211" s="42">
        <v>100</v>
      </c>
    </row>
    <row r="212" spans="1:7">
      <c r="A212" s="42" t="s">
        <v>386</v>
      </c>
      <c r="B212" s="43">
        <v>42289</v>
      </c>
      <c r="C212" s="42">
        <v>1300</v>
      </c>
      <c r="D212" s="42">
        <v>1300</v>
      </c>
      <c r="E212" s="42">
        <v>1300</v>
      </c>
      <c r="F212" s="42">
        <v>1300</v>
      </c>
      <c r="G212" s="42">
        <v>80</v>
      </c>
    </row>
    <row r="213" spans="1:7">
      <c r="A213" s="42" t="s">
        <v>386</v>
      </c>
      <c r="B213" s="43">
        <v>42290</v>
      </c>
      <c r="C213" s="42">
        <v>1359.99</v>
      </c>
      <c r="D213" s="42">
        <v>1359.99</v>
      </c>
      <c r="E213" s="42">
        <v>1350</v>
      </c>
      <c r="F213" s="42">
        <v>1350</v>
      </c>
      <c r="G213" s="42">
        <v>40</v>
      </c>
    </row>
    <row r="214" spans="1:7">
      <c r="A214" s="42" t="s">
        <v>386</v>
      </c>
      <c r="B214" s="43">
        <v>42291</v>
      </c>
      <c r="C214" s="42">
        <v>1400</v>
      </c>
      <c r="D214" s="42">
        <v>1400</v>
      </c>
      <c r="E214" s="42">
        <v>1400</v>
      </c>
      <c r="F214" s="42">
        <v>1400</v>
      </c>
      <c r="G214" s="42">
        <v>500</v>
      </c>
    </row>
    <row r="215" spans="1:7">
      <c r="A215" s="42" t="s">
        <v>386</v>
      </c>
      <c r="B215" s="43">
        <v>42292</v>
      </c>
      <c r="C215" s="42">
        <v>1331</v>
      </c>
      <c r="D215" s="42">
        <v>1385.99</v>
      </c>
      <c r="E215" s="42">
        <v>1331</v>
      </c>
      <c r="F215" s="42">
        <v>1380.5</v>
      </c>
      <c r="G215" s="42">
        <v>60</v>
      </c>
    </row>
    <row r="216" spans="1:7">
      <c r="A216" s="42" t="s">
        <v>386</v>
      </c>
      <c r="B216" s="43">
        <v>42293</v>
      </c>
      <c r="C216" s="42">
        <v>1333.3</v>
      </c>
      <c r="D216" s="42">
        <v>1398</v>
      </c>
      <c r="E216" s="42">
        <v>1311.48</v>
      </c>
      <c r="F216" s="42">
        <v>1369.86</v>
      </c>
      <c r="G216" s="42">
        <v>460</v>
      </c>
    </row>
    <row r="217" spans="1:7">
      <c r="A217" s="42" t="s">
        <v>386</v>
      </c>
      <c r="B217" s="43">
        <v>42303</v>
      </c>
      <c r="C217" s="42">
        <v>1370</v>
      </c>
      <c r="D217" s="42">
        <v>1397.49</v>
      </c>
      <c r="E217" s="42">
        <v>1370</v>
      </c>
      <c r="F217" s="42">
        <v>1397</v>
      </c>
      <c r="G217" s="42">
        <v>360</v>
      </c>
    </row>
    <row r="218" spans="1:7">
      <c r="A218" s="42" t="s">
        <v>386</v>
      </c>
      <c r="B218" s="43">
        <v>42304</v>
      </c>
      <c r="C218" s="42">
        <v>1390</v>
      </c>
      <c r="D218" s="42">
        <v>1396.99</v>
      </c>
      <c r="E218" s="42">
        <v>1390</v>
      </c>
      <c r="F218" s="42">
        <v>1396.99</v>
      </c>
      <c r="G218" s="42">
        <v>40</v>
      </c>
    </row>
    <row r="219" spans="1:7">
      <c r="A219" s="42" t="s">
        <v>386</v>
      </c>
      <c r="B219" s="43">
        <v>42305</v>
      </c>
      <c r="C219" s="42">
        <v>1396</v>
      </c>
      <c r="D219" s="42">
        <v>1466.83</v>
      </c>
      <c r="E219" s="42">
        <v>1396</v>
      </c>
      <c r="F219" s="42">
        <v>1466.83</v>
      </c>
      <c r="G219" s="42">
        <v>9580</v>
      </c>
    </row>
    <row r="220" spans="1:7">
      <c r="A220" s="42" t="s">
        <v>386</v>
      </c>
      <c r="B220" s="43">
        <v>42306</v>
      </c>
      <c r="C220" s="42">
        <v>1520</v>
      </c>
      <c r="D220" s="42">
        <v>1535</v>
      </c>
      <c r="E220" s="42">
        <v>1520</v>
      </c>
      <c r="F220" s="42">
        <v>1535</v>
      </c>
      <c r="G220" s="42">
        <v>40</v>
      </c>
    </row>
    <row r="221" spans="1:7">
      <c r="A221" s="42" t="s">
        <v>386</v>
      </c>
      <c r="B221" s="43">
        <v>42310</v>
      </c>
      <c r="C221" s="42">
        <v>1560</v>
      </c>
      <c r="D221" s="42">
        <v>1560</v>
      </c>
      <c r="E221" s="42">
        <v>1549.99</v>
      </c>
      <c r="F221" s="42">
        <v>1560</v>
      </c>
      <c r="G221" s="42">
        <v>280</v>
      </c>
    </row>
    <row r="222" spans="1:7">
      <c r="A222" s="42" t="s">
        <v>386</v>
      </c>
      <c r="B222" s="43">
        <v>42311</v>
      </c>
      <c r="C222" s="42">
        <v>1485.05</v>
      </c>
      <c r="D222" s="42">
        <v>1485.05</v>
      </c>
      <c r="E222" s="42">
        <v>1485.05</v>
      </c>
      <c r="F222" s="42">
        <v>1485.05</v>
      </c>
      <c r="G222" s="42">
        <v>1120</v>
      </c>
    </row>
    <row r="223" spans="1:7">
      <c r="A223" s="42" t="s">
        <v>386</v>
      </c>
      <c r="B223" s="43">
        <v>42313</v>
      </c>
      <c r="C223" s="42">
        <v>1480</v>
      </c>
      <c r="D223" s="42">
        <v>1480</v>
      </c>
      <c r="E223" s="42">
        <v>1435.01</v>
      </c>
      <c r="F223" s="42">
        <v>1465</v>
      </c>
      <c r="G223" s="42">
        <v>4000</v>
      </c>
    </row>
    <row r="224" spans="1:7">
      <c r="A224" s="42" t="s">
        <v>386</v>
      </c>
      <c r="B224" s="43">
        <v>42314</v>
      </c>
      <c r="C224" s="42">
        <v>1421</v>
      </c>
      <c r="D224" s="42">
        <v>1430</v>
      </c>
      <c r="E224" s="42">
        <v>1421</v>
      </c>
      <c r="F224" s="42">
        <v>1424</v>
      </c>
      <c r="G224" s="42">
        <v>960</v>
      </c>
    </row>
    <row r="225" spans="1:7">
      <c r="A225" s="42" t="s">
        <v>386</v>
      </c>
      <c r="B225" s="43">
        <v>42317</v>
      </c>
      <c r="C225" s="42">
        <v>1450</v>
      </c>
      <c r="D225" s="42">
        <v>1489.5</v>
      </c>
      <c r="E225" s="42">
        <v>1450</v>
      </c>
      <c r="F225" s="42">
        <v>1489.5</v>
      </c>
      <c r="G225" s="42">
        <v>2000</v>
      </c>
    </row>
    <row r="226" spans="1:7">
      <c r="A226" s="42" t="s">
        <v>386</v>
      </c>
      <c r="B226" s="43">
        <v>42319</v>
      </c>
      <c r="C226" s="42">
        <v>1461</v>
      </c>
      <c r="D226" s="42">
        <v>1461</v>
      </c>
      <c r="E226" s="42">
        <v>1461</v>
      </c>
      <c r="F226" s="42">
        <v>1461</v>
      </c>
      <c r="G226" s="42">
        <v>120</v>
      </c>
    </row>
    <row r="227" spans="1:7">
      <c r="A227" s="42" t="s">
        <v>386</v>
      </c>
      <c r="B227" s="43">
        <v>42320</v>
      </c>
      <c r="C227" s="42">
        <v>1450</v>
      </c>
      <c r="D227" s="42">
        <v>1475</v>
      </c>
      <c r="E227" s="42">
        <v>1440</v>
      </c>
      <c r="F227" s="42">
        <v>1475</v>
      </c>
      <c r="G227" s="42">
        <v>320</v>
      </c>
    </row>
    <row r="228" spans="1:7">
      <c r="A228" s="42" t="s">
        <v>386</v>
      </c>
      <c r="B228" s="43">
        <v>42325</v>
      </c>
      <c r="C228" s="42">
        <v>1450</v>
      </c>
      <c r="D228" s="42">
        <v>1450</v>
      </c>
      <c r="E228" s="42">
        <v>1450</v>
      </c>
      <c r="F228" s="42">
        <v>1450</v>
      </c>
      <c r="G228" s="42">
        <v>80</v>
      </c>
    </row>
    <row r="229" spans="1:7">
      <c r="A229" s="42" t="s">
        <v>386</v>
      </c>
      <c r="B229" s="43">
        <v>42326</v>
      </c>
      <c r="C229" s="42">
        <v>1450</v>
      </c>
      <c r="D229" s="42">
        <v>1450</v>
      </c>
      <c r="E229" s="42">
        <v>1450</v>
      </c>
      <c r="F229" s="42">
        <v>1450</v>
      </c>
      <c r="G229" s="42">
        <v>120</v>
      </c>
    </row>
    <row r="230" spans="1:7">
      <c r="A230" s="42" t="s">
        <v>386</v>
      </c>
      <c r="B230" s="43">
        <v>42327</v>
      </c>
      <c r="C230" s="42">
        <v>1450</v>
      </c>
      <c r="D230" s="42">
        <v>1488</v>
      </c>
      <c r="E230" s="42">
        <v>1450</v>
      </c>
      <c r="F230" s="42">
        <v>1486.18</v>
      </c>
      <c r="G230" s="42">
        <v>1180</v>
      </c>
    </row>
    <row r="231" spans="1:7">
      <c r="A231" s="42" t="s">
        <v>386</v>
      </c>
      <c r="B231" s="43">
        <v>42328</v>
      </c>
      <c r="C231" s="42">
        <v>1496</v>
      </c>
      <c r="D231" s="42">
        <v>1500</v>
      </c>
      <c r="E231" s="42">
        <v>1496</v>
      </c>
      <c r="F231" s="42">
        <v>1500</v>
      </c>
      <c r="G231" s="42">
        <v>880</v>
      </c>
    </row>
    <row r="232" spans="1:7">
      <c r="A232" s="42" t="s">
        <v>386</v>
      </c>
      <c r="B232" s="43">
        <v>42331</v>
      </c>
      <c r="C232" s="42">
        <v>1500</v>
      </c>
      <c r="D232" s="42">
        <v>1500</v>
      </c>
      <c r="E232" s="42">
        <v>1500</v>
      </c>
      <c r="F232" s="42">
        <v>1500</v>
      </c>
      <c r="G232" s="42">
        <v>20</v>
      </c>
    </row>
    <row r="233" spans="1:7">
      <c r="A233" s="42" t="s">
        <v>386</v>
      </c>
      <c r="B233" s="43">
        <v>42332</v>
      </c>
      <c r="C233" s="42">
        <v>1500</v>
      </c>
      <c r="D233" s="42">
        <v>1500</v>
      </c>
      <c r="E233" s="42">
        <v>1480</v>
      </c>
      <c r="F233" s="42">
        <v>1480</v>
      </c>
      <c r="G233" s="42">
        <v>2000</v>
      </c>
    </row>
    <row r="234" spans="1:7">
      <c r="A234" s="42" t="s">
        <v>386</v>
      </c>
      <c r="B234" s="43">
        <v>42333</v>
      </c>
      <c r="C234" s="42">
        <v>1451</v>
      </c>
      <c r="D234" s="42">
        <v>1451</v>
      </c>
      <c r="E234" s="42">
        <v>1451</v>
      </c>
      <c r="F234" s="42">
        <v>1451</v>
      </c>
      <c r="G234" s="42">
        <v>20</v>
      </c>
    </row>
    <row r="235" spans="1:7">
      <c r="A235" s="42" t="s">
        <v>386</v>
      </c>
      <c r="B235" s="43">
        <v>42335</v>
      </c>
      <c r="C235" s="42">
        <v>1450.01</v>
      </c>
      <c r="D235" s="42">
        <v>1450.01</v>
      </c>
      <c r="E235" s="42">
        <v>1450.01</v>
      </c>
      <c r="F235" s="42">
        <v>1450.01</v>
      </c>
      <c r="G235" s="42">
        <v>60</v>
      </c>
    </row>
    <row r="236" spans="1:7">
      <c r="A236" s="42" t="s">
        <v>386</v>
      </c>
      <c r="B236" s="43">
        <v>42338</v>
      </c>
      <c r="C236" s="42">
        <v>1475</v>
      </c>
      <c r="D236" s="42">
        <v>1498</v>
      </c>
      <c r="E236" s="42">
        <v>1460</v>
      </c>
      <c r="F236" s="42">
        <v>1460</v>
      </c>
      <c r="G236" s="42">
        <v>740</v>
      </c>
    </row>
    <row r="237" spans="1:7">
      <c r="A237" s="42" t="s">
        <v>386</v>
      </c>
      <c r="B237" s="43">
        <v>42339</v>
      </c>
      <c r="C237" s="42">
        <v>1450</v>
      </c>
      <c r="D237" s="42">
        <v>1475</v>
      </c>
      <c r="E237" s="42">
        <v>1450</v>
      </c>
      <c r="F237" s="42">
        <v>1475</v>
      </c>
      <c r="G237" s="42">
        <v>180</v>
      </c>
    </row>
    <row r="238" spans="1:7">
      <c r="A238" s="42" t="s">
        <v>386</v>
      </c>
      <c r="B238" s="43">
        <v>42341</v>
      </c>
      <c r="C238" s="42">
        <v>1500</v>
      </c>
      <c r="D238" s="42">
        <v>1544</v>
      </c>
      <c r="E238" s="42">
        <v>1500</v>
      </c>
      <c r="F238" s="42">
        <v>1500</v>
      </c>
      <c r="G238" s="42">
        <v>1000</v>
      </c>
    </row>
    <row r="239" spans="1:7">
      <c r="A239" s="42" t="s">
        <v>386</v>
      </c>
      <c r="B239" s="43">
        <v>42342</v>
      </c>
      <c r="C239" s="42">
        <v>1451</v>
      </c>
      <c r="D239" s="42">
        <v>1501</v>
      </c>
      <c r="E239" s="42">
        <v>1451</v>
      </c>
      <c r="F239" s="42">
        <v>1500.07</v>
      </c>
      <c r="G239" s="42">
        <v>1020</v>
      </c>
    </row>
    <row r="240" spans="1:7">
      <c r="A240" s="42" t="s">
        <v>386</v>
      </c>
      <c r="B240" s="43">
        <v>42345</v>
      </c>
      <c r="C240" s="42">
        <v>1502</v>
      </c>
      <c r="D240" s="42">
        <v>1502</v>
      </c>
      <c r="E240" s="42">
        <v>1502</v>
      </c>
      <c r="F240" s="42">
        <v>1502</v>
      </c>
      <c r="G240" s="42">
        <v>900</v>
      </c>
    </row>
    <row r="241" spans="1:7">
      <c r="A241" s="42" t="s">
        <v>386</v>
      </c>
      <c r="B241" s="43">
        <v>42348</v>
      </c>
      <c r="C241" s="42">
        <v>1490</v>
      </c>
      <c r="D241" s="42">
        <v>1490</v>
      </c>
      <c r="E241" s="42">
        <v>1490</v>
      </c>
      <c r="F241" s="42">
        <v>1490</v>
      </c>
      <c r="G241" s="42">
        <v>20</v>
      </c>
    </row>
    <row r="242" spans="1:7">
      <c r="A242" s="42" t="s">
        <v>386</v>
      </c>
      <c r="B242" s="43">
        <v>42352</v>
      </c>
      <c r="C242" s="42">
        <v>1481</v>
      </c>
      <c r="D242" s="42">
        <v>1481</v>
      </c>
      <c r="E242" s="42">
        <v>1481</v>
      </c>
      <c r="F242" s="42">
        <v>1481</v>
      </c>
      <c r="G242" s="42">
        <v>60</v>
      </c>
    </row>
    <row r="243" spans="1:7">
      <c r="A243" s="42" t="s">
        <v>386</v>
      </c>
      <c r="B243" s="43">
        <v>42354</v>
      </c>
      <c r="C243" s="42">
        <v>1500</v>
      </c>
      <c r="D243" s="42">
        <v>1500</v>
      </c>
      <c r="E243" s="42">
        <v>1500</v>
      </c>
      <c r="F243" s="42">
        <v>1500</v>
      </c>
      <c r="G243" s="42">
        <v>120</v>
      </c>
    </row>
    <row r="244" spans="1:7">
      <c r="A244" s="42" t="s">
        <v>386</v>
      </c>
      <c r="B244" s="43">
        <v>42356</v>
      </c>
      <c r="C244" s="42">
        <v>1500</v>
      </c>
      <c r="D244" s="42">
        <v>1500</v>
      </c>
      <c r="E244" s="42">
        <v>1500</v>
      </c>
      <c r="F244" s="42">
        <v>1500</v>
      </c>
      <c r="G244" s="42">
        <v>20</v>
      </c>
    </row>
    <row r="245" spans="1:7">
      <c r="A245" s="42" t="s">
        <v>386</v>
      </c>
      <c r="B245" s="43">
        <v>42359</v>
      </c>
      <c r="C245" s="42">
        <v>1490</v>
      </c>
      <c r="D245" s="42">
        <v>1500</v>
      </c>
      <c r="E245" s="42">
        <v>1490</v>
      </c>
      <c r="F245" s="42">
        <v>1500</v>
      </c>
      <c r="G245" s="42">
        <v>140</v>
      </c>
    </row>
    <row r="246" spans="1:7">
      <c r="A246" s="42" t="s">
        <v>386</v>
      </c>
      <c r="B246" s="43">
        <v>42360</v>
      </c>
      <c r="C246" s="42">
        <v>1500</v>
      </c>
      <c r="D246" s="42">
        <v>1500</v>
      </c>
      <c r="E246" s="42">
        <v>1500</v>
      </c>
      <c r="F246" s="42">
        <v>1500</v>
      </c>
      <c r="G246" s="42">
        <v>40</v>
      </c>
    </row>
    <row r="247" spans="1:7">
      <c r="A247" s="42" t="s">
        <v>386</v>
      </c>
      <c r="B247" s="43">
        <v>42361</v>
      </c>
      <c r="C247" s="42">
        <v>1426</v>
      </c>
      <c r="D247" s="42">
        <v>1426</v>
      </c>
      <c r="E247" s="42">
        <v>1426</v>
      </c>
      <c r="F247" s="42">
        <v>1426</v>
      </c>
      <c r="G247" s="42">
        <v>20</v>
      </c>
    </row>
    <row r="248" spans="1:7">
      <c r="A248" s="42" t="s">
        <v>386</v>
      </c>
      <c r="B248" s="43">
        <v>42366</v>
      </c>
      <c r="C248" s="42">
        <v>1426</v>
      </c>
      <c r="D248" s="42">
        <v>1426</v>
      </c>
      <c r="E248" s="42">
        <v>1426</v>
      </c>
      <c r="F248" s="42">
        <v>1426</v>
      </c>
      <c r="G248" s="42">
        <v>20</v>
      </c>
    </row>
    <row r="249" spans="1:7">
      <c r="A249" s="42" t="s">
        <v>386</v>
      </c>
      <c r="B249" s="43">
        <v>42368</v>
      </c>
      <c r="C249" s="42">
        <v>1460</v>
      </c>
      <c r="D249" s="42">
        <v>1479</v>
      </c>
      <c r="E249" s="42">
        <v>1460</v>
      </c>
      <c r="F249" s="42">
        <v>1479</v>
      </c>
      <c r="G249" s="42">
        <v>180</v>
      </c>
    </row>
    <row r="250" spans="1:7">
      <c r="A250" s="42" t="s">
        <v>386</v>
      </c>
      <c r="B250" s="43">
        <v>42369</v>
      </c>
      <c r="C250" s="42">
        <v>1450</v>
      </c>
      <c r="D250" s="42">
        <v>1450</v>
      </c>
      <c r="E250" s="42">
        <v>1450</v>
      </c>
      <c r="F250" s="42">
        <v>1450</v>
      </c>
      <c r="G250" s="42">
        <v>20</v>
      </c>
    </row>
    <row r="251" spans="1:7">
      <c r="A251" s="42" t="s">
        <v>386</v>
      </c>
      <c r="B251" s="43">
        <v>42370</v>
      </c>
      <c r="C251" s="42">
        <v>1450</v>
      </c>
      <c r="D251" s="42">
        <v>1479</v>
      </c>
      <c r="E251" s="42">
        <v>1412</v>
      </c>
      <c r="F251" s="42">
        <v>1450</v>
      </c>
      <c r="G251" s="42">
        <v>2420</v>
      </c>
    </row>
    <row r="252" spans="1:7">
      <c r="A252" s="42" t="s">
        <v>386</v>
      </c>
      <c r="B252" s="43">
        <v>42373</v>
      </c>
      <c r="C252" s="42">
        <v>1451</v>
      </c>
      <c r="D252" s="42">
        <v>1451</v>
      </c>
      <c r="E252" s="42">
        <v>1450</v>
      </c>
      <c r="F252" s="42">
        <v>1450</v>
      </c>
      <c r="G252" s="42">
        <v>500</v>
      </c>
    </row>
    <row r="253" spans="1:7">
      <c r="A253" s="42" t="s">
        <v>386</v>
      </c>
      <c r="B253" s="43">
        <v>42374</v>
      </c>
      <c r="C253" s="42">
        <v>1450</v>
      </c>
      <c r="D253" s="42">
        <v>1450</v>
      </c>
      <c r="E253" s="42">
        <v>1450</v>
      </c>
      <c r="F253" s="42">
        <v>1450</v>
      </c>
      <c r="G253" s="42">
        <v>100</v>
      </c>
    </row>
    <row r="254" spans="1:7">
      <c r="A254" s="42" t="s">
        <v>386</v>
      </c>
      <c r="B254" s="43">
        <v>42376</v>
      </c>
      <c r="C254" s="42">
        <v>1480</v>
      </c>
      <c r="D254" s="42">
        <v>1480</v>
      </c>
      <c r="E254" s="42">
        <v>1480</v>
      </c>
      <c r="F254" s="42">
        <v>1480</v>
      </c>
      <c r="G254" s="42">
        <v>1000</v>
      </c>
    </row>
    <row r="255" spans="1:7">
      <c r="A255" s="42" t="s">
        <v>386</v>
      </c>
      <c r="B255" s="43">
        <v>42377</v>
      </c>
      <c r="C255" s="42">
        <v>1494.8</v>
      </c>
      <c r="D255" s="42">
        <v>1494.8</v>
      </c>
      <c r="E255" s="42">
        <v>1494.8</v>
      </c>
      <c r="F255" s="42">
        <v>1494.8</v>
      </c>
      <c r="G255" s="42">
        <v>620</v>
      </c>
    </row>
    <row r="256" spans="1:7">
      <c r="A256" s="42" t="s">
        <v>386</v>
      </c>
      <c r="B256" s="43">
        <v>42381</v>
      </c>
      <c r="C256" s="42">
        <v>1510</v>
      </c>
      <c r="D256" s="42">
        <v>1510</v>
      </c>
      <c r="E256" s="42">
        <v>1510</v>
      </c>
      <c r="F256" s="42">
        <v>1510</v>
      </c>
      <c r="G256" s="42">
        <v>200</v>
      </c>
    </row>
    <row r="257" spans="1:7">
      <c r="A257" s="42" t="s">
        <v>386</v>
      </c>
      <c r="B257" s="43">
        <v>42382</v>
      </c>
      <c r="C257" s="42">
        <v>1525</v>
      </c>
      <c r="D257" s="42">
        <v>1525</v>
      </c>
      <c r="E257" s="42">
        <v>1525</v>
      </c>
      <c r="F257" s="42">
        <v>1525</v>
      </c>
      <c r="G257" s="42">
        <v>240</v>
      </c>
    </row>
    <row r="258" spans="1:7">
      <c r="A258" s="42" t="s">
        <v>386</v>
      </c>
      <c r="B258" s="43">
        <v>42383</v>
      </c>
      <c r="C258" s="42">
        <v>1540</v>
      </c>
      <c r="D258" s="42">
        <v>1540</v>
      </c>
      <c r="E258" s="42">
        <v>1540</v>
      </c>
      <c r="F258" s="42">
        <v>1540</v>
      </c>
      <c r="G258" s="42">
        <v>160</v>
      </c>
    </row>
    <row r="259" spans="1:7">
      <c r="A259" s="42" t="s">
        <v>386</v>
      </c>
      <c r="B259" s="43">
        <v>42391</v>
      </c>
      <c r="C259" s="42">
        <v>1550</v>
      </c>
      <c r="D259" s="42">
        <v>1570</v>
      </c>
      <c r="E259" s="42">
        <v>1550</v>
      </c>
      <c r="F259" s="42">
        <v>1565</v>
      </c>
      <c r="G259" s="42">
        <v>220</v>
      </c>
    </row>
    <row r="260" spans="1:7">
      <c r="A260" s="42" t="s">
        <v>386</v>
      </c>
      <c r="B260" s="43">
        <v>42394</v>
      </c>
      <c r="C260" s="42">
        <v>1550</v>
      </c>
      <c r="D260" s="42">
        <v>1550</v>
      </c>
      <c r="E260" s="42">
        <v>1550</v>
      </c>
      <c r="F260" s="42">
        <v>1550</v>
      </c>
      <c r="G260" s="42">
        <v>20</v>
      </c>
    </row>
    <row r="261" spans="1:7">
      <c r="A261" s="42" t="s">
        <v>386</v>
      </c>
      <c r="B261" s="43">
        <v>42395</v>
      </c>
      <c r="C261" s="42">
        <v>1550</v>
      </c>
      <c r="D261" s="42">
        <v>1550</v>
      </c>
      <c r="E261" s="42">
        <v>1550</v>
      </c>
      <c r="F261" s="42">
        <v>1550</v>
      </c>
      <c r="G261" s="42">
        <v>40</v>
      </c>
    </row>
    <row r="262" spans="1:7">
      <c r="A262" s="42" t="s">
        <v>386</v>
      </c>
      <c r="B262" s="43">
        <v>42396</v>
      </c>
      <c r="C262" s="42">
        <v>1500</v>
      </c>
      <c r="D262" s="42">
        <v>1500</v>
      </c>
      <c r="E262" s="42">
        <v>1500</v>
      </c>
      <c r="F262" s="42">
        <v>1500</v>
      </c>
      <c r="G262" s="42">
        <v>660</v>
      </c>
    </row>
    <row r="263" spans="1:7">
      <c r="A263" s="42" t="s">
        <v>386</v>
      </c>
      <c r="B263" s="43">
        <v>42397</v>
      </c>
      <c r="C263" s="42">
        <v>1555</v>
      </c>
      <c r="D263" s="42">
        <v>1555</v>
      </c>
      <c r="E263" s="42">
        <v>1490</v>
      </c>
      <c r="F263" s="42">
        <v>1500</v>
      </c>
      <c r="G263" s="42">
        <v>80</v>
      </c>
    </row>
    <row r="264" spans="1:7">
      <c r="A264" s="42" t="s">
        <v>386</v>
      </c>
      <c r="B264" s="43">
        <v>42398</v>
      </c>
      <c r="C264" s="42">
        <v>1545</v>
      </c>
      <c r="D264" s="42">
        <v>1550</v>
      </c>
      <c r="E264" s="42">
        <v>1545</v>
      </c>
      <c r="F264" s="42">
        <v>1547.5</v>
      </c>
      <c r="G264" s="42">
        <v>540</v>
      </c>
    </row>
    <row r="265" spans="1:7">
      <c r="A265" s="42" t="s">
        <v>386</v>
      </c>
      <c r="B265" s="43">
        <v>42401</v>
      </c>
      <c r="C265" s="42">
        <v>1500</v>
      </c>
      <c r="D265" s="42">
        <v>1500</v>
      </c>
      <c r="E265" s="42">
        <v>1500</v>
      </c>
      <c r="F265" s="42">
        <v>1500</v>
      </c>
      <c r="G265" s="42">
        <v>20</v>
      </c>
    </row>
    <row r="266" spans="1:7">
      <c r="A266" s="42" t="s">
        <v>386</v>
      </c>
      <c r="B266" s="43">
        <v>42404</v>
      </c>
      <c r="C266" s="42">
        <v>1425</v>
      </c>
      <c r="D266" s="42">
        <v>1490</v>
      </c>
      <c r="E266" s="42">
        <v>1425</v>
      </c>
      <c r="F266" s="42">
        <v>1490</v>
      </c>
      <c r="G266" s="42">
        <v>60</v>
      </c>
    </row>
    <row r="267" spans="1:7">
      <c r="A267" s="42" t="s">
        <v>386</v>
      </c>
      <c r="B267" s="43">
        <v>42408</v>
      </c>
      <c r="C267" s="42">
        <v>1470</v>
      </c>
      <c r="D267" s="42">
        <v>1470</v>
      </c>
      <c r="E267" s="42">
        <v>1470</v>
      </c>
      <c r="F267" s="42">
        <v>1470</v>
      </c>
      <c r="G267" s="42">
        <v>20</v>
      </c>
    </row>
    <row r="268" spans="1:7">
      <c r="A268" s="42" t="s">
        <v>386</v>
      </c>
      <c r="B268" s="43">
        <v>42411</v>
      </c>
      <c r="C268" s="42">
        <v>1440</v>
      </c>
      <c r="D268" s="42">
        <v>1455</v>
      </c>
      <c r="E268" s="42">
        <v>1440</v>
      </c>
      <c r="F268" s="42">
        <v>1440</v>
      </c>
      <c r="G268" s="42">
        <v>520</v>
      </c>
    </row>
    <row r="269" spans="1:7">
      <c r="A269" s="42" t="s">
        <v>386</v>
      </c>
      <c r="B269" s="43">
        <v>42412</v>
      </c>
      <c r="C269" s="42">
        <v>1465</v>
      </c>
      <c r="D269" s="42">
        <v>1465</v>
      </c>
      <c r="E269" s="42">
        <v>1465</v>
      </c>
      <c r="F269" s="42">
        <v>1465</v>
      </c>
      <c r="G269" s="42">
        <v>600</v>
      </c>
    </row>
    <row r="270" spans="1:7">
      <c r="A270" s="42" t="s">
        <v>386</v>
      </c>
      <c r="B270" s="43">
        <v>42415</v>
      </c>
      <c r="C270" s="42">
        <v>1450</v>
      </c>
      <c r="D270" s="42">
        <v>1466.5</v>
      </c>
      <c r="E270" s="42">
        <v>1450</v>
      </c>
      <c r="F270" s="42">
        <v>1466.5</v>
      </c>
      <c r="G270" s="42">
        <v>800</v>
      </c>
    </row>
    <row r="271" spans="1:7">
      <c r="A271" s="42" t="s">
        <v>386</v>
      </c>
      <c r="B271" s="43">
        <v>42416</v>
      </c>
      <c r="C271" s="42">
        <v>1450</v>
      </c>
      <c r="D271" s="42">
        <v>1450.1</v>
      </c>
      <c r="E271" s="42">
        <v>1450</v>
      </c>
      <c r="F271" s="42">
        <v>1450.1</v>
      </c>
      <c r="G271" s="42">
        <v>720</v>
      </c>
    </row>
    <row r="272" spans="1:7">
      <c r="A272" s="42" t="s">
        <v>386</v>
      </c>
      <c r="B272" s="43">
        <v>42418</v>
      </c>
      <c r="C272" s="42">
        <v>1460</v>
      </c>
      <c r="D272" s="42">
        <v>1460</v>
      </c>
      <c r="E272" s="42">
        <v>1460</v>
      </c>
      <c r="F272" s="42">
        <v>1460</v>
      </c>
      <c r="G272" s="42">
        <v>20</v>
      </c>
    </row>
    <row r="273" spans="1:7">
      <c r="A273" s="42" t="s">
        <v>386</v>
      </c>
      <c r="B273" s="43">
        <v>42419</v>
      </c>
      <c r="C273" s="42">
        <v>1461</v>
      </c>
      <c r="D273" s="42">
        <v>1461</v>
      </c>
      <c r="E273" s="42">
        <v>1461</v>
      </c>
      <c r="F273" s="42">
        <v>1461</v>
      </c>
      <c r="G273" s="42">
        <v>700</v>
      </c>
    </row>
    <row r="274" spans="1:7">
      <c r="A274" s="42" t="s">
        <v>386</v>
      </c>
      <c r="B274" s="43">
        <v>42422</v>
      </c>
      <c r="C274" s="42">
        <v>1462</v>
      </c>
      <c r="D274" s="42">
        <v>1462</v>
      </c>
      <c r="E274" s="42">
        <v>1462</v>
      </c>
      <c r="F274" s="42">
        <v>1462</v>
      </c>
      <c r="G274" s="42">
        <v>700</v>
      </c>
    </row>
    <row r="275" spans="1:7">
      <c r="A275" s="42" t="s">
        <v>386</v>
      </c>
      <c r="B275" s="43">
        <v>42423</v>
      </c>
      <c r="C275" s="42">
        <v>1460</v>
      </c>
      <c r="D275" s="42">
        <v>1460</v>
      </c>
      <c r="E275" s="42">
        <v>1460</v>
      </c>
      <c r="F275" s="42">
        <v>1460</v>
      </c>
      <c r="G275" s="42">
        <v>600</v>
      </c>
    </row>
    <row r="276" spans="1:7">
      <c r="A276" s="42" t="s">
        <v>386</v>
      </c>
      <c r="B276" s="43">
        <v>42429</v>
      </c>
      <c r="C276" s="42">
        <v>1450</v>
      </c>
      <c r="D276" s="42">
        <v>1450</v>
      </c>
      <c r="E276" s="42">
        <v>1450</v>
      </c>
      <c r="F276" s="42">
        <v>1450</v>
      </c>
      <c r="G276" s="42">
        <v>20</v>
      </c>
    </row>
    <row r="277" spans="1:7">
      <c r="A277" s="42" t="s">
        <v>386</v>
      </c>
      <c r="B277" s="43">
        <v>42430</v>
      </c>
      <c r="C277" s="42">
        <v>1460</v>
      </c>
      <c r="D277" s="42">
        <v>1460</v>
      </c>
      <c r="E277" s="42">
        <v>1450</v>
      </c>
      <c r="F277" s="42">
        <v>1450</v>
      </c>
      <c r="G277" s="42">
        <v>200</v>
      </c>
    </row>
    <row r="278" spans="1:7">
      <c r="A278" s="42" t="s">
        <v>386</v>
      </c>
      <c r="B278" s="43">
        <v>42431</v>
      </c>
      <c r="C278" s="42">
        <v>1450</v>
      </c>
      <c r="D278" s="42">
        <v>1450</v>
      </c>
      <c r="E278" s="42">
        <v>1450</v>
      </c>
      <c r="F278" s="42">
        <v>1450</v>
      </c>
      <c r="G278" s="42">
        <v>220</v>
      </c>
    </row>
    <row r="279" spans="1:7">
      <c r="A279" s="42" t="s">
        <v>386</v>
      </c>
      <c r="B279" s="43">
        <v>42432</v>
      </c>
      <c r="C279" s="42">
        <v>1450</v>
      </c>
      <c r="D279" s="42">
        <v>1450</v>
      </c>
      <c r="E279" s="42">
        <v>1450</v>
      </c>
      <c r="F279" s="42">
        <v>1450</v>
      </c>
      <c r="G279" s="42">
        <v>20</v>
      </c>
    </row>
    <row r="280" spans="1:7">
      <c r="A280" s="42" t="s">
        <v>386</v>
      </c>
      <c r="B280" s="43">
        <v>42433</v>
      </c>
      <c r="C280" s="42">
        <v>1451</v>
      </c>
      <c r="D280" s="42">
        <v>1451</v>
      </c>
      <c r="E280" s="42">
        <v>1450</v>
      </c>
      <c r="F280" s="42">
        <v>1450.2</v>
      </c>
      <c r="G280" s="42">
        <v>200</v>
      </c>
    </row>
    <row r="281" spans="1:7">
      <c r="A281" s="42" t="s">
        <v>386</v>
      </c>
      <c r="B281" s="43">
        <v>42436</v>
      </c>
      <c r="C281" s="42">
        <v>1460</v>
      </c>
      <c r="D281" s="42">
        <v>1460</v>
      </c>
      <c r="E281" s="42">
        <v>1460</v>
      </c>
      <c r="F281" s="42">
        <v>1460</v>
      </c>
      <c r="G281" s="42">
        <v>320</v>
      </c>
    </row>
    <row r="282" spans="1:7">
      <c r="A282" s="42" t="s">
        <v>386</v>
      </c>
      <c r="B282" s="43">
        <v>42439</v>
      </c>
      <c r="C282" s="42">
        <v>1500</v>
      </c>
      <c r="D282" s="42">
        <v>1519.99</v>
      </c>
      <c r="E282" s="42">
        <v>1460</v>
      </c>
      <c r="F282" s="42">
        <v>1460</v>
      </c>
      <c r="G282" s="42">
        <v>2560</v>
      </c>
    </row>
    <row r="283" spans="1:7">
      <c r="A283" s="42" t="s">
        <v>386</v>
      </c>
      <c r="B283" s="43">
        <v>42440</v>
      </c>
      <c r="C283" s="42">
        <v>1470</v>
      </c>
      <c r="D283" s="42">
        <v>1471</v>
      </c>
      <c r="E283" s="42">
        <v>1470</v>
      </c>
      <c r="F283" s="42">
        <v>1471</v>
      </c>
      <c r="G283" s="42">
        <v>1400</v>
      </c>
    </row>
    <row r="284" spans="1:7">
      <c r="A284" s="42" t="s">
        <v>386</v>
      </c>
      <c r="B284" s="43">
        <v>42444</v>
      </c>
      <c r="C284" s="42">
        <v>1472</v>
      </c>
      <c r="D284" s="42">
        <v>1472</v>
      </c>
      <c r="E284" s="42">
        <v>1460</v>
      </c>
      <c r="F284" s="42">
        <v>1460</v>
      </c>
      <c r="G284" s="42">
        <v>940</v>
      </c>
    </row>
    <row r="285" spans="1:7">
      <c r="A285" s="42" t="s">
        <v>386</v>
      </c>
      <c r="B285" s="43">
        <v>42445</v>
      </c>
      <c r="C285" s="42">
        <v>1460</v>
      </c>
      <c r="D285" s="42">
        <v>1460</v>
      </c>
      <c r="E285" s="42">
        <v>1460</v>
      </c>
      <c r="F285" s="42">
        <v>1460</v>
      </c>
      <c r="G285" s="42">
        <v>60</v>
      </c>
    </row>
    <row r="286" spans="1:7">
      <c r="A286" s="42" t="s">
        <v>386</v>
      </c>
      <c r="B286" s="43">
        <v>42446</v>
      </c>
      <c r="C286" s="42">
        <v>1460</v>
      </c>
      <c r="D286" s="42">
        <v>1460</v>
      </c>
      <c r="E286" s="42">
        <v>1460</v>
      </c>
      <c r="F286" s="42">
        <v>1460</v>
      </c>
      <c r="G286" s="42">
        <v>200</v>
      </c>
    </row>
    <row r="287" spans="1:7">
      <c r="A287" s="42" t="s">
        <v>386</v>
      </c>
      <c r="B287" s="43">
        <v>42447</v>
      </c>
      <c r="C287" s="42">
        <v>1461</v>
      </c>
      <c r="D287" s="42">
        <v>1461</v>
      </c>
      <c r="E287" s="42">
        <v>1460</v>
      </c>
      <c r="F287" s="42">
        <v>1460</v>
      </c>
      <c r="G287" s="42">
        <v>820</v>
      </c>
    </row>
    <row r="288" spans="1:7">
      <c r="A288" s="42" t="s">
        <v>386</v>
      </c>
      <c r="B288" s="43">
        <v>42450</v>
      </c>
      <c r="C288" s="42">
        <v>1462</v>
      </c>
      <c r="D288" s="42">
        <v>1491</v>
      </c>
      <c r="E288" s="42">
        <v>1462</v>
      </c>
      <c r="F288" s="42">
        <v>1462</v>
      </c>
      <c r="G288" s="42">
        <v>800</v>
      </c>
    </row>
    <row r="289" spans="1:7">
      <c r="A289" s="42" t="s">
        <v>386</v>
      </c>
      <c r="B289" s="43">
        <v>42453</v>
      </c>
      <c r="C289" s="42">
        <v>1460.01</v>
      </c>
      <c r="D289" s="42">
        <v>1489.99</v>
      </c>
      <c r="E289" s="42">
        <v>1460.01</v>
      </c>
      <c r="F289" s="42">
        <v>1489.99</v>
      </c>
      <c r="G289" s="42">
        <v>1640</v>
      </c>
    </row>
    <row r="290" spans="1:7">
      <c r="A290" s="42" t="s">
        <v>386</v>
      </c>
      <c r="B290" s="43">
        <v>42454</v>
      </c>
      <c r="C290" s="42">
        <v>1460</v>
      </c>
      <c r="D290" s="42">
        <v>1460</v>
      </c>
      <c r="E290" s="42">
        <v>1460</v>
      </c>
      <c r="F290" s="42">
        <v>1460</v>
      </c>
      <c r="G290" s="42">
        <v>1300</v>
      </c>
    </row>
    <row r="291" spans="1:7">
      <c r="A291" s="42" t="s">
        <v>386</v>
      </c>
      <c r="B291" s="43">
        <v>42459</v>
      </c>
      <c r="C291" s="42">
        <v>1475</v>
      </c>
      <c r="D291" s="42">
        <v>1480</v>
      </c>
      <c r="E291" s="42">
        <v>1475</v>
      </c>
      <c r="F291" s="42">
        <v>1480</v>
      </c>
      <c r="G291" s="42">
        <v>40</v>
      </c>
    </row>
    <row r="292" spans="1:7">
      <c r="A292" s="42" t="s">
        <v>386</v>
      </c>
      <c r="B292" s="43">
        <v>42460</v>
      </c>
      <c r="C292" s="42">
        <v>1475</v>
      </c>
      <c r="D292" s="42">
        <v>1475</v>
      </c>
      <c r="E292" s="42">
        <v>1475</v>
      </c>
      <c r="F292" s="42">
        <v>1475</v>
      </c>
      <c r="G292" s="42">
        <v>500</v>
      </c>
    </row>
    <row r="293" spans="1:7">
      <c r="A293" s="42" t="s">
        <v>386</v>
      </c>
      <c r="B293" s="43">
        <v>42461</v>
      </c>
      <c r="C293" s="42">
        <v>1490</v>
      </c>
      <c r="D293" s="42">
        <v>1490</v>
      </c>
      <c r="E293" s="42">
        <v>1490</v>
      </c>
      <c r="F293" s="42">
        <v>1490</v>
      </c>
      <c r="G293" s="42">
        <v>180</v>
      </c>
    </row>
    <row r="294" spans="1:7">
      <c r="A294" s="42" t="s">
        <v>386</v>
      </c>
      <c r="B294" s="43">
        <v>42464</v>
      </c>
      <c r="C294" s="42">
        <v>1488</v>
      </c>
      <c r="D294" s="42">
        <v>1488</v>
      </c>
      <c r="E294" s="42">
        <v>1488</v>
      </c>
      <c r="F294" s="42">
        <v>1488</v>
      </c>
      <c r="G294" s="42">
        <v>140</v>
      </c>
    </row>
    <row r="295" spans="1:7">
      <c r="A295" s="42" t="s">
        <v>386</v>
      </c>
      <c r="B295" s="43">
        <v>42465</v>
      </c>
      <c r="C295" s="42">
        <v>1460</v>
      </c>
      <c r="D295" s="42">
        <v>1460</v>
      </c>
      <c r="E295" s="42">
        <v>1460</v>
      </c>
      <c r="F295" s="42">
        <v>1460</v>
      </c>
      <c r="G295" s="42">
        <v>300</v>
      </c>
    </row>
    <row r="296" spans="1:7">
      <c r="A296" s="42" t="s">
        <v>386</v>
      </c>
      <c r="B296" s="43">
        <v>42466</v>
      </c>
      <c r="C296" s="42">
        <v>1462</v>
      </c>
      <c r="D296" s="42">
        <v>1462</v>
      </c>
      <c r="E296" s="42">
        <v>1462</v>
      </c>
      <c r="F296" s="42">
        <v>1462</v>
      </c>
      <c r="G296" s="42">
        <v>20</v>
      </c>
    </row>
    <row r="297" spans="1:7">
      <c r="A297" s="42" t="s">
        <v>386</v>
      </c>
      <c r="B297" s="43">
        <v>42468</v>
      </c>
      <c r="C297" s="42">
        <v>1460</v>
      </c>
      <c r="D297" s="42">
        <v>1479.99</v>
      </c>
      <c r="E297" s="42">
        <v>1460</v>
      </c>
      <c r="F297" s="42">
        <v>1460</v>
      </c>
      <c r="G297" s="42">
        <v>380</v>
      </c>
    </row>
    <row r="298" spans="1:7">
      <c r="A298" s="42" t="s">
        <v>386</v>
      </c>
      <c r="B298" s="43">
        <v>42472</v>
      </c>
      <c r="C298" s="42">
        <v>1499.99</v>
      </c>
      <c r="D298" s="42">
        <v>1499.99</v>
      </c>
      <c r="E298" s="42">
        <v>1499.99</v>
      </c>
      <c r="F298" s="42">
        <v>1499.99</v>
      </c>
      <c r="G298" s="42">
        <v>20</v>
      </c>
    </row>
    <row r="299" spans="1:7">
      <c r="A299" s="42" t="s">
        <v>386</v>
      </c>
      <c r="B299" s="43">
        <v>42473</v>
      </c>
      <c r="C299" s="42">
        <v>1500</v>
      </c>
      <c r="D299" s="42">
        <v>1500</v>
      </c>
      <c r="E299" s="42">
        <v>1500</v>
      </c>
      <c r="F299" s="42">
        <v>1500</v>
      </c>
      <c r="G299" s="42">
        <v>20</v>
      </c>
    </row>
    <row r="300" spans="1:7">
      <c r="A300" s="42" t="s">
        <v>386</v>
      </c>
      <c r="B300" s="43">
        <v>42475</v>
      </c>
      <c r="C300" s="42">
        <v>1525</v>
      </c>
      <c r="D300" s="42">
        <v>1575</v>
      </c>
      <c r="E300" s="42">
        <v>1525</v>
      </c>
      <c r="F300" s="42">
        <v>1575</v>
      </c>
      <c r="G300" s="42">
        <v>120</v>
      </c>
    </row>
    <row r="301" spans="1:7">
      <c r="A301" s="42" t="s">
        <v>386</v>
      </c>
      <c r="B301" s="43">
        <v>42478</v>
      </c>
      <c r="C301" s="42">
        <v>1500</v>
      </c>
      <c r="D301" s="42">
        <v>1500</v>
      </c>
      <c r="E301" s="42">
        <v>1500</v>
      </c>
      <c r="F301" s="42">
        <v>1500</v>
      </c>
      <c r="G301" s="42">
        <v>860</v>
      </c>
    </row>
    <row r="302" spans="1:7">
      <c r="A302" s="42" t="s">
        <v>386</v>
      </c>
      <c r="B302" s="43">
        <v>42479</v>
      </c>
      <c r="C302" s="42">
        <v>1500</v>
      </c>
      <c r="D302" s="42">
        <v>1500</v>
      </c>
      <c r="E302" s="42">
        <v>1500</v>
      </c>
      <c r="F302" s="42">
        <v>1500</v>
      </c>
      <c r="G302" s="42">
        <v>40</v>
      </c>
    </row>
    <row r="303" spans="1:7">
      <c r="A303" s="42" t="s">
        <v>386</v>
      </c>
      <c r="B303" s="43">
        <v>42481</v>
      </c>
      <c r="C303" s="42">
        <v>1500</v>
      </c>
      <c r="D303" s="42">
        <v>1500</v>
      </c>
      <c r="E303" s="42">
        <v>1500</v>
      </c>
      <c r="F303" s="42">
        <v>1500</v>
      </c>
      <c r="G303" s="42">
        <v>100</v>
      </c>
    </row>
    <row r="304" spans="1:7">
      <c r="A304" s="42" t="s">
        <v>386</v>
      </c>
      <c r="B304" s="43">
        <v>42482</v>
      </c>
      <c r="C304" s="42">
        <v>1461</v>
      </c>
      <c r="D304" s="42">
        <v>1461</v>
      </c>
      <c r="E304" s="42">
        <v>1461</v>
      </c>
      <c r="F304" s="42">
        <v>1461</v>
      </c>
      <c r="G304" s="42">
        <v>800</v>
      </c>
    </row>
    <row r="305" spans="1:7">
      <c r="A305" s="42" t="s">
        <v>386</v>
      </c>
      <c r="B305" s="43">
        <v>42485</v>
      </c>
      <c r="C305" s="42">
        <v>1462</v>
      </c>
      <c r="D305" s="42">
        <v>1462</v>
      </c>
      <c r="E305" s="42">
        <v>1462</v>
      </c>
      <c r="F305" s="42">
        <v>1462</v>
      </c>
      <c r="G305" s="42">
        <v>800</v>
      </c>
    </row>
    <row r="306" spans="1:7">
      <c r="A306" s="42" t="s">
        <v>386</v>
      </c>
      <c r="B306" s="43">
        <v>42486</v>
      </c>
      <c r="C306" s="42">
        <v>1480</v>
      </c>
      <c r="D306" s="42">
        <v>1495</v>
      </c>
      <c r="E306" s="42">
        <v>1480</v>
      </c>
      <c r="F306" s="42">
        <v>1480</v>
      </c>
      <c r="G306" s="42">
        <v>180</v>
      </c>
    </row>
    <row r="307" spans="1:7">
      <c r="A307" s="42" t="s">
        <v>386</v>
      </c>
      <c r="B307" s="43">
        <v>42487</v>
      </c>
      <c r="C307" s="42">
        <v>1480</v>
      </c>
      <c r="D307" s="42">
        <v>1510</v>
      </c>
      <c r="E307" s="42">
        <v>1480</v>
      </c>
      <c r="F307" s="42">
        <v>1510</v>
      </c>
      <c r="G307" s="42">
        <v>100</v>
      </c>
    </row>
    <row r="308" spans="1:7">
      <c r="A308" s="42" t="s">
        <v>386</v>
      </c>
      <c r="B308" s="43">
        <v>42488</v>
      </c>
      <c r="C308" s="42">
        <v>1500</v>
      </c>
      <c r="D308" s="42">
        <v>1500</v>
      </c>
      <c r="E308" s="42">
        <v>1500</v>
      </c>
      <c r="F308" s="42">
        <v>1500</v>
      </c>
      <c r="G308" s="42">
        <v>20</v>
      </c>
    </row>
    <row r="309" spans="1:7">
      <c r="A309" s="42" t="s">
        <v>386</v>
      </c>
      <c r="B309" s="43">
        <v>42489</v>
      </c>
      <c r="C309" s="42">
        <v>1481</v>
      </c>
      <c r="D309" s="42">
        <v>1482</v>
      </c>
      <c r="E309" s="42">
        <v>1481</v>
      </c>
      <c r="F309" s="42">
        <v>1481.2</v>
      </c>
      <c r="G309" s="42">
        <v>920</v>
      </c>
    </row>
    <row r="310" spans="1:7">
      <c r="A310" s="42" t="s">
        <v>386</v>
      </c>
      <c r="B310" s="43">
        <v>42492</v>
      </c>
      <c r="C310" s="42">
        <v>1483.5</v>
      </c>
      <c r="D310" s="42">
        <v>1483.5</v>
      </c>
      <c r="E310" s="42">
        <v>1483.5</v>
      </c>
      <c r="F310" s="42">
        <v>1483.5</v>
      </c>
      <c r="G310" s="42">
        <v>800</v>
      </c>
    </row>
    <row r="311" spans="1:7">
      <c r="A311" s="42" t="s">
        <v>386</v>
      </c>
      <c r="B311" s="43">
        <v>42493</v>
      </c>
      <c r="C311" s="42">
        <v>1480</v>
      </c>
      <c r="D311" s="42">
        <v>1480</v>
      </c>
      <c r="E311" s="42">
        <v>1480</v>
      </c>
      <c r="F311" s="42">
        <v>1480</v>
      </c>
      <c r="G311" s="42">
        <v>20</v>
      </c>
    </row>
    <row r="312" spans="1:7">
      <c r="A312" s="42" t="s">
        <v>386</v>
      </c>
      <c r="B312" s="43">
        <v>42494</v>
      </c>
      <c r="C312" s="42">
        <v>1480</v>
      </c>
      <c r="D312" s="42">
        <v>1480</v>
      </c>
      <c r="E312" s="42">
        <v>1480</v>
      </c>
      <c r="F312" s="42">
        <v>1480</v>
      </c>
      <c r="G312" s="42">
        <v>20</v>
      </c>
    </row>
    <row r="313" spans="1:7">
      <c r="A313" s="42" t="s">
        <v>386</v>
      </c>
      <c r="B313" s="43">
        <v>42495</v>
      </c>
      <c r="C313" s="42">
        <v>1480</v>
      </c>
      <c r="D313" s="42">
        <v>1480</v>
      </c>
      <c r="E313" s="42">
        <v>1480</v>
      </c>
      <c r="F313" s="42">
        <v>1480</v>
      </c>
      <c r="G313" s="42">
        <v>620</v>
      </c>
    </row>
    <row r="314" spans="1:7">
      <c r="A314" s="42" t="s">
        <v>386</v>
      </c>
      <c r="B314" s="43">
        <v>42496</v>
      </c>
      <c r="C314" s="42">
        <v>1480</v>
      </c>
      <c r="D314" s="42">
        <v>1525</v>
      </c>
      <c r="E314" s="42">
        <v>1480</v>
      </c>
      <c r="F314" s="42">
        <v>1480</v>
      </c>
      <c r="G314" s="42">
        <v>860</v>
      </c>
    </row>
    <row r="315" spans="1:7">
      <c r="A315" s="42" t="s">
        <v>386</v>
      </c>
      <c r="B315" s="43">
        <v>42499</v>
      </c>
      <c r="C315" s="42">
        <v>1480</v>
      </c>
      <c r="D315" s="42">
        <v>1481</v>
      </c>
      <c r="E315" s="42">
        <v>1480</v>
      </c>
      <c r="F315" s="42">
        <v>1480</v>
      </c>
      <c r="G315" s="42">
        <v>660</v>
      </c>
    </row>
    <row r="316" spans="1:7">
      <c r="A316" s="42" t="s">
        <v>386</v>
      </c>
      <c r="B316" s="43">
        <v>42500</v>
      </c>
      <c r="C316" s="42">
        <v>1481</v>
      </c>
      <c r="D316" s="42">
        <v>1524</v>
      </c>
      <c r="E316" s="42">
        <v>1480</v>
      </c>
      <c r="F316" s="42">
        <v>1524</v>
      </c>
      <c r="G316" s="42">
        <v>1500</v>
      </c>
    </row>
    <row r="317" spans="1:7">
      <c r="A317" s="42" t="s">
        <v>386</v>
      </c>
      <c r="B317" s="43">
        <v>42501</v>
      </c>
      <c r="C317" s="42">
        <v>1480</v>
      </c>
      <c r="D317" s="42">
        <v>1480</v>
      </c>
      <c r="E317" s="42">
        <v>1480</v>
      </c>
      <c r="F317" s="42">
        <v>1480</v>
      </c>
      <c r="G317" s="42">
        <v>1520</v>
      </c>
    </row>
    <row r="318" spans="1:7">
      <c r="A318" s="42" t="s">
        <v>386</v>
      </c>
      <c r="B318" s="43">
        <v>42502</v>
      </c>
      <c r="C318" s="42">
        <v>1485</v>
      </c>
      <c r="D318" s="42">
        <v>1485</v>
      </c>
      <c r="E318" s="42">
        <v>1485</v>
      </c>
      <c r="F318" s="42">
        <v>1485</v>
      </c>
      <c r="G318" s="42">
        <v>20</v>
      </c>
    </row>
    <row r="319" spans="1:7">
      <c r="A319" s="42" t="s">
        <v>386</v>
      </c>
      <c r="B319" s="43">
        <v>42503</v>
      </c>
      <c r="C319" s="42">
        <v>1480</v>
      </c>
      <c r="D319" s="42">
        <v>1498</v>
      </c>
      <c r="E319" s="42">
        <v>1480</v>
      </c>
      <c r="F319" s="42">
        <v>1496.15</v>
      </c>
      <c r="G319" s="42">
        <v>1040</v>
      </c>
    </row>
    <row r="320" spans="1:7">
      <c r="A320" s="42" t="s">
        <v>386</v>
      </c>
      <c r="B320" s="43">
        <v>42506</v>
      </c>
      <c r="C320" s="42">
        <v>1499</v>
      </c>
      <c r="D320" s="42">
        <v>1500</v>
      </c>
      <c r="E320" s="42">
        <v>1494</v>
      </c>
      <c r="F320" s="42">
        <v>1499</v>
      </c>
      <c r="G320" s="42">
        <v>880</v>
      </c>
    </row>
    <row r="321" spans="1:7">
      <c r="A321" s="42" t="s">
        <v>386</v>
      </c>
      <c r="B321" s="43">
        <v>42508</v>
      </c>
      <c r="C321" s="42">
        <v>1479</v>
      </c>
      <c r="D321" s="42">
        <v>1480</v>
      </c>
      <c r="E321" s="42">
        <v>1479</v>
      </c>
      <c r="F321" s="42">
        <v>1480</v>
      </c>
      <c r="G321" s="42">
        <v>100</v>
      </c>
    </row>
    <row r="322" spans="1:7">
      <c r="A322" s="42" t="s">
        <v>386</v>
      </c>
      <c r="B322" s="43">
        <v>42509</v>
      </c>
      <c r="C322" s="42">
        <v>1498</v>
      </c>
      <c r="D322" s="42">
        <v>1499</v>
      </c>
      <c r="E322" s="42">
        <v>1498</v>
      </c>
      <c r="F322" s="42">
        <v>1499</v>
      </c>
      <c r="G322" s="42">
        <v>40</v>
      </c>
    </row>
    <row r="323" spans="1:7">
      <c r="A323" s="42" t="s">
        <v>386</v>
      </c>
      <c r="B323" s="43">
        <v>42510</v>
      </c>
      <c r="C323" s="42">
        <v>1482</v>
      </c>
      <c r="D323" s="42">
        <v>1482</v>
      </c>
      <c r="E323" s="42">
        <v>1482</v>
      </c>
      <c r="F323" s="42">
        <v>1482</v>
      </c>
      <c r="G323" s="42">
        <v>800</v>
      </c>
    </row>
    <row r="324" spans="1:7">
      <c r="A324" s="42" t="s">
        <v>386</v>
      </c>
      <c r="B324" s="43">
        <v>42513</v>
      </c>
      <c r="C324" s="42">
        <v>1482.5</v>
      </c>
      <c r="D324" s="42">
        <v>1482.5</v>
      </c>
      <c r="E324" s="42">
        <v>1482.5</v>
      </c>
      <c r="F324" s="42">
        <v>1482.5</v>
      </c>
      <c r="G324" s="42">
        <v>800</v>
      </c>
    </row>
    <row r="325" spans="1:7">
      <c r="A325" s="42" t="s">
        <v>386</v>
      </c>
      <c r="B325" s="43">
        <v>42516</v>
      </c>
      <c r="C325" s="42">
        <v>1490</v>
      </c>
      <c r="D325" s="42">
        <v>1500</v>
      </c>
      <c r="E325" s="42">
        <v>1490</v>
      </c>
      <c r="F325" s="42">
        <v>1500</v>
      </c>
      <c r="G325" s="42">
        <v>60</v>
      </c>
    </row>
    <row r="326" spans="1:7">
      <c r="A326" s="42" t="s">
        <v>386</v>
      </c>
      <c r="B326" s="43">
        <v>42517</v>
      </c>
      <c r="C326" s="42">
        <v>1525</v>
      </c>
      <c r="D326" s="42">
        <v>1525</v>
      </c>
      <c r="E326" s="42">
        <v>1525</v>
      </c>
      <c r="F326" s="42">
        <v>1525</v>
      </c>
      <c r="G326" s="42">
        <v>800</v>
      </c>
    </row>
    <row r="327" spans="1:7">
      <c r="A327" s="42" t="s">
        <v>386</v>
      </c>
      <c r="B327" s="43">
        <v>42520</v>
      </c>
      <c r="C327" s="42">
        <v>1524</v>
      </c>
      <c r="D327" s="42">
        <v>1524</v>
      </c>
      <c r="E327" s="42">
        <v>1480</v>
      </c>
      <c r="F327" s="42">
        <v>1480</v>
      </c>
      <c r="G327" s="42">
        <v>820</v>
      </c>
    </row>
    <row r="328" spans="1:7">
      <c r="A328" s="42" t="s">
        <v>386</v>
      </c>
      <c r="B328" s="43">
        <v>42521</v>
      </c>
      <c r="C328" s="42">
        <v>1480</v>
      </c>
      <c r="D328" s="42">
        <v>1480</v>
      </c>
      <c r="E328" s="42">
        <v>1480</v>
      </c>
      <c r="F328" s="42">
        <v>1480</v>
      </c>
      <c r="G328" s="42">
        <v>20</v>
      </c>
    </row>
    <row r="329" spans="1:7">
      <c r="A329" s="42" t="s">
        <v>386</v>
      </c>
      <c r="B329" s="43">
        <v>42522</v>
      </c>
      <c r="C329" s="42">
        <v>1480</v>
      </c>
      <c r="D329" s="42">
        <v>1480</v>
      </c>
      <c r="E329" s="42">
        <v>1480</v>
      </c>
      <c r="F329" s="42">
        <v>1480</v>
      </c>
      <c r="G329" s="42">
        <v>20</v>
      </c>
    </row>
    <row r="330" spans="1:7">
      <c r="A330" s="42" t="s">
        <v>386</v>
      </c>
      <c r="B330" s="43">
        <v>42524</v>
      </c>
      <c r="C330" s="42">
        <v>1525</v>
      </c>
      <c r="D330" s="42">
        <v>1525</v>
      </c>
      <c r="E330" s="42">
        <v>1525</v>
      </c>
      <c r="F330" s="42">
        <v>1525</v>
      </c>
      <c r="G330" s="42">
        <v>800</v>
      </c>
    </row>
    <row r="331" spans="1:7">
      <c r="A331" s="42" t="s">
        <v>386</v>
      </c>
      <c r="B331" s="43">
        <v>42527</v>
      </c>
      <c r="C331" s="42">
        <v>1524</v>
      </c>
      <c r="D331" s="42">
        <v>1524</v>
      </c>
      <c r="E331" s="42">
        <v>1524</v>
      </c>
      <c r="F331" s="42">
        <v>1524</v>
      </c>
      <c r="G331" s="42">
        <v>800</v>
      </c>
    </row>
    <row r="332" spans="1:7">
      <c r="A332" s="42" t="s">
        <v>386</v>
      </c>
      <c r="B332" s="43">
        <v>42531</v>
      </c>
      <c r="C332" s="42">
        <v>1500</v>
      </c>
      <c r="D332" s="42">
        <v>1500</v>
      </c>
      <c r="E332" s="42">
        <v>1500</v>
      </c>
      <c r="F332" s="42">
        <v>1500</v>
      </c>
      <c r="G332" s="42">
        <v>800</v>
      </c>
    </row>
    <row r="333" spans="1:7">
      <c r="A333" s="42" t="s">
        <v>386</v>
      </c>
      <c r="B333" s="43">
        <v>42534</v>
      </c>
      <c r="C333" s="42">
        <v>1499.99</v>
      </c>
      <c r="D333" s="42">
        <v>1499.99</v>
      </c>
      <c r="E333" s="42">
        <v>1499.99</v>
      </c>
      <c r="F333" s="42">
        <v>1499.99</v>
      </c>
      <c r="G333" s="42">
        <v>800</v>
      </c>
    </row>
    <row r="334" spans="1:7">
      <c r="A334" s="42" t="s">
        <v>386</v>
      </c>
      <c r="B334" s="43">
        <v>42538</v>
      </c>
      <c r="C334" s="42">
        <v>1550</v>
      </c>
      <c r="D334" s="42">
        <v>1550</v>
      </c>
      <c r="E334" s="42">
        <v>1550</v>
      </c>
      <c r="F334" s="42">
        <v>1550</v>
      </c>
      <c r="G334" s="42">
        <v>800</v>
      </c>
    </row>
    <row r="335" spans="1:7">
      <c r="A335" s="42" t="s">
        <v>386</v>
      </c>
      <c r="B335" s="43">
        <v>42541</v>
      </c>
      <c r="C335" s="42">
        <v>1549</v>
      </c>
      <c r="D335" s="42">
        <v>1549</v>
      </c>
      <c r="E335" s="42">
        <v>1500</v>
      </c>
      <c r="F335" s="42">
        <v>1500</v>
      </c>
      <c r="G335" s="42">
        <v>900</v>
      </c>
    </row>
    <row r="336" spans="1:7">
      <c r="A336" s="42" t="s">
        <v>386</v>
      </c>
      <c r="B336" s="43">
        <v>42545</v>
      </c>
      <c r="C336" s="42">
        <v>1540</v>
      </c>
      <c r="D336" s="42">
        <v>1540</v>
      </c>
      <c r="E336" s="42">
        <v>1540</v>
      </c>
      <c r="F336" s="42">
        <v>1540</v>
      </c>
      <c r="G336" s="42">
        <v>800</v>
      </c>
    </row>
    <row r="337" spans="1:7">
      <c r="A337" s="42" t="s">
        <v>386</v>
      </c>
      <c r="B337" s="43">
        <v>42548</v>
      </c>
      <c r="C337" s="42">
        <v>1541</v>
      </c>
      <c r="D337" s="42">
        <v>1541</v>
      </c>
      <c r="E337" s="42">
        <v>1515</v>
      </c>
      <c r="F337" s="42">
        <v>1515</v>
      </c>
      <c r="G337" s="42">
        <v>820</v>
      </c>
    </row>
    <row r="338" spans="1:7">
      <c r="A338" s="42" t="s">
        <v>386</v>
      </c>
      <c r="B338" s="43">
        <v>42551</v>
      </c>
      <c r="C338" s="42">
        <v>1525</v>
      </c>
      <c r="D338" s="42">
        <v>1525</v>
      </c>
      <c r="E338" s="42">
        <v>1525</v>
      </c>
      <c r="F338" s="42">
        <v>1525</v>
      </c>
      <c r="G338" s="42">
        <v>800</v>
      </c>
    </row>
    <row r="339" spans="1:7">
      <c r="A339" s="42" t="s">
        <v>386</v>
      </c>
      <c r="B339" s="43">
        <v>42555</v>
      </c>
      <c r="C339" s="42">
        <v>1460</v>
      </c>
      <c r="D339" s="42">
        <v>1460</v>
      </c>
      <c r="E339" s="42">
        <v>1460</v>
      </c>
      <c r="F339" s="42">
        <v>1460</v>
      </c>
      <c r="G339" s="42">
        <v>20</v>
      </c>
    </row>
    <row r="340" spans="1:7">
      <c r="A340" s="42" t="s">
        <v>386</v>
      </c>
      <c r="B340" s="43">
        <v>42564</v>
      </c>
      <c r="C340" s="42">
        <v>1519.99</v>
      </c>
      <c r="D340" s="42">
        <v>1519.99</v>
      </c>
      <c r="E340" s="42">
        <v>1519.99</v>
      </c>
      <c r="F340" s="42">
        <v>1519.99</v>
      </c>
      <c r="G340" s="42">
        <v>800</v>
      </c>
    </row>
    <row r="341" spans="1:7">
      <c r="A341" s="42" t="s">
        <v>386</v>
      </c>
      <c r="B341" s="43">
        <v>42566</v>
      </c>
      <c r="C341" s="42">
        <v>1500</v>
      </c>
      <c r="D341" s="42">
        <v>1500</v>
      </c>
      <c r="E341" s="42">
        <v>1500</v>
      </c>
      <c r="F341" s="42">
        <v>1500</v>
      </c>
      <c r="G341" s="42">
        <v>760</v>
      </c>
    </row>
    <row r="342" spans="1:7">
      <c r="A342" s="42" t="s">
        <v>386</v>
      </c>
      <c r="B342" s="43">
        <v>42569</v>
      </c>
      <c r="C342" s="42">
        <v>1499</v>
      </c>
      <c r="D342" s="42">
        <v>1499</v>
      </c>
      <c r="E342" s="42">
        <v>1499</v>
      </c>
      <c r="F342" s="42">
        <v>1499</v>
      </c>
      <c r="G342" s="42">
        <v>760</v>
      </c>
    </row>
    <row r="343" spans="1:7">
      <c r="A343" s="42" t="s">
        <v>386</v>
      </c>
      <c r="B343" s="43">
        <v>42570</v>
      </c>
      <c r="C343" s="42">
        <v>1490</v>
      </c>
      <c r="D343" s="42">
        <v>1490</v>
      </c>
      <c r="E343" s="42">
        <v>1490</v>
      </c>
      <c r="F343" s="42">
        <v>1490</v>
      </c>
      <c r="G343" s="42">
        <v>300</v>
      </c>
    </row>
    <row r="344" spans="1:7">
      <c r="A344" s="42" t="s">
        <v>386</v>
      </c>
      <c r="B344" s="43">
        <v>42572</v>
      </c>
      <c r="C344" s="42">
        <v>1498</v>
      </c>
      <c r="D344" s="42">
        <v>1498</v>
      </c>
      <c r="E344" s="42">
        <v>1498</v>
      </c>
      <c r="F344" s="42">
        <v>1498</v>
      </c>
      <c r="G344" s="42">
        <v>20</v>
      </c>
    </row>
    <row r="345" spans="1:7">
      <c r="A345" s="42" t="s">
        <v>386</v>
      </c>
      <c r="B345" s="43">
        <v>42573</v>
      </c>
      <c r="C345" s="42">
        <v>1500</v>
      </c>
      <c r="D345" s="42">
        <v>1500</v>
      </c>
      <c r="E345" s="42">
        <v>1480</v>
      </c>
      <c r="F345" s="42">
        <v>1499.99</v>
      </c>
      <c r="G345" s="42">
        <v>2280</v>
      </c>
    </row>
    <row r="346" spans="1:7">
      <c r="A346" s="42" t="s">
        <v>386</v>
      </c>
      <c r="B346" s="43">
        <v>42576</v>
      </c>
      <c r="C346" s="42">
        <v>1425.01</v>
      </c>
      <c r="D346" s="42">
        <v>1499</v>
      </c>
      <c r="E346" s="42">
        <v>1425.01</v>
      </c>
      <c r="F346" s="42">
        <v>1480</v>
      </c>
      <c r="G346" s="42">
        <v>840</v>
      </c>
    </row>
    <row r="347" spans="1:7">
      <c r="A347" s="42" t="s">
        <v>386</v>
      </c>
      <c r="B347" s="43">
        <v>42579</v>
      </c>
      <c r="C347" s="42">
        <v>1499</v>
      </c>
      <c r="D347" s="42">
        <v>1519</v>
      </c>
      <c r="E347" s="42">
        <v>1499</v>
      </c>
      <c r="F347" s="42">
        <v>1500</v>
      </c>
      <c r="G347" s="42">
        <v>720</v>
      </c>
    </row>
    <row r="348" spans="1:7">
      <c r="A348" s="42" t="s">
        <v>386</v>
      </c>
      <c r="B348" s="43">
        <v>42580</v>
      </c>
      <c r="C348" s="42">
        <v>1500</v>
      </c>
      <c r="D348" s="42">
        <v>1500</v>
      </c>
      <c r="E348" s="42">
        <v>1495</v>
      </c>
      <c r="F348" s="42">
        <v>1495</v>
      </c>
      <c r="G348" s="42">
        <v>900</v>
      </c>
    </row>
    <row r="349" spans="1:7">
      <c r="A349" s="42" t="s">
        <v>386</v>
      </c>
      <c r="B349" s="43">
        <v>42583</v>
      </c>
      <c r="C349" s="42">
        <v>1494</v>
      </c>
      <c r="D349" s="42">
        <v>1500</v>
      </c>
      <c r="E349" s="42">
        <v>1494</v>
      </c>
      <c r="F349" s="42">
        <v>1500</v>
      </c>
      <c r="G349" s="42">
        <v>820</v>
      </c>
    </row>
    <row r="350" spans="1:7">
      <c r="A350" s="42" t="s">
        <v>386</v>
      </c>
      <c r="B350" s="43">
        <v>42585</v>
      </c>
      <c r="C350" s="42">
        <v>1461.53</v>
      </c>
      <c r="D350" s="42">
        <v>1461.53</v>
      </c>
      <c r="E350" s="42">
        <v>1460</v>
      </c>
      <c r="F350" s="42">
        <v>1460.69</v>
      </c>
      <c r="G350" s="42">
        <v>60</v>
      </c>
    </row>
    <row r="351" spans="1:7">
      <c r="A351" s="42" t="s">
        <v>386</v>
      </c>
      <c r="B351" s="43">
        <v>42586</v>
      </c>
      <c r="C351" s="42">
        <v>1450.01</v>
      </c>
      <c r="D351" s="42">
        <v>1479.98</v>
      </c>
      <c r="E351" s="42">
        <v>1445</v>
      </c>
      <c r="F351" s="42">
        <v>1479.98</v>
      </c>
      <c r="G351" s="42">
        <v>580</v>
      </c>
    </row>
    <row r="352" spans="1:7">
      <c r="A352" s="42" t="s">
        <v>386</v>
      </c>
      <c r="B352" s="43">
        <v>42587</v>
      </c>
      <c r="C352" s="42">
        <v>1450</v>
      </c>
      <c r="D352" s="42">
        <v>1500</v>
      </c>
      <c r="E352" s="42">
        <v>1450</v>
      </c>
      <c r="F352" s="42">
        <v>1499</v>
      </c>
      <c r="G352" s="42">
        <v>1280</v>
      </c>
    </row>
    <row r="353" spans="1:7">
      <c r="A353" s="42" t="s">
        <v>386</v>
      </c>
      <c r="B353" s="43">
        <v>42590</v>
      </c>
      <c r="C353" s="42">
        <v>1501</v>
      </c>
      <c r="D353" s="42">
        <v>1505</v>
      </c>
      <c r="E353" s="42">
        <v>1500</v>
      </c>
      <c r="F353" s="42">
        <v>1500</v>
      </c>
      <c r="G353" s="42">
        <v>3920</v>
      </c>
    </row>
    <row r="354" spans="1:7">
      <c r="A354" s="42" t="s">
        <v>386</v>
      </c>
      <c r="B354" s="43">
        <v>42591</v>
      </c>
      <c r="C354" s="42">
        <v>1500</v>
      </c>
      <c r="D354" s="42">
        <v>1500</v>
      </c>
      <c r="E354" s="42">
        <v>1490</v>
      </c>
      <c r="F354" s="42">
        <v>1490</v>
      </c>
      <c r="G354" s="42">
        <v>800</v>
      </c>
    </row>
    <row r="355" spans="1:7">
      <c r="A355" s="42" t="s">
        <v>386</v>
      </c>
      <c r="B355" s="43">
        <v>42592</v>
      </c>
      <c r="C355" s="42">
        <v>1490</v>
      </c>
      <c r="D355" s="42">
        <v>1499</v>
      </c>
      <c r="E355" s="42">
        <v>1490</v>
      </c>
      <c r="F355" s="42">
        <v>1499</v>
      </c>
      <c r="G355" s="42">
        <v>340</v>
      </c>
    </row>
    <row r="356" spans="1:7">
      <c r="A356" s="42" t="s">
        <v>386</v>
      </c>
      <c r="B356" s="43">
        <v>42593</v>
      </c>
      <c r="C356" s="42">
        <v>1490</v>
      </c>
      <c r="D356" s="42">
        <v>1490</v>
      </c>
      <c r="E356" s="42">
        <v>1441</v>
      </c>
      <c r="F356" s="42">
        <v>1449.4</v>
      </c>
      <c r="G356" s="42">
        <v>600</v>
      </c>
    </row>
    <row r="357" spans="1:7">
      <c r="A357" s="42" t="s">
        <v>386</v>
      </c>
      <c r="B357" s="43">
        <v>42594</v>
      </c>
      <c r="C357" s="42">
        <v>1484</v>
      </c>
      <c r="D357" s="42">
        <v>1510</v>
      </c>
      <c r="E357" s="42">
        <v>1479</v>
      </c>
      <c r="F357" s="42">
        <v>1501.45</v>
      </c>
      <c r="G357" s="42">
        <v>9840</v>
      </c>
    </row>
    <row r="358" spans="1:7">
      <c r="A358" s="42" t="s">
        <v>386</v>
      </c>
      <c r="B358" s="43">
        <v>42597</v>
      </c>
      <c r="C358" s="42">
        <v>1500</v>
      </c>
      <c r="D358" s="42">
        <v>1570</v>
      </c>
      <c r="E358" s="42">
        <v>1499.99</v>
      </c>
      <c r="F358" s="42">
        <v>1500.39</v>
      </c>
      <c r="G358" s="42">
        <v>3440</v>
      </c>
    </row>
    <row r="359" spans="1:7">
      <c r="A359" s="42" t="s">
        <v>386</v>
      </c>
      <c r="B359" s="43">
        <v>42599</v>
      </c>
      <c r="C359" s="42">
        <v>1426.01</v>
      </c>
      <c r="D359" s="42">
        <v>1500.01</v>
      </c>
      <c r="E359" s="42">
        <v>1426.01</v>
      </c>
      <c r="F359" s="42">
        <v>1500</v>
      </c>
      <c r="G359" s="42">
        <v>380</v>
      </c>
    </row>
    <row r="360" spans="1:7">
      <c r="A360" s="42" t="s">
        <v>386</v>
      </c>
      <c r="B360" s="43">
        <v>42600</v>
      </c>
      <c r="C360" s="42">
        <v>1568</v>
      </c>
      <c r="D360" s="42">
        <v>1568</v>
      </c>
      <c r="E360" s="42">
        <v>1568</v>
      </c>
      <c r="F360" s="42">
        <v>1568</v>
      </c>
      <c r="G360" s="42">
        <v>20</v>
      </c>
    </row>
    <row r="361" spans="1:7">
      <c r="A361" s="42" t="s">
        <v>386</v>
      </c>
      <c r="B361" s="43">
        <v>42601</v>
      </c>
      <c r="C361" s="42">
        <v>1540</v>
      </c>
      <c r="D361" s="42">
        <v>1540</v>
      </c>
      <c r="E361" s="42">
        <v>1492</v>
      </c>
      <c r="F361" s="42">
        <v>1540</v>
      </c>
      <c r="G361" s="42">
        <v>1000</v>
      </c>
    </row>
    <row r="362" spans="1:7">
      <c r="A362" s="42" t="s">
        <v>386</v>
      </c>
      <c r="B362" s="43">
        <v>42604</v>
      </c>
      <c r="C362" s="42">
        <v>1541</v>
      </c>
      <c r="D362" s="42">
        <v>1541</v>
      </c>
      <c r="E362" s="42">
        <v>1500</v>
      </c>
      <c r="F362" s="42">
        <v>1500</v>
      </c>
      <c r="G362" s="42">
        <v>840</v>
      </c>
    </row>
    <row r="363" spans="1:7">
      <c r="A363" s="42" t="s">
        <v>386</v>
      </c>
      <c r="B363" s="43">
        <v>42605</v>
      </c>
      <c r="C363" s="42">
        <v>1500</v>
      </c>
      <c r="D363" s="42">
        <v>1500</v>
      </c>
      <c r="E363" s="42">
        <v>1500</v>
      </c>
      <c r="F363" s="42">
        <v>1500</v>
      </c>
      <c r="G363" s="42">
        <v>540</v>
      </c>
    </row>
    <row r="364" spans="1:7">
      <c r="A364" s="42" t="s">
        <v>386</v>
      </c>
      <c r="B364" s="43">
        <v>42606</v>
      </c>
      <c r="C364" s="42">
        <v>1520</v>
      </c>
      <c r="D364" s="42">
        <v>1535</v>
      </c>
      <c r="E364" s="42">
        <v>1520</v>
      </c>
      <c r="F364" s="42">
        <v>1535</v>
      </c>
      <c r="G364" s="42">
        <v>100</v>
      </c>
    </row>
    <row r="365" spans="1:7">
      <c r="A365" s="42" t="s">
        <v>386</v>
      </c>
      <c r="B365" s="43">
        <v>42608</v>
      </c>
      <c r="C365" s="42">
        <v>1535</v>
      </c>
      <c r="D365" s="42">
        <v>1535</v>
      </c>
      <c r="E365" s="42">
        <v>1535</v>
      </c>
      <c r="F365" s="42">
        <v>1535</v>
      </c>
      <c r="G365" s="42">
        <v>760</v>
      </c>
    </row>
    <row r="366" spans="1:7">
      <c r="A366" s="42" t="s">
        <v>386</v>
      </c>
      <c r="B366" s="43">
        <v>42611</v>
      </c>
      <c r="C366" s="42">
        <v>1500</v>
      </c>
      <c r="D366" s="42">
        <v>1500</v>
      </c>
      <c r="E366" s="42">
        <v>1470</v>
      </c>
      <c r="F366" s="42">
        <v>1470</v>
      </c>
      <c r="G366" s="42">
        <v>760</v>
      </c>
    </row>
    <row r="367" spans="1:7">
      <c r="A367" s="42" t="s">
        <v>386</v>
      </c>
      <c r="B367" s="43">
        <v>42612</v>
      </c>
      <c r="C367" s="42">
        <v>1536.5</v>
      </c>
      <c r="D367" s="42">
        <v>1536.5</v>
      </c>
      <c r="E367" s="42">
        <v>1500</v>
      </c>
      <c r="F367" s="42">
        <v>1500.67</v>
      </c>
      <c r="G367" s="42">
        <v>460</v>
      </c>
    </row>
    <row r="368" spans="1:7">
      <c r="A368" s="42" t="s">
        <v>386</v>
      </c>
      <c r="B368" s="43">
        <v>42613</v>
      </c>
      <c r="C368" s="42">
        <v>1480</v>
      </c>
      <c r="D368" s="42">
        <v>1480</v>
      </c>
      <c r="E368" s="42">
        <v>1475</v>
      </c>
      <c r="F368" s="42">
        <v>1477.5</v>
      </c>
      <c r="G368" s="42">
        <v>40</v>
      </c>
    </row>
    <row r="369" spans="1:7">
      <c r="A369" s="42" t="s">
        <v>386</v>
      </c>
      <c r="B369" s="43">
        <v>42614</v>
      </c>
      <c r="C369" s="42">
        <v>1548</v>
      </c>
      <c r="D369" s="42">
        <v>1548</v>
      </c>
      <c r="E369" s="42">
        <v>1530</v>
      </c>
      <c r="F369" s="42">
        <v>1530</v>
      </c>
      <c r="G369" s="42">
        <v>40</v>
      </c>
    </row>
    <row r="370" spans="1:7">
      <c r="A370" s="42" t="s">
        <v>386</v>
      </c>
      <c r="B370" s="43">
        <v>42615</v>
      </c>
      <c r="C370" s="42">
        <v>1525</v>
      </c>
      <c r="D370" s="42">
        <v>1525</v>
      </c>
      <c r="E370" s="42">
        <v>1490</v>
      </c>
      <c r="F370" s="42">
        <v>1490</v>
      </c>
      <c r="G370" s="42">
        <v>900</v>
      </c>
    </row>
    <row r="371" spans="1:7">
      <c r="A371" s="42" t="s">
        <v>386</v>
      </c>
      <c r="B371" s="43">
        <v>42618</v>
      </c>
      <c r="C371" s="42">
        <v>1490</v>
      </c>
      <c r="D371" s="42">
        <v>1529</v>
      </c>
      <c r="E371" s="42">
        <v>1458</v>
      </c>
      <c r="F371" s="42">
        <v>1460</v>
      </c>
      <c r="G371" s="42">
        <v>1040</v>
      </c>
    </row>
    <row r="372" spans="1:7">
      <c r="A372" s="42" t="s">
        <v>386</v>
      </c>
      <c r="B372" s="43">
        <v>42619</v>
      </c>
      <c r="C372" s="42">
        <v>1495</v>
      </c>
      <c r="D372" s="42">
        <v>1495</v>
      </c>
      <c r="E372" s="42">
        <v>1450</v>
      </c>
      <c r="F372" s="42">
        <v>1450</v>
      </c>
      <c r="G372" s="42">
        <v>280</v>
      </c>
    </row>
    <row r="373" spans="1:7">
      <c r="A373" s="42" t="s">
        <v>386</v>
      </c>
      <c r="B373" s="43">
        <v>42620</v>
      </c>
      <c r="C373" s="42">
        <v>1492</v>
      </c>
      <c r="D373" s="42">
        <v>1495</v>
      </c>
      <c r="E373" s="42">
        <v>1492</v>
      </c>
      <c r="F373" s="42">
        <v>1495</v>
      </c>
      <c r="G373" s="42">
        <v>60</v>
      </c>
    </row>
    <row r="374" spans="1:7">
      <c r="A374" s="42" t="s">
        <v>386</v>
      </c>
      <c r="B374" s="43">
        <v>42621</v>
      </c>
      <c r="C374" s="42">
        <v>1500</v>
      </c>
      <c r="D374" s="42">
        <v>1510</v>
      </c>
      <c r="E374" s="42">
        <v>1500</v>
      </c>
      <c r="F374" s="42">
        <v>1510</v>
      </c>
      <c r="G374" s="42">
        <v>40</v>
      </c>
    </row>
    <row r="375" spans="1:7">
      <c r="A375" s="42" t="s">
        <v>386</v>
      </c>
      <c r="B375" s="43">
        <v>42622</v>
      </c>
      <c r="C375" s="42">
        <v>1540</v>
      </c>
      <c r="D375" s="42">
        <v>1540</v>
      </c>
      <c r="E375" s="42">
        <v>1540</v>
      </c>
      <c r="F375" s="42">
        <v>1540</v>
      </c>
      <c r="G375" s="42">
        <v>800</v>
      </c>
    </row>
    <row r="376" spans="1:7">
      <c r="A376" s="42" t="s">
        <v>386</v>
      </c>
      <c r="B376" s="43">
        <v>42628</v>
      </c>
      <c r="C376" s="42">
        <v>1539</v>
      </c>
      <c r="D376" s="42">
        <v>1539</v>
      </c>
      <c r="E376" s="42">
        <v>1501</v>
      </c>
      <c r="F376" s="42">
        <v>1501</v>
      </c>
      <c r="G376" s="42">
        <v>820</v>
      </c>
    </row>
    <row r="377" spans="1:7">
      <c r="A377" s="42" t="s">
        <v>386</v>
      </c>
      <c r="B377" s="43">
        <v>42629</v>
      </c>
      <c r="C377" s="42">
        <v>1476</v>
      </c>
      <c r="D377" s="42">
        <v>1500</v>
      </c>
      <c r="E377" s="42">
        <v>1476</v>
      </c>
      <c r="F377" s="42">
        <v>1500</v>
      </c>
      <c r="G377" s="42">
        <v>820</v>
      </c>
    </row>
    <row r="378" spans="1:7">
      <c r="A378" s="42" t="s">
        <v>386</v>
      </c>
      <c r="B378" s="43">
        <v>42632</v>
      </c>
      <c r="C378" s="42">
        <v>1574</v>
      </c>
      <c r="D378" s="42">
        <v>1574</v>
      </c>
      <c r="E378" s="42">
        <v>1500.01</v>
      </c>
      <c r="F378" s="42">
        <v>1500.01</v>
      </c>
      <c r="G378" s="42">
        <v>620</v>
      </c>
    </row>
    <row r="379" spans="1:7">
      <c r="A379" s="42" t="s">
        <v>386</v>
      </c>
      <c r="B379" s="43">
        <v>42633</v>
      </c>
      <c r="C379" s="42">
        <v>1530</v>
      </c>
      <c r="D379" s="42">
        <v>1540</v>
      </c>
      <c r="E379" s="42">
        <v>1530</v>
      </c>
      <c r="F379" s="42">
        <v>1530</v>
      </c>
      <c r="G379" s="42">
        <v>440</v>
      </c>
    </row>
    <row r="380" spans="1:7">
      <c r="A380" s="42" t="s">
        <v>386</v>
      </c>
      <c r="B380" s="43">
        <v>42634</v>
      </c>
      <c r="C380" s="42">
        <v>1531</v>
      </c>
      <c r="D380" s="42">
        <v>1531</v>
      </c>
      <c r="E380" s="42">
        <v>1530</v>
      </c>
      <c r="F380" s="42">
        <v>1530.88</v>
      </c>
      <c r="G380" s="42">
        <v>880</v>
      </c>
    </row>
    <row r="381" spans="1:7">
      <c r="A381" s="42" t="s">
        <v>386</v>
      </c>
      <c r="B381" s="43">
        <v>42635</v>
      </c>
      <c r="C381" s="42">
        <v>1540</v>
      </c>
      <c r="D381" s="42">
        <v>1555</v>
      </c>
      <c r="E381" s="42">
        <v>1540</v>
      </c>
      <c r="F381" s="42">
        <v>1555</v>
      </c>
      <c r="G381" s="42">
        <v>540</v>
      </c>
    </row>
    <row r="382" spans="1:7">
      <c r="A382" s="42" t="s">
        <v>386</v>
      </c>
      <c r="B382" s="43">
        <v>42636</v>
      </c>
      <c r="C382" s="42">
        <v>1540</v>
      </c>
      <c r="D382" s="42">
        <v>1540</v>
      </c>
      <c r="E382" s="42">
        <v>1540</v>
      </c>
      <c r="F382" s="42">
        <v>1540</v>
      </c>
      <c r="G382" s="42">
        <v>20</v>
      </c>
    </row>
    <row r="383" spans="1:7">
      <c r="A383" s="42" t="s">
        <v>386</v>
      </c>
      <c r="B383" s="43">
        <v>42639</v>
      </c>
      <c r="C383" s="42">
        <v>1540</v>
      </c>
      <c r="D383" s="42">
        <v>1617</v>
      </c>
      <c r="E383" s="42">
        <v>1540</v>
      </c>
      <c r="F383" s="42">
        <v>1555</v>
      </c>
      <c r="G383" s="42">
        <v>680</v>
      </c>
    </row>
    <row r="384" spans="1:7">
      <c r="A384" s="42" t="s">
        <v>386</v>
      </c>
      <c r="B384" s="43">
        <v>42640</v>
      </c>
      <c r="C384" s="42">
        <v>1570</v>
      </c>
      <c r="D384" s="42">
        <v>1587.77</v>
      </c>
      <c r="E384" s="42">
        <v>1565</v>
      </c>
      <c r="F384" s="42">
        <v>1587.77</v>
      </c>
      <c r="G384" s="42">
        <v>260</v>
      </c>
    </row>
    <row r="385" spans="1:7">
      <c r="A385" s="42" t="s">
        <v>386</v>
      </c>
      <c r="B385" s="43">
        <v>42641</v>
      </c>
      <c r="C385" s="42">
        <v>1550</v>
      </c>
      <c r="D385" s="42">
        <v>1550</v>
      </c>
      <c r="E385" s="42">
        <v>1550</v>
      </c>
      <c r="F385" s="42">
        <v>1550</v>
      </c>
      <c r="G385" s="42">
        <v>320</v>
      </c>
    </row>
    <row r="386" spans="1:7">
      <c r="A386" s="42" t="s">
        <v>386</v>
      </c>
      <c r="B386" s="43">
        <v>42642</v>
      </c>
      <c r="C386" s="42">
        <v>1600</v>
      </c>
      <c r="D386" s="42">
        <v>1620</v>
      </c>
      <c r="E386" s="42">
        <v>1580</v>
      </c>
      <c r="F386" s="42">
        <v>1580</v>
      </c>
      <c r="G386" s="42">
        <v>280</v>
      </c>
    </row>
    <row r="387" spans="1:7">
      <c r="A387" s="42" t="s">
        <v>386</v>
      </c>
      <c r="B387" s="43">
        <v>42643</v>
      </c>
      <c r="C387" s="42">
        <v>1561</v>
      </c>
      <c r="D387" s="42">
        <v>1635</v>
      </c>
      <c r="E387" s="42">
        <v>1561</v>
      </c>
      <c r="F387" s="42">
        <v>1635</v>
      </c>
      <c r="G387" s="42">
        <v>840</v>
      </c>
    </row>
    <row r="388" spans="1:7">
      <c r="A388" s="42" t="s">
        <v>386</v>
      </c>
      <c r="B388" s="43">
        <v>42646</v>
      </c>
      <c r="C388" s="42">
        <v>1710</v>
      </c>
      <c r="D388" s="42">
        <v>1710</v>
      </c>
      <c r="E388" s="42">
        <v>1670</v>
      </c>
      <c r="F388" s="42">
        <v>1670</v>
      </c>
      <c r="G388" s="42">
        <v>860</v>
      </c>
    </row>
    <row r="389" spans="1:7">
      <c r="A389" s="42" t="s">
        <v>386</v>
      </c>
      <c r="B389" s="43">
        <v>42647</v>
      </c>
      <c r="C389" s="42">
        <v>1601</v>
      </c>
      <c r="D389" s="42">
        <v>1602</v>
      </c>
      <c r="E389" s="42">
        <v>1601</v>
      </c>
      <c r="F389" s="42">
        <v>1602</v>
      </c>
      <c r="G389" s="42">
        <v>6460</v>
      </c>
    </row>
    <row r="390" spans="1:7">
      <c r="A390" s="42" t="s">
        <v>386</v>
      </c>
      <c r="B390" s="43">
        <v>42648</v>
      </c>
      <c r="C390" s="42">
        <v>1600.01</v>
      </c>
      <c r="D390" s="42">
        <v>1605</v>
      </c>
      <c r="E390" s="42">
        <v>1600</v>
      </c>
      <c r="F390" s="42">
        <v>1605</v>
      </c>
      <c r="G390" s="42">
        <v>400</v>
      </c>
    </row>
    <row r="391" spans="1:7">
      <c r="A391" s="42" t="s">
        <v>386</v>
      </c>
      <c r="B391" s="43">
        <v>42649</v>
      </c>
      <c r="C391" s="42">
        <v>1650</v>
      </c>
      <c r="D391" s="42">
        <v>1685.25</v>
      </c>
      <c r="E391" s="42">
        <v>1650</v>
      </c>
      <c r="F391" s="42">
        <v>1685.25</v>
      </c>
      <c r="G391" s="42">
        <v>600</v>
      </c>
    </row>
    <row r="392" spans="1:7">
      <c r="A392" s="42" t="s">
        <v>386</v>
      </c>
      <c r="B392" s="43">
        <v>42650</v>
      </c>
      <c r="C392" s="42">
        <v>1690</v>
      </c>
      <c r="D392" s="42">
        <v>1766</v>
      </c>
      <c r="E392" s="42">
        <v>1690</v>
      </c>
      <c r="F392" s="42">
        <v>1766</v>
      </c>
      <c r="G392" s="42">
        <v>1020</v>
      </c>
    </row>
    <row r="393" spans="1:7">
      <c r="A393" s="42" t="s">
        <v>386</v>
      </c>
      <c r="B393" s="43">
        <v>42653</v>
      </c>
      <c r="C393" s="42">
        <v>1800</v>
      </c>
      <c r="D393" s="42">
        <v>1800</v>
      </c>
      <c r="E393" s="42">
        <v>1800</v>
      </c>
      <c r="F393" s="42">
        <v>1800</v>
      </c>
      <c r="G393" s="42">
        <v>1420</v>
      </c>
    </row>
    <row r="394" spans="1:7">
      <c r="A394" s="42" t="s">
        <v>386</v>
      </c>
      <c r="B394" s="43">
        <v>42657</v>
      </c>
      <c r="C394" s="42">
        <v>1725</v>
      </c>
      <c r="D394" s="42">
        <v>1730</v>
      </c>
      <c r="E394" s="42">
        <v>1725</v>
      </c>
      <c r="F394" s="42">
        <v>1727.86</v>
      </c>
      <c r="G394" s="42">
        <v>700</v>
      </c>
    </row>
    <row r="395" spans="1:7">
      <c r="A395" s="42" t="s">
        <v>386</v>
      </c>
      <c r="B395" s="43">
        <v>42660</v>
      </c>
      <c r="C395" s="42">
        <v>1730</v>
      </c>
      <c r="D395" s="42">
        <v>1730</v>
      </c>
      <c r="E395" s="42">
        <v>1675</v>
      </c>
      <c r="F395" s="42">
        <v>1725</v>
      </c>
      <c r="G395" s="42">
        <v>940</v>
      </c>
    </row>
    <row r="396" spans="1:7">
      <c r="A396" s="42" t="s">
        <v>386</v>
      </c>
      <c r="B396" s="43">
        <v>42661</v>
      </c>
      <c r="C396" s="42">
        <v>1725</v>
      </c>
      <c r="D396" s="42">
        <v>1725</v>
      </c>
      <c r="E396" s="42">
        <v>1700</v>
      </c>
      <c r="F396" s="42">
        <v>1725</v>
      </c>
      <c r="G396" s="42">
        <v>600</v>
      </c>
    </row>
    <row r="397" spans="1:7">
      <c r="A397" s="42" t="s">
        <v>386</v>
      </c>
      <c r="B397" s="43">
        <v>42671</v>
      </c>
      <c r="C397" s="42">
        <v>1640</v>
      </c>
      <c r="D397" s="42">
        <v>1640</v>
      </c>
      <c r="E397" s="42">
        <v>1640</v>
      </c>
      <c r="F397" s="42">
        <v>1640</v>
      </c>
      <c r="G397" s="42">
        <v>260</v>
      </c>
    </row>
    <row r="398" spans="1:7">
      <c r="A398" s="42" t="s">
        <v>386</v>
      </c>
      <c r="B398" s="43">
        <v>42674</v>
      </c>
      <c r="C398" s="42">
        <v>1600</v>
      </c>
      <c r="D398" s="42">
        <v>1600</v>
      </c>
      <c r="E398" s="42">
        <v>1600</v>
      </c>
      <c r="F398" s="42">
        <v>1600</v>
      </c>
      <c r="G398" s="42">
        <v>280</v>
      </c>
    </row>
    <row r="399" spans="1:7">
      <c r="A399" s="42" t="s">
        <v>386</v>
      </c>
      <c r="B399" s="43">
        <v>42678</v>
      </c>
      <c r="C399" s="42">
        <v>1550</v>
      </c>
      <c r="D399" s="42">
        <v>1550</v>
      </c>
      <c r="E399" s="42">
        <v>1550</v>
      </c>
      <c r="F399" s="42">
        <v>1550</v>
      </c>
      <c r="G399" s="42">
        <v>640</v>
      </c>
    </row>
    <row r="400" spans="1:7">
      <c r="A400" s="42" t="s">
        <v>386</v>
      </c>
      <c r="B400" s="43">
        <v>42681</v>
      </c>
      <c r="C400" s="42">
        <v>1565</v>
      </c>
      <c r="D400" s="42">
        <v>1575</v>
      </c>
      <c r="E400" s="42">
        <v>1565</v>
      </c>
      <c r="F400" s="42">
        <v>1575</v>
      </c>
      <c r="G400" s="42">
        <v>660</v>
      </c>
    </row>
    <row r="401" spans="1:7">
      <c r="A401" s="42" t="s">
        <v>386</v>
      </c>
      <c r="B401" s="43">
        <v>42682</v>
      </c>
      <c r="C401" s="42">
        <v>1550</v>
      </c>
      <c r="D401" s="42">
        <v>1575</v>
      </c>
      <c r="E401" s="42">
        <v>1500.01</v>
      </c>
      <c r="F401" s="42">
        <v>1565.5</v>
      </c>
      <c r="G401" s="42">
        <v>560</v>
      </c>
    </row>
    <row r="402" spans="1:7">
      <c r="A402" s="42" t="s">
        <v>386</v>
      </c>
      <c r="B402" s="43">
        <v>42683</v>
      </c>
      <c r="C402" s="42">
        <v>1560</v>
      </c>
      <c r="D402" s="42">
        <v>1620</v>
      </c>
      <c r="E402" s="42">
        <v>1560</v>
      </c>
      <c r="F402" s="42">
        <v>1607</v>
      </c>
      <c r="G402" s="42">
        <v>580</v>
      </c>
    </row>
    <row r="403" spans="1:7">
      <c r="A403" s="42" t="s">
        <v>386</v>
      </c>
      <c r="B403" s="43">
        <v>42684</v>
      </c>
      <c r="C403" s="42">
        <v>1580</v>
      </c>
      <c r="D403" s="42">
        <v>1625</v>
      </c>
      <c r="E403" s="42">
        <v>1580</v>
      </c>
      <c r="F403" s="42">
        <v>1621.25</v>
      </c>
      <c r="G403" s="42">
        <v>240</v>
      </c>
    </row>
    <row r="404" spans="1:7">
      <c r="A404" s="42" t="s">
        <v>386</v>
      </c>
      <c r="B404" s="43">
        <v>42691</v>
      </c>
      <c r="C404" s="42">
        <v>1640</v>
      </c>
      <c r="D404" s="42">
        <v>1640</v>
      </c>
      <c r="E404" s="42">
        <v>1640</v>
      </c>
      <c r="F404" s="42">
        <v>1640</v>
      </c>
      <c r="G404" s="42">
        <v>20</v>
      </c>
    </row>
    <row r="405" spans="1:7">
      <c r="A405" s="42" t="s">
        <v>386</v>
      </c>
      <c r="B405" s="43">
        <v>42692</v>
      </c>
      <c r="C405" s="42">
        <v>1600</v>
      </c>
      <c r="D405" s="42">
        <v>1600</v>
      </c>
      <c r="E405" s="42">
        <v>1600</v>
      </c>
      <c r="F405" s="42">
        <v>1600</v>
      </c>
      <c r="G405" s="42">
        <v>700</v>
      </c>
    </row>
    <row r="406" spans="1:7">
      <c r="A406" s="42" t="s">
        <v>386</v>
      </c>
      <c r="B406" s="43">
        <v>42695</v>
      </c>
      <c r="C406" s="42">
        <v>1598</v>
      </c>
      <c r="D406" s="42">
        <v>1598</v>
      </c>
      <c r="E406" s="42">
        <v>1598</v>
      </c>
      <c r="F406" s="42">
        <v>1598</v>
      </c>
      <c r="G406" s="42">
        <v>700</v>
      </c>
    </row>
    <row r="407" spans="1:7">
      <c r="A407" s="42" t="s">
        <v>386</v>
      </c>
      <c r="B407" s="43">
        <v>42696</v>
      </c>
      <c r="C407" s="42">
        <v>1600</v>
      </c>
      <c r="D407" s="42">
        <v>1677</v>
      </c>
      <c r="E407" s="42">
        <v>1600</v>
      </c>
      <c r="F407" s="42">
        <v>1677</v>
      </c>
      <c r="G407" s="42">
        <v>880</v>
      </c>
    </row>
    <row r="408" spans="1:7">
      <c r="A408" s="42" t="s">
        <v>386</v>
      </c>
      <c r="B408" s="43">
        <v>42698</v>
      </c>
      <c r="C408" s="42">
        <v>1690</v>
      </c>
      <c r="D408" s="42">
        <v>1710</v>
      </c>
      <c r="E408" s="42">
        <v>1650</v>
      </c>
      <c r="F408" s="42">
        <v>1650</v>
      </c>
      <c r="G408" s="42">
        <v>200</v>
      </c>
    </row>
    <row r="409" spans="1:7">
      <c r="A409" s="42" t="s">
        <v>386</v>
      </c>
      <c r="B409" s="43">
        <v>42699</v>
      </c>
      <c r="C409" s="42">
        <v>1699</v>
      </c>
      <c r="D409" s="42">
        <v>1699</v>
      </c>
      <c r="E409" s="42">
        <v>1699</v>
      </c>
      <c r="F409" s="42">
        <v>1699</v>
      </c>
      <c r="G409" s="42">
        <v>740</v>
      </c>
    </row>
    <row r="410" spans="1:7">
      <c r="A410" s="42" t="s">
        <v>386</v>
      </c>
      <c r="B410" s="43">
        <v>42702</v>
      </c>
      <c r="C410" s="42">
        <v>1640</v>
      </c>
      <c r="D410" s="42">
        <v>1675</v>
      </c>
      <c r="E410" s="42">
        <v>1626</v>
      </c>
      <c r="F410" s="42">
        <v>1651.05</v>
      </c>
      <c r="G410" s="42">
        <v>2600</v>
      </c>
    </row>
    <row r="411" spans="1:7">
      <c r="A411" s="42" t="s">
        <v>386</v>
      </c>
      <c r="B411" s="43">
        <v>42703</v>
      </c>
      <c r="C411" s="42">
        <v>1655</v>
      </c>
      <c r="D411" s="42">
        <v>1655</v>
      </c>
      <c r="E411" s="42">
        <v>1610</v>
      </c>
      <c r="F411" s="42">
        <v>1625</v>
      </c>
      <c r="G411" s="42">
        <v>3680</v>
      </c>
    </row>
    <row r="412" spans="1:7">
      <c r="A412" s="42" t="s">
        <v>386</v>
      </c>
      <c r="B412" s="43">
        <v>42705</v>
      </c>
      <c r="C412" s="42">
        <v>1600</v>
      </c>
      <c r="D412" s="42">
        <v>1600</v>
      </c>
      <c r="E412" s="42">
        <v>1575</v>
      </c>
      <c r="F412" s="42">
        <v>1580.01</v>
      </c>
      <c r="G412" s="42">
        <v>80</v>
      </c>
    </row>
    <row r="413" spans="1:7">
      <c r="A413" s="42" t="s">
        <v>386</v>
      </c>
      <c r="B413" s="43">
        <v>42706</v>
      </c>
      <c r="C413" s="42">
        <v>1600</v>
      </c>
      <c r="D413" s="42">
        <v>1600</v>
      </c>
      <c r="E413" s="42">
        <v>1600</v>
      </c>
      <c r="F413" s="42">
        <v>1600</v>
      </c>
      <c r="G413" s="42">
        <v>700</v>
      </c>
    </row>
    <row r="414" spans="1:7">
      <c r="A414" s="42" t="s">
        <v>386</v>
      </c>
      <c r="B414" s="43">
        <v>42709</v>
      </c>
      <c r="C414" s="42">
        <v>1598</v>
      </c>
      <c r="D414" s="42">
        <v>1598</v>
      </c>
      <c r="E414" s="42">
        <v>1580</v>
      </c>
      <c r="F414" s="42">
        <v>1580</v>
      </c>
      <c r="G414" s="42">
        <v>740</v>
      </c>
    </row>
    <row r="415" spans="1:7">
      <c r="A415" s="42" t="s">
        <v>386</v>
      </c>
      <c r="B415" s="43">
        <v>42710</v>
      </c>
      <c r="C415" s="42">
        <v>1620</v>
      </c>
      <c r="D415" s="42">
        <v>1620</v>
      </c>
      <c r="E415" s="42">
        <v>1581</v>
      </c>
      <c r="F415" s="42">
        <v>1581</v>
      </c>
      <c r="G415" s="42">
        <v>220</v>
      </c>
    </row>
    <row r="416" spans="1:7">
      <c r="A416" s="42" t="s">
        <v>386</v>
      </c>
      <c r="B416" s="43">
        <v>42712</v>
      </c>
      <c r="C416" s="42">
        <v>1620</v>
      </c>
      <c r="D416" s="42">
        <v>1620</v>
      </c>
      <c r="E416" s="42">
        <v>1620</v>
      </c>
      <c r="F416" s="42">
        <v>1620</v>
      </c>
      <c r="G416" s="42">
        <v>120</v>
      </c>
    </row>
    <row r="417" spans="1:7">
      <c r="A417" s="42" t="s">
        <v>386</v>
      </c>
      <c r="B417" s="43">
        <v>42718</v>
      </c>
      <c r="C417" s="42">
        <v>1640</v>
      </c>
      <c r="D417" s="42">
        <v>1700</v>
      </c>
      <c r="E417" s="42">
        <v>1626</v>
      </c>
      <c r="F417" s="42">
        <v>1670.07</v>
      </c>
      <c r="G417" s="42">
        <v>2320</v>
      </c>
    </row>
    <row r="418" spans="1:7">
      <c r="A418" s="42" t="s">
        <v>386</v>
      </c>
      <c r="B418" s="43">
        <v>42720</v>
      </c>
      <c r="C418" s="42">
        <v>1626</v>
      </c>
      <c r="D418" s="42">
        <v>1753.57</v>
      </c>
      <c r="E418" s="42">
        <v>1626</v>
      </c>
      <c r="F418" s="42">
        <v>1752.17</v>
      </c>
      <c r="G418" s="42">
        <v>1180</v>
      </c>
    </row>
    <row r="419" spans="1:7">
      <c r="A419" s="42" t="s">
        <v>386</v>
      </c>
      <c r="B419" s="43">
        <v>42723</v>
      </c>
      <c r="C419" s="42">
        <v>1700</v>
      </c>
      <c r="D419" s="42">
        <v>1752</v>
      </c>
      <c r="E419" s="42">
        <v>1700</v>
      </c>
      <c r="F419" s="42">
        <v>1752</v>
      </c>
      <c r="G419" s="42">
        <v>740</v>
      </c>
    </row>
    <row r="420" spans="1:7">
      <c r="A420" s="42" t="s">
        <v>386</v>
      </c>
      <c r="B420" s="43">
        <v>42724</v>
      </c>
      <c r="C420" s="42">
        <v>1800</v>
      </c>
      <c r="D420" s="42">
        <v>1800</v>
      </c>
      <c r="E420" s="42">
        <v>1780</v>
      </c>
      <c r="F420" s="42">
        <v>1780</v>
      </c>
      <c r="G420" s="42">
        <v>140</v>
      </c>
    </row>
    <row r="421" spans="1:7">
      <c r="A421" s="42" t="s">
        <v>386</v>
      </c>
      <c r="B421" s="43">
        <v>42725</v>
      </c>
      <c r="C421" s="42">
        <v>1700</v>
      </c>
      <c r="D421" s="42">
        <v>1800</v>
      </c>
      <c r="E421" s="42">
        <v>1700</v>
      </c>
      <c r="F421" s="42">
        <v>1780.01</v>
      </c>
      <c r="G421" s="42">
        <v>520</v>
      </c>
    </row>
    <row r="422" spans="1:7">
      <c r="A422" s="42" t="s">
        <v>386</v>
      </c>
      <c r="B422" s="43">
        <v>42726</v>
      </c>
      <c r="C422" s="42">
        <v>1780.01</v>
      </c>
      <c r="D422" s="42">
        <v>1800</v>
      </c>
      <c r="E422" s="42">
        <v>1780.01</v>
      </c>
      <c r="F422" s="42">
        <v>1800</v>
      </c>
      <c r="G422" s="42">
        <v>40</v>
      </c>
    </row>
    <row r="423" spans="1:7">
      <c r="A423" s="42" t="s">
        <v>386</v>
      </c>
      <c r="B423" s="43">
        <v>42727</v>
      </c>
      <c r="C423" s="42">
        <v>1801</v>
      </c>
      <c r="D423" s="42">
        <v>1801</v>
      </c>
      <c r="E423" s="42">
        <v>1801</v>
      </c>
      <c r="F423" s="42">
        <v>1801</v>
      </c>
      <c r="G423" s="42">
        <v>180</v>
      </c>
    </row>
    <row r="424" spans="1:7">
      <c r="A424" s="42" t="s">
        <v>386</v>
      </c>
      <c r="B424" s="43">
        <v>42733</v>
      </c>
      <c r="C424" s="42">
        <v>1800</v>
      </c>
      <c r="D424" s="42">
        <v>1800</v>
      </c>
      <c r="E424" s="42">
        <v>1800</v>
      </c>
      <c r="F424" s="42">
        <v>1800</v>
      </c>
      <c r="G424" s="42">
        <v>20</v>
      </c>
    </row>
    <row r="425" spans="1:7">
      <c r="A425" s="42" t="s">
        <v>386</v>
      </c>
      <c r="B425" s="43">
        <v>42734</v>
      </c>
      <c r="C425" s="42">
        <v>1800</v>
      </c>
      <c r="D425" s="42">
        <v>1800</v>
      </c>
      <c r="E425" s="42">
        <v>1800</v>
      </c>
      <c r="F425" s="42">
        <v>1800</v>
      </c>
      <c r="G425" s="42">
        <v>340</v>
      </c>
    </row>
    <row r="426" spans="1:7">
      <c r="A426" s="42" t="s">
        <v>386</v>
      </c>
      <c r="B426" s="43">
        <v>42737</v>
      </c>
      <c r="C426" s="42">
        <v>1800</v>
      </c>
      <c r="D426" s="42">
        <v>1800</v>
      </c>
      <c r="E426" s="42">
        <v>1800</v>
      </c>
      <c r="F426" s="42">
        <v>1800</v>
      </c>
      <c r="G426" s="42">
        <v>100</v>
      </c>
    </row>
    <row r="427" spans="1:7">
      <c r="A427" s="42" t="s">
        <v>386</v>
      </c>
      <c r="B427" s="43">
        <v>42738</v>
      </c>
      <c r="C427" s="42">
        <v>1750</v>
      </c>
      <c r="D427" s="42">
        <v>1750</v>
      </c>
      <c r="E427" s="42">
        <v>1750</v>
      </c>
      <c r="F427" s="42">
        <v>1750</v>
      </c>
      <c r="G427" s="42">
        <v>40</v>
      </c>
    </row>
    <row r="428" spans="1:7">
      <c r="A428" s="42" t="s">
        <v>386</v>
      </c>
      <c r="B428" s="43">
        <v>42739</v>
      </c>
      <c r="C428" s="42">
        <v>1725</v>
      </c>
      <c r="D428" s="42">
        <v>1725</v>
      </c>
      <c r="E428" s="42">
        <v>1725</v>
      </c>
      <c r="F428" s="42">
        <v>1725</v>
      </c>
      <c r="G428" s="42">
        <v>20</v>
      </c>
    </row>
    <row r="429" spans="1:7">
      <c r="A429" s="42" t="s">
        <v>386</v>
      </c>
      <c r="B429" s="43">
        <v>42740</v>
      </c>
      <c r="C429" s="42">
        <v>1700</v>
      </c>
      <c r="D429" s="42">
        <v>1700</v>
      </c>
      <c r="E429" s="42">
        <v>1680</v>
      </c>
      <c r="F429" s="42">
        <v>1681</v>
      </c>
      <c r="G429" s="42">
        <v>180</v>
      </c>
    </row>
    <row r="430" spans="1:7">
      <c r="A430" s="42" t="s">
        <v>386</v>
      </c>
      <c r="B430" s="43">
        <v>42745</v>
      </c>
      <c r="C430" s="42">
        <v>1690</v>
      </c>
      <c r="D430" s="42">
        <v>1690</v>
      </c>
      <c r="E430" s="42">
        <v>1690</v>
      </c>
      <c r="F430" s="42">
        <v>1690</v>
      </c>
      <c r="G430" s="42">
        <v>20</v>
      </c>
    </row>
    <row r="431" spans="1:7">
      <c r="A431" s="42" t="s">
        <v>386</v>
      </c>
      <c r="B431" s="43">
        <v>42746</v>
      </c>
      <c r="C431" s="42">
        <v>1700</v>
      </c>
      <c r="D431" s="42">
        <v>1725</v>
      </c>
      <c r="E431" s="42">
        <v>1700</v>
      </c>
      <c r="F431" s="42">
        <v>1725</v>
      </c>
      <c r="G431" s="42">
        <v>200</v>
      </c>
    </row>
    <row r="432" spans="1:7">
      <c r="A432" s="42" t="s">
        <v>386</v>
      </c>
      <c r="B432" s="43">
        <v>42747</v>
      </c>
      <c r="C432" s="42">
        <v>1750</v>
      </c>
      <c r="D432" s="42">
        <v>1800</v>
      </c>
      <c r="E432" s="42">
        <v>1750</v>
      </c>
      <c r="F432" s="42">
        <v>1799.99</v>
      </c>
      <c r="G432" s="42">
        <v>720</v>
      </c>
    </row>
    <row r="433" spans="1:7">
      <c r="A433" s="42" t="s">
        <v>386</v>
      </c>
      <c r="B433" s="43">
        <v>42748</v>
      </c>
      <c r="C433" s="42">
        <v>1710</v>
      </c>
      <c r="D433" s="42">
        <v>1710</v>
      </c>
      <c r="E433" s="42">
        <v>1710</v>
      </c>
      <c r="F433" s="42">
        <v>1710</v>
      </c>
      <c r="G433" s="42">
        <v>100</v>
      </c>
    </row>
    <row r="434" spans="1:7">
      <c r="A434" s="42" t="s">
        <v>386</v>
      </c>
      <c r="B434" s="43">
        <v>42752</v>
      </c>
      <c r="C434" s="42">
        <v>1710</v>
      </c>
      <c r="D434" s="42">
        <v>1750</v>
      </c>
      <c r="E434" s="42">
        <v>1710</v>
      </c>
      <c r="F434" s="42">
        <v>1750</v>
      </c>
      <c r="G434" s="42">
        <v>60</v>
      </c>
    </row>
    <row r="435" spans="1:7">
      <c r="A435" s="42" t="s">
        <v>386</v>
      </c>
      <c r="B435" s="43">
        <v>42755</v>
      </c>
      <c r="C435" s="42">
        <v>1800</v>
      </c>
      <c r="D435" s="42">
        <v>1800</v>
      </c>
      <c r="E435" s="42">
        <v>1705</v>
      </c>
      <c r="F435" s="42">
        <v>1705</v>
      </c>
      <c r="G435" s="42">
        <v>380</v>
      </c>
    </row>
    <row r="436" spans="1:7">
      <c r="A436" s="42" t="s">
        <v>386</v>
      </c>
      <c r="B436" s="43">
        <v>42759</v>
      </c>
      <c r="C436" s="42">
        <v>1790</v>
      </c>
      <c r="D436" s="42">
        <v>1790</v>
      </c>
      <c r="E436" s="42">
        <v>1790</v>
      </c>
      <c r="F436" s="42">
        <v>1790</v>
      </c>
      <c r="G436" s="42">
        <v>200</v>
      </c>
    </row>
    <row r="437" spans="1:7">
      <c r="A437" s="42" t="s">
        <v>386</v>
      </c>
      <c r="B437" s="43">
        <v>42760</v>
      </c>
      <c r="C437" s="42">
        <v>1800</v>
      </c>
      <c r="D437" s="42">
        <v>1800</v>
      </c>
      <c r="E437" s="42">
        <v>1750</v>
      </c>
      <c r="F437" s="42">
        <v>1800</v>
      </c>
      <c r="G437" s="42">
        <v>440</v>
      </c>
    </row>
    <row r="438" spans="1:7">
      <c r="A438" s="42" t="s">
        <v>386</v>
      </c>
      <c r="B438" s="43">
        <v>42762</v>
      </c>
      <c r="C438" s="42">
        <v>1710</v>
      </c>
      <c r="D438" s="42">
        <v>1710</v>
      </c>
      <c r="E438" s="42">
        <v>1710</v>
      </c>
      <c r="F438" s="42">
        <v>1710</v>
      </c>
      <c r="G438" s="42">
        <v>360</v>
      </c>
    </row>
    <row r="439" spans="1:7">
      <c r="A439" s="42" t="s">
        <v>386</v>
      </c>
      <c r="B439" s="43">
        <v>42765</v>
      </c>
      <c r="C439" s="42">
        <v>1795</v>
      </c>
      <c r="D439" s="42">
        <v>1795.5</v>
      </c>
      <c r="E439" s="42">
        <v>1730</v>
      </c>
      <c r="F439" s="42">
        <v>1730</v>
      </c>
      <c r="G439" s="42">
        <v>300</v>
      </c>
    </row>
    <row r="440" spans="1:7">
      <c r="A440" s="42" t="s">
        <v>386</v>
      </c>
      <c r="B440" s="43">
        <v>42767</v>
      </c>
      <c r="C440" s="42">
        <v>1800</v>
      </c>
      <c r="D440" s="42">
        <v>1810</v>
      </c>
      <c r="E440" s="42">
        <v>1790</v>
      </c>
      <c r="F440" s="42">
        <v>1805</v>
      </c>
      <c r="G440" s="42">
        <v>580</v>
      </c>
    </row>
    <row r="441" spans="1:7">
      <c r="A441" s="42" t="s">
        <v>386</v>
      </c>
      <c r="B441" s="43">
        <v>42768</v>
      </c>
      <c r="C441" s="42">
        <v>1860</v>
      </c>
      <c r="D441" s="42">
        <v>1890</v>
      </c>
      <c r="E441" s="42">
        <v>1860</v>
      </c>
      <c r="F441" s="42">
        <v>1890</v>
      </c>
      <c r="G441" s="42">
        <v>80</v>
      </c>
    </row>
    <row r="442" spans="1:7">
      <c r="A442" s="42" t="s">
        <v>386</v>
      </c>
      <c r="B442" s="43">
        <v>42772</v>
      </c>
      <c r="C442" s="42">
        <v>1890</v>
      </c>
      <c r="D442" s="42">
        <v>1900</v>
      </c>
      <c r="E442" s="42">
        <v>1875</v>
      </c>
      <c r="F442" s="42">
        <v>1893.5</v>
      </c>
      <c r="G442" s="42">
        <v>600</v>
      </c>
    </row>
    <row r="443" spans="1:7">
      <c r="A443" s="42" t="s">
        <v>386</v>
      </c>
      <c r="B443" s="43">
        <v>42773</v>
      </c>
      <c r="C443" s="42">
        <v>1870</v>
      </c>
      <c r="D443" s="42">
        <v>1870</v>
      </c>
      <c r="E443" s="42">
        <v>1870</v>
      </c>
      <c r="F443" s="42">
        <v>1870</v>
      </c>
      <c r="G443" s="42">
        <v>140</v>
      </c>
    </row>
    <row r="444" spans="1:7">
      <c r="A444" s="42" t="s">
        <v>386</v>
      </c>
      <c r="B444" s="43">
        <v>42774</v>
      </c>
      <c r="C444" s="42">
        <v>1900</v>
      </c>
      <c r="D444" s="42">
        <v>1900</v>
      </c>
      <c r="E444" s="42">
        <v>1899</v>
      </c>
      <c r="F444" s="42">
        <v>1900</v>
      </c>
      <c r="G444" s="42">
        <v>380</v>
      </c>
    </row>
    <row r="445" spans="1:7">
      <c r="A445" s="42" t="s">
        <v>386</v>
      </c>
      <c r="B445" s="43">
        <v>42775</v>
      </c>
      <c r="C445" s="42">
        <v>1994</v>
      </c>
      <c r="D445" s="42">
        <v>1995</v>
      </c>
      <c r="E445" s="42">
        <v>1990</v>
      </c>
      <c r="F445" s="42">
        <v>1994.13</v>
      </c>
      <c r="G445" s="42">
        <v>1180</v>
      </c>
    </row>
    <row r="446" spans="1:7">
      <c r="A446" s="42" t="s">
        <v>386</v>
      </c>
      <c r="B446" s="43">
        <v>42776</v>
      </c>
      <c r="C446" s="42">
        <v>2000</v>
      </c>
      <c r="D446" s="42">
        <v>2050</v>
      </c>
      <c r="E446" s="42">
        <v>2000</v>
      </c>
      <c r="F446" s="42">
        <v>2000</v>
      </c>
      <c r="G446" s="42">
        <v>1320</v>
      </c>
    </row>
    <row r="447" spans="1:7">
      <c r="A447" s="42" t="s">
        <v>386</v>
      </c>
      <c r="B447" s="43">
        <v>42779</v>
      </c>
      <c r="C447" s="42">
        <v>2030</v>
      </c>
      <c r="D447" s="42">
        <v>2030</v>
      </c>
      <c r="E447" s="42">
        <v>2000</v>
      </c>
      <c r="F447" s="42">
        <v>2000</v>
      </c>
      <c r="G447" s="42">
        <v>320</v>
      </c>
    </row>
    <row r="448" spans="1:7">
      <c r="A448" s="42" t="s">
        <v>386</v>
      </c>
      <c r="B448" s="43">
        <v>42780</v>
      </c>
      <c r="C448" s="42">
        <v>1900</v>
      </c>
      <c r="D448" s="42">
        <v>2000</v>
      </c>
      <c r="E448" s="42">
        <v>1900</v>
      </c>
      <c r="F448" s="42">
        <v>2000</v>
      </c>
      <c r="G448" s="42">
        <v>300</v>
      </c>
    </row>
    <row r="449" spans="1:7">
      <c r="A449" s="42" t="s">
        <v>386</v>
      </c>
      <c r="B449" s="43">
        <v>42782</v>
      </c>
      <c r="C449" s="42">
        <v>1985</v>
      </c>
      <c r="D449" s="42">
        <v>2000</v>
      </c>
      <c r="E449" s="42">
        <v>1985</v>
      </c>
      <c r="F449" s="42">
        <v>2000</v>
      </c>
      <c r="G449" s="42">
        <v>200</v>
      </c>
    </row>
    <row r="450" spans="1:7">
      <c r="A450" s="42" t="s">
        <v>386</v>
      </c>
      <c r="B450" s="43">
        <v>42787</v>
      </c>
      <c r="C450" s="42">
        <v>1900</v>
      </c>
      <c r="D450" s="42">
        <v>1900</v>
      </c>
      <c r="E450" s="42">
        <v>1900</v>
      </c>
      <c r="F450" s="42">
        <v>1900</v>
      </c>
      <c r="G450" s="42">
        <v>20</v>
      </c>
    </row>
    <row r="451" spans="1:7">
      <c r="A451" s="42" t="s">
        <v>386</v>
      </c>
      <c r="B451" s="43">
        <v>42788</v>
      </c>
      <c r="C451" s="42">
        <v>1901</v>
      </c>
      <c r="D451" s="42">
        <v>1995</v>
      </c>
      <c r="E451" s="42">
        <v>1901</v>
      </c>
      <c r="F451" s="42">
        <v>1938.6</v>
      </c>
      <c r="G451" s="42">
        <v>100</v>
      </c>
    </row>
    <row r="452" spans="1:7">
      <c r="A452" s="42" t="s">
        <v>386</v>
      </c>
      <c r="B452" s="43">
        <v>42796</v>
      </c>
      <c r="C452" s="42">
        <v>1999.99</v>
      </c>
      <c r="D452" s="42">
        <v>2000</v>
      </c>
      <c r="E452" s="42">
        <v>1930</v>
      </c>
      <c r="F452" s="42">
        <v>1930</v>
      </c>
      <c r="G452" s="42">
        <v>280</v>
      </c>
    </row>
    <row r="453" spans="1:7">
      <c r="A453" s="42" t="s">
        <v>386</v>
      </c>
      <c r="B453" s="43">
        <v>42797</v>
      </c>
      <c r="C453" s="42">
        <v>2000</v>
      </c>
      <c r="D453" s="42">
        <v>2026.5</v>
      </c>
      <c r="E453" s="42">
        <v>2000</v>
      </c>
      <c r="F453" s="42">
        <v>2024.58</v>
      </c>
      <c r="G453" s="42">
        <v>560</v>
      </c>
    </row>
    <row r="454" spans="1:7">
      <c r="A454" s="42" t="s">
        <v>386</v>
      </c>
      <c r="B454" s="43">
        <v>42800</v>
      </c>
      <c r="C454" s="42">
        <v>2098.9899999999998</v>
      </c>
      <c r="D454" s="42">
        <v>2125.8000000000002</v>
      </c>
      <c r="E454" s="42">
        <v>2060</v>
      </c>
      <c r="F454" s="42">
        <v>2060</v>
      </c>
      <c r="G454" s="42">
        <v>1220</v>
      </c>
    </row>
    <row r="455" spans="1:7">
      <c r="A455" s="42" t="s">
        <v>386</v>
      </c>
      <c r="B455" s="43">
        <v>42804</v>
      </c>
      <c r="C455" s="42">
        <v>2050</v>
      </c>
      <c r="D455" s="42">
        <v>2050</v>
      </c>
      <c r="E455" s="42">
        <v>2050</v>
      </c>
      <c r="F455" s="42">
        <v>2050</v>
      </c>
      <c r="G455" s="42">
        <v>20</v>
      </c>
    </row>
    <row r="456" spans="1:7">
      <c r="A456" s="42" t="s">
        <v>386</v>
      </c>
      <c r="B456" s="43">
        <v>42807</v>
      </c>
      <c r="C456" s="42">
        <v>2100</v>
      </c>
      <c r="D456" s="42">
        <v>2100</v>
      </c>
      <c r="E456" s="42">
        <v>2100</v>
      </c>
      <c r="F456" s="42">
        <v>2100</v>
      </c>
      <c r="G456" s="42">
        <v>540</v>
      </c>
    </row>
    <row r="457" spans="1:7">
      <c r="A457" s="42" t="s">
        <v>386</v>
      </c>
      <c r="B457" s="43">
        <v>42808</v>
      </c>
      <c r="C457" s="42">
        <v>2200</v>
      </c>
      <c r="D457" s="42">
        <v>2204</v>
      </c>
      <c r="E457" s="42">
        <v>2200</v>
      </c>
      <c r="F457" s="42">
        <v>2204</v>
      </c>
      <c r="G457" s="42">
        <v>920</v>
      </c>
    </row>
    <row r="458" spans="1:7">
      <c r="A458" s="42" t="s">
        <v>386</v>
      </c>
      <c r="B458" s="43">
        <v>42809</v>
      </c>
      <c r="C458" s="42">
        <v>2200</v>
      </c>
      <c r="D458" s="42">
        <v>2220</v>
      </c>
      <c r="E458" s="42">
        <v>2200</v>
      </c>
      <c r="F458" s="42">
        <v>2220</v>
      </c>
      <c r="G458" s="42">
        <v>40</v>
      </c>
    </row>
    <row r="459" spans="1:7">
      <c r="A459" s="42" t="s">
        <v>386</v>
      </c>
      <c r="B459" s="43">
        <v>42810</v>
      </c>
      <c r="C459" s="42">
        <v>2130</v>
      </c>
      <c r="D459" s="42">
        <v>2199</v>
      </c>
      <c r="E459" s="42">
        <v>2109</v>
      </c>
      <c r="F459" s="42">
        <v>2199</v>
      </c>
      <c r="G459" s="42">
        <v>580</v>
      </c>
    </row>
    <row r="460" spans="1:7">
      <c r="A460" s="42" t="s">
        <v>386</v>
      </c>
      <c r="B460" s="43">
        <v>42814</v>
      </c>
      <c r="C460" s="42">
        <v>2200</v>
      </c>
      <c r="D460" s="42">
        <v>2270</v>
      </c>
      <c r="E460" s="42">
        <v>2200</v>
      </c>
      <c r="F460" s="42">
        <v>2270</v>
      </c>
      <c r="G460" s="42">
        <v>340</v>
      </c>
    </row>
    <row r="461" spans="1:7">
      <c r="A461" s="42" t="s">
        <v>386</v>
      </c>
      <c r="B461" s="43">
        <v>42815</v>
      </c>
      <c r="C461" s="42">
        <v>2290</v>
      </c>
      <c r="D461" s="42">
        <v>2290</v>
      </c>
      <c r="E461" s="42">
        <v>2250</v>
      </c>
      <c r="F461" s="42">
        <v>2250</v>
      </c>
      <c r="G461" s="42">
        <v>120</v>
      </c>
    </row>
    <row r="462" spans="1:7">
      <c r="A462" s="42" t="s">
        <v>386</v>
      </c>
      <c r="B462" s="43">
        <v>42822</v>
      </c>
      <c r="C462" s="42">
        <v>2165</v>
      </c>
      <c r="D462" s="42">
        <v>2165</v>
      </c>
      <c r="E462" s="42">
        <v>2165</v>
      </c>
      <c r="F462" s="42">
        <v>2165</v>
      </c>
      <c r="G462" s="42">
        <v>300</v>
      </c>
    </row>
    <row r="463" spans="1:7">
      <c r="A463" s="42" t="s">
        <v>386</v>
      </c>
      <c r="B463" s="43">
        <v>42825</v>
      </c>
      <c r="C463" s="42">
        <v>2060</v>
      </c>
      <c r="D463" s="42">
        <v>2060</v>
      </c>
      <c r="E463" s="42">
        <v>2060</v>
      </c>
      <c r="F463" s="42">
        <v>2060</v>
      </c>
      <c r="G463" s="42">
        <v>20</v>
      </c>
    </row>
    <row r="464" spans="1:7">
      <c r="A464" s="42" t="s">
        <v>386</v>
      </c>
      <c r="B464" s="43">
        <v>42829</v>
      </c>
      <c r="C464" s="42">
        <v>2000</v>
      </c>
      <c r="D464" s="42">
        <v>2000</v>
      </c>
      <c r="E464" s="42">
        <v>2000</v>
      </c>
      <c r="F464" s="42">
        <v>2000</v>
      </c>
      <c r="G464" s="42">
        <v>100</v>
      </c>
    </row>
    <row r="465" spans="1:7">
      <c r="A465" s="42" t="s">
        <v>386</v>
      </c>
      <c r="B465" s="43">
        <v>42830</v>
      </c>
      <c r="C465" s="42">
        <v>2100</v>
      </c>
      <c r="D465" s="42">
        <v>2100</v>
      </c>
      <c r="E465" s="42">
        <v>2100</v>
      </c>
      <c r="F465" s="42">
        <v>2100</v>
      </c>
      <c r="G465" s="42">
        <v>120</v>
      </c>
    </row>
    <row r="466" spans="1:7">
      <c r="A466" s="42" t="s">
        <v>386</v>
      </c>
      <c r="B466" s="43">
        <v>42831</v>
      </c>
      <c r="C466" s="42">
        <v>2000</v>
      </c>
      <c r="D466" s="42">
        <v>2000</v>
      </c>
      <c r="E466" s="42">
        <v>2000</v>
      </c>
      <c r="F466" s="42">
        <v>2000</v>
      </c>
      <c r="G466" s="42">
        <v>20</v>
      </c>
    </row>
    <row r="467" spans="1:7">
      <c r="A467" s="42" t="s">
        <v>386</v>
      </c>
      <c r="B467" s="43">
        <v>42836</v>
      </c>
      <c r="C467" s="42">
        <v>2075</v>
      </c>
      <c r="D467" s="42">
        <v>2075</v>
      </c>
      <c r="E467" s="42">
        <v>2075</v>
      </c>
      <c r="F467" s="42">
        <v>2075</v>
      </c>
      <c r="G467" s="42">
        <v>20</v>
      </c>
    </row>
    <row r="468" spans="1:7">
      <c r="A468" s="42" t="s">
        <v>386</v>
      </c>
      <c r="B468" s="43">
        <v>42837</v>
      </c>
      <c r="C468" s="42">
        <v>2050</v>
      </c>
      <c r="D468" s="42">
        <v>2050</v>
      </c>
      <c r="E468" s="42">
        <v>2050</v>
      </c>
      <c r="F468" s="42">
        <v>2050</v>
      </c>
      <c r="G468" s="42">
        <v>400</v>
      </c>
    </row>
    <row r="469" spans="1:7">
      <c r="A469" s="42" t="s">
        <v>386</v>
      </c>
      <c r="B469" s="43">
        <v>42838</v>
      </c>
      <c r="C469" s="42">
        <v>2070</v>
      </c>
      <c r="D469" s="42">
        <v>2070</v>
      </c>
      <c r="E469" s="42">
        <v>2070</v>
      </c>
      <c r="F469" s="42">
        <v>2070</v>
      </c>
      <c r="G469" s="42">
        <v>300</v>
      </c>
    </row>
    <row r="470" spans="1:7">
      <c r="A470" s="42" t="s">
        <v>386</v>
      </c>
      <c r="B470" s="43">
        <v>42839</v>
      </c>
      <c r="C470" s="42">
        <v>2168</v>
      </c>
      <c r="D470" s="42">
        <v>2173.5</v>
      </c>
      <c r="E470" s="42">
        <v>2095</v>
      </c>
      <c r="F470" s="42">
        <v>2095</v>
      </c>
      <c r="G470" s="42">
        <v>600</v>
      </c>
    </row>
    <row r="471" spans="1:7">
      <c r="A471" s="42" t="s">
        <v>386</v>
      </c>
      <c r="B471" s="43">
        <v>42842</v>
      </c>
      <c r="C471" s="42">
        <v>2051</v>
      </c>
      <c r="D471" s="42">
        <v>2062.1</v>
      </c>
      <c r="E471" s="42">
        <v>2051</v>
      </c>
      <c r="F471" s="42">
        <v>2062.1</v>
      </c>
      <c r="G471" s="42">
        <v>480</v>
      </c>
    </row>
    <row r="472" spans="1:7">
      <c r="A472" s="42" t="s">
        <v>386</v>
      </c>
      <c r="B472" s="43">
        <v>42843</v>
      </c>
      <c r="C472" s="42">
        <v>2055.0500000000002</v>
      </c>
      <c r="D472" s="42">
        <v>2055.0500000000002</v>
      </c>
      <c r="E472" s="42">
        <v>2055.0500000000002</v>
      </c>
      <c r="F472" s="42">
        <v>2055.0500000000002</v>
      </c>
      <c r="G472" s="42">
        <v>80</v>
      </c>
    </row>
    <row r="473" spans="1:7">
      <c r="A473" s="42" t="s">
        <v>386</v>
      </c>
      <c r="B473" s="43">
        <v>42844</v>
      </c>
      <c r="C473" s="42">
        <v>2080</v>
      </c>
      <c r="D473" s="42">
        <v>2080</v>
      </c>
      <c r="E473" s="42">
        <v>2061</v>
      </c>
      <c r="F473" s="42">
        <v>2061</v>
      </c>
      <c r="G473" s="42">
        <v>120</v>
      </c>
    </row>
    <row r="474" spans="1:7">
      <c r="A474" s="42" t="s">
        <v>386</v>
      </c>
      <c r="B474" s="43">
        <v>42845</v>
      </c>
      <c r="C474" s="42">
        <v>2060</v>
      </c>
      <c r="D474" s="42">
        <v>2110</v>
      </c>
      <c r="E474" s="42">
        <v>2060</v>
      </c>
      <c r="F474" s="42">
        <v>2110</v>
      </c>
      <c r="G474" s="42">
        <v>120</v>
      </c>
    </row>
    <row r="475" spans="1:7">
      <c r="A475" s="42" t="s">
        <v>386</v>
      </c>
      <c r="B475" s="43">
        <v>42846</v>
      </c>
      <c r="C475" s="42">
        <v>2100.0100000000002</v>
      </c>
      <c r="D475" s="42">
        <v>2101</v>
      </c>
      <c r="E475" s="42">
        <v>2100.0100000000002</v>
      </c>
      <c r="F475" s="42">
        <v>2100.0100000000002</v>
      </c>
      <c r="G475" s="42">
        <v>200</v>
      </c>
    </row>
    <row r="476" spans="1:7">
      <c r="A476" s="42" t="s">
        <v>386</v>
      </c>
      <c r="B476" s="43">
        <v>42849</v>
      </c>
      <c r="C476" s="42">
        <v>2100</v>
      </c>
      <c r="D476" s="42">
        <v>2100.0100000000002</v>
      </c>
      <c r="E476" s="42">
        <v>2100</v>
      </c>
      <c r="F476" s="42">
        <v>2100.0100000000002</v>
      </c>
      <c r="G476" s="42">
        <v>40</v>
      </c>
    </row>
    <row r="477" spans="1:7">
      <c r="A477" s="42" t="s">
        <v>386</v>
      </c>
      <c r="B477" s="43">
        <v>42850</v>
      </c>
      <c r="C477" s="42">
        <v>2100</v>
      </c>
      <c r="D477" s="42">
        <v>2100</v>
      </c>
      <c r="E477" s="42">
        <v>2100</v>
      </c>
      <c r="F477" s="42">
        <v>2100</v>
      </c>
      <c r="G477" s="42">
        <v>120</v>
      </c>
    </row>
    <row r="478" spans="1:7">
      <c r="A478" s="42" t="s">
        <v>386</v>
      </c>
      <c r="B478" s="43">
        <v>42851</v>
      </c>
      <c r="C478" s="42">
        <v>2100</v>
      </c>
      <c r="D478" s="42">
        <v>2205</v>
      </c>
      <c r="E478" s="42">
        <v>2100</v>
      </c>
      <c r="F478" s="42">
        <v>2200.33</v>
      </c>
      <c r="G478" s="42">
        <v>140</v>
      </c>
    </row>
    <row r="479" spans="1:7">
      <c r="A479" s="42" t="s">
        <v>386</v>
      </c>
      <c r="B479" s="43">
        <v>42858</v>
      </c>
      <c r="C479" s="42">
        <v>2300</v>
      </c>
      <c r="D479" s="42">
        <v>2300</v>
      </c>
      <c r="E479" s="42">
        <v>2300</v>
      </c>
      <c r="F479" s="42">
        <v>2300</v>
      </c>
      <c r="G479" s="42">
        <v>40</v>
      </c>
    </row>
    <row r="480" spans="1:7">
      <c r="A480" s="42" t="s">
        <v>386</v>
      </c>
      <c r="B480" s="43">
        <v>42859</v>
      </c>
      <c r="C480" s="42">
        <v>2200</v>
      </c>
      <c r="D480" s="42">
        <v>2200</v>
      </c>
      <c r="E480" s="42">
        <v>2200</v>
      </c>
      <c r="F480" s="42">
        <v>2200</v>
      </c>
      <c r="G480" s="42">
        <v>200</v>
      </c>
    </row>
    <row r="481" spans="1:7">
      <c r="A481" s="42" t="s">
        <v>386</v>
      </c>
      <c r="B481" s="43">
        <v>42860</v>
      </c>
      <c r="C481" s="42">
        <v>2200</v>
      </c>
      <c r="D481" s="42">
        <v>2200</v>
      </c>
      <c r="E481" s="42">
        <v>2151</v>
      </c>
      <c r="F481" s="42">
        <v>2151</v>
      </c>
      <c r="G481" s="42">
        <v>300</v>
      </c>
    </row>
    <row r="482" spans="1:7">
      <c r="A482" s="42" t="s">
        <v>386</v>
      </c>
      <c r="B482" s="43">
        <v>42863</v>
      </c>
      <c r="C482" s="42">
        <v>2151</v>
      </c>
      <c r="D482" s="42">
        <v>2200</v>
      </c>
      <c r="E482" s="42">
        <v>2151</v>
      </c>
      <c r="F482" s="42">
        <v>2200</v>
      </c>
      <c r="G482" s="42">
        <v>240</v>
      </c>
    </row>
    <row r="483" spans="1:7">
      <c r="A483" s="42" t="s">
        <v>386</v>
      </c>
      <c r="B483" s="43">
        <v>42864</v>
      </c>
      <c r="C483" s="42">
        <v>2200</v>
      </c>
      <c r="D483" s="42">
        <v>2250</v>
      </c>
      <c r="E483" s="42">
        <v>2200</v>
      </c>
      <c r="F483" s="42">
        <v>2250</v>
      </c>
      <c r="G483" s="42">
        <v>160</v>
      </c>
    </row>
    <row r="484" spans="1:7">
      <c r="A484" s="42" t="s">
        <v>386</v>
      </c>
      <c r="B484" s="43">
        <v>42865</v>
      </c>
      <c r="C484" s="42">
        <v>2250</v>
      </c>
      <c r="D484" s="42">
        <v>2250</v>
      </c>
      <c r="E484" s="42">
        <v>2250</v>
      </c>
      <c r="F484" s="42">
        <v>2250</v>
      </c>
      <c r="G484" s="42">
        <v>60</v>
      </c>
    </row>
    <row r="485" spans="1:7">
      <c r="A485" s="42" t="s">
        <v>386</v>
      </c>
      <c r="B485" s="43">
        <v>42866</v>
      </c>
      <c r="C485" s="42">
        <v>2200</v>
      </c>
      <c r="D485" s="42">
        <v>2231.0100000000002</v>
      </c>
      <c r="E485" s="42">
        <v>2200</v>
      </c>
      <c r="F485" s="42">
        <v>2200.0100000000002</v>
      </c>
      <c r="G485" s="42">
        <v>940</v>
      </c>
    </row>
    <row r="486" spans="1:7">
      <c r="A486" s="42" t="s">
        <v>386</v>
      </c>
      <c r="B486" s="43">
        <v>42867</v>
      </c>
      <c r="C486" s="42">
        <v>2225</v>
      </c>
      <c r="D486" s="42">
        <v>2225</v>
      </c>
      <c r="E486" s="42">
        <v>2225</v>
      </c>
      <c r="F486" s="42">
        <v>2225</v>
      </c>
      <c r="G486" s="42">
        <v>20</v>
      </c>
    </row>
    <row r="487" spans="1:7">
      <c r="A487" s="42" t="s">
        <v>386</v>
      </c>
      <c r="B487" s="43">
        <v>42870</v>
      </c>
      <c r="C487" s="42">
        <v>2220</v>
      </c>
      <c r="D487" s="42">
        <v>2220</v>
      </c>
      <c r="E487" s="42">
        <v>2220</v>
      </c>
      <c r="F487" s="42">
        <v>2220</v>
      </c>
      <c r="G487" s="42">
        <v>40</v>
      </c>
    </row>
    <row r="488" spans="1:7">
      <c r="A488" s="42" t="s">
        <v>386</v>
      </c>
      <c r="B488" s="43">
        <v>42871</v>
      </c>
      <c r="C488" s="42">
        <v>2200.0300000000002</v>
      </c>
      <c r="D488" s="42">
        <v>2226</v>
      </c>
      <c r="E488" s="42">
        <v>2200.0300000000002</v>
      </c>
      <c r="F488" s="42">
        <v>2226</v>
      </c>
      <c r="G488" s="42">
        <v>320</v>
      </c>
    </row>
    <row r="489" spans="1:7">
      <c r="A489" s="42" t="s">
        <v>386</v>
      </c>
      <c r="B489" s="43">
        <v>42872</v>
      </c>
      <c r="C489" s="42">
        <v>2225</v>
      </c>
      <c r="D489" s="42">
        <v>2225</v>
      </c>
      <c r="E489" s="42">
        <v>2225</v>
      </c>
      <c r="F489" s="42">
        <v>2225</v>
      </c>
      <c r="G489" s="42">
        <v>20</v>
      </c>
    </row>
    <row r="490" spans="1:7">
      <c r="A490" s="42" t="s">
        <v>386</v>
      </c>
      <c r="B490" s="43">
        <v>42873</v>
      </c>
      <c r="C490" s="42">
        <v>2225</v>
      </c>
      <c r="D490" s="42">
        <v>2225</v>
      </c>
      <c r="E490" s="42">
        <v>2225</v>
      </c>
      <c r="F490" s="42">
        <v>2225</v>
      </c>
      <c r="G490" s="42">
        <v>20</v>
      </c>
    </row>
    <row r="491" spans="1:7">
      <c r="A491" s="42" t="s">
        <v>386</v>
      </c>
      <c r="B491" s="43">
        <v>42874</v>
      </c>
      <c r="C491" s="42">
        <v>2200</v>
      </c>
      <c r="D491" s="42">
        <v>2200</v>
      </c>
      <c r="E491" s="42">
        <v>2200</v>
      </c>
      <c r="F491" s="42">
        <v>2200</v>
      </c>
      <c r="G491" s="42">
        <v>20</v>
      </c>
    </row>
    <row r="492" spans="1:7">
      <c r="A492" s="42" t="s">
        <v>386</v>
      </c>
      <c r="B492" s="43">
        <v>42878</v>
      </c>
      <c r="C492" s="42">
        <v>2205</v>
      </c>
      <c r="D492" s="42">
        <v>2205</v>
      </c>
      <c r="E492" s="42">
        <v>2205</v>
      </c>
      <c r="F492" s="42">
        <v>2205</v>
      </c>
      <c r="G492" s="42">
        <v>40</v>
      </c>
    </row>
    <row r="493" spans="1:7">
      <c r="A493" s="42" t="s">
        <v>386</v>
      </c>
      <c r="B493" s="43">
        <v>42880</v>
      </c>
      <c r="C493" s="42">
        <v>2207</v>
      </c>
      <c r="D493" s="42">
        <v>2207</v>
      </c>
      <c r="E493" s="42">
        <v>2207</v>
      </c>
      <c r="F493" s="42">
        <v>2207</v>
      </c>
      <c r="G493" s="42">
        <v>20</v>
      </c>
    </row>
    <row r="494" spans="1:7">
      <c r="A494" s="42" t="s">
        <v>386</v>
      </c>
      <c r="B494" s="43">
        <v>42881</v>
      </c>
      <c r="C494" s="42">
        <v>2206</v>
      </c>
      <c r="D494" s="42">
        <v>2289</v>
      </c>
      <c r="E494" s="42">
        <v>2206</v>
      </c>
      <c r="F494" s="42">
        <v>2289</v>
      </c>
      <c r="G494" s="42">
        <v>400</v>
      </c>
    </row>
    <row r="495" spans="1:7">
      <c r="A495" s="42" t="s">
        <v>386</v>
      </c>
      <c r="B495" s="43">
        <v>42884</v>
      </c>
      <c r="C495" s="42">
        <v>2290</v>
      </c>
      <c r="D495" s="42">
        <v>2290</v>
      </c>
      <c r="E495" s="42">
        <v>2290</v>
      </c>
      <c r="F495" s="42">
        <v>2290</v>
      </c>
      <c r="G495" s="42">
        <v>300</v>
      </c>
    </row>
    <row r="496" spans="1:7">
      <c r="A496" s="42" t="s">
        <v>386</v>
      </c>
      <c r="B496" s="43">
        <v>42887</v>
      </c>
      <c r="C496" s="42">
        <v>2206</v>
      </c>
      <c r="D496" s="42">
        <v>2350</v>
      </c>
      <c r="E496" s="42">
        <v>2206</v>
      </c>
      <c r="F496" s="42">
        <v>2293.98</v>
      </c>
      <c r="G496" s="42">
        <v>4060</v>
      </c>
    </row>
    <row r="497" spans="1:7">
      <c r="A497" s="42" t="s">
        <v>386</v>
      </c>
      <c r="B497" s="43">
        <v>42888</v>
      </c>
      <c r="C497" s="42">
        <v>2350</v>
      </c>
      <c r="D497" s="42">
        <v>2408</v>
      </c>
      <c r="E497" s="42">
        <v>2350</v>
      </c>
      <c r="F497" s="42">
        <v>2401.16</v>
      </c>
      <c r="G497" s="42">
        <v>860</v>
      </c>
    </row>
    <row r="498" spans="1:7">
      <c r="A498" s="42" t="s">
        <v>386</v>
      </c>
      <c r="B498" s="43">
        <v>42893</v>
      </c>
      <c r="C498" s="42">
        <v>2310</v>
      </c>
      <c r="D498" s="42">
        <v>2390</v>
      </c>
      <c r="E498" s="42">
        <v>2310</v>
      </c>
      <c r="F498" s="42">
        <v>2310</v>
      </c>
      <c r="G498" s="42">
        <v>140</v>
      </c>
    </row>
    <row r="499" spans="1:7">
      <c r="A499" s="42" t="s">
        <v>386</v>
      </c>
      <c r="B499" s="43">
        <v>42894</v>
      </c>
      <c r="C499" s="42">
        <v>2400</v>
      </c>
      <c r="D499" s="42">
        <v>2400</v>
      </c>
      <c r="E499" s="42">
        <v>2300</v>
      </c>
      <c r="F499" s="42">
        <v>2302.08</v>
      </c>
      <c r="G499" s="42">
        <v>1140</v>
      </c>
    </row>
    <row r="500" spans="1:7">
      <c r="A500" s="42" t="s">
        <v>386</v>
      </c>
      <c r="B500" s="43">
        <v>42895</v>
      </c>
      <c r="C500" s="42">
        <v>2300</v>
      </c>
      <c r="D500" s="42">
        <v>2300.0100000000002</v>
      </c>
      <c r="E500" s="42">
        <v>2300</v>
      </c>
      <c r="F500" s="42">
        <v>2300.0100000000002</v>
      </c>
      <c r="G500" s="42">
        <v>480</v>
      </c>
    </row>
    <row r="501" spans="1:7">
      <c r="A501" s="42" t="s">
        <v>386</v>
      </c>
      <c r="B501" s="43">
        <v>42898</v>
      </c>
      <c r="C501" s="42">
        <v>2300</v>
      </c>
      <c r="D501" s="42">
        <v>2306</v>
      </c>
      <c r="E501" s="42">
        <v>2300</v>
      </c>
      <c r="F501" s="42">
        <v>2306</v>
      </c>
      <c r="G501" s="42">
        <v>400</v>
      </c>
    </row>
    <row r="502" spans="1:7">
      <c r="A502" s="42" t="s">
        <v>386</v>
      </c>
      <c r="B502" s="43">
        <v>42899</v>
      </c>
      <c r="C502" s="42">
        <v>2300</v>
      </c>
      <c r="D502" s="42">
        <v>2300</v>
      </c>
      <c r="E502" s="42">
        <v>2300</v>
      </c>
      <c r="F502" s="42">
        <v>2300</v>
      </c>
      <c r="G502" s="42">
        <v>300</v>
      </c>
    </row>
    <row r="503" spans="1:7">
      <c r="A503" s="42" t="s">
        <v>386</v>
      </c>
      <c r="B503" s="43">
        <v>42900</v>
      </c>
      <c r="C503" s="42">
        <v>2301</v>
      </c>
      <c r="D503" s="42">
        <v>2301</v>
      </c>
      <c r="E503" s="42">
        <v>2301</v>
      </c>
      <c r="F503" s="42">
        <v>2301</v>
      </c>
      <c r="G503" s="42">
        <v>120</v>
      </c>
    </row>
    <row r="504" spans="1:7">
      <c r="A504" s="42" t="s">
        <v>386</v>
      </c>
      <c r="B504" s="43">
        <v>42902</v>
      </c>
      <c r="C504" s="42">
        <v>2300</v>
      </c>
      <c r="D504" s="42">
        <v>2300</v>
      </c>
      <c r="E504" s="42">
        <v>2300</v>
      </c>
      <c r="F504" s="42">
        <v>2300</v>
      </c>
      <c r="G504" s="42">
        <v>20</v>
      </c>
    </row>
    <row r="505" spans="1:7">
      <c r="A505" s="42" t="s">
        <v>386</v>
      </c>
      <c r="B505" s="43">
        <v>42905</v>
      </c>
      <c r="C505" s="42">
        <v>2300</v>
      </c>
      <c r="D505" s="42">
        <v>2300</v>
      </c>
      <c r="E505" s="42">
        <v>2300</v>
      </c>
      <c r="F505" s="42">
        <v>2300</v>
      </c>
      <c r="G505" s="42">
        <v>200</v>
      </c>
    </row>
    <row r="506" spans="1:7">
      <c r="A506" s="42" t="s">
        <v>386</v>
      </c>
      <c r="B506" s="43">
        <v>42906</v>
      </c>
      <c r="C506" s="42">
        <v>2300</v>
      </c>
      <c r="D506" s="42">
        <v>2300</v>
      </c>
      <c r="E506" s="42">
        <v>2300</v>
      </c>
      <c r="F506" s="42">
        <v>2300</v>
      </c>
      <c r="G506" s="42">
        <v>740</v>
      </c>
    </row>
    <row r="507" spans="1:7">
      <c r="A507" s="42" t="s">
        <v>386</v>
      </c>
      <c r="B507" s="43">
        <v>42907</v>
      </c>
      <c r="C507" s="42">
        <v>2302</v>
      </c>
      <c r="D507" s="42">
        <v>2302</v>
      </c>
      <c r="E507" s="42">
        <v>2302</v>
      </c>
      <c r="F507" s="42">
        <v>2302</v>
      </c>
      <c r="G507" s="42">
        <v>20</v>
      </c>
    </row>
    <row r="508" spans="1:7">
      <c r="A508" s="42" t="s">
        <v>386</v>
      </c>
      <c r="B508" s="43">
        <v>42919</v>
      </c>
      <c r="C508" s="42">
        <v>2250</v>
      </c>
      <c r="D508" s="42">
        <v>2250</v>
      </c>
      <c r="E508" s="42">
        <v>2250</v>
      </c>
      <c r="F508" s="42">
        <v>2250</v>
      </c>
      <c r="G508" s="42">
        <v>120</v>
      </c>
    </row>
    <row r="509" spans="1:7">
      <c r="A509" s="42" t="s">
        <v>386</v>
      </c>
      <c r="B509" s="43">
        <v>42921</v>
      </c>
      <c r="C509" s="42">
        <v>2300</v>
      </c>
      <c r="D509" s="42">
        <v>2300</v>
      </c>
      <c r="E509" s="42">
        <v>2300</v>
      </c>
      <c r="F509" s="42">
        <v>2300</v>
      </c>
      <c r="G509" s="42">
        <v>380</v>
      </c>
    </row>
    <row r="510" spans="1:7">
      <c r="A510" s="42" t="s">
        <v>386</v>
      </c>
      <c r="B510" s="43">
        <v>42926</v>
      </c>
      <c r="C510" s="42">
        <v>2300</v>
      </c>
      <c r="D510" s="42">
        <v>2300</v>
      </c>
      <c r="E510" s="42">
        <v>2300</v>
      </c>
      <c r="F510" s="42">
        <v>2300</v>
      </c>
      <c r="G510" s="42">
        <v>40</v>
      </c>
    </row>
    <row r="511" spans="1:7">
      <c r="A511" s="42" t="s">
        <v>386</v>
      </c>
      <c r="B511" s="43">
        <v>42927</v>
      </c>
      <c r="C511" s="42">
        <v>2300</v>
      </c>
      <c r="D511" s="42">
        <v>2340</v>
      </c>
      <c r="E511" s="42">
        <v>2300</v>
      </c>
      <c r="F511" s="42">
        <v>2340</v>
      </c>
      <c r="G511" s="42">
        <v>3260</v>
      </c>
    </row>
    <row r="512" spans="1:7">
      <c r="A512" s="42" t="s">
        <v>386</v>
      </c>
      <c r="B512" s="43">
        <v>42928</v>
      </c>
      <c r="C512" s="42">
        <v>2363</v>
      </c>
      <c r="D512" s="42">
        <v>2366</v>
      </c>
      <c r="E512" s="42">
        <v>2363</v>
      </c>
      <c r="F512" s="42">
        <v>2366</v>
      </c>
      <c r="G512" s="42">
        <v>580</v>
      </c>
    </row>
    <row r="513" spans="1:7">
      <c r="A513" s="42" t="s">
        <v>386</v>
      </c>
      <c r="B513" s="43">
        <v>42929</v>
      </c>
      <c r="C513" s="42">
        <v>2400</v>
      </c>
      <c r="D513" s="42">
        <v>2400</v>
      </c>
      <c r="E513" s="42">
        <v>2390</v>
      </c>
      <c r="F513" s="42">
        <v>2400</v>
      </c>
      <c r="G513" s="42">
        <v>320</v>
      </c>
    </row>
    <row r="514" spans="1:7">
      <c r="A514" s="42" t="s">
        <v>386</v>
      </c>
      <c r="B514" s="43">
        <v>42933</v>
      </c>
      <c r="C514" s="42">
        <v>2355</v>
      </c>
      <c r="D514" s="42">
        <v>2355</v>
      </c>
      <c r="E514" s="42">
        <v>2355</v>
      </c>
      <c r="F514" s="42">
        <v>2355</v>
      </c>
      <c r="G514" s="42">
        <v>360</v>
      </c>
    </row>
    <row r="515" spans="1:7">
      <c r="A515" s="42" t="s">
        <v>386</v>
      </c>
      <c r="B515" s="43">
        <v>42934</v>
      </c>
      <c r="C515" s="42">
        <v>2305.0100000000002</v>
      </c>
      <c r="D515" s="42">
        <v>2305.0100000000002</v>
      </c>
      <c r="E515" s="42">
        <v>2300</v>
      </c>
      <c r="F515" s="42">
        <v>2300</v>
      </c>
      <c r="G515" s="42">
        <v>100</v>
      </c>
    </row>
    <row r="516" spans="1:7">
      <c r="A516" s="42" t="s">
        <v>386</v>
      </c>
      <c r="B516" s="43">
        <v>42935</v>
      </c>
      <c r="C516" s="42">
        <v>2399</v>
      </c>
      <c r="D516" s="42">
        <v>2399</v>
      </c>
      <c r="E516" s="42">
        <v>2399</v>
      </c>
      <c r="F516" s="42">
        <v>2399</v>
      </c>
      <c r="G516" s="42">
        <v>20</v>
      </c>
    </row>
    <row r="517" spans="1:7">
      <c r="A517" s="42" t="s">
        <v>386</v>
      </c>
      <c r="B517" s="43">
        <v>42936</v>
      </c>
      <c r="C517" s="42">
        <v>2315</v>
      </c>
      <c r="D517" s="42">
        <v>2315</v>
      </c>
      <c r="E517" s="42">
        <v>2300</v>
      </c>
      <c r="F517" s="42">
        <v>2302.67</v>
      </c>
      <c r="G517" s="42">
        <v>120</v>
      </c>
    </row>
    <row r="518" spans="1:7">
      <c r="A518" s="42" t="s">
        <v>386</v>
      </c>
      <c r="B518" s="43">
        <v>42937</v>
      </c>
      <c r="C518" s="42">
        <v>2300.0100000000002</v>
      </c>
      <c r="D518" s="42">
        <v>2380</v>
      </c>
      <c r="E518" s="42">
        <v>2300.0100000000002</v>
      </c>
      <c r="F518" s="42">
        <v>2305.0100000000002</v>
      </c>
      <c r="G518" s="42">
        <v>360</v>
      </c>
    </row>
    <row r="519" spans="1:7">
      <c r="A519" s="42" t="s">
        <v>386</v>
      </c>
      <c r="B519" s="43">
        <v>42943</v>
      </c>
      <c r="C519" s="42">
        <v>2300.0100000000002</v>
      </c>
      <c r="D519" s="42">
        <v>2310</v>
      </c>
      <c r="E519" s="42">
        <v>2300</v>
      </c>
      <c r="F519" s="42">
        <v>2310</v>
      </c>
      <c r="G519" s="42">
        <v>620</v>
      </c>
    </row>
    <row r="520" spans="1:7">
      <c r="A520" s="42" t="s">
        <v>386</v>
      </c>
      <c r="B520" s="43">
        <v>42944</v>
      </c>
      <c r="C520" s="42">
        <v>2300</v>
      </c>
      <c r="D520" s="42">
        <v>2320</v>
      </c>
      <c r="E520" s="42">
        <v>2300</v>
      </c>
      <c r="F520" s="42">
        <v>2320</v>
      </c>
      <c r="G520" s="42">
        <v>340</v>
      </c>
    </row>
    <row r="521" spans="1:7">
      <c r="A521" s="42" t="s">
        <v>386</v>
      </c>
      <c r="B521" s="43">
        <v>42948</v>
      </c>
      <c r="C521" s="42">
        <v>2320</v>
      </c>
      <c r="D521" s="42">
        <v>2320</v>
      </c>
      <c r="E521" s="42">
        <v>2320</v>
      </c>
      <c r="F521" s="42">
        <v>2320</v>
      </c>
      <c r="G521" s="42">
        <v>40</v>
      </c>
    </row>
    <row r="522" spans="1:7">
      <c r="A522" s="42" t="s">
        <v>386</v>
      </c>
      <c r="B522" s="43">
        <v>42949</v>
      </c>
      <c r="C522" s="42">
        <v>2305</v>
      </c>
      <c r="D522" s="42">
        <v>2305</v>
      </c>
      <c r="E522" s="42">
        <v>2305</v>
      </c>
      <c r="F522" s="42">
        <v>2305</v>
      </c>
      <c r="G522" s="42">
        <v>100</v>
      </c>
    </row>
    <row r="523" spans="1:7">
      <c r="A523" s="42" t="s">
        <v>386</v>
      </c>
      <c r="B523" s="43">
        <v>42951</v>
      </c>
      <c r="C523" s="42">
        <v>2300</v>
      </c>
      <c r="D523" s="42">
        <v>2405</v>
      </c>
      <c r="E523" s="42">
        <v>2300</v>
      </c>
      <c r="F523" s="42">
        <v>2369.27</v>
      </c>
      <c r="G523" s="42">
        <v>2120</v>
      </c>
    </row>
    <row r="524" spans="1:7">
      <c r="A524" s="42" t="s">
        <v>386</v>
      </c>
      <c r="B524" s="43">
        <v>42954</v>
      </c>
      <c r="C524" s="42">
        <v>2449.9899999999998</v>
      </c>
      <c r="D524" s="42">
        <v>2449.9899999999998</v>
      </c>
      <c r="E524" s="42">
        <v>2449.9899999999998</v>
      </c>
      <c r="F524" s="42">
        <v>2449.9899999999998</v>
      </c>
      <c r="G524" s="42">
        <v>40</v>
      </c>
    </row>
    <row r="525" spans="1:7">
      <c r="A525" s="42" t="s">
        <v>386</v>
      </c>
      <c r="B525" s="43">
        <v>42956</v>
      </c>
      <c r="C525" s="42">
        <v>2540</v>
      </c>
      <c r="D525" s="42">
        <v>2540</v>
      </c>
      <c r="E525" s="42">
        <v>2440</v>
      </c>
      <c r="F525" s="42">
        <v>2440</v>
      </c>
      <c r="G525" s="42">
        <v>400</v>
      </c>
    </row>
    <row r="526" spans="1:7">
      <c r="A526" s="42" t="s">
        <v>386</v>
      </c>
      <c r="B526" s="43">
        <v>42965</v>
      </c>
      <c r="C526" s="42">
        <v>2318</v>
      </c>
      <c r="D526" s="42">
        <v>2325</v>
      </c>
      <c r="E526" s="42">
        <v>2318</v>
      </c>
      <c r="F526" s="42">
        <v>2325</v>
      </c>
      <c r="G526" s="42">
        <v>900</v>
      </c>
    </row>
    <row r="527" spans="1:7">
      <c r="A527" s="42" t="s">
        <v>386</v>
      </c>
      <c r="B527" s="43">
        <v>42968</v>
      </c>
      <c r="C527" s="42">
        <v>2300</v>
      </c>
      <c r="D527" s="42">
        <v>2324</v>
      </c>
      <c r="E527" s="42">
        <v>2300</v>
      </c>
      <c r="F527" s="42">
        <v>2324</v>
      </c>
      <c r="G527" s="42">
        <v>300</v>
      </c>
    </row>
    <row r="528" spans="1:7">
      <c r="A528" s="42" t="s">
        <v>386</v>
      </c>
      <c r="B528" s="43">
        <v>42971</v>
      </c>
      <c r="C528" s="42">
        <v>2350</v>
      </c>
      <c r="D528" s="42">
        <v>2350</v>
      </c>
      <c r="E528" s="42">
        <v>2350</v>
      </c>
      <c r="F528" s="42">
        <v>2350</v>
      </c>
      <c r="G528" s="42">
        <v>120</v>
      </c>
    </row>
    <row r="529" spans="1:7">
      <c r="A529" s="42" t="s">
        <v>386</v>
      </c>
      <c r="B529" s="43">
        <v>42975</v>
      </c>
      <c r="C529" s="42">
        <v>2360</v>
      </c>
      <c r="D529" s="42">
        <v>2370</v>
      </c>
      <c r="E529" s="42">
        <v>2350</v>
      </c>
      <c r="F529" s="42">
        <v>2350</v>
      </c>
      <c r="G529" s="42">
        <v>160</v>
      </c>
    </row>
    <row r="530" spans="1:7">
      <c r="A530" s="42" t="s">
        <v>386</v>
      </c>
      <c r="B530" s="43">
        <v>42976</v>
      </c>
      <c r="C530" s="42">
        <v>2350</v>
      </c>
      <c r="D530" s="42">
        <v>2375</v>
      </c>
      <c r="E530" s="42">
        <v>2350</v>
      </c>
      <c r="F530" s="42">
        <v>2375</v>
      </c>
      <c r="G530" s="42">
        <v>400</v>
      </c>
    </row>
    <row r="531" spans="1:7">
      <c r="A531" s="42" t="s">
        <v>386</v>
      </c>
      <c r="B531" s="43">
        <v>42977</v>
      </c>
      <c r="C531" s="42">
        <v>2340</v>
      </c>
      <c r="D531" s="42">
        <v>2400</v>
      </c>
      <c r="E531" s="42">
        <v>2300</v>
      </c>
      <c r="F531" s="42">
        <v>2400</v>
      </c>
      <c r="G531" s="42">
        <v>720</v>
      </c>
    </row>
    <row r="532" spans="1:7">
      <c r="A532" s="42" t="s">
        <v>386</v>
      </c>
      <c r="B532" s="43">
        <v>42983</v>
      </c>
      <c r="C532" s="42">
        <v>2400</v>
      </c>
      <c r="D532" s="42">
        <v>2400</v>
      </c>
      <c r="E532" s="42">
        <v>2360</v>
      </c>
      <c r="F532" s="42">
        <v>2360</v>
      </c>
      <c r="G532" s="42">
        <v>160</v>
      </c>
    </row>
    <row r="533" spans="1:7">
      <c r="A533" s="42" t="s">
        <v>386</v>
      </c>
      <c r="B533" s="43">
        <v>42984</v>
      </c>
      <c r="C533" s="42">
        <v>2360</v>
      </c>
      <c r="D533" s="42">
        <v>2360</v>
      </c>
      <c r="E533" s="42">
        <v>2360</v>
      </c>
      <c r="F533" s="42">
        <v>2360</v>
      </c>
      <c r="G533" s="42">
        <v>100</v>
      </c>
    </row>
    <row r="534" spans="1:7">
      <c r="A534" s="42" t="s">
        <v>386</v>
      </c>
      <c r="B534" s="43">
        <v>42985</v>
      </c>
      <c r="C534" s="42">
        <v>2320</v>
      </c>
      <c r="D534" s="42">
        <v>2320</v>
      </c>
      <c r="E534" s="42">
        <v>2300.0700000000002</v>
      </c>
      <c r="F534" s="42">
        <v>2300.0700000000002</v>
      </c>
      <c r="G534" s="42">
        <v>200</v>
      </c>
    </row>
    <row r="535" spans="1:7">
      <c r="A535" s="42" t="s">
        <v>386</v>
      </c>
      <c r="B535" s="43">
        <v>42986</v>
      </c>
      <c r="C535" s="42">
        <v>2399</v>
      </c>
      <c r="D535" s="42">
        <v>2399</v>
      </c>
      <c r="E535" s="42">
        <v>2399</v>
      </c>
      <c r="F535" s="42">
        <v>2399</v>
      </c>
      <c r="G535" s="42">
        <v>40</v>
      </c>
    </row>
    <row r="536" spans="1:7">
      <c r="A536" s="42" t="s">
        <v>386</v>
      </c>
      <c r="B536" s="43">
        <v>42989</v>
      </c>
      <c r="C536" s="42">
        <v>2300</v>
      </c>
      <c r="D536" s="42">
        <v>2300</v>
      </c>
      <c r="E536" s="42">
        <v>2300</v>
      </c>
      <c r="F536" s="42">
        <v>2300</v>
      </c>
      <c r="G536" s="42">
        <v>200</v>
      </c>
    </row>
    <row r="537" spans="1:7">
      <c r="A537" s="42" t="s">
        <v>386</v>
      </c>
      <c r="B537" s="43">
        <v>42996</v>
      </c>
      <c r="C537" s="42">
        <v>2286</v>
      </c>
      <c r="D537" s="42">
        <v>2300</v>
      </c>
      <c r="E537" s="42">
        <v>2285</v>
      </c>
      <c r="F537" s="42">
        <v>2300</v>
      </c>
      <c r="G537" s="42">
        <v>300</v>
      </c>
    </row>
    <row r="538" spans="1:7">
      <c r="A538" s="42" t="s">
        <v>386</v>
      </c>
      <c r="B538" s="43">
        <v>42997</v>
      </c>
      <c r="C538" s="42">
        <v>2225</v>
      </c>
      <c r="D538" s="42">
        <v>2280</v>
      </c>
      <c r="E538" s="42">
        <v>2185</v>
      </c>
      <c r="F538" s="42">
        <v>2203.75</v>
      </c>
      <c r="G538" s="42">
        <v>560</v>
      </c>
    </row>
    <row r="539" spans="1:7">
      <c r="A539" s="42" t="s">
        <v>386</v>
      </c>
      <c r="B539" s="43">
        <v>43003</v>
      </c>
      <c r="C539" s="42">
        <v>2200</v>
      </c>
      <c r="D539" s="42">
        <v>2200</v>
      </c>
      <c r="E539" s="42">
        <v>2200</v>
      </c>
      <c r="F539" s="42">
        <v>2200</v>
      </c>
      <c r="G539" s="42">
        <v>20</v>
      </c>
    </row>
    <row r="540" spans="1:7">
      <c r="A540" s="42" t="s">
        <v>386</v>
      </c>
      <c r="B540" s="43">
        <v>43012</v>
      </c>
      <c r="C540" s="42">
        <v>2150</v>
      </c>
      <c r="D540" s="42">
        <v>2150</v>
      </c>
      <c r="E540" s="42">
        <v>2150</v>
      </c>
      <c r="F540" s="42">
        <v>2150</v>
      </c>
      <c r="G540" s="42">
        <v>80</v>
      </c>
    </row>
    <row r="541" spans="1:7">
      <c r="A541" s="42" t="s">
        <v>386</v>
      </c>
      <c r="B541" s="43">
        <v>43019</v>
      </c>
      <c r="C541" s="42">
        <v>2180</v>
      </c>
      <c r="D541" s="42">
        <v>2180.65</v>
      </c>
      <c r="E541" s="42">
        <v>2180</v>
      </c>
      <c r="F541" s="42">
        <v>2180.65</v>
      </c>
      <c r="G541" s="42">
        <v>40</v>
      </c>
    </row>
    <row r="542" spans="1:7">
      <c r="A542" s="42" t="s">
        <v>386</v>
      </c>
      <c r="B542" s="43">
        <v>43021</v>
      </c>
      <c r="C542" s="42">
        <v>2200</v>
      </c>
      <c r="D542" s="42">
        <v>2200</v>
      </c>
      <c r="E542" s="42">
        <v>2150</v>
      </c>
      <c r="F542" s="42">
        <v>2150</v>
      </c>
      <c r="G542" s="42">
        <v>320</v>
      </c>
    </row>
    <row r="543" spans="1:7">
      <c r="A543" s="42" t="s">
        <v>386</v>
      </c>
      <c r="B543" s="43">
        <v>43028</v>
      </c>
      <c r="C543" s="42">
        <v>2105.0100000000002</v>
      </c>
      <c r="D543" s="42">
        <v>2225</v>
      </c>
      <c r="E543" s="42">
        <v>2105.0100000000002</v>
      </c>
      <c r="F543" s="42">
        <v>2225</v>
      </c>
      <c r="G543" s="42">
        <v>420</v>
      </c>
    </row>
    <row r="544" spans="1:7">
      <c r="A544" s="42" t="s">
        <v>386</v>
      </c>
      <c r="B544" s="43">
        <v>43032</v>
      </c>
      <c r="C544" s="42">
        <v>2210</v>
      </c>
      <c r="D544" s="42">
        <v>2210</v>
      </c>
      <c r="E544" s="42">
        <v>2210</v>
      </c>
      <c r="F544" s="42">
        <v>2210</v>
      </c>
      <c r="G544" s="42">
        <v>100</v>
      </c>
    </row>
    <row r="545" spans="1:7">
      <c r="A545" s="42" t="s">
        <v>386</v>
      </c>
      <c r="B545" s="43">
        <v>43038</v>
      </c>
      <c r="C545" s="42">
        <v>2290</v>
      </c>
      <c r="D545" s="42">
        <v>2320</v>
      </c>
      <c r="E545" s="42">
        <v>2290</v>
      </c>
      <c r="F545" s="42">
        <v>2320</v>
      </c>
      <c r="G545" s="42">
        <v>240</v>
      </c>
    </row>
    <row r="546" spans="1:7">
      <c r="A546" s="42" t="s">
        <v>386</v>
      </c>
      <c r="B546" s="43">
        <v>43040</v>
      </c>
      <c r="C546" s="42">
        <v>2222</v>
      </c>
      <c r="D546" s="42">
        <v>2225</v>
      </c>
      <c r="E546" s="42">
        <v>2222</v>
      </c>
      <c r="F546" s="42">
        <v>2225</v>
      </c>
      <c r="G546" s="42">
        <v>300</v>
      </c>
    </row>
    <row r="547" spans="1:7">
      <c r="A547" s="42" t="s">
        <v>386</v>
      </c>
      <c r="B547" s="43">
        <v>43041</v>
      </c>
      <c r="C547" s="42">
        <v>2200</v>
      </c>
      <c r="D547" s="42">
        <v>2200</v>
      </c>
      <c r="E547" s="42">
        <v>2200</v>
      </c>
      <c r="F547" s="42">
        <v>2200</v>
      </c>
      <c r="G547" s="42">
        <v>120</v>
      </c>
    </row>
    <row r="548" spans="1:7">
      <c r="A548" s="42" t="s">
        <v>386</v>
      </c>
      <c r="B548" s="43">
        <v>43042</v>
      </c>
      <c r="C548" s="42">
        <v>2202</v>
      </c>
      <c r="D548" s="42">
        <v>2202</v>
      </c>
      <c r="E548" s="42">
        <v>2202</v>
      </c>
      <c r="F548" s="42">
        <v>2202</v>
      </c>
      <c r="G548" s="42">
        <v>40</v>
      </c>
    </row>
    <row r="549" spans="1:7">
      <c r="A549" s="42" t="s">
        <v>386</v>
      </c>
      <c r="B549" s="43">
        <v>43045</v>
      </c>
      <c r="C549" s="42">
        <v>2200</v>
      </c>
      <c r="D549" s="42">
        <v>2200</v>
      </c>
      <c r="E549" s="42">
        <v>2200</v>
      </c>
      <c r="F549" s="42">
        <v>2200</v>
      </c>
      <c r="G549" s="42">
        <v>8000</v>
      </c>
    </row>
    <row r="550" spans="1:7">
      <c r="A550" s="42" t="s">
        <v>386</v>
      </c>
      <c r="B550" s="43">
        <v>43047</v>
      </c>
      <c r="C550" s="42">
        <v>2300</v>
      </c>
      <c r="D550" s="42">
        <v>2310</v>
      </c>
      <c r="E550" s="42">
        <v>2300</v>
      </c>
      <c r="F550" s="42">
        <v>2310</v>
      </c>
      <c r="G550" s="42">
        <v>100</v>
      </c>
    </row>
    <row r="551" spans="1:7">
      <c r="A551" s="42" t="s">
        <v>386</v>
      </c>
      <c r="B551" s="43">
        <v>43049</v>
      </c>
      <c r="C551" s="42">
        <v>2212.0100000000002</v>
      </c>
      <c r="D551" s="42">
        <v>2212.0100000000002</v>
      </c>
      <c r="E551" s="42">
        <v>2212.0100000000002</v>
      </c>
      <c r="F551" s="42">
        <v>2212.0100000000002</v>
      </c>
      <c r="G551" s="42">
        <v>20</v>
      </c>
    </row>
    <row r="552" spans="1:7">
      <c r="A552" s="42" t="s">
        <v>386</v>
      </c>
      <c r="B552" s="43">
        <v>43054</v>
      </c>
      <c r="C552" s="42">
        <v>2222.1</v>
      </c>
      <c r="D552" s="42">
        <v>2321</v>
      </c>
      <c r="E552" s="42">
        <v>2222.1</v>
      </c>
      <c r="F552" s="42">
        <v>2321</v>
      </c>
      <c r="G552" s="42">
        <v>200</v>
      </c>
    </row>
    <row r="553" spans="1:7">
      <c r="A553" s="42" t="s">
        <v>386</v>
      </c>
      <c r="B553" s="43">
        <v>43055</v>
      </c>
      <c r="C553" s="42">
        <v>2205</v>
      </c>
      <c r="D553" s="42">
        <v>2430</v>
      </c>
      <c r="E553" s="42">
        <v>2205</v>
      </c>
      <c r="F553" s="42">
        <v>2430</v>
      </c>
      <c r="G553" s="42">
        <v>120</v>
      </c>
    </row>
    <row r="554" spans="1:7">
      <c r="A554" s="42" t="s">
        <v>386</v>
      </c>
      <c r="B554" s="43">
        <v>43056</v>
      </c>
      <c r="C554" s="42">
        <v>2310</v>
      </c>
      <c r="D554" s="42">
        <v>2310</v>
      </c>
      <c r="E554" s="42">
        <v>2310</v>
      </c>
      <c r="F554" s="42">
        <v>2310</v>
      </c>
      <c r="G554" s="42">
        <v>100</v>
      </c>
    </row>
    <row r="555" spans="1:7">
      <c r="A555" s="42" t="s">
        <v>386</v>
      </c>
      <c r="B555" s="43">
        <v>43061</v>
      </c>
      <c r="C555" s="42">
        <v>2300</v>
      </c>
      <c r="D555" s="42">
        <v>2300</v>
      </c>
      <c r="E555" s="42">
        <v>2300</v>
      </c>
      <c r="F555" s="42">
        <v>2300</v>
      </c>
      <c r="G555" s="42">
        <v>100</v>
      </c>
    </row>
    <row r="556" spans="1:7">
      <c r="A556" s="42" t="s">
        <v>386</v>
      </c>
      <c r="B556" s="43">
        <v>43063</v>
      </c>
      <c r="C556" s="42">
        <v>2275</v>
      </c>
      <c r="D556" s="42">
        <v>2275</v>
      </c>
      <c r="E556" s="42">
        <v>2275</v>
      </c>
      <c r="F556" s="42">
        <v>2275</v>
      </c>
      <c r="G556" s="42">
        <v>20</v>
      </c>
    </row>
    <row r="557" spans="1:7">
      <c r="A557" s="42" t="s">
        <v>386</v>
      </c>
      <c r="B557" s="43">
        <v>43069</v>
      </c>
      <c r="C557" s="42">
        <v>2299</v>
      </c>
      <c r="D557" s="42">
        <v>2300</v>
      </c>
      <c r="E557" s="42">
        <v>2275</v>
      </c>
      <c r="F557" s="42">
        <v>2295</v>
      </c>
      <c r="G557" s="42">
        <v>240</v>
      </c>
    </row>
    <row r="558" spans="1:7">
      <c r="A558" s="42" t="s">
        <v>386</v>
      </c>
      <c r="B558" s="43">
        <v>43077</v>
      </c>
      <c r="C558" s="42">
        <v>2400</v>
      </c>
      <c r="D558" s="42">
        <v>2400</v>
      </c>
      <c r="E558" s="42">
        <v>2400</v>
      </c>
      <c r="F558" s="42">
        <v>2400</v>
      </c>
      <c r="G558" s="42">
        <v>100</v>
      </c>
    </row>
    <row r="559" spans="1:7">
      <c r="A559" s="42" t="s">
        <v>386</v>
      </c>
      <c r="B559" s="43">
        <v>43080</v>
      </c>
      <c r="C559" s="42">
        <v>2448</v>
      </c>
      <c r="D559" s="42">
        <v>2449</v>
      </c>
      <c r="E559" s="42">
        <v>2448</v>
      </c>
      <c r="F559" s="42">
        <v>2449</v>
      </c>
      <c r="G559" s="42">
        <v>340</v>
      </c>
    </row>
    <row r="560" spans="1:7">
      <c r="A560" s="42" t="s">
        <v>386</v>
      </c>
      <c r="B560" s="43">
        <v>43082</v>
      </c>
      <c r="C560" s="42">
        <v>2530</v>
      </c>
      <c r="D560" s="42">
        <v>2550</v>
      </c>
      <c r="E560" s="42">
        <v>2530</v>
      </c>
      <c r="F560" s="42">
        <v>2530</v>
      </c>
      <c r="G560" s="42">
        <v>440</v>
      </c>
    </row>
    <row r="561" spans="1:7">
      <c r="A561" s="42" t="s">
        <v>386</v>
      </c>
      <c r="B561" s="43">
        <v>43083</v>
      </c>
      <c r="C561" s="42">
        <v>2600</v>
      </c>
      <c r="D561" s="42">
        <v>2600</v>
      </c>
      <c r="E561" s="42">
        <v>2590</v>
      </c>
      <c r="F561" s="42">
        <v>2590</v>
      </c>
      <c r="G561" s="42">
        <v>120</v>
      </c>
    </row>
    <row r="562" spans="1:7">
      <c r="A562" s="42" t="s">
        <v>386</v>
      </c>
      <c r="B562" s="43">
        <v>43084</v>
      </c>
      <c r="C562" s="42">
        <v>2645</v>
      </c>
      <c r="D562" s="42">
        <v>2700</v>
      </c>
      <c r="E562" s="42">
        <v>2640</v>
      </c>
      <c r="F562" s="42">
        <v>2641</v>
      </c>
      <c r="G562" s="42">
        <v>500</v>
      </c>
    </row>
    <row r="563" spans="1:7">
      <c r="A563" s="42" t="s">
        <v>386</v>
      </c>
      <c r="B563" s="43">
        <v>43087</v>
      </c>
      <c r="C563" s="42">
        <v>2700</v>
      </c>
      <c r="D563" s="42">
        <v>2750</v>
      </c>
      <c r="E563" s="42">
        <v>2700</v>
      </c>
      <c r="F563" s="42">
        <v>2750</v>
      </c>
      <c r="G563" s="42">
        <v>300</v>
      </c>
    </row>
    <row r="564" spans="1:7">
      <c r="A564" s="42" t="s">
        <v>386</v>
      </c>
      <c r="B564" s="43">
        <v>43088</v>
      </c>
      <c r="C564" s="42">
        <v>2800</v>
      </c>
      <c r="D564" s="42">
        <v>2850</v>
      </c>
      <c r="E564" s="42">
        <v>2800</v>
      </c>
      <c r="F564" s="42">
        <v>2840</v>
      </c>
      <c r="G564" s="42">
        <v>1080</v>
      </c>
    </row>
    <row r="565" spans="1:7">
      <c r="A565" s="42" t="s">
        <v>386</v>
      </c>
      <c r="B565" s="43">
        <v>43089</v>
      </c>
      <c r="C565" s="42">
        <v>2840</v>
      </c>
      <c r="D565" s="42">
        <v>2840</v>
      </c>
      <c r="E565" s="42">
        <v>2840</v>
      </c>
      <c r="F565" s="42">
        <v>2840</v>
      </c>
      <c r="G565" s="42">
        <v>140</v>
      </c>
    </row>
    <row r="566" spans="1:7">
      <c r="A566" s="42" t="s">
        <v>386</v>
      </c>
      <c r="B566" s="43">
        <v>43090</v>
      </c>
      <c r="C566" s="42">
        <v>2845</v>
      </c>
      <c r="D566" s="42">
        <v>2845</v>
      </c>
      <c r="E566" s="42">
        <v>2840</v>
      </c>
      <c r="F566" s="42">
        <v>2840</v>
      </c>
      <c r="G566" s="42">
        <v>120</v>
      </c>
    </row>
    <row r="567" spans="1:7">
      <c r="A567" s="42" t="s">
        <v>386</v>
      </c>
      <c r="B567" s="43">
        <v>43095</v>
      </c>
      <c r="C567" s="42">
        <v>2982</v>
      </c>
      <c r="D567" s="42">
        <v>2982</v>
      </c>
      <c r="E567" s="42">
        <v>2881</v>
      </c>
      <c r="F567" s="42">
        <v>2882</v>
      </c>
      <c r="G567" s="42">
        <v>300</v>
      </c>
    </row>
    <row r="568" spans="1:7">
      <c r="A568" s="42" t="s">
        <v>386</v>
      </c>
      <c r="B568" s="43">
        <v>43096</v>
      </c>
      <c r="C568" s="42">
        <v>2738</v>
      </c>
      <c r="D568" s="42">
        <v>2890</v>
      </c>
      <c r="E568" s="42">
        <v>2738</v>
      </c>
      <c r="F568" s="42">
        <v>2890</v>
      </c>
      <c r="G568" s="42">
        <v>320</v>
      </c>
    </row>
    <row r="569" spans="1:7">
      <c r="A569" s="42" t="s">
        <v>386</v>
      </c>
      <c r="B569" s="43">
        <v>43098</v>
      </c>
      <c r="C569" s="42">
        <v>2800</v>
      </c>
      <c r="D569" s="42">
        <v>2800</v>
      </c>
      <c r="E569" s="42">
        <v>2800</v>
      </c>
      <c r="F569" s="42">
        <v>2800</v>
      </c>
      <c r="G569" s="42">
        <v>140</v>
      </c>
    </row>
    <row r="570" spans="1:7">
      <c r="A570" s="42" t="s">
        <v>386</v>
      </c>
      <c r="B570" s="43">
        <v>43103</v>
      </c>
      <c r="C570" s="42">
        <v>2780</v>
      </c>
      <c r="D570" s="42">
        <v>2780</v>
      </c>
      <c r="E570" s="42">
        <v>2780</v>
      </c>
      <c r="F570" s="42">
        <v>2780</v>
      </c>
      <c r="G570" s="42">
        <v>100</v>
      </c>
    </row>
    <row r="571" spans="1:7">
      <c r="A571" s="42" t="s">
        <v>386</v>
      </c>
      <c r="B571" s="43">
        <v>43104</v>
      </c>
      <c r="C571" s="42">
        <v>2650</v>
      </c>
      <c r="D571" s="42">
        <v>2650</v>
      </c>
      <c r="E571" s="42">
        <v>2650</v>
      </c>
      <c r="F571" s="42">
        <v>2650</v>
      </c>
      <c r="G571" s="42">
        <v>80</v>
      </c>
    </row>
    <row r="572" spans="1:7">
      <c r="A572" s="42" t="s">
        <v>386</v>
      </c>
      <c r="B572" s="43">
        <v>43112</v>
      </c>
      <c r="C572" s="42">
        <v>2834.99</v>
      </c>
      <c r="D572" s="42">
        <v>2834.99</v>
      </c>
      <c r="E572" s="42">
        <v>2820</v>
      </c>
      <c r="F572" s="42">
        <v>2834</v>
      </c>
      <c r="G572" s="42">
        <v>140</v>
      </c>
    </row>
    <row r="573" spans="1:7">
      <c r="A573" s="42" t="s">
        <v>386</v>
      </c>
      <c r="B573" s="43">
        <v>43124</v>
      </c>
      <c r="C573" s="42">
        <v>2840</v>
      </c>
      <c r="D573" s="42">
        <v>2840</v>
      </c>
      <c r="E573" s="42">
        <v>2750</v>
      </c>
      <c r="F573" s="42">
        <v>2750</v>
      </c>
      <c r="G573" s="42">
        <v>100</v>
      </c>
    </row>
    <row r="574" spans="1:7">
      <c r="A574" s="42" t="s">
        <v>386</v>
      </c>
      <c r="B574" s="43">
        <v>43125</v>
      </c>
      <c r="C574" s="42">
        <v>2880</v>
      </c>
      <c r="D574" s="42">
        <v>2887</v>
      </c>
      <c r="E574" s="42">
        <v>2800</v>
      </c>
      <c r="F574" s="42">
        <v>2800</v>
      </c>
      <c r="G574" s="42">
        <v>220</v>
      </c>
    </row>
    <row r="575" spans="1:7">
      <c r="A575" s="42" t="s">
        <v>386</v>
      </c>
      <c r="B575" s="43">
        <v>43129</v>
      </c>
      <c r="C575" s="42">
        <v>2671</v>
      </c>
      <c r="D575" s="42">
        <v>2800</v>
      </c>
      <c r="E575" s="42">
        <v>2671</v>
      </c>
      <c r="F575" s="42">
        <v>2800</v>
      </c>
      <c r="G575" s="42">
        <v>40</v>
      </c>
    </row>
    <row r="576" spans="1:7">
      <c r="A576" s="42" t="s">
        <v>386</v>
      </c>
      <c r="B576" s="43">
        <v>43131</v>
      </c>
      <c r="C576" s="42">
        <v>2800</v>
      </c>
      <c r="D576" s="42">
        <v>2800</v>
      </c>
      <c r="E576" s="42">
        <v>2800</v>
      </c>
      <c r="F576" s="42">
        <v>2800</v>
      </c>
      <c r="G576" s="42">
        <v>40</v>
      </c>
    </row>
    <row r="577" spans="1:7">
      <c r="A577" s="42" t="s">
        <v>386</v>
      </c>
      <c r="B577" s="43">
        <v>43132</v>
      </c>
      <c r="C577" s="42">
        <v>2800</v>
      </c>
      <c r="D577" s="42">
        <v>2800</v>
      </c>
      <c r="E577" s="42">
        <v>2660.1</v>
      </c>
      <c r="F577" s="42">
        <v>2680</v>
      </c>
      <c r="G577" s="42">
        <v>240</v>
      </c>
    </row>
    <row r="578" spans="1:7">
      <c r="A578" s="42" t="s">
        <v>386</v>
      </c>
      <c r="B578" s="43">
        <v>43133</v>
      </c>
      <c r="C578" s="42">
        <v>2799</v>
      </c>
      <c r="D578" s="42">
        <v>2799</v>
      </c>
      <c r="E578" s="42">
        <v>2799</v>
      </c>
      <c r="F578" s="42">
        <v>2799</v>
      </c>
      <c r="G578" s="42">
        <v>20</v>
      </c>
    </row>
    <row r="579" spans="1:7">
      <c r="A579" s="42" t="s">
        <v>386</v>
      </c>
      <c r="B579" s="43">
        <v>43138</v>
      </c>
      <c r="C579" s="42">
        <v>2900</v>
      </c>
      <c r="D579" s="42">
        <v>2900</v>
      </c>
      <c r="E579" s="42">
        <v>2900</v>
      </c>
      <c r="F579" s="42">
        <v>2900</v>
      </c>
      <c r="G579" s="42">
        <v>20</v>
      </c>
    </row>
    <row r="580" spans="1:7">
      <c r="A580" s="42" t="s">
        <v>386</v>
      </c>
      <c r="B580" s="43">
        <v>43140</v>
      </c>
      <c r="C580" s="42">
        <v>2930</v>
      </c>
      <c r="D580" s="42">
        <v>3029.25</v>
      </c>
      <c r="E580" s="42">
        <v>2930</v>
      </c>
      <c r="F580" s="42">
        <v>3029.25</v>
      </c>
      <c r="G580" s="42">
        <v>2000</v>
      </c>
    </row>
    <row r="581" spans="1:7">
      <c r="A581" s="42" t="s">
        <v>386</v>
      </c>
      <c r="B581" s="43">
        <v>43144</v>
      </c>
      <c r="C581" s="42">
        <v>3005</v>
      </c>
      <c r="D581" s="42">
        <v>3020</v>
      </c>
      <c r="E581" s="42">
        <v>3005</v>
      </c>
      <c r="F581" s="42">
        <v>3012.5</v>
      </c>
      <c r="G581" s="42">
        <v>80</v>
      </c>
    </row>
    <row r="582" spans="1:7">
      <c r="A582" s="42" t="s">
        <v>386</v>
      </c>
      <c r="B582" s="43">
        <v>43146</v>
      </c>
      <c r="C582" s="42">
        <v>3000</v>
      </c>
      <c r="D582" s="42">
        <v>3000</v>
      </c>
      <c r="E582" s="42">
        <v>3000</v>
      </c>
      <c r="F582" s="42">
        <v>3000</v>
      </c>
      <c r="G582" s="42">
        <v>200</v>
      </c>
    </row>
    <row r="583" spans="1:7">
      <c r="A583" s="42" t="s">
        <v>386</v>
      </c>
      <c r="B583" s="43">
        <v>43150</v>
      </c>
      <c r="C583" s="42">
        <v>3000</v>
      </c>
      <c r="D583" s="42">
        <v>3000</v>
      </c>
      <c r="E583" s="42">
        <v>3000</v>
      </c>
      <c r="F583" s="42">
        <v>3000</v>
      </c>
      <c r="G583" s="42">
        <v>360</v>
      </c>
    </row>
    <row r="584" spans="1:7">
      <c r="A584" s="42" t="s">
        <v>386</v>
      </c>
      <c r="B584" s="43">
        <v>43151</v>
      </c>
      <c r="C584" s="42">
        <v>3000</v>
      </c>
      <c r="D584" s="42">
        <v>3000</v>
      </c>
      <c r="E584" s="42">
        <v>3000</v>
      </c>
      <c r="F584" s="42">
        <v>3000</v>
      </c>
      <c r="G584" s="42">
        <v>100</v>
      </c>
    </row>
    <row r="585" spans="1:7">
      <c r="A585" s="42" t="s">
        <v>386</v>
      </c>
      <c r="B585" s="43">
        <v>43161</v>
      </c>
      <c r="C585" s="42">
        <v>2900</v>
      </c>
      <c r="D585" s="42">
        <v>2900</v>
      </c>
      <c r="E585" s="42">
        <v>2900</v>
      </c>
      <c r="F585" s="42">
        <v>2900</v>
      </c>
      <c r="G585" s="42">
        <v>100</v>
      </c>
    </row>
    <row r="586" spans="1:7">
      <c r="A586" s="42" t="s">
        <v>386</v>
      </c>
      <c r="B586" s="43">
        <v>43165</v>
      </c>
      <c r="C586" s="42">
        <v>2900</v>
      </c>
      <c r="D586" s="42">
        <v>2900</v>
      </c>
      <c r="E586" s="42">
        <v>2900</v>
      </c>
      <c r="F586" s="42">
        <v>2900</v>
      </c>
      <c r="G586" s="42">
        <v>200</v>
      </c>
    </row>
    <row r="587" spans="1:7">
      <c r="A587" s="42" t="s">
        <v>386</v>
      </c>
      <c r="B587" s="43">
        <v>43166</v>
      </c>
      <c r="C587" s="42">
        <v>2900</v>
      </c>
      <c r="D587" s="42">
        <v>2900</v>
      </c>
      <c r="E587" s="42">
        <v>2900</v>
      </c>
      <c r="F587" s="42">
        <v>2900</v>
      </c>
      <c r="G587" s="42">
        <v>180</v>
      </c>
    </row>
    <row r="588" spans="1:7">
      <c r="A588" s="42" t="s">
        <v>386</v>
      </c>
      <c r="B588" s="43">
        <v>43168</v>
      </c>
      <c r="C588" s="42">
        <v>3045</v>
      </c>
      <c r="D588" s="42">
        <v>3045</v>
      </c>
      <c r="E588" s="42">
        <v>3045</v>
      </c>
      <c r="F588" s="42">
        <v>3045</v>
      </c>
      <c r="G588" s="42">
        <v>40</v>
      </c>
    </row>
    <row r="589" spans="1:7">
      <c r="A589" s="42" t="s">
        <v>386</v>
      </c>
      <c r="B589" s="43">
        <v>43172</v>
      </c>
      <c r="C589" s="42">
        <v>3050</v>
      </c>
      <c r="D589" s="42">
        <v>3050</v>
      </c>
      <c r="E589" s="42">
        <v>3050</v>
      </c>
      <c r="F589" s="42">
        <v>3050</v>
      </c>
      <c r="G589" s="42">
        <v>80</v>
      </c>
    </row>
    <row r="590" spans="1:7">
      <c r="A590" s="42" t="s">
        <v>386</v>
      </c>
      <c r="B590" s="43">
        <v>43173</v>
      </c>
      <c r="C590" s="42">
        <v>3100</v>
      </c>
      <c r="D590" s="42">
        <v>3100</v>
      </c>
      <c r="E590" s="42">
        <v>3100</v>
      </c>
      <c r="F590" s="42">
        <v>3100</v>
      </c>
      <c r="G590" s="42">
        <v>60</v>
      </c>
    </row>
    <row r="591" spans="1:7">
      <c r="A591" s="42" t="s">
        <v>386</v>
      </c>
      <c r="B591" s="43">
        <v>43193</v>
      </c>
      <c r="C591" s="42">
        <v>3100</v>
      </c>
      <c r="D591" s="42">
        <v>3100</v>
      </c>
      <c r="E591" s="42">
        <v>2991.68</v>
      </c>
      <c r="F591" s="42">
        <v>2991.68</v>
      </c>
      <c r="G591" s="42">
        <v>140</v>
      </c>
    </row>
    <row r="592" spans="1:7">
      <c r="A592" s="42" t="s">
        <v>386</v>
      </c>
      <c r="B592" s="43">
        <v>43194</v>
      </c>
      <c r="C592" s="42">
        <v>2842.11</v>
      </c>
      <c r="D592" s="42">
        <v>3139</v>
      </c>
      <c r="E592" s="42">
        <v>2842.11</v>
      </c>
      <c r="F592" s="42">
        <v>3139</v>
      </c>
      <c r="G592" s="42">
        <v>240</v>
      </c>
    </row>
    <row r="593" spans="1:7">
      <c r="A593" s="42" t="s">
        <v>386</v>
      </c>
      <c r="B593" s="43">
        <v>43195</v>
      </c>
      <c r="C593" s="42">
        <v>3199</v>
      </c>
      <c r="D593" s="42">
        <v>3199</v>
      </c>
      <c r="E593" s="42">
        <v>3100</v>
      </c>
      <c r="F593" s="42">
        <v>3100</v>
      </c>
      <c r="G593" s="42">
        <v>140</v>
      </c>
    </row>
    <row r="594" spans="1:7">
      <c r="A594" s="42" t="s">
        <v>386</v>
      </c>
      <c r="B594" s="43">
        <v>43196</v>
      </c>
      <c r="C594" s="42">
        <v>3255</v>
      </c>
      <c r="D594" s="42">
        <v>3255</v>
      </c>
      <c r="E594" s="42">
        <v>3255</v>
      </c>
      <c r="F594" s="42">
        <v>3255</v>
      </c>
      <c r="G594" s="42">
        <v>20</v>
      </c>
    </row>
    <row r="595" spans="1:7">
      <c r="A595" s="42" t="s">
        <v>386</v>
      </c>
      <c r="B595" s="43">
        <v>43199</v>
      </c>
      <c r="C595" s="42">
        <v>3100</v>
      </c>
      <c r="D595" s="42">
        <v>3100</v>
      </c>
      <c r="E595" s="42">
        <v>3092.25</v>
      </c>
      <c r="F595" s="42">
        <v>3100</v>
      </c>
      <c r="G595" s="42">
        <v>80</v>
      </c>
    </row>
    <row r="596" spans="1:7">
      <c r="A596" s="42" t="s">
        <v>386</v>
      </c>
      <c r="B596" s="43">
        <v>43200</v>
      </c>
      <c r="C596" s="42">
        <v>2945</v>
      </c>
      <c r="D596" s="42">
        <v>3248</v>
      </c>
      <c r="E596" s="42">
        <v>2945</v>
      </c>
      <c r="F596" s="42">
        <v>2946.01</v>
      </c>
      <c r="G596" s="42">
        <v>80</v>
      </c>
    </row>
    <row r="597" spans="1:7">
      <c r="A597" s="42" t="s">
        <v>386</v>
      </c>
      <c r="B597" s="43">
        <v>43201</v>
      </c>
      <c r="C597" s="42">
        <v>2945.5</v>
      </c>
      <c r="D597" s="42">
        <v>3093</v>
      </c>
      <c r="E597" s="42">
        <v>2812</v>
      </c>
      <c r="F597" s="42">
        <v>2900.01</v>
      </c>
      <c r="G597" s="42">
        <v>100</v>
      </c>
    </row>
    <row r="598" spans="1:7">
      <c r="A598" s="42" t="s">
        <v>386</v>
      </c>
      <c r="B598" s="43">
        <v>43202</v>
      </c>
      <c r="C598" s="42">
        <v>3045</v>
      </c>
      <c r="D598" s="42">
        <v>3045</v>
      </c>
      <c r="E598" s="42">
        <v>2841</v>
      </c>
      <c r="F598" s="42">
        <v>2851</v>
      </c>
      <c r="G598" s="42">
        <v>240</v>
      </c>
    </row>
    <row r="599" spans="1:7">
      <c r="A599" s="42" t="s">
        <v>386</v>
      </c>
      <c r="B599" s="43">
        <v>43203</v>
      </c>
      <c r="C599" s="42">
        <v>2710</v>
      </c>
      <c r="D599" s="42">
        <v>2900</v>
      </c>
      <c r="E599" s="42">
        <v>2710</v>
      </c>
      <c r="F599" s="42">
        <v>2900</v>
      </c>
      <c r="G599" s="42">
        <v>260</v>
      </c>
    </row>
    <row r="600" spans="1:7">
      <c r="A600" s="42" t="s">
        <v>386</v>
      </c>
      <c r="B600" s="43">
        <v>43206</v>
      </c>
      <c r="C600" s="42">
        <v>2762</v>
      </c>
      <c r="D600" s="42">
        <v>3044.99</v>
      </c>
      <c r="E600" s="42">
        <v>2762</v>
      </c>
      <c r="F600" s="42">
        <v>3034</v>
      </c>
      <c r="G600" s="42">
        <v>200</v>
      </c>
    </row>
    <row r="601" spans="1:7">
      <c r="A601" s="42" t="s">
        <v>386</v>
      </c>
      <c r="B601" s="43">
        <v>43207</v>
      </c>
      <c r="C601" s="42">
        <v>3184.99</v>
      </c>
      <c r="D601" s="42">
        <v>3184.99</v>
      </c>
      <c r="E601" s="42">
        <v>3184.99</v>
      </c>
      <c r="F601" s="42">
        <v>3184.99</v>
      </c>
      <c r="G601" s="42">
        <v>20</v>
      </c>
    </row>
    <row r="602" spans="1:7">
      <c r="A602" s="42" t="s">
        <v>386</v>
      </c>
      <c r="B602" s="43">
        <v>43208</v>
      </c>
      <c r="C602" s="42">
        <v>3284.99</v>
      </c>
      <c r="D602" s="42">
        <v>3284.99</v>
      </c>
      <c r="E602" s="42">
        <v>3030</v>
      </c>
      <c r="F602" s="42">
        <v>3199.99</v>
      </c>
      <c r="G602" s="42">
        <v>60</v>
      </c>
    </row>
    <row r="603" spans="1:7">
      <c r="A603" s="42" t="s">
        <v>386</v>
      </c>
      <c r="B603" s="43">
        <v>43209</v>
      </c>
      <c r="C603" s="42">
        <v>3289</v>
      </c>
      <c r="D603" s="42">
        <v>3289</v>
      </c>
      <c r="E603" s="42">
        <v>3051</v>
      </c>
      <c r="F603" s="42">
        <v>3200</v>
      </c>
      <c r="G603" s="42">
        <v>580</v>
      </c>
    </row>
    <row r="604" spans="1:7">
      <c r="A604" s="42" t="s">
        <v>386</v>
      </c>
      <c r="B604" s="43">
        <v>43210</v>
      </c>
      <c r="C604" s="42">
        <v>3300</v>
      </c>
      <c r="D604" s="42">
        <v>3360</v>
      </c>
      <c r="E604" s="42">
        <v>3300</v>
      </c>
      <c r="F604" s="42">
        <v>3353.33</v>
      </c>
      <c r="G604" s="42">
        <v>80</v>
      </c>
    </row>
    <row r="605" spans="1:7">
      <c r="A605" s="42" t="s">
        <v>386</v>
      </c>
      <c r="B605" s="43">
        <v>43213</v>
      </c>
      <c r="C605" s="42">
        <v>3350</v>
      </c>
      <c r="D605" s="42">
        <v>3400.01</v>
      </c>
      <c r="E605" s="42">
        <v>3350</v>
      </c>
      <c r="F605" s="42">
        <v>3400.01</v>
      </c>
      <c r="G605" s="42">
        <v>80</v>
      </c>
    </row>
    <row r="606" spans="1:7">
      <c r="A606" s="42" t="s">
        <v>386</v>
      </c>
      <c r="B606" s="43">
        <v>43214</v>
      </c>
      <c r="C606" s="42">
        <v>3451</v>
      </c>
      <c r="D606" s="42">
        <v>3451</v>
      </c>
      <c r="E606" s="42">
        <v>3450</v>
      </c>
      <c r="F606" s="42">
        <v>3450</v>
      </c>
      <c r="G606" s="42">
        <v>100</v>
      </c>
    </row>
    <row r="607" spans="1:7">
      <c r="A607" s="42" t="s">
        <v>386</v>
      </c>
      <c r="B607" s="43">
        <v>43215</v>
      </c>
      <c r="C607" s="42">
        <v>3280.02</v>
      </c>
      <c r="D607" s="42">
        <v>3280.02</v>
      </c>
      <c r="E607" s="42">
        <v>3280.02</v>
      </c>
      <c r="F607" s="42">
        <v>3280.02</v>
      </c>
      <c r="G607" s="42">
        <v>20</v>
      </c>
    </row>
    <row r="608" spans="1:7">
      <c r="A608" s="42" t="s">
        <v>386</v>
      </c>
      <c r="B608" s="43">
        <v>43216</v>
      </c>
      <c r="C608" s="42">
        <v>3117</v>
      </c>
      <c r="D608" s="42">
        <v>3117</v>
      </c>
      <c r="E608" s="42">
        <v>3117</v>
      </c>
      <c r="F608" s="42">
        <v>3117</v>
      </c>
      <c r="G608" s="42">
        <v>20</v>
      </c>
    </row>
    <row r="609" spans="1:7">
      <c r="A609" s="42" t="s">
        <v>386</v>
      </c>
      <c r="B609" s="43">
        <v>43220</v>
      </c>
      <c r="C609" s="42">
        <v>2966</v>
      </c>
      <c r="D609" s="42">
        <v>2966</v>
      </c>
      <c r="E609" s="42">
        <v>2966</v>
      </c>
      <c r="F609" s="42">
        <v>2966</v>
      </c>
      <c r="G609" s="42">
        <v>20</v>
      </c>
    </row>
    <row r="610" spans="1:7">
      <c r="A610" s="42" t="s">
        <v>386</v>
      </c>
      <c r="B610" s="43">
        <v>43222</v>
      </c>
      <c r="C610" s="42">
        <v>3035</v>
      </c>
      <c r="D610" s="42">
        <v>3114.3</v>
      </c>
      <c r="E610" s="42">
        <v>3035</v>
      </c>
      <c r="F610" s="42">
        <v>3114.3</v>
      </c>
      <c r="G610" s="42">
        <v>140</v>
      </c>
    </row>
    <row r="611" spans="1:7">
      <c r="A611" s="42" t="s">
        <v>386</v>
      </c>
      <c r="B611" s="43">
        <v>43223</v>
      </c>
      <c r="C611" s="42">
        <v>3114</v>
      </c>
      <c r="D611" s="42">
        <v>3114</v>
      </c>
      <c r="E611" s="42">
        <v>3114</v>
      </c>
      <c r="F611" s="42">
        <v>3114</v>
      </c>
      <c r="G611" s="42">
        <v>20</v>
      </c>
    </row>
    <row r="612" spans="1:7">
      <c r="A612" s="42" t="s">
        <v>386</v>
      </c>
      <c r="B612" s="43">
        <v>43224</v>
      </c>
      <c r="C612" s="42">
        <v>2960</v>
      </c>
      <c r="D612" s="42">
        <v>2960</v>
      </c>
      <c r="E612" s="42">
        <v>2960</v>
      </c>
      <c r="F612" s="42">
        <v>2960</v>
      </c>
      <c r="G612" s="42">
        <v>20</v>
      </c>
    </row>
    <row r="613" spans="1:7">
      <c r="A613" s="42" t="s">
        <v>386</v>
      </c>
      <c r="B613" s="43">
        <v>43230</v>
      </c>
      <c r="C613" s="42">
        <v>3000</v>
      </c>
      <c r="D613" s="42">
        <v>3000</v>
      </c>
      <c r="E613" s="42">
        <v>3000</v>
      </c>
      <c r="F613" s="42">
        <v>3000</v>
      </c>
      <c r="G613" s="42">
        <v>20</v>
      </c>
    </row>
    <row r="614" spans="1:7">
      <c r="A614" s="42" t="s">
        <v>386</v>
      </c>
      <c r="B614" s="43">
        <v>43235</v>
      </c>
      <c r="C614" s="42">
        <v>3000</v>
      </c>
      <c r="D614" s="42">
        <v>3000</v>
      </c>
      <c r="E614" s="42">
        <v>3000</v>
      </c>
      <c r="F614" s="42">
        <v>3000</v>
      </c>
      <c r="G614" s="42">
        <v>20</v>
      </c>
    </row>
    <row r="615" spans="1:7">
      <c r="A615" s="42" t="s">
        <v>386</v>
      </c>
      <c r="B615" s="43">
        <v>43236</v>
      </c>
      <c r="C615" s="42">
        <v>3000</v>
      </c>
      <c r="D615" s="42">
        <v>3000</v>
      </c>
      <c r="E615" s="42">
        <v>3000</v>
      </c>
      <c r="F615" s="42">
        <v>3000</v>
      </c>
      <c r="G615" s="42">
        <v>20</v>
      </c>
    </row>
    <row r="616" spans="1:7">
      <c r="A616" s="42" t="s">
        <v>386</v>
      </c>
      <c r="B616" s="43">
        <v>43241</v>
      </c>
      <c r="C616" s="42">
        <v>3000</v>
      </c>
      <c r="D616" s="42">
        <v>3000</v>
      </c>
      <c r="E616" s="42">
        <v>3000</v>
      </c>
      <c r="F616" s="42">
        <v>3000</v>
      </c>
      <c r="G616" s="42">
        <v>20</v>
      </c>
    </row>
    <row r="617" spans="1:7">
      <c r="A617" s="42" t="s">
        <v>386</v>
      </c>
      <c r="B617" s="43">
        <v>43242</v>
      </c>
      <c r="C617" s="42">
        <v>3000</v>
      </c>
      <c r="D617" s="42">
        <v>3000</v>
      </c>
      <c r="E617" s="42">
        <v>3000</v>
      </c>
      <c r="F617" s="42">
        <v>3000</v>
      </c>
      <c r="G617" s="42">
        <v>20</v>
      </c>
    </row>
    <row r="618" spans="1:7">
      <c r="A618" s="42" t="s">
        <v>386</v>
      </c>
      <c r="B618" s="43">
        <v>43244</v>
      </c>
      <c r="C618" s="42">
        <v>2850</v>
      </c>
      <c r="D618" s="42">
        <v>2850</v>
      </c>
      <c r="E618" s="42">
        <v>2850</v>
      </c>
      <c r="F618" s="42">
        <v>2850</v>
      </c>
      <c r="G618" s="42">
        <v>20</v>
      </c>
    </row>
    <row r="619" spans="1:7">
      <c r="A619" s="42" t="s">
        <v>386</v>
      </c>
      <c r="B619" s="43">
        <v>43245</v>
      </c>
      <c r="C619" s="42">
        <v>2800</v>
      </c>
      <c r="D619" s="42">
        <v>2800</v>
      </c>
      <c r="E619" s="42">
        <v>2800</v>
      </c>
      <c r="F619" s="42">
        <v>2800</v>
      </c>
      <c r="G619" s="42">
        <v>20</v>
      </c>
    </row>
    <row r="620" spans="1:7">
      <c r="A620" s="42" t="s">
        <v>386</v>
      </c>
      <c r="B620" s="43">
        <v>43248</v>
      </c>
      <c r="C620" s="42">
        <v>2940</v>
      </c>
      <c r="D620" s="42">
        <v>2940</v>
      </c>
      <c r="E620" s="42">
        <v>2940</v>
      </c>
      <c r="F620" s="42">
        <v>2940</v>
      </c>
      <c r="G620" s="42">
        <v>20</v>
      </c>
    </row>
    <row r="621" spans="1:7">
      <c r="A621" s="42" t="s">
        <v>386</v>
      </c>
      <c r="B621" s="43">
        <v>43250</v>
      </c>
      <c r="C621" s="42">
        <v>3087</v>
      </c>
      <c r="D621" s="42">
        <v>3087</v>
      </c>
      <c r="E621" s="42">
        <v>2940</v>
      </c>
      <c r="F621" s="42">
        <v>2940</v>
      </c>
      <c r="G621" s="42">
        <v>120</v>
      </c>
    </row>
    <row r="622" spans="1:7">
      <c r="A622" s="42" t="s">
        <v>386</v>
      </c>
      <c r="B622" s="43">
        <v>43252</v>
      </c>
      <c r="C622" s="42">
        <v>3150</v>
      </c>
      <c r="D622" s="42">
        <v>3150</v>
      </c>
      <c r="E622" s="42">
        <v>3150</v>
      </c>
      <c r="F622" s="42">
        <v>3150</v>
      </c>
      <c r="G622" s="42">
        <v>20</v>
      </c>
    </row>
    <row r="623" spans="1:7">
      <c r="A623" s="42" t="s">
        <v>386</v>
      </c>
      <c r="B623" s="43">
        <v>43255</v>
      </c>
      <c r="C623" s="42">
        <v>3307.5</v>
      </c>
      <c r="D623" s="42">
        <v>3307.5</v>
      </c>
      <c r="E623" s="42">
        <v>3306.99</v>
      </c>
      <c r="F623" s="42">
        <v>3306.99</v>
      </c>
      <c r="G623" s="42">
        <v>40</v>
      </c>
    </row>
    <row r="624" spans="1:7">
      <c r="A624" s="42" t="s">
        <v>386</v>
      </c>
      <c r="B624" s="43">
        <v>43256</v>
      </c>
      <c r="C624" s="42">
        <v>3469</v>
      </c>
      <c r="D624" s="42">
        <v>3469</v>
      </c>
      <c r="E624" s="42">
        <v>3469</v>
      </c>
      <c r="F624" s="42">
        <v>3469</v>
      </c>
      <c r="G624" s="42">
        <v>20</v>
      </c>
    </row>
    <row r="625" spans="1:7">
      <c r="A625" s="42" t="s">
        <v>386</v>
      </c>
      <c r="B625" s="43">
        <v>43258</v>
      </c>
      <c r="C625" s="42">
        <v>3598</v>
      </c>
      <c r="D625" s="42">
        <v>3598</v>
      </c>
      <c r="E625" s="42">
        <v>3598</v>
      </c>
      <c r="F625" s="42">
        <v>3598</v>
      </c>
      <c r="G625" s="42">
        <v>20</v>
      </c>
    </row>
    <row r="626" spans="1:7">
      <c r="A626" s="42" t="s">
        <v>386</v>
      </c>
      <c r="B626" s="43">
        <v>43265</v>
      </c>
      <c r="C626" s="42">
        <v>3489.2</v>
      </c>
      <c r="D626" s="42">
        <v>3489.2</v>
      </c>
      <c r="E626" s="42">
        <v>3489.2</v>
      </c>
      <c r="F626" s="42">
        <v>3489.2</v>
      </c>
      <c r="G626" s="42">
        <v>20</v>
      </c>
    </row>
    <row r="627" spans="1:7">
      <c r="A627" s="42" t="s">
        <v>386</v>
      </c>
      <c r="B627" s="43">
        <v>43270</v>
      </c>
      <c r="C627" s="42">
        <v>3316</v>
      </c>
      <c r="D627" s="42">
        <v>3490</v>
      </c>
      <c r="E627" s="42">
        <v>3314.74</v>
      </c>
      <c r="F627" s="42">
        <v>3400</v>
      </c>
      <c r="G627" s="42">
        <v>380</v>
      </c>
    </row>
    <row r="628" spans="1:7">
      <c r="A628" s="42" t="s">
        <v>386</v>
      </c>
      <c r="B628" s="43">
        <v>43271</v>
      </c>
      <c r="C628" s="42">
        <v>3230</v>
      </c>
      <c r="D628" s="42">
        <v>3230</v>
      </c>
      <c r="E628" s="42">
        <v>3230</v>
      </c>
      <c r="F628" s="42">
        <v>3230</v>
      </c>
      <c r="G628" s="42">
        <v>20</v>
      </c>
    </row>
    <row r="629" spans="1:7">
      <c r="A629" s="42" t="s">
        <v>386</v>
      </c>
      <c r="B629" s="43">
        <v>43272</v>
      </c>
      <c r="C629" s="42">
        <v>3068.5</v>
      </c>
      <c r="D629" s="42">
        <v>3068.5</v>
      </c>
      <c r="E629" s="42">
        <v>3068.5</v>
      </c>
      <c r="F629" s="42">
        <v>3068.5</v>
      </c>
      <c r="G629" s="42">
        <v>40</v>
      </c>
    </row>
    <row r="630" spans="1:7">
      <c r="A630" s="42" t="s">
        <v>386</v>
      </c>
      <c r="B630" s="43">
        <v>43273</v>
      </c>
      <c r="C630" s="42">
        <v>3099</v>
      </c>
      <c r="D630" s="42">
        <v>3099</v>
      </c>
      <c r="E630" s="42">
        <v>2915.08</v>
      </c>
      <c r="F630" s="42">
        <v>3099</v>
      </c>
      <c r="G630" s="42">
        <v>200</v>
      </c>
    </row>
    <row r="631" spans="1:7">
      <c r="A631" s="42" t="s">
        <v>386</v>
      </c>
      <c r="B631" s="43">
        <v>43276</v>
      </c>
      <c r="C631" s="42">
        <v>3199.99</v>
      </c>
      <c r="D631" s="42">
        <v>3199.99</v>
      </c>
      <c r="E631" s="42">
        <v>2951</v>
      </c>
      <c r="F631" s="42">
        <v>3197</v>
      </c>
      <c r="G631" s="42">
        <v>240</v>
      </c>
    </row>
    <row r="632" spans="1:7">
      <c r="A632" s="42" t="s">
        <v>386</v>
      </c>
      <c r="B632" s="43">
        <v>43278</v>
      </c>
      <c r="C632" s="42">
        <v>3050</v>
      </c>
      <c r="D632" s="42">
        <v>3159</v>
      </c>
      <c r="E632" s="42">
        <v>3050</v>
      </c>
      <c r="F632" s="42">
        <v>3159</v>
      </c>
      <c r="G632" s="42">
        <v>40</v>
      </c>
    </row>
    <row r="633" spans="1:7">
      <c r="A633" s="42" t="s">
        <v>386</v>
      </c>
      <c r="B633" s="43">
        <v>43279</v>
      </c>
      <c r="C633" s="42">
        <v>3198.99</v>
      </c>
      <c r="D633" s="42">
        <v>3198.99</v>
      </c>
      <c r="E633" s="42">
        <v>3001.05</v>
      </c>
      <c r="F633" s="42">
        <v>3055.47</v>
      </c>
      <c r="G633" s="42">
        <v>240</v>
      </c>
    </row>
    <row r="634" spans="1:7">
      <c r="A634" s="42" t="s">
        <v>386</v>
      </c>
      <c r="B634" s="43">
        <v>43280</v>
      </c>
      <c r="C634" s="42">
        <v>3149</v>
      </c>
      <c r="D634" s="42">
        <v>3149</v>
      </c>
      <c r="E634" s="42">
        <v>3149</v>
      </c>
      <c r="F634" s="42">
        <v>3149</v>
      </c>
      <c r="G634" s="42">
        <v>20</v>
      </c>
    </row>
    <row r="635" spans="1:7">
      <c r="A635" s="42" t="s">
        <v>386</v>
      </c>
      <c r="B635" s="43">
        <v>43283</v>
      </c>
      <c r="C635" s="42">
        <v>2992</v>
      </c>
      <c r="D635" s="42">
        <v>2992</v>
      </c>
      <c r="E635" s="42">
        <v>2991.55</v>
      </c>
      <c r="F635" s="42">
        <v>2992</v>
      </c>
      <c r="G635" s="42">
        <v>200</v>
      </c>
    </row>
    <row r="636" spans="1:7">
      <c r="A636" s="42" t="s">
        <v>386</v>
      </c>
      <c r="B636" s="43">
        <v>43285</v>
      </c>
      <c r="C636" s="42">
        <v>2845.01</v>
      </c>
      <c r="D636" s="42">
        <v>2845.01</v>
      </c>
      <c r="E636" s="42">
        <v>2845.01</v>
      </c>
      <c r="F636" s="42">
        <v>2845.01</v>
      </c>
      <c r="G636" s="42">
        <v>20</v>
      </c>
    </row>
    <row r="637" spans="1:7">
      <c r="A637" s="42" t="s">
        <v>386</v>
      </c>
      <c r="B637" s="43">
        <v>43286</v>
      </c>
      <c r="C637" s="42">
        <v>2712</v>
      </c>
      <c r="D637" s="42">
        <v>2712</v>
      </c>
      <c r="E637" s="42">
        <v>2712</v>
      </c>
      <c r="F637" s="42">
        <v>2712</v>
      </c>
      <c r="G637" s="42">
        <v>20</v>
      </c>
    </row>
    <row r="638" spans="1:7">
      <c r="A638" s="42" t="s">
        <v>386</v>
      </c>
      <c r="B638" s="43">
        <v>43290</v>
      </c>
      <c r="C638" s="42">
        <v>2715</v>
      </c>
      <c r="D638" s="42">
        <v>2715</v>
      </c>
      <c r="E638" s="42">
        <v>2715</v>
      </c>
      <c r="F638" s="42">
        <v>2715</v>
      </c>
      <c r="G638" s="42">
        <v>20</v>
      </c>
    </row>
    <row r="639" spans="1:7">
      <c r="A639" s="42" t="s">
        <v>386</v>
      </c>
      <c r="B639" s="43">
        <v>43291</v>
      </c>
      <c r="C639" s="42">
        <v>2800</v>
      </c>
      <c r="D639" s="42">
        <v>2800</v>
      </c>
      <c r="E639" s="42">
        <v>2800</v>
      </c>
      <c r="F639" s="42">
        <v>2800</v>
      </c>
      <c r="G639" s="42">
        <v>200</v>
      </c>
    </row>
    <row r="640" spans="1:7">
      <c r="A640" s="42" t="s">
        <v>386</v>
      </c>
      <c r="B640" s="43">
        <v>43293</v>
      </c>
      <c r="C640" s="42">
        <v>2850</v>
      </c>
      <c r="D640" s="42">
        <v>2940</v>
      </c>
      <c r="E640" s="42">
        <v>2850</v>
      </c>
      <c r="F640" s="42">
        <v>2940</v>
      </c>
      <c r="G640" s="42">
        <v>240</v>
      </c>
    </row>
    <row r="641" spans="1:7">
      <c r="A641" s="42" t="s">
        <v>386</v>
      </c>
      <c r="B641" s="43">
        <v>43294</v>
      </c>
      <c r="C641" s="42">
        <v>2974.99</v>
      </c>
      <c r="D641" s="42">
        <v>2974.99</v>
      </c>
      <c r="E641" s="42">
        <v>2851.01</v>
      </c>
      <c r="F641" s="42">
        <v>2919.78</v>
      </c>
      <c r="G641" s="42">
        <v>180</v>
      </c>
    </row>
    <row r="642" spans="1:7">
      <c r="A642" s="42" t="s">
        <v>386</v>
      </c>
      <c r="B642" s="43">
        <v>43297</v>
      </c>
      <c r="C642" s="42">
        <v>3059</v>
      </c>
      <c r="D642" s="42">
        <v>3059</v>
      </c>
      <c r="E642" s="42">
        <v>3059</v>
      </c>
      <c r="F642" s="42">
        <v>3059</v>
      </c>
      <c r="G642" s="42">
        <v>20</v>
      </c>
    </row>
    <row r="643" spans="1:7">
      <c r="A643" s="42" t="s">
        <v>386</v>
      </c>
      <c r="B643" s="43">
        <v>43298</v>
      </c>
      <c r="C643" s="42">
        <v>3194</v>
      </c>
      <c r="D643" s="42">
        <v>3194</v>
      </c>
      <c r="E643" s="42">
        <v>3194</v>
      </c>
      <c r="F643" s="42">
        <v>3194</v>
      </c>
      <c r="G643" s="42">
        <v>20</v>
      </c>
    </row>
    <row r="644" spans="1:7">
      <c r="A644" s="42" t="s">
        <v>386</v>
      </c>
      <c r="B644" s="43">
        <v>43299</v>
      </c>
      <c r="C644" s="42">
        <v>3289</v>
      </c>
      <c r="D644" s="42">
        <v>3289</v>
      </c>
      <c r="E644" s="42">
        <v>3200</v>
      </c>
      <c r="F644" s="42">
        <v>3249</v>
      </c>
      <c r="G644" s="42">
        <v>140</v>
      </c>
    </row>
    <row r="645" spans="1:7">
      <c r="A645" s="42" t="s">
        <v>386</v>
      </c>
      <c r="B645" s="43">
        <v>43301</v>
      </c>
      <c r="C645" s="42">
        <v>3289</v>
      </c>
      <c r="D645" s="42">
        <v>3289</v>
      </c>
      <c r="E645" s="42">
        <v>3006.74</v>
      </c>
      <c r="F645" s="42">
        <v>3288</v>
      </c>
      <c r="G645" s="42">
        <v>80</v>
      </c>
    </row>
    <row r="646" spans="1:7">
      <c r="A646" s="42" t="s">
        <v>386</v>
      </c>
      <c r="B646" s="43">
        <v>43305</v>
      </c>
      <c r="C646" s="42">
        <v>3369</v>
      </c>
      <c r="D646" s="42">
        <v>3369</v>
      </c>
      <c r="E646" s="42">
        <v>3123.6</v>
      </c>
      <c r="F646" s="42">
        <v>3123.6</v>
      </c>
      <c r="G646" s="42">
        <v>140</v>
      </c>
    </row>
    <row r="647" spans="1:7">
      <c r="A647" s="42" t="s">
        <v>386</v>
      </c>
      <c r="B647" s="43">
        <v>43307</v>
      </c>
      <c r="C647" s="42">
        <v>3099</v>
      </c>
      <c r="D647" s="42">
        <v>3099</v>
      </c>
      <c r="E647" s="42">
        <v>2980</v>
      </c>
      <c r="F647" s="42">
        <v>2980</v>
      </c>
      <c r="G647" s="42">
        <v>80</v>
      </c>
    </row>
    <row r="648" spans="1:7">
      <c r="A648" s="42" t="s">
        <v>386</v>
      </c>
      <c r="B648" s="43">
        <v>43308</v>
      </c>
      <c r="C648" s="42">
        <v>2890</v>
      </c>
      <c r="D648" s="42">
        <v>2890</v>
      </c>
      <c r="E648" s="42">
        <v>2890</v>
      </c>
      <c r="F648" s="42">
        <v>2890</v>
      </c>
      <c r="G648" s="42">
        <v>20</v>
      </c>
    </row>
    <row r="649" spans="1:7">
      <c r="A649" s="42" t="s">
        <v>386</v>
      </c>
      <c r="B649" s="43">
        <v>43311</v>
      </c>
      <c r="C649" s="42">
        <v>3034.5</v>
      </c>
      <c r="D649" s="42">
        <v>3034.5</v>
      </c>
      <c r="E649" s="42">
        <v>3034.5</v>
      </c>
      <c r="F649" s="42">
        <v>3034.5</v>
      </c>
      <c r="G649" s="42">
        <v>340</v>
      </c>
    </row>
    <row r="650" spans="1:7">
      <c r="A650" s="42" t="s">
        <v>386</v>
      </c>
      <c r="B650" s="43">
        <v>43312</v>
      </c>
      <c r="C650" s="42">
        <v>3040</v>
      </c>
      <c r="D650" s="42">
        <v>3160</v>
      </c>
      <c r="E650" s="42">
        <v>3000</v>
      </c>
      <c r="F650" s="42">
        <v>3150</v>
      </c>
      <c r="G650" s="42">
        <v>440</v>
      </c>
    </row>
    <row r="651" spans="1:7">
      <c r="A651" s="42" t="s">
        <v>386</v>
      </c>
      <c r="B651" s="43">
        <v>43313</v>
      </c>
      <c r="C651" s="42">
        <v>3249</v>
      </c>
      <c r="D651" s="42">
        <v>3250</v>
      </c>
      <c r="E651" s="42">
        <v>3150</v>
      </c>
      <c r="F651" s="42">
        <v>3150</v>
      </c>
      <c r="G651" s="42">
        <v>240</v>
      </c>
    </row>
    <row r="652" spans="1:7">
      <c r="A652" s="42" t="s">
        <v>386</v>
      </c>
      <c r="B652" s="43">
        <v>43314</v>
      </c>
      <c r="C652" s="42">
        <v>3150</v>
      </c>
      <c r="D652" s="42">
        <v>3150</v>
      </c>
      <c r="E652" s="42">
        <v>3001</v>
      </c>
      <c r="F652" s="42">
        <v>3031</v>
      </c>
      <c r="G652" s="42">
        <v>300</v>
      </c>
    </row>
    <row r="653" spans="1:7">
      <c r="A653" s="42" t="s">
        <v>386</v>
      </c>
      <c r="B653" s="43">
        <v>43315</v>
      </c>
      <c r="C653" s="42">
        <v>2885</v>
      </c>
      <c r="D653" s="42">
        <v>3100</v>
      </c>
      <c r="E653" s="42">
        <v>2885</v>
      </c>
      <c r="F653" s="42">
        <v>3070</v>
      </c>
      <c r="G653" s="42">
        <v>200</v>
      </c>
    </row>
    <row r="654" spans="1:7">
      <c r="A654" s="42" t="s">
        <v>386</v>
      </c>
      <c r="B654" s="43">
        <v>43318</v>
      </c>
      <c r="C654" s="42">
        <v>3099.99</v>
      </c>
      <c r="D654" s="42">
        <v>3100</v>
      </c>
      <c r="E654" s="42">
        <v>3099.99</v>
      </c>
      <c r="F654" s="42">
        <v>3100</v>
      </c>
      <c r="G654" s="42">
        <v>100</v>
      </c>
    </row>
    <row r="655" spans="1:7">
      <c r="A655" s="42" t="s">
        <v>386</v>
      </c>
      <c r="B655" s="43">
        <v>43319</v>
      </c>
      <c r="C655" s="42">
        <v>3100</v>
      </c>
      <c r="D655" s="42">
        <v>3120</v>
      </c>
      <c r="E655" s="42">
        <v>3000.01</v>
      </c>
      <c r="F655" s="42">
        <v>3050</v>
      </c>
      <c r="G655" s="42">
        <v>200</v>
      </c>
    </row>
    <row r="656" spans="1:7">
      <c r="A656" s="42" t="s">
        <v>386</v>
      </c>
      <c r="B656" s="43">
        <v>43320</v>
      </c>
      <c r="C656" s="42">
        <v>3100</v>
      </c>
      <c r="D656" s="42">
        <v>3125</v>
      </c>
      <c r="E656" s="42">
        <v>3051.05</v>
      </c>
      <c r="F656" s="42">
        <v>3051.05</v>
      </c>
      <c r="G656" s="42">
        <v>100</v>
      </c>
    </row>
    <row r="657" spans="1:7">
      <c r="A657" s="42" t="s">
        <v>386</v>
      </c>
      <c r="B657" s="43">
        <v>43321</v>
      </c>
      <c r="C657" s="42">
        <v>3051</v>
      </c>
      <c r="D657" s="42">
        <v>3099</v>
      </c>
      <c r="E657" s="42">
        <v>3008.01</v>
      </c>
      <c r="F657" s="42">
        <v>3008.01</v>
      </c>
      <c r="G657" s="42">
        <v>280</v>
      </c>
    </row>
    <row r="658" spans="1:7">
      <c r="A658" s="42" t="s">
        <v>386</v>
      </c>
      <c r="B658" s="43">
        <v>43325</v>
      </c>
      <c r="C658" s="42">
        <v>2975</v>
      </c>
      <c r="D658" s="42">
        <v>3000</v>
      </c>
      <c r="E658" s="42">
        <v>2975</v>
      </c>
      <c r="F658" s="42">
        <v>2991.67</v>
      </c>
      <c r="G658" s="42">
        <v>180</v>
      </c>
    </row>
    <row r="659" spans="1:7">
      <c r="A659" s="42" t="s">
        <v>386</v>
      </c>
      <c r="B659" s="43">
        <v>43327</v>
      </c>
      <c r="C659" s="42">
        <v>2901.25</v>
      </c>
      <c r="D659" s="42">
        <v>3000</v>
      </c>
      <c r="E659" s="42">
        <v>2901.25</v>
      </c>
      <c r="F659" s="42">
        <v>3000</v>
      </c>
      <c r="G659" s="42">
        <v>120</v>
      </c>
    </row>
    <row r="660" spans="1:7">
      <c r="A660" s="42" t="s">
        <v>386</v>
      </c>
      <c r="B660" s="43">
        <v>43328</v>
      </c>
      <c r="C660" s="42">
        <v>3000</v>
      </c>
      <c r="D660" s="42">
        <v>3000</v>
      </c>
      <c r="E660" s="42">
        <v>3000</v>
      </c>
      <c r="F660" s="42">
        <v>3000</v>
      </c>
      <c r="G660" s="42">
        <v>60</v>
      </c>
    </row>
    <row r="661" spans="1:7">
      <c r="A661" s="42" t="s">
        <v>386</v>
      </c>
      <c r="B661" s="43">
        <v>43329</v>
      </c>
      <c r="C661" s="42">
        <v>3000</v>
      </c>
      <c r="D661" s="42">
        <v>3000</v>
      </c>
      <c r="E661" s="42">
        <v>3000</v>
      </c>
      <c r="F661" s="42">
        <v>3000</v>
      </c>
      <c r="G661" s="42">
        <v>20</v>
      </c>
    </row>
    <row r="662" spans="1:7">
      <c r="A662" s="42" t="s">
        <v>386</v>
      </c>
      <c r="B662" s="43">
        <v>43336</v>
      </c>
      <c r="C662" s="42">
        <v>2953</v>
      </c>
      <c r="D662" s="42">
        <v>2953</v>
      </c>
      <c r="E662" s="42">
        <v>2953</v>
      </c>
      <c r="F662" s="42">
        <v>2953</v>
      </c>
      <c r="G662" s="42">
        <v>20</v>
      </c>
    </row>
    <row r="663" spans="1:7">
      <c r="A663" s="42" t="s">
        <v>386</v>
      </c>
      <c r="B663" s="43">
        <v>43339</v>
      </c>
      <c r="C663" s="42">
        <v>2880</v>
      </c>
      <c r="D663" s="42">
        <v>2887.09</v>
      </c>
      <c r="E663" s="42">
        <v>2880</v>
      </c>
      <c r="F663" s="42">
        <v>2883.55</v>
      </c>
      <c r="G663" s="42">
        <v>40</v>
      </c>
    </row>
    <row r="664" spans="1:7">
      <c r="A664" s="42" t="s">
        <v>386</v>
      </c>
      <c r="B664" s="43">
        <v>43341</v>
      </c>
      <c r="C664" s="42">
        <v>2900</v>
      </c>
      <c r="D664" s="42">
        <v>2900</v>
      </c>
      <c r="E664" s="42">
        <v>2900</v>
      </c>
      <c r="F664" s="42">
        <v>2900</v>
      </c>
      <c r="G664" s="42">
        <v>20</v>
      </c>
    </row>
    <row r="665" spans="1:7">
      <c r="A665" s="42" t="s">
        <v>386</v>
      </c>
      <c r="B665" s="43">
        <v>43342</v>
      </c>
      <c r="C665" s="42">
        <v>3045</v>
      </c>
      <c r="D665" s="42">
        <v>3045</v>
      </c>
      <c r="E665" s="42">
        <v>3000</v>
      </c>
      <c r="F665" s="42">
        <v>3045</v>
      </c>
      <c r="G665" s="42">
        <v>180</v>
      </c>
    </row>
    <row r="666" spans="1:7">
      <c r="A666" s="42" t="s">
        <v>386</v>
      </c>
      <c r="B666" s="43">
        <v>43343</v>
      </c>
      <c r="C666" s="42">
        <v>2893</v>
      </c>
      <c r="D666" s="42">
        <v>2893</v>
      </c>
      <c r="E666" s="42">
        <v>2893</v>
      </c>
      <c r="F666" s="42">
        <v>2893</v>
      </c>
      <c r="G666" s="42">
        <v>20</v>
      </c>
    </row>
    <row r="667" spans="1:7">
      <c r="A667" s="42" t="s">
        <v>386</v>
      </c>
      <c r="B667" s="43">
        <v>43348</v>
      </c>
      <c r="C667" s="42">
        <v>2400</v>
      </c>
      <c r="D667" s="42">
        <v>2513.87</v>
      </c>
      <c r="E667" s="42">
        <v>2400</v>
      </c>
      <c r="F667" s="42">
        <v>2513.87</v>
      </c>
      <c r="G667" s="42">
        <v>180</v>
      </c>
    </row>
    <row r="668" spans="1:7">
      <c r="A668" s="42" t="s">
        <v>386</v>
      </c>
      <c r="B668" s="43">
        <v>43349</v>
      </c>
      <c r="C668" s="42">
        <v>2600</v>
      </c>
      <c r="D668" s="42">
        <v>2639.56</v>
      </c>
      <c r="E668" s="42">
        <v>2600</v>
      </c>
      <c r="F668" s="42">
        <v>2639</v>
      </c>
      <c r="G668" s="42">
        <v>100</v>
      </c>
    </row>
    <row r="669" spans="1:7">
      <c r="A669" s="42" t="s">
        <v>386</v>
      </c>
      <c r="B669" s="43">
        <v>43350</v>
      </c>
      <c r="C669" s="42">
        <v>2550</v>
      </c>
      <c r="D669" s="42">
        <v>2550</v>
      </c>
      <c r="E669" s="42">
        <v>2550</v>
      </c>
      <c r="F669" s="42">
        <v>2550</v>
      </c>
      <c r="G669" s="42">
        <v>20</v>
      </c>
    </row>
    <row r="670" spans="1:7">
      <c r="A670" s="42" t="s">
        <v>386</v>
      </c>
      <c r="B670" s="43">
        <v>43353</v>
      </c>
      <c r="C670" s="42">
        <v>2475</v>
      </c>
      <c r="D670" s="42">
        <v>2550</v>
      </c>
      <c r="E670" s="42">
        <v>2475</v>
      </c>
      <c r="F670" s="42">
        <v>2550</v>
      </c>
      <c r="G670" s="42">
        <v>60</v>
      </c>
    </row>
    <row r="671" spans="1:7">
      <c r="A671" s="42" t="s">
        <v>386</v>
      </c>
      <c r="B671" s="43">
        <v>43355</v>
      </c>
      <c r="C671" s="42">
        <v>2500</v>
      </c>
      <c r="D671" s="42">
        <v>2500</v>
      </c>
      <c r="E671" s="42">
        <v>2500</v>
      </c>
      <c r="F671" s="42">
        <v>2500</v>
      </c>
      <c r="G671" s="42">
        <v>20</v>
      </c>
    </row>
    <row r="672" spans="1:7">
      <c r="A672" s="42" t="s">
        <v>386</v>
      </c>
      <c r="B672" s="43">
        <v>43356</v>
      </c>
      <c r="C672" s="42">
        <v>2550</v>
      </c>
      <c r="D672" s="42">
        <v>2624</v>
      </c>
      <c r="E672" s="42">
        <v>2550</v>
      </c>
      <c r="F672" s="42">
        <v>2598</v>
      </c>
      <c r="G672" s="42">
        <v>60</v>
      </c>
    </row>
    <row r="673" spans="1:7">
      <c r="A673" s="42" t="s">
        <v>386</v>
      </c>
      <c r="B673" s="43">
        <v>43357</v>
      </c>
      <c r="C673" s="42">
        <v>2482</v>
      </c>
      <c r="D673" s="42">
        <v>2482</v>
      </c>
      <c r="E673" s="42">
        <v>2482</v>
      </c>
      <c r="F673" s="42">
        <v>2482</v>
      </c>
      <c r="G673" s="42">
        <v>20</v>
      </c>
    </row>
    <row r="674" spans="1:7">
      <c r="A674" s="42" t="s">
        <v>386</v>
      </c>
      <c r="B674" s="43">
        <v>43360</v>
      </c>
      <c r="C674" s="42">
        <v>2358</v>
      </c>
      <c r="D674" s="42">
        <v>2358</v>
      </c>
      <c r="E674" s="42">
        <v>2357.9</v>
      </c>
      <c r="F674" s="42">
        <v>2357.9</v>
      </c>
      <c r="G674" s="42">
        <v>160</v>
      </c>
    </row>
    <row r="675" spans="1:7">
      <c r="A675" s="42" t="s">
        <v>386</v>
      </c>
      <c r="B675" s="43">
        <v>43361</v>
      </c>
      <c r="C675" s="42">
        <v>2355</v>
      </c>
      <c r="D675" s="42">
        <v>2425</v>
      </c>
      <c r="E675" s="42">
        <v>2355</v>
      </c>
      <c r="F675" s="42">
        <v>2425</v>
      </c>
      <c r="G675" s="42">
        <v>180</v>
      </c>
    </row>
    <row r="676" spans="1:7">
      <c r="A676" s="42" t="s">
        <v>386</v>
      </c>
      <c r="B676" s="43">
        <v>43371</v>
      </c>
      <c r="C676" s="42">
        <v>2400</v>
      </c>
      <c r="D676" s="42">
        <v>2400</v>
      </c>
      <c r="E676" s="42">
        <v>2400</v>
      </c>
      <c r="F676" s="42">
        <v>2400</v>
      </c>
      <c r="G676" s="42">
        <v>20</v>
      </c>
    </row>
    <row r="677" spans="1:7">
      <c r="A677" s="42" t="s">
        <v>386</v>
      </c>
      <c r="B677" s="43">
        <v>43374</v>
      </c>
      <c r="C677" s="42">
        <v>2470</v>
      </c>
      <c r="D677" s="42">
        <v>2500</v>
      </c>
      <c r="E677" s="42">
        <v>2280</v>
      </c>
      <c r="F677" s="42">
        <v>2300.11</v>
      </c>
      <c r="G677" s="42">
        <v>420</v>
      </c>
    </row>
    <row r="678" spans="1:7">
      <c r="A678" s="42" t="s">
        <v>386</v>
      </c>
      <c r="B678" s="43">
        <v>43375</v>
      </c>
      <c r="C678" s="42">
        <v>2350</v>
      </c>
      <c r="D678" s="42">
        <v>2350</v>
      </c>
      <c r="E678" s="42">
        <v>2350</v>
      </c>
      <c r="F678" s="42">
        <v>2350</v>
      </c>
      <c r="G678" s="42">
        <v>200</v>
      </c>
    </row>
    <row r="679" spans="1:7">
      <c r="A679" s="42" t="s">
        <v>386</v>
      </c>
      <c r="B679" s="43">
        <v>43376</v>
      </c>
      <c r="C679" s="42">
        <v>2301</v>
      </c>
      <c r="D679" s="42">
        <v>2301</v>
      </c>
      <c r="E679" s="42">
        <v>2301</v>
      </c>
      <c r="F679" s="42">
        <v>2301</v>
      </c>
      <c r="G679" s="42">
        <v>20</v>
      </c>
    </row>
    <row r="680" spans="1:7">
      <c r="A680" s="42" t="s">
        <v>386</v>
      </c>
      <c r="B680" s="43">
        <v>43377</v>
      </c>
      <c r="C680" s="42">
        <v>2300</v>
      </c>
      <c r="D680" s="42">
        <v>2300</v>
      </c>
      <c r="E680" s="42">
        <v>2300</v>
      </c>
      <c r="F680" s="42">
        <v>2300</v>
      </c>
      <c r="G680" s="42">
        <v>20</v>
      </c>
    </row>
    <row r="681" spans="1:7">
      <c r="A681" s="42" t="s">
        <v>386</v>
      </c>
      <c r="B681" s="43">
        <v>43389</v>
      </c>
      <c r="C681" s="42">
        <v>2400</v>
      </c>
      <c r="D681" s="42">
        <v>2400</v>
      </c>
      <c r="E681" s="42">
        <v>2400</v>
      </c>
      <c r="F681" s="42">
        <v>2400</v>
      </c>
      <c r="G681" s="42">
        <v>520</v>
      </c>
    </row>
    <row r="682" spans="1:7">
      <c r="A682" s="42" t="s">
        <v>386</v>
      </c>
      <c r="B682" s="43">
        <v>43391</v>
      </c>
      <c r="C682" s="42">
        <v>2499.9899999999998</v>
      </c>
      <c r="D682" s="42">
        <v>2499.9899999999998</v>
      </c>
      <c r="E682" s="42">
        <v>2499.9899999999998</v>
      </c>
      <c r="F682" s="42">
        <v>2499.9899999999998</v>
      </c>
      <c r="G682" s="42">
        <v>20</v>
      </c>
    </row>
    <row r="683" spans="1:7">
      <c r="A683" s="42" t="s">
        <v>386</v>
      </c>
      <c r="B683" s="43">
        <v>43392</v>
      </c>
      <c r="C683" s="42">
        <v>2599.9899999999998</v>
      </c>
      <c r="D683" s="42">
        <v>2599.9899999999998</v>
      </c>
      <c r="E683" s="42">
        <v>2500</v>
      </c>
      <c r="F683" s="42">
        <v>2500</v>
      </c>
      <c r="G683" s="42">
        <v>40</v>
      </c>
    </row>
    <row r="684" spans="1:7">
      <c r="A684" s="42" t="s">
        <v>386</v>
      </c>
      <c r="B684" s="43">
        <v>43395</v>
      </c>
      <c r="C684" s="42">
        <v>2599.9899999999998</v>
      </c>
      <c r="D684" s="42">
        <v>2599.9899999999998</v>
      </c>
      <c r="E684" s="42">
        <v>2599.9899999999998</v>
      </c>
      <c r="F684" s="42">
        <v>2599.9899999999998</v>
      </c>
      <c r="G684" s="42">
        <v>20</v>
      </c>
    </row>
    <row r="685" spans="1:7">
      <c r="A685" s="42" t="s">
        <v>386</v>
      </c>
      <c r="B685" s="43">
        <v>43396</v>
      </c>
      <c r="C685" s="42">
        <v>2699</v>
      </c>
      <c r="D685" s="42">
        <v>2699</v>
      </c>
      <c r="E685" s="42">
        <v>2470</v>
      </c>
      <c r="F685" s="42">
        <v>2470</v>
      </c>
      <c r="G685" s="42">
        <v>100</v>
      </c>
    </row>
    <row r="686" spans="1:7">
      <c r="A686" s="42" t="s">
        <v>386</v>
      </c>
      <c r="B686" s="43">
        <v>43398</v>
      </c>
      <c r="C686" s="42">
        <v>2580</v>
      </c>
      <c r="D686" s="42">
        <v>2580</v>
      </c>
      <c r="E686" s="42">
        <v>2580</v>
      </c>
      <c r="F686" s="42">
        <v>2580</v>
      </c>
      <c r="G686" s="42">
        <v>20</v>
      </c>
    </row>
    <row r="687" spans="1:7">
      <c r="A687" s="42" t="s">
        <v>386</v>
      </c>
      <c r="B687" s="43">
        <v>43399</v>
      </c>
      <c r="C687" s="42">
        <v>2453</v>
      </c>
      <c r="D687" s="42">
        <v>2453</v>
      </c>
      <c r="E687" s="42">
        <v>2453</v>
      </c>
      <c r="F687" s="42">
        <v>2453</v>
      </c>
      <c r="G687" s="42">
        <v>20</v>
      </c>
    </row>
    <row r="688" spans="1:7">
      <c r="A688" s="42" t="s">
        <v>386</v>
      </c>
      <c r="B688" s="43">
        <v>43402</v>
      </c>
      <c r="C688" s="42">
        <v>2352</v>
      </c>
      <c r="D688" s="42">
        <v>2352</v>
      </c>
      <c r="E688" s="42">
        <v>2352</v>
      </c>
      <c r="F688" s="42">
        <v>2352</v>
      </c>
      <c r="G688" s="42">
        <v>120</v>
      </c>
    </row>
    <row r="689" spans="1:7">
      <c r="A689" s="42" t="s">
        <v>386</v>
      </c>
      <c r="B689" s="43">
        <v>43404</v>
      </c>
      <c r="C689" s="42">
        <v>2241.0100000000002</v>
      </c>
      <c r="D689" s="42">
        <v>2241.0100000000002</v>
      </c>
      <c r="E689" s="42">
        <v>2241.0100000000002</v>
      </c>
      <c r="F689" s="42">
        <v>2241.0100000000002</v>
      </c>
      <c r="G689" s="42">
        <v>20</v>
      </c>
    </row>
    <row r="690" spans="1:7">
      <c r="A690" s="42" t="s">
        <v>386</v>
      </c>
      <c r="B690" s="43">
        <v>43405</v>
      </c>
      <c r="C690" s="42">
        <v>2241.0100000000002</v>
      </c>
      <c r="D690" s="42">
        <v>2353</v>
      </c>
      <c r="E690" s="42">
        <v>2211</v>
      </c>
      <c r="F690" s="42">
        <v>2353</v>
      </c>
      <c r="G690" s="42">
        <v>80</v>
      </c>
    </row>
    <row r="691" spans="1:7">
      <c r="A691" s="42" t="s">
        <v>386</v>
      </c>
      <c r="B691" s="43">
        <v>43406</v>
      </c>
      <c r="C691" s="42">
        <v>2469.9899999999998</v>
      </c>
      <c r="D691" s="42">
        <v>2469.9899999999998</v>
      </c>
      <c r="E691" s="42">
        <v>2469.9899999999998</v>
      </c>
      <c r="F691" s="42">
        <v>2469.9899999999998</v>
      </c>
      <c r="G691" s="42">
        <v>20</v>
      </c>
    </row>
    <row r="692" spans="1:7">
      <c r="A692" s="42" t="s">
        <v>386</v>
      </c>
      <c r="B692" s="43">
        <v>43409</v>
      </c>
      <c r="C692" s="42">
        <v>2590</v>
      </c>
      <c r="D692" s="42">
        <v>2590</v>
      </c>
      <c r="E692" s="42">
        <v>2500</v>
      </c>
      <c r="F692" s="42">
        <v>2500</v>
      </c>
      <c r="G692" s="42">
        <v>40</v>
      </c>
    </row>
    <row r="693" spans="1:7">
      <c r="A693" s="42" t="s">
        <v>386</v>
      </c>
      <c r="B693" s="43">
        <v>43410</v>
      </c>
      <c r="C693" s="42">
        <v>2550</v>
      </c>
      <c r="D693" s="42">
        <v>2550</v>
      </c>
      <c r="E693" s="42">
        <v>2400.0100000000002</v>
      </c>
      <c r="F693" s="42">
        <v>2400.0100000000002</v>
      </c>
      <c r="G693" s="42">
        <v>40</v>
      </c>
    </row>
    <row r="694" spans="1:7">
      <c r="A694" s="42" t="s">
        <v>386</v>
      </c>
      <c r="B694" s="43">
        <v>43412</v>
      </c>
      <c r="C694" s="42">
        <v>2400</v>
      </c>
      <c r="D694" s="42">
        <v>2400</v>
      </c>
      <c r="E694" s="42">
        <v>2312</v>
      </c>
      <c r="F694" s="42">
        <v>2400</v>
      </c>
      <c r="G694" s="42">
        <v>100</v>
      </c>
    </row>
    <row r="695" spans="1:7">
      <c r="A695" s="42" t="s">
        <v>386</v>
      </c>
      <c r="B695" s="43">
        <v>43413</v>
      </c>
      <c r="C695" s="42">
        <v>2301</v>
      </c>
      <c r="D695" s="42">
        <v>2301</v>
      </c>
      <c r="E695" s="42">
        <v>2301</v>
      </c>
      <c r="F695" s="42">
        <v>2301</v>
      </c>
      <c r="G695" s="42">
        <v>20</v>
      </c>
    </row>
    <row r="696" spans="1:7">
      <c r="A696" s="42" t="s">
        <v>386</v>
      </c>
      <c r="B696" s="43">
        <v>43416</v>
      </c>
      <c r="C696" s="42">
        <v>2416.0500000000002</v>
      </c>
      <c r="D696" s="42">
        <v>2416.0500000000002</v>
      </c>
      <c r="E696" s="42">
        <v>2416.0500000000002</v>
      </c>
      <c r="F696" s="42">
        <v>2416.0500000000002</v>
      </c>
      <c r="G696" s="42">
        <v>20</v>
      </c>
    </row>
    <row r="697" spans="1:7">
      <c r="A697" s="42" t="s">
        <v>386</v>
      </c>
      <c r="B697" s="43">
        <v>43418</v>
      </c>
      <c r="C697" s="42">
        <v>2295.25</v>
      </c>
      <c r="D697" s="42">
        <v>2295.25</v>
      </c>
      <c r="E697" s="42">
        <v>2295.25</v>
      </c>
      <c r="F697" s="42">
        <v>2295.25</v>
      </c>
      <c r="G697" s="42">
        <v>20</v>
      </c>
    </row>
    <row r="698" spans="1:7">
      <c r="A698" s="42" t="s">
        <v>386</v>
      </c>
      <c r="B698" s="43">
        <v>43419</v>
      </c>
      <c r="C698" s="42">
        <v>2410.0100000000002</v>
      </c>
      <c r="D698" s="42">
        <v>2410.0100000000002</v>
      </c>
      <c r="E698" s="42">
        <v>2410.0100000000002</v>
      </c>
      <c r="F698" s="42">
        <v>2410.0100000000002</v>
      </c>
      <c r="G698" s="42">
        <v>420</v>
      </c>
    </row>
    <row r="699" spans="1:7">
      <c r="A699" s="42" t="s">
        <v>386</v>
      </c>
      <c r="B699" s="43">
        <v>43420</v>
      </c>
      <c r="C699" s="42">
        <v>2524.9899999999998</v>
      </c>
      <c r="D699" s="42">
        <v>2524.9899999999998</v>
      </c>
      <c r="E699" s="42">
        <v>2524.9899999999998</v>
      </c>
      <c r="F699" s="42">
        <v>2524.9899999999998</v>
      </c>
      <c r="G699" s="42">
        <v>20</v>
      </c>
    </row>
    <row r="700" spans="1:7">
      <c r="A700" s="42" t="s">
        <v>386</v>
      </c>
      <c r="B700" s="43">
        <v>43423</v>
      </c>
      <c r="C700" s="42">
        <v>2639.95</v>
      </c>
      <c r="D700" s="42">
        <v>2639.95</v>
      </c>
      <c r="E700" s="42">
        <v>2400</v>
      </c>
      <c r="F700" s="42">
        <v>2409.9899999999998</v>
      </c>
      <c r="G700" s="42">
        <v>120</v>
      </c>
    </row>
    <row r="701" spans="1:7">
      <c r="A701" s="42" t="s">
        <v>386</v>
      </c>
      <c r="B701" s="43">
        <v>43424</v>
      </c>
      <c r="C701" s="42">
        <v>2529.98</v>
      </c>
      <c r="D701" s="42">
        <v>2529.98</v>
      </c>
      <c r="E701" s="42">
        <v>2529.98</v>
      </c>
      <c r="F701" s="42">
        <v>2529.98</v>
      </c>
      <c r="G701" s="42">
        <v>20</v>
      </c>
    </row>
    <row r="702" spans="1:7">
      <c r="A702" s="42" t="s">
        <v>386</v>
      </c>
      <c r="B702" s="43">
        <v>43426</v>
      </c>
      <c r="C702" s="42">
        <v>2648</v>
      </c>
      <c r="D702" s="42">
        <v>2648</v>
      </c>
      <c r="E702" s="42">
        <v>2403.4899999999998</v>
      </c>
      <c r="F702" s="42">
        <v>2403.4899999999998</v>
      </c>
      <c r="G702" s="42">
        <v>180</v>
      </c>
    </row>
    <row r="703" spans="1:7">
      <c r="A703" s="42" t="s">
        <v>386</v>
      </c>
      <c r="B703" s="43">
        <v>43427</v>
      </c>
      <c r="C703" s="42">
        <v>2519</v>
      </c>
      <c r="D703" s="42">
        <v>2519</v>
      </c>
      <c r="E703" s="42">
        <v>2410</v>
      </c>
      <c r="F703" s="42">
        <v>2410</v>
      </c>
      <c r="G703" s="42">
        <v>60</v>
      </c>
    </row>
    <row r="704" spans="1:7">
      <c r="A704" s="42" t="s">
        <v>386</v>
      </c>
      <c r="B704" s="43">
        <v>43430</v>
      </c>
      <c r="C704" s="42">
        <v>2524</v>
      </c>
      <c r="D704" s="42">
        <v>2524</v>
      </c>
      <c r="E704" s="42">
        <v>2524</v>
      </c>
      <c r="F704" s="42">
        <v>2524</v>
      </c>
      <c r="G704" s="42">
        <v>20</v>
      </c>
    </row>
    <row r="705" spans="1:7">
      <c r="A705" s="42" t="s">
        <v>386</v>
      </c>
      <c r="B705" s="43">
        <v>43431</v>
      </c>
      <c r="C705" s="42">
        <v>2397.8000000000002</v>
      </c>
      <c r="D705" s="42">
        <v>2450</v>
      </c>
      <c r="E705" s="42">
        <v>2397.8000000000002</v>
      </c>
      <c r="F705" s="42">
        <v>2430</v>
      </c>
      <c r="G705" s="42">
        <v>1240</v>
      </c>
    </row>
    <row r="706" spans="1:7">
      <c r="A706" s="42" t="s">
        <v>386</v>
      </c>
      <c r="B706" s="43">
        <v>43432</v>
      </c>
      <c r="C706" s="42">
        <v>2548.9</v>
      </c>
      <c r="D706" s="42">
        <v>2548.9</v>
      </c>
      <c r="E706" s="42">
        <v>2548.9</v>
      </c>
      <c r="F706" s="42">
        <v>2548.9</v>
      </c>
      <c r="G706" s="42">
        <v>20</v>
      </c>
    </row>
    <row r="707" spans="1:7">
      <c r="A707" s="42" t="s">
        <v>386</v>
      </c>
      <c r="B707" s="43">
        <v>43438</v>
      </c>
      <c r="C707" s="42">
        <v>2409</v>
      </c>
      <c r="D707" s="42">
        <v>2410</v>
      </c>
      <c r="E707" s="42">
        <v>2409</v>
      </c>
      <c r="F707" s="42">
        <v>2410</v>
      </c>
      <c r="G707" s="42">
        <v>1000</v>
      </c>
    </row>
    <row r="708" spans="1:7">
      <c r="A708" s="42" t="s">
        <v>386</v>
      </c>
      <c r="B708" s="43">
        <v>43439</v>
      </c>
      <c r="C708" s="42">
        <v>2410</v>
      </c>
      <c r="D708" s="42">
        <v>2410</v>
      </c>
      <c r="E708" s="42">
        <v>2410</v>
      </c>
      <c r="F708" s="42">
        <v>2410</v>
      </c>
      <c r="G708" s="42">
        <v>180</v>
      </c>
    </row>
    <row r="709" spans="1:7">
      <c r="A709" s="42" t="s">
        <v>386</v>
      </c>
      <c r="B709" s="43">
        <v>43440</v>
      </c>
      <c r="C709" s="42">
        <v>2410</v>
      </c>
      <c r="D709" s="42">
        <v>2410</v>
      </c>
      <c r="E709" s="42">
        <v>2410</v>
      </c>
      <c r="F709" s="42">
        <v>2410</v>
      </c>
      <c r="G709" s="42">
        <v>280</v>
      </c>
    </row>
    <row r="710" spans="1:7">
      <c r="A710" s="42" t="s">
        <v>386</v>
      </c>
      <c r="B710" s="43">
        <v>43444</v>
      </c>
      <c r="C710" s="42">
        <v>2425</v>
      </c>
      <c r="D710" s="42">
        <v>2425</v>
      </c>
      <c r="E710" s="42">
        <v>2425</v>
      </c>
      <c r="F710" s="42">
        <v>2425</v>
      </c>
      <c r="G710" s="42">
        <v>360</v>
      </c>
    </row>
    <row r="711" spans="1:7">
      <c r="A711" s="42" t="s">
        <v>386</v>
      </c>
      <c r="B711" s="43">
        <v>43452</v>
      </c>
      <c r="C711" s="42">
        <v>2400</v>
      </c>
      <c r="D711" s="42">
        <v>2400</v>
      </c>
      <c r="E711" s="42">
        <v>2311</v>
      </c>
      <c r="F711" s="42">
        <v>2311</v>
      </c>
      <c r="G711" s="42">
        <v>40</v>
      </c>
    </row>
    <row r="712" spans="1:7">
      <c r="A712" s="42" t="s">
        <v>386</v>
      </c>
      <c r="B712" s="43">
        <v>43453</v>
      </c>
      <c r="C712" s="42">
        <v>2400</v>
      </c>
      <c r="D712" s="42">
        <v>2400</v>
      </c>
      <c r="E712" s="42">
        <v>2400</v>
      </c>
      <c r="F712" s="42">
        <v>2400</v>
      </c>
      <c r="G712" s="42">
        <v>20</v>
      </c>
    </row>
    <row r="713" spans="1:7">
      <c r="A713" s="42" t="s">
        <v>386</v>
      </c>
      <c r="B713" s="43">
        <v>43455</v>
      </c>
      <c r="C713" s="42">
        <v>2410</v>
      </c>
      <c r="D713" s="42">
        <v>2410</v>
      </c>
      <c r="E713" s="42">
        <v>2410</v>
      </c>
      <c r="F713" s="42">
        <v>2410</v>
      </c>
      <c r="G713" s="42">
        <v>20</v>
      </c>
    </row>
    <row r="714" spans="1:7">
      <c r="A714" s="42" t="s">
        <v>386</v>
      </c>
      <c r="B714" s="43">
        <v>43461</v>
      </c>
      <c r="C714" s="42">
        <v>2320</v>
      </c>
      <c r="D714" s="42">
        <v>2320</v>
      </c>
      <c r="E714" s="42">
        <v>2290.0100000000002</v>
      </c>
      <c r="F714" s="42">
        <v>2290.0100000000002</v>
      </c>
      <c r="G714" s="42">
        <v>60</v>
      </c>
    </row>
    <row r="715" spans="1:7">
      <c r="A715" s="42" t="s">
        <v>386</v>
      </c>
      <c r="B715" s="43">
        <v>43465</v>
      </c>
      <c r="C715" s="42">
        <v>2290.0100000000002</v>
      </c>
      <c r="D715" s="42">
        <v>2290.0100000000002</v>
      </c>
      <c r="E715" s="42">
        <v>2290.0100000000002</v>
      </c>
      <c r="F715" s="42">
        <v>2290.0100000000002</v>
      </c>
      <c r="G715" s="42">
        <v>20</v>
      </c>
    </row>
    <row r="716" spans="1:7">
      <c r="A716" s="42" t="s">
        <v>386</v>
      </c>
      <c r="B716" s="43">
        <v>43466</v>
      </c>
      <c r="C716" s="42">
        <v>2210</v>
      </c>
      <c r="D716" s="42">
        <v>2210</v>
      </c>
      <c r="E716" s="42">
        <v>2210</v>
      </c>
      <c r="F716" s="42">
        <v>2210</v>
      </c>
      <c r="G716" s="42">
        <v>20</v>
      </c>
    </row>
    <row r="717" spans="1:7">
      <c r="A717" s="42" t="s">
        <v>386</v>
      </c>
      <c r="B717" s="43">
        <v>43472</v>
      </c>
      <c r="C717" s="42">
        <v>2200</v>
      </c>
      <c r="D717" s="42">
        <v>2200</v>
      </c>
      <c r="E717" s="42">
        <v>2200</v>
      </c>
      <c r="F717" s="42">
        <v>2200</v>
      </c>
      <c r="G717" s="42">
        <v>80</v>
      </c>
    </row>
    <row r="718" spans="1:7">
      <c r="A718" s="42" t="s">
        <v>386</v>
      </c>
      <c r="B718" s="43">
        <v>43476</v>
      </c>
      <c r="C718" s="42">
        <v>2090</v>
      </c>
      <c r="D718" s="42">
        <v>2110</v>
      </c>
      <c r="E718" s="42">
        <v>2090</v>
      </c>
      <c r="F718" s="42">
        <v>2110</v>
      </c>
      <c r="G718" s="42">
        <v>40</v>
      </c>
    </row>
    <row r="719" spans="1:7">
      <c r="A719" s="42" t="s">
        <v>386</v>
      </c>
      <c r="B719" s="43">
        <v>43482</v>
      </c>
      <c r="C719" s="42">
        <v>2010</v>
      </c>
      <c r="D719" s="42">
        <v>2030</v>
      </c>
      <c r="E719" s="42">
        <v>2010</v>
      </c>
      <c r="F719" s="42">
        <v>2010</v>
      </c>
      <c r="G719" s="42">
        <v>60</v>
      </c>
    </row>
    <row r="720" spans="1:7">
      <c r="A720" s="42" t="s">
        <v>386</v>
      </c>
      <c r="B720" s="43">
        <v>43483</v>
      </c>
      <c r="C720" s="42">
        <v>2015</v>
      </c>
      <c r="D720" s="42">
        <v>2015</v>
      </c>
      <c r="E720" s="42">
        <v>2000</v>
      </c>
      <c r="F720" s="42">
        <v>2000</v>
      </c>
      <c r="G720" s="42">
        <v>440</v>
      </c>
    </row>
    <row r="721" spans="1:7">
      <c r="A721" s="42" t="s">
        <v>386</v>
      </c>
      <c r="B721" s="43">
        <v>43486</v>
      </c>
      <c r="C721" s="42">
        <v>2005</v>
      </c>
      <c r="D721" s="42">
        <v>2005</v>
      </c>
      <c r="E721" s="42">
        <v>1999.99</v>
      </c>
      <c r="F721" s="42">
        <v>1999.99</v>
      </c>
      <c r="G721" s="42">
        <v>80</v>
      </c>
    </row>
    <row r="722" spans="1:7">
      <c r="A722" s="42" t="s">
        <v>386</v>
      </c>
      <c r="B722" s="43">
        <v>43487</v>
      </c>
      <c r="C722" s="42">
        <v>2000</v>
      </c>
      <c r="D722" s="42">
        <v>2000</v>
      </c>
      <c r="E722" s="42">
        <v>2000</v>
      </c>
      <c r="F722" s="42">
        <v>2000</v>
      </c>
      <c r="G722" s="42">
        <v>20</v>
      </c>
    </row>
    <row r="723" spans="1:7">
      <c r="A723" s="42" t="s">
        <v>386</v>
      </c>
      <c r="B723" s="43">
        <v>43489</v>
      </c>
      <c r="C723" s="42">
        <v>1980</v>
      </c>
      <c r="D723" s="42">
        <v>1998</v>
      </c>
      <c r="E723" s="42">
        <v>1980</v>
      </c>
      <c r="F723" s="42">
        <v>1998</v>
      </c>
      <c r="G723" s="42">
        <v>40</v>
      </c>
    </row>
    <row r="724" spans="1:7">
      <c r="A724" s="42" t="s">
        <v>386</v>
      </c>
      <c r="B724" s="43">
        <v>43493</v>
      </c>
      <c r="C724" s="42">
        <v>2000</v>
      </c>
      <c r="D724" s="42">
        <v>2000</v>
      </c>
      <c r="E724" s="42">
        <v>2000</v>
      </c>
      <c r="F724" s="42">
        <v>2000</v>
      </c>
      <c r="G724" s="42">
        <v>20</v>
      </c>
    </row>
    <row r="725" spans="1:7">
      <c r="A725" s="42" t="s">
        <v>386</v>
      </c>
      <c r="B725" s="43">
        <v>43495</v>
      </c>
      <c r="C725" s="42">
        <v>2000</v>
      </c>
      <c r="D725" s="42">
        <v>2000</v>
      </c>
      <c r="E725" s="42">
        <v>2000</v>
      </c>
      <c r="F725" s="42">
        <v>2000</v>
      </c>
      <c r="G725" s="42">
        <v>20</v>
      </c>
    </row>
    <row r="726" spans="1:7">
      <c r="A726" s="42" t="s">
        <v>386</v>
      </c>
      <c r="B726" s="43">
        <v>43500</v>
      </c>
      <c r="C726" s="42">
        <v>2000</v>
      </c>
      <c r="D726" s="42">
        <v>2000</v>
      </c>
      <c r="E726" s="42">
        <v>2000</v>
      </c>
      <c r="F726" s="42">
        <v>2000</v>
      </c>
      <c r="G726" s="42">
        <v>20</v>
      </c>
    </row>
    <row r="727" spans="1:7">
      <c r="A727" s="42" t="s">
        <v>386</v>
      </c>
      <c r="B727" s="43">
        <v>43502</v>
      </c>
      <c r="C727" s="42">
        <v>1970</v>
      </c>
      <c r="D727" s="42">
        <v>1970</v>
      </c>
      <c r="E727" s="42">
        <v>1970</v>
      </c>
      <c r="F727" s="42">
        <v>1970</v>
      </c>
      <c r="G727" s="42">
        <v>40</v>
      </c>
    </row>
    <row r="728" spans="1:7">
      <c r="A728" s="42" t="s">
        <v>386</v>
      </c>
      <c r="B728" s="43">
        <v>43503</v>
      </c>
      <c r="C728" s="42">
        <v>2000</v>
      </c>
      <c r="D728" s="42">
        <v>2000</v>
      </c>
      <c r="E728" s="42">
        <v>2000</v>
      </c>
      <c r="F728" s="42">
        <v>2000</v>
      </c>
      <c r="G728" s="42">
        <v>40</v>
      </c>
    </row>
    <row r="729" spans="1:7">
      <c r="A729" s="42" t="s">
        <v>386</v>
      </c>
      <c r="B729" s="43">
        <v>43504</v>
      </c>
      <c r="C729" s="42">
        <v>1915.09</v>
      </c>
      <c r="D729" s="42">
        <v>1915.09</v>
      </c>
      <c r="E729" s="42">
        <v>1900</v>
      </c>
      <c r="F729" s="42">
        <v>1900</v>
      </c>
      <c r="G729" s="42">
        <v>100</v>
      </c>
    </row>
    <row r="730" spans="1:7">
      <c r="A730" s="42" t="s">
        <v>386</v>
      </c>
      <c r="B730" s="43">
        <v>43507</v>
      </c>
      <c r="C730" s="42">
        <v>1950</v>
      </c>
      <c r="D730" s="42">
        <v>1950</v>
      </c>
      <c r="E730" s="42">
        <v>1950</v>
      </c>
      <c r="F730" s="42">
        <v>1950</v>
      </c>
      <c r="G730" s="42">
        <v>40</v>
      </c>
    </row>
    <row r="731" spans="1:7">
      <c r="A731" s="42" t="s">
        <v>386</v>
      </c>
      <c r="B731" s="43">
        <v>43508</v>
      </c>
      <c r="C731" s="42">
        <v>1975</v>
      </c>
      <c r="D731" s="42">
        <v>1975</v>
      </c>
      <c r="E731" s="42">
        <v>1925</v>
      </c>
      <c r="F731" s="42">
        <v>1965</v>
      </c>
      <c r="G731" s="42">
        <v>80</v>
      </c>
    </row>
    <row r="732" spans="1:7">
      <c r="A732" s="42" t="s">
        <v>386</v>
      </c>
      <c r="B732" s="43">
        <v>43509</v>
      </c>
      <c r="C732" s="42">
        <v>1975</v>
      </c>
      <c r="D732" s="42">
        <v>1975</v>
      </c>
      <c r="E732" s="42">
        <v>1975</v>
      </c>
      <c r="F732" s="42">
        <v>1975</v>
      </c>
      <c r="G732" s="42">
        <v>20</v>
      </c>
    </row>
    <row r="733" spans="1:7">
      <c r="A733" s="42" t="s">
        <v>386</v>
      </c>
      <c r="B733" s="43">
        <v>43510</v>
      </c>
      <c r="C733" s="42">
        <v>1975</v>
      </c>
      <c r="D733" s="42">
        <v>2040</v>
      </c>
      <c r="E733" s="42">
        <v>1975</v>
      </c>
      <c r="F733" s="42">
        <v>2040</v>
      </c>
      <c r="G733" s="42">
        <v>160</v>
      </c>
    </row>
    <row r="734" spans="1:7">
      <c r="A734" s="42" t="s">
        <v>386</v>
      </c>
      <c r="B734" s="43">
        <v>43516</v>
      </c>
      <c r="C734" s="42">
        <v>2050</v>
      </c>
      <c r="D734" s="42">
        <v>2050</v>
      </c>
      <c r="E734" s="42">
        <v>2050</v>
      </c>
      <c r="F734" s="42">
        <v>2050</v>
      </c>
      <c r="G734" s="42">
        <v>20</v>
      </c>
    </row>
    <row r="735" spans="1:7">
      <c r="A735" s="42" t="s">
        <v>386</v>
      </c>
      <c r="B735" s="43">
        <v>43517</v>
      </c>
      <c r="C735" s="42">
        <v>2050</v>
      </c>
      <c r="D735" s="42">
        <v>2120</v>
      </c>
      <c r="E735" s="42">
        <v>1950</v>
      </c>
      <c r="F735" s="42">
        <v>1995.83</v>
      </c>
      <c r="G735" s="42">
        <v>580</v>
      </c>
    </row>
    <row r="736" spans="1:7">
      <c r="A736" s="42" t="s">
        <v>386</v>
      </c>
      <c r="B736" s="43">
        <v>43523</v>
      </c>
      <c r="C736" s="42">
        <v>2000</v>
      </c>
      <c r="D736" s="42">
        <v>2010</v>
      </c>
      <c r="E736" s="42">
        <v>2000</v>
      </c>
      <c r="F736" s="42">
        <v>2010</v>
      </c>
      <c r="G736" s="42">
        <v>420</v>
      </c>
    </row>
    <row r="737" spans="1:7">
      <c r="A737" s="42" t="s">
        <v>386</v>
      </c>
      <c r="B737" s="43">
        <v>43524</v>
      </c>
      <c r="C737" s="42">
        <v>2010</v>
      </c>
      <c r="D737" s="42">
        <v>2010</v>
      </c>
      <c r="E737" s="42">
        <v>2010</v>
      </c>
      <c r="F737" s="42">
        <v>2010</v>
      </c>
      <c r="G737" s="42">
        <v>100</v>
      </c>
    </row>
    <row r="738" spans="1:7">
      <c r="A738" s="42" t="s">
        <v>386</v>
      </c>
      <c r="B738" s="43">
        <v>43529</v>
      </c>
      <c r="C738" s="42">
        <v>2020</v>
      </c>
      <c r="D738" s="42">
        <v>2020</v>
      </c>
      <c r="E738" s="42">
        <v>2020</v>
      </c>
      <c r="F738" s="42">
        <v>2020</v>
      </c>
      <c r="G738" s="42">
        <v>300</v>
      </c>
    </row>
    <row r="739" spans="1:7">
      <c r="A739" s="42" t="s">
        <v>386</v>
      </c>
      <c r="B739" s="43">
        <v>43532</v>
      </c>
      <c r="C739" s="42">
        <v>2030</v>
      </c>
      <c r="D739" s="42">
        <v>2030</v>
      </c>
      <c r="E739" s="42">
        <v>2030</v>
      </c>
      <c r="F739" s="42">
        <v>2030</v>
      </c>
      <c r="G739" s="42">
        <v>20</v>
      </c>
    </row>
    <row r="740" spans="1:7">
      <c r="A740" s="42" t="s">
        <v>386</v>
      </c>
      <c r="B740" s="43">
        <v>43538</v>
      </c>
      <c r="C740" s="42">
        <v>2000</v>
      </c>
      <c r="D740" s="42">
        <v>2000</v>
      </c>
      <c r="E740" s="42">
        <v>2000</v>
      </c>
      <c r="F740" s="42">
        <v>2000</v>
      </c>
      <c r="G740" s="42">
        <v>40</v>
      </c>
    </row>
    <row r="741" spans="1:7">
      <c r="A741" s="42" t="s">
        <v>386</v>
      </c>
      <c r="B741" s="43">
        <v>43539</v>
      </c>
      <c r="C741" s="42">
        <v>1999.99</v>
      </c>
      <c r="D741" s="42">
        <v>1999.99</v>
      </c>
      <c r="E741" s="42">
        <v>1999.99</v>
      </c>
      <c r="F741" s="42">
        <v>1999.99</v>
      </c>
      <c r="G741" s="42">
        <v>100</v>
      </c>
    </row>
    <row r="742" spans="1:7">
      <c r="A742" s="42" t="s">
        <v>386</v>
      </c>
      <c r="B742" s="43">
        <v>43542</v>
      </c>
      <c r="C742" s="42">
        <v>1999.5</v>
      </c>
      <c r="D742" s="42">
        <v>1999.5</v>
      </c>
      <c r="E742" s="42">
        <v>1900</v>
      </c>
      <c r="F742" s="42">
        <v>1900</v>
      </c>
      <c r="G742" s="42">
        <v>180</v>
      </c>
    </row>
    <row r="743" spans="1:7">
      <c r="A743" s="42" t="s">
        <v>386</v>
      </c>
      <c r="B743" s="43">
        <v>43543</v>
      </c>
      <c r="C743" s="42">
        <v>1950</v>
      </c>
      <c r="D743" s="42">
        <v>1950</v>
      </c>
      <c r="E743" s="42">
        <v>1950</v>
      </c>
      <c r="F743" s="42">
        <v>1950</v>
      </c>
      <c r="G743" s="42">
        <v>200</v>
      </c>
    </row>
    <row r="744" spans="1:7">
      <c r="A744" s="42" t="s">
        <v>386</v>
      </c>
      <c r="B744" s="43">
        <v>43544</v>
      </c>
      <c r="C744" s="42">
        <v>1940</v>
      </c>
      <c r="D744" s="42">
        <v>1940</v>
      </c>
      <c r="E744" s="42">
        <v>1940</v>
      </c>
      <c r="F744" s="42">
        <v>1940</v>
      </c>
      <c r="G744" s="42">
        <v>240</v>
      </c>
    </row>
    <row r="745" spans="1:7">
      <c r="A745" s="42" t="s">
        <v>386</v>
      </c>
      <c r="B745" s="43">
        <v>43545</v>
      </c>
      <c r="C745" s="42">
        <v>1950</v>
      </c>
      <c r="D745" s="42">
        <v>1950</v>
      </c>
      <c r="E745" s="42">
        <v>1950</v>
      </c>
      <c r="F745" s="42">
        <v>1950</v>
      </c>
      <c r="G745" s="42">
        <v>200</v>
      </c>
    </row>
    <row r="746" spans="1:7">
      <c r="A746" s="42" t="s">
        <v>386</v>
      </c>
      <c r="B746" s="43">
        <v>43546</v>
      </c>
      <c r="C746" s="42">
        <v>2000</v>
      </c>
      <c r="D746" s="42">
        <v>2000</v>
      </c>
      <c r="E746" s="42">
        <v>2000</v>
      </c>
      <c r="F746" s="42">
        <v>2000</v>
      </c>
      <c r="G746" s="42">
        <v>100</v>
      </c>
    </row>
    <row r="747" spans="1:7">
      <c r="A747" s="42" t="s">
        <v>386</v>
      </c>
      <c r="B747" s="43">
        <v>43549</v>
      </c>
      <c r="C747" s="42">
        <v>2000</v>
      </c>
      <c r="D747" s="42">
        <v>2000</v>
      </c>
      <c r="E747" s="42">
        <v>2000</v>
      </c>
      <c r="F747" s="42">
        <v>2000</v>
      </c>
      <c r="G747" s="42">
        <v>100</v>
      </c>
    </row>
    <row r="748" spans="1:7">
      <c r="A748" s="42" t="s">
        <v>386</v>
      </c>
      <c r="B748" s="43">
        <v>43553</v>
      </c>
      <c r="C748" s="42">
        <v>1950</v>
      </c>
      <c r="D748" s="42">
        <v>2000</v>
      </c>
      <c r="E748" s="42">
        <v>1950</v>
      </c>
      <c r="F748" s="42">
        <v>2000</v>
      </c>
      <c r="G748" s="42">
        <v>220</v>
      </c>
    </row>
    <row r="749" spans="1:7">
      <c r="A749" s="42" t="s">
        <v>386</v>
      </c>
      <c r="B749" s="43">
        <v>43556</v>
      </c>
      <c r="C749" s="42">
        <v>2001</v>
      </c>
      <c r="D749" s="42">
        <v>2001</v>
      </c>
      <c r="E749" s="42">
        <v>2001</v>
      </c>
      <c r="F749" s="42">
        <v>2001</v>
      </c>
      <c r="G749" s="42">
        <v>200</v>
      </c>
    </row>
    <row r="750" spans="1:7">
      <c r="A750" s="42" t="s">
        <v>386</v>
      </c>
      <c r="B750" s="43">
        <v>43560</v>
      </c>
      <c r="C750" s="42">
        <v>2000</v>
      </c>
      <c r="D750" s="42">
        <v>2000</v>
      </c>
      <c r="E750" s="42">
        <v>2000</v>
      </c>
      <c r="F750" s="42">
        <v>2000</v>
      </c>
      <c r="G750" s="42">
        <v>200</v>
      </c>
    </row>
    <row r="751" spans="1:7">
      <c r="A751" s="42" t="s">
        <v>386</v>
      </c>
      <c r="B751" s="43">
        <v>43563</v>
      </c>
      <c r="C751" s="42">
        <v>1999.99</v>
      </c>
      <c r="D751" s="42">
        <v>1999.99</v>
      </c>
      <c r="E751" s="42">
        <v>1900</v>
      </c>
      <c r="F751" s="42">
        <v>1950</v>
      </c>
      <c r="G751" s="42">
        <v>1760</v>
      </c>
    </row>
    <row r="752" spans="1:7">
      <c r="A752" s="42" t="s">
        <v>386</v>
      </c>
      <c r="B752" s="43">
        <v>43565</v>
      </c>
      <c r="C752" s="42">
        <v>1950</v>
      </c>
      <c r="D752" s="42">
        <v>1950</v>
      </c>
      <c r="E752" s="42">
        <v>1950</v>
      </c>
      <c r="F752" s="42">
        <v>1950</v>
      </c>
      <c r="G752" s="42">
        <v>20</v>
      </c>
    </row>
    <row r="753" spans="1:7">
      <c r="A753" s="42" t="s">
        <v>386</v>
      </c>
      <c r="B753" s="43">
        <v>43567</v>
      </c>
      <c r="C753" s="42">
        <v>1949.99</v>
      </c>
      <c r="D753" s="42">
        <v>1949.99</v>
      </c>
      <c r="E753" s="42">
        <v>1949.99</v>
      </c>
      <c r="F753" s="42">
        <v>1949.99</v>
      </c>
      <c r="G753" s="42">
        <v>180</v>
      </c>
    </row>
    <row r="754" spans="1:7">
      <c r="A754" s="42" t="s">
        <v>386</v>
      </c>
      <c r="B754" s="43">
        <v>43570</v>
      </c>
      <c r="C754" s="42">
        <v>1951</v>
      </c>
      <c r="D754" s="42">
        <v>1951</v>
      </c>
      <c r="E754" s="42">
        <v>1948</v>
      </c>
      <c r="F754" s="42">
        <v>1948</v>
      </c>
      <c r="G754" s="42">
        <v>220</v>
      </c>
    </row>
    <row r="755" spans="1:7">
      <c r="A755" s="42" t="s">
        <v>386</v>
      </c>
      <c r="B755" s="43">
        <v>43571</v>
      </c>
      <c r="C755" s="42">
        <v>1947.5</v>
      </c>
      <c r="D755" s="42">
        <v>1947.5</v>
      </c>
      <c r="E755" s="42">
        <v>1947.5</v>
      </c>
      <c r="F755" s="42">
        <v>1947.5</v>
      </c>
      <c r="G755" s="42">
        <v>20</v>
      </c>
    </row>
    <row r="756" spans="1:7">
      <c r="A756" s="42" t="s">
        <v>386</v>
      </c>
      <c r="B756" s="43">
        <v>43573</v>
      </c>
      <c r="C756" s="42">
        <v>1910</v>
      </c>
      <c r="D756" s="42">
        <v>1950</v>
      </c>
      <c r="E756" s="42">
        <v>1910</v>
      </c>
      <c r="F756" s="42">
        <v>1940</v>
      </c>
      <c r="G756" s="42">
        <v>500</v>
      </c>
    </row>
    <row r="757" spans="1:7">
      <c r="A757" s="42" t="s">
        <v>386</v>
      </c>
      <c r="B757" s="43">
        <v>43574</v>
      </c>
      <c r="C757" s="42">
        <v>1900</v>
      </c>
      <c r="D757" s="42">
        <v>1949.9</v>
      </c>
      <c r="E757" s="42">
        <v>1900</v>
      </c>
      <c r="F757" s="42">
        <v>1949.9</v>
      </c>
      <c r="G757" s="42">
        <v>200</v>
      </c>
    </row>
    <row r="758" spans="1:7">
      <c r="A758" s="42" t="s">
        <v>386</v>
      </c>
      <c r="B758" s="43">
        <v>43577</v>
      </c>
      <c r="C758" s="42">
        <v>1949.9</v>
      </c>
      <c r="D758" s="42">
        <v>1950</v>
      </c>
      <c r="E758" s="42">
        <v>1949.9</v>
      </c>
      <c r="F758" s="42">
        <v>1950</v>
      </c>
      <c r="G758" s="42">
        <v>180</v>
      </c>
    </row>
    <row r="759" spans="1:7">
      <c r="A759" s="42" t="s">
        <v>386</v>
      </c>
      <c r="B759" s="43">
        <v>43581</v>
      </c>
      <c r="C759" s="42">
        <v>1947.9</v>
      </c>
      <c r="D759" s="42">
        <v>1947.9</v>
      </c>
      <c r="E759" s="42">
        <v>1947.9</v>
      </c>
      <c r="F759" s="42">
        <v>1947.9</v>
      </c>
      <c r="G759" s="42">
        <v>120</v>
      </c>
    </row>
    <row r="760" spans="1:7">
      <c r="A760" s="42" t="s">
        <v>386</v>
      </c>
      <c r="B760" s="43">
        <v>43584</v>
      </c>
      <c r="C760" s="42">
        <v>1948.5</v>
      </c>
      <c r="D760" s="42">
        <v>1948.5</v>
      </c>
      <c r="E760" s="42">
        <v>1948.5</v>
      </c>
      <c r="F760" s="42">
        <v>1948.5</v>
      </c>
      <c r="G760" s="42">
        <v>120</v>
      </c>
    </row>
    <row r="761" spans="1:7">
      <c r="A761" s="42" t="s">
        <v>386</v>
      </c>
      <c r="B761" s="43">
        <v>43588</v>
      </c>
      <c r="C761" s="42">
        <v>1998</v>
      </c>
      <c r="D761" s="42">
        <v>1998</v>
      </c>
      <c r="E761" s="42">
        <v>1998</v>
      </c>
      <c r="F761" s="42">
        <v>1998</v>
      </c>
      <c r="G761" s="42">
        <v>120</v>
      </c>
    </row>
    <row r="762" spans="1:7">
      <c r="A762" s="42" t="s">
        <v>386</v>
      </c>
      <c r="B762" s="43">
        <v>43591</v>
      </c>
      <c r="C762" s="42">
        <v>1999</v>
      </c>
      <c r="D762" s="42">
        <v>2097</v>
      </c>
      <c r="E762" s="42">
        <v>1999</v>
      </c>
      <c r="F762" s="42">
        <v>2097</v>
      </c>
      <c r="G762" s="42">
        <v>580</v>
      </c>
    </row>
    <row r="763" spans="1:7">
      <c r="A763" s="42" t="s">
        <v>386</v>
      </c>
      <c r="B763" s="43">
        <v>43593</v>
      </c>
      <c r="C763" s="42">
        <v>2311.94</v>
      </c>
      <c r="D763" s="42">
        <v>2311.94</v>
      </c>
      <c r="E763" s="42">
        <v>2311.94</v>
      </c>
      <c r="F763" s="42">
        <v>2311.94</v>
      </c>
      <c r="G763" s="42">
        <v>3180</v>
      </c>
    </row>
    <row r="764" spans="1:7">
      <c r="A764" s="42" t="s">
        <v>386</v>
      </c>
      <c r="B764" s="43">
        <v>43594</v>
      </c>
      <c r="C764" s="42">
        <v>2200</v>
      </c>
      <c r="D764" s="42">
        <v>2201</v>
      </c>
      <c r="E764" s="42">
        <v>2196.35</v>
      </c>
      <c r="F764" s="42">
        <v>2196.35</v>
      </c>
      <c r="G764" s="42">
        <v>1320</v>
      </c>
    </row>
    <row r="765" spans="1:7">
      <c r="A765" s="42" t="s">
        <v>386</v>
      </c>
      <c r="B765" s="43">
        <v>43595</v>
      </c>
      <c r="C765" s="42">
        <v>2086.5500000000002</v>
      </c>
      <c r="D765" s="42">
        <v>2087</v>
      </c>
      <c r="E765" s="42">
        <v>2086.54</v>
      </c>
      <c r="F765" s="42">
        <v>2086.54</v>
      </c>
      <c r="G765" s="42">
        <v>340</v>
      </c>
    </row>
    <row r="766" spans="1:7">
      <c r="A766" s="42" t="s">
        <v>386</v>
      </c>
      <c r="B766" s="43">
        <v>43598</v>
      </c>
      <c r="C766" s="42">
        <v>2100</v>
      </c>
      <c r="D766" s="42">
        <v>2100</v>
      </c>
      <c r="E766" s="42">
        <v>2050</v>
      </c>
      <c r="F766" s="42">
        <v>2050</v>
      </c>
      <c r="G766" s="42">
        <v>120</v>
      </c>
    </row>
    <row r="767" spans="1:7">
      <c r="A767" s="42" t="s">
        <v>386</v>
      </c>
      <c r="B767" s="43">
        <v>43599</v>
      </c>
      <c r="C767" s="42">
        <v>1950</v>
      </c>
      <c r="D767" s="42">
        <v>1950</v>
      </c>
      <c r="E767" s="42">
        <v>1950</v>
      </c>
      <c r="F767" s="42">
        <v>1950</v>
      </c>
      <c r="G767" s="42">
        <v>40</v>
      </c>
    </row>
    <row r="768" spans="1:7">
      <c r="A768" s="42" t="s">
        <v>386</v>
      </c>
      <c r="B768" s="43">
        <v>43601</v>
      </c>
      <c r="C768" s="42">
        <v>1853</v>
      </c>
      <c r="D768" s="42">
        <v>1950</v>
      </c>
      <c r="E768" s="42">
        <v>1852.5</v>
      </c>
      <c r="F768" s="42">
        <v>1950</v>
      </c>
      <c r="G768" s="42">
        <v>200</v>
      </c>
    </row>
    <row r="769" spans="1:7">
      <c r="A769" s="42" t="s">
        <v>386</v>
      </c>
      <c r="B769" s="43">
        <v>43602</v>
      </c>
      <c r="C769" s="42">
        <v>1853</v>
      </c>
      <c r="D769" s="42">
        <v>1950</v>
      </c>
      <c r="E769" s="42">
        <v>1853</v>
      </c>
      <c r="F769" s="42">
        <v>1950</v>
      </c>
      <c r="G769" s="42">
        <v>180</v>
      </c>
    </row>
    <row r="770" spans="1:7">
      <c r="A770" s="42" t="s">
        <v>386</v>
      </c>
      <c r="B770" s="43">
        <v>43605</v>
      </c>
      <c r="C770" s="42">
        <v>1852.55</v>
      </c>
      <c r="D770" s="42">
        <v>1900</v>
      </c>
      <c r="E770" s="42">
        <v>1852.55</v>
      </c>
      <c r="F770" s="42">
        <v>1900</v>
      </c>
      <c r="G770" s="42">
        <v>160</v>
      </c>
    </row>
    <row r="771" spans="1:7">
      <c r="A771" s="42" t="s">
        <v>386</v>
      </c>
      <c r="B771" s="43">
        <v>43606</v>
      </c>
      <c r="C771" s="42">
        <v>1915</v>
      </c>
      <c r="D771" s="42">
        <v>1915</v>
      </c>
      <c r="E771" s="42">
        <v>1915</v>
      </c>
      <c r="F771" s="42">
        <v>1915</v>
      </c>
      <c r="G771" s="42">
        <v>20</v>
      </c>
    </row>
    <row r="772" spans="1:7">
      <c r="A772" s="42" t="s">
        <v>386</v>
      </c>
      <c r="B772" s="43">
        <v>43607</v>
      </c>
      <c r="C772" s="42">
        <v>1900</v>
      </c>
      <c r="D772" s="42">
        <v>1900</v>
      </c>
      <c r="E772" s="42">
        <v>1900</v>
      </c>
      <c r="F772" s="42">
        <v>1900</v>
      </c>
      <c r="G772" s="42">
        <v>40</v>
      </c>
    </row>
    <row r="773" spans="1:7">
      <c r="A773" s="42" t="s">
        <v>386</v>
      </c>
      <c r="B773" s="43">
        <v>43608</v>
      </c>
      <c r="C773" s="42">
        <v>1950</v>
      </c>
      <c r="D773" s="42">
        <v>1950</v>
      </c>
      <c r="E773" s="42">
        <v>1950</v>
      </c>
      <c r="F773" s="42">
        <v>1950</v>
      </c>
      <c r="G773" s="42">
        <v>300</v>
      </c>
    </row>
    <row r="774" spans="1:7">
      <c r="A774" s="42" t="s">
        <v>386</v>
      </c>
      <c r="B774" s="43">
        <v>43609</v>
      </c>
      <c r="C774" s="42">
        <v>1950</v>
      </c>
      <c r="D774" s="42">
        <v>1950</v>
      </c>
      <c r="E774" s="42">
        <v>1950</v>
      </c>
      <c r="F774" s="42">
        <v>1950</v>
      </c>
      <c r="G774" s="42">
        <v>140</v>
      </c>
    </row>
    <row r="775" spans="1:7">
      <c r="A775" s="42" t="s">
        <v>386</v>
      </c>
      <c r="B775" s="43">
        <v>43612</v>
      </c>
      <c r="C775" s="42">
        <v>1975.01</v>
      </c>
      <c r="D775" s="42">
        <v>1975.01</v>
      </c>
      <c r="E775" s="42">
        <v>1975</v>
      </c>
      <c r="F775" s="42">
        <v>1975</v>
      </c>
      <c r="G775" s="42">
        <v>240</v>
      </c>
    </row>
    <row r="776" spans="1:7">
      <c r="A776" s="42" t="s">
        <v>386</v>
      </c>
      <c r="B776" s="43">
        <v>43613</v>
      </c>
      <c r="C776" s="42">
        <v>1975</v>
      </c>
      <c r="D776" s="42">
        <v>1975</v>
      </c>
      <c r="E776" s="42">
        <v>1975</v>
      </c>
      <c r="F776" s="42">
        <v>1975</v>
      </c>
      <c r="G776" s="42">
        <v>40</v>
      </c>
    </row>
    <row r="777" spans="1:7">
      <c r="A777" s="42" t="s">
        <v>386</v>
      </c>
      <c r="B777" s="43">
        <v>43615</v>
      </c>
      <c r="C777" s="42">
        <v>2070</v>
      </c>
      <c r="D777" s="42">
        <v>2073.75</v>
      </c>
      <c r="E777" s="42">
        <v>1975</v>
      </c>
      <c r="F777" s="42">
        <v>2073.75</v>
      </c>
      <c r="G777" s="42">
        <v>300</v>
      </c>
    </row>
    <row r="778" spans="1:7">
      <c r="A778" s="42" t="s">
        <v>386</v>
      </c>
      <c r="B778" s="43">
        <v>43627</v>
      </c>
      <c r="C778" s="42">
        <v>2050</v>
      </c>
      <c r="D778" s="42">
        <v>2100</v>
      </c>
      <c r="E778" s="42">
        <v>2050</v>
      </c>
      <c r="F778" s="42">
        <v>2100</v>
      </c>
      <c r="G778" s="42">
        <v>540</v>
      </c>
    </row>
    <row r="779" spans="1:7">
      <c r="A779" s="42" t="s">
        <v>386</v>
      </c>
      <c r="B779" s="43">
        <v>43630</v>
      </c>
      <c r="C779" s="42">
        <v>2050</v>
      </c>
      <c r="D779" s="42">
        <v>2050</v>
      </c>
      <c r="E779" s="42">
        <v>2050</v>
      </c>
      <c r="F779" s="42">
        <v>2050</v>
      </c>
      <c r="G779" s="42">
        <v>100</v>
      </c>
    </row>
    <row r="780" spans="1:7">
      <c r="A780" s="42" t="s">
        <v>386</v>
      </c>
      <c r="B780" s="43">
        <v>43633</v>
      </c>
      <c r="C780" s="42">
        <v>2051</v>
      </c>
      <c r="D780" s="42">
        <v>2051</v>
      </c>
      <c r="E780" s="42">
        <v>2051</v>
      </c>
      <c r="F780" s="42">
        <v>2051</v>
      </c>
      <c r="G780" s="42">
        <v>100</v>
      </c>
    </row>
    <row r="781" spans="1:7">
      <c r="A781" s="42" t="s">
        <v>386</v>
      </c>
      <c r="B781" s="43">
        <v>43636</v>
      </c>
      <c r="C781" s="42">
        <v>2100</v>
      </c>
      <c r="D781" s="42">
        <v>2100</v>
      </c>
      <c r="E781" s="42">
        <v>2100</v>
      </c>
      <c r="F781" s="42">
        <v>2100</v>
      </c>
      <c r="G781" s="42">
        <v>80</v>
      </c>
    </row>
    <row r="782" spans="1:7">
      <c r="A782" s="42" t="s">
        <v>386</v>
      </c>
      <c r="B782" s="43">
        <v>43637</v>
      </c>
      <c r="C782" s="42">
        <v>2075</v>
      </c>
      <c r="D782" s="42">
        <v>2075</v>
      </c>
      <c r="E782" s="42">
        <v>2075</v>
      </c>
      <c r="F782" s="42">
        <v>2075</v>
      </c>
      <c r="G782" s="42">
        <v>100</v>
      </c>
    </row>
    <row r="783" spans="1:7">
      <c r="A783" s="42" t="s">
        <v>386</v>
      </c>
      <c r="B783" s="43">
        <v>43640</v>
      </c>
      <c r="C783" s="42">
        <v>2076.25</v>
      </c>
      <c r="D783" s="42">
        <v>2076.25</v>
      </c>
      <c r="E783" s="42">
        <v>2076.25</v>
      </c>
      <c r="F783" s="42">
        <v>2076.25</v>
      </c>
      <c r="G783" s="42">
        <v>100</v>
      </c>
    </row>
    <row r="784" spans="1:7">
      <c r="A784" s="42" t="s">
        <v>386</v>
      </c>
      <c r="B784" s="43">
        <v>43642</v>
      </c>
      <c r="C784" s="42">
        <v>2080</v>
      </c>
      <c r="D784" s="42">
        <v>2080</v>
      </c>
      <c r="E784" s="42">
        <v>2078</v>
      </c>
      <c r="F784" s="42">
        <v>2079.9899999999998</v>
      </c>
      <c r="G784" s="42">
        <v>3640</v>
      </c>
    </row>
    <row r="785" spans="1:7">
      <c r="A785" s="42" t="s">
        <v>386</v>
      </c>
      <c r="B785" s="43">
        <v>43643</v>
      </c>
      <c r="C785" s="42">
        <v>2080</v>
      </c>
      <c r="D785" s="42">
        <v>2080</v>
      </c>
      <c r="E785" s="42">
        <v>2050</v>
      </c>
      <c r="F785" s="42">
        <v>2050</v>
      </c>
      <c r="G785" s="42">
        <v>3660</v>
      </c>
    </row>
    <row r="786" spans="1:7">
      <c r="A786" s="42" t="s">
        <v>386</v>
      </c>
      <c r="B786" s="43">
        <v>43644</v>
      </c>
      <c r="C786" s="42">
        <v>2075</v>
      </c>
      <c r="D786" s="42">
        <v>2075</v>
      </c>
      <c r="E786" s="42">
        <v>2075</v>
      </c>
      <c r="F786" s="42">
        <v>2075</v>
      </c>
      <c r="G786" s="42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3"/>
  <sheetViews>
    <sheetView topLeftCell="A13" zoomScale="73" zoomScaleNormal="73" workbookViewId="0">
      <selection activeCell="G13" sqref="C1:G13"/>
    </sheetView>
  </sheetViews>
  <sheetFormatPr defaultRowHeight="15"/>
  <cols>
    <col min="2" max="2" width="32.140625" bestFit="1" customWidth="1"/>
    <col min="3" max="3" width="16.140625" bestFit="1" customWidth="1"/>
    <col min="4" max="7" width="20.42578125" bestFit="1" customWidth="1"/>
    <col min="8" max="8" width="14.28515625" bestFit="1" customWidth="1"/>
  </cols>
  <sheetData>
    <row r="1" spans="1:7" ht="15.75" hidden="1" thickBot="1">
      <c r="C1" s="393" t="s">
        <v>417</v>
      </c>
      <c r="D1" s="394"/>
      <c r="E1" s="394"/>
      <c r="F1" s="394"/>
      <c r="G1" s="395"/>
    </row>
    <row r="2" spans="1:7" ht="15.75" hidden="1" thickBot="1">
      <c r="C2" s="56">
        <v>2020</v>
      </c>
      <c r="D2" s="57">
        <v>2021</v>
      </c>
      <c r="E2" s="57">
        <v>2022</v>
      </c>
      <c r="F2" s="57">
        <v>2023</v>
      </c>
      <c r="G2" s="58">
        <v>2024</v>
      </c>
    </row>
    <row r="3" spans="1:7" hidden="1">
      <c r="A3" t="s">
        <v>418</v>
      </c>
      <c r="C3" s="59">
        <f>PNL!G8</f>
        <v>11300240540</v>
      </c>
      <c r="D3" s="59">
        <f>PNL!H8</f>
        <v>21374976903.501568</v>
      </c>
      <c r="E3" s="59">
        <f>PNL!I8</f>
        <v>24894083641.674931</v>
      </c>
      <c r="F3" s="59">
        <f>PNL!J8</f>
        <v>28960760467.043087</v>
      </c>
      <c r="G3" s="59">
        <f>PNL!K8</f>
        <v>0</v>
      </c>
    </row>
    <row r="4" spans="1:7" hidden="1">
      <c r="A4" t="s">
        <v>419</v>
      </c>
      <c r="C4" s="34">
        <f>[2]IS!G18*(1-[2]IS!G25)</f>
        <v>19209.344824891985</v>
      </c>
      <c r="D4" s="35">
        <f>[2]IS!H18*(1-[2]IS!H25)</f>
        <v>20099.206920662462</v>
      </c>
      <c r="E4" s="35">
        <f>[2]IS!I18*(1-[2]IS!I25)</f>
        <v>20879.646131646037</v>
      </c>
      <c r="F4" s="35">
        <f>[2]IS!J18*(1-[2]IS!J25)</f>
        <v>21588.5476795305</v>
      </c>
      <c r="G4" s="36">
        <f>[2]IS!K18*(1-[2]IS!K25)</f>
        <v>21775.017639394002</v>
      </c>
    </row>
    <row r="5" spans="1:7" hidden="1">
      <c r="A5" t="s">
        <v>420</v>
      </c>
      <c r="C5" s="31">
        <f>'Fixed Assets'!F18</f>
        <v>6405817352</v>
      </c>
      <c r="D5" s="31">
        <f>'Fixed Assets'!G18</f>
        <v>7561360769.5688343</v>
      </c>
      <c r="E5" s="31">
        <f>'Fixed Assets'!H18</f>
        <v>8927363995.3590279</v>
      </c>
      <c r="F5" s="31">
        <f>'Fixed Assets'!I18</f>
        <v>10486000299.508635</v>
      </c>
      <c r="G5" s="31">
        <f>'Fixed Assets'!J18</f>
        <v>0</v>
      </c>
    </row>
    <row r="6" spans="1:7" hidden="1">
      <c r="A6" t="s">
        <v>421</v>
      </c>
      <c r="C6" s="31">
        <f>-[2]Assumptions!I443</f>
        <v>-1814503.6099519355</v>
      </c>
      <c r="D6" s="4">
        <f>-[2]Assumptions!J443</f>
        <v>-1026672.5087524711</v>
      </c>
      <c r="E6" s="4">
        <f>-[2]Assumptions!K443</f>
        <v>-126893.5946991409</v>
      </c>
      <c r="F6" s="4">
        <f>-[2]Assumptions!L443</f>
        <v>-15672.33316254626</v>
      </c>
      <c r="G6" s="32">
        <f>-[2]Assumptions!M443</f>
        <v>-18967.844779933483</v>
      </c>
    </row>
    <row r="7" spans="1:7" hidden="1">
      <c r="A7" t="s">
        <v>422</v>
      </c>
      <c r="C7" s="31">
        <f>[2]CF!G15-[2]CF!G18</f>
        <v>-523433.28</v>
      </c>
      <c r="D7" s="4">
        <f>[2]CF!H15-[2]CF!H18</f>
        <v>-649724.4</v>
      </c>
      <c r="E7" s="4">
        <f>[2]CF!I15-[2]CF!I18</f>
        <v>-783791.78508800012</v>
      </c>
      <c r="F7" s="4">
        <f>[2]CF!J15-[2]CF!J18</f>
        <v>-931693.23181568005</v>
      </c>
      <c r="G7" s="32">
        <f>[2]CF!K15-[2]CF!K18</f>
        <v>-1089255.1307205632</v>
      </c>
    </row>
    <row r="8" spans="1:7" ht="15.75" hidden="1" thickBot="1">
      <c r="A8" s="1" t="s">
        <v>423</v>
      </c>
      <c r="C8" s="60">
        <f>SUM(C3:C7)</f>
        <v>17703739164.454876</v>
      </c>
      <c r="D8" s="61">
        <f t="shared" ref="D8:G8" si="0">SUM(D3:D7)</f>
        <v>28934681375.368568</v>
      </c>
      <c r="E8" s="61">
        <f t="shared" si="0"/>
        <v>33820557831.300304</v>
      </c>
      <c r="F8" s="61">
        <f t="shared" si="0"/>
        <v>39445834989.534424</v>
      </c>
      <c r="G8" s="62">
        <f t="shared" si="0"/>
        <v>-1086447.9578611027</v>
      </c>
    </row>
    <row r="9" spans="1:7" ht="15.75" hidden="1" thickTop="1">
      <c r="C9" s="30"/>
      <c r="G9" s="25"/>
    </row>
    <row r="10" spans="1:7" hidden="1">
      <c r="A10" t="s">
        <v>423</v>
      </c>
      <c r="C10" s="34">
        <f>C8</f>
        <v>17703739164.454876</v>
      </c>
      <c r="D10" s="35">
        <f t="shared" ref="D10:G10" si="1">D8</f>
        <v>28934681375.368568</v>
      </c>
      <c r="E10" s="35">
        <f t="shared" si="1"/>
        <v>33820557831.300304</v>
      </c>
      <c r="F10" s="35">
        <f t="shared" si="1"/>
        <v>39445834989.534424</v>
      </c>
      <c r="G10" s="36">
        <f t="shared" si="1"/>
        <v>-1086447.9578611027</v>
      </c>
    </row>
    <row r="11" spans="1:7" hidden="1">
      <c r="A11" t="s">
        <v>424</v>
      </c>
      <c r="C11" s="34">
        <f>-C4</f>
        <v>-19209.344824891985</v>
      </c>
      <c r="D11" s="35">
        <f t="shared" ref="D11:G11" si="2">-D4</f>
        <v>-20099.206920662462</v>
      </c>
      <c r="E11" s="35">
        <f t="shared" si="2"/>
        <v>-20879.646131646037</v>
      </c>
      <c r="F11" s="35">
        <f t="shared" si="2"/>
        <v>-21588.5476795305</v>
      </c>
      <c r="G11" s="36">
        <f t="shared" si="2"/>
        <v>-21775.017639394002</v>
      </c>
    </row>
    <row r="12" spans="1:7" ht="15.75" hidden="1" thickBot="1">
      <c r="A12" s="1" t="s">
        <v>425</v>
      </c>
      <c r="C12" s="63">
        <f>SUM(C10:C11)</f>
        <v>17703719955.11005</v>
      </c>
      <c r="D12" s="21">
        <f>SUM(D10:D11)</f>
        <v>28934661276.161648</v>
      </c>
      <c r="E12" s="21">
        <f>SUM(E10:E11)</f>
        <v>33820536951.654171</v>
      </c>
      <c r="F12" s="21">
        <f>SUM(F10:F11)</f>
        <v>39445813400.986748</v>
      </c>
      <c r="G12" s="64">
        <f>SUM(G10:G11)</f>
        <v>-1108222.9755004966</v>
      </c>
    </row>
    <row r="14" spans="1:7" ht="15.75" thickBot="1"/>
    <row r="15" spans="1:7" hidden="1">
      <c r="B15" s="65" t="s">
        <v>426</v>
      </c>
      <c r="C15" s="27" t="s">
        <v>427</v>
      </c>
      <c r="D15" s="28">
        <f>'[2]Market Prices'!V18</f>
        <v>0.10228072514577198</v>
      </c>
    </row>
    <row r="16" spans="1:7" hidden="1">
      <c r="B16" s="66" t="s">
        <v>428</v>
      </c>
      <c r="C16" t="s">
        <v>427</v>
      </c>
      <c r="D16" s="67">
        <f>'[2]Market Prices'!O2</f>
        <v>0.11385000000000001</v>
      </c>
    </row>
    <row r="17" spans="2:8">
      <c r="B17" s="65" t="s">
        <v>429</v>
      </c>
      <c r="C17" s="27" t="s">
        <v>427</v>
      </c>
      <c r="D17" s="367">
        <f>('[2]Market Prices'!F154-'[2]Market Prices'!F2)/'[2]Market Prices'!F2</f>
        <v>-0.1911035076793865</v>
      </c>
    </row>
    <row r="18" spans="2:8">
      <c r="B18" s="66" t="s">
        <v>430</v>
      </c>
      <c r="C18" s="88" t="s">
        <v>427</v>
      </c>
      <c r="D18" s="68">
        <f>D16+D15*(D17-D16)</f>
        <v>8.2659134098805612E-2</v>
      </c>
      <c r="E18" s="8"/>
    </row>
    <row r="19" spans="2:8">
      <c r="B19" s="66" t="s">
        <v>431</v>
      </c>
      <c r="C19" s="88" t="s">
        <v>427</v>
      </c>
      <c r="D19" s="69">
        <v>1</v>
      </c>
    </row>
    <row r="20" spans="2:8" hidden="1">
      <c r="B20" s="66" t="s">
        <v>432</v>
      </c>
      <c r="C20" s="88" t="s">
        <v>427</v>
      </c>
      <c r="D20" s="70">
        <f>[2]IS!K22/([2]BS!K33+[2]BS!K34)</f>
        <v>0.10246131892965893</v>
      </c>
    </row>
    <row r="21" spans="2:8" ht="15.75" thickBot="1">
      <c r="B21" s="71" t="s">
        <v>433</v>
      </c>
      <c r="C21" s="22" t="s">
        <v>427</v>
      </c>
      <c r="D21" s="72">
        <f>D20*D19</f>
        <v>0.10246131892965893</v>
      </c>
    </row>
    <row r="22" spans="2:8" ht="15.75" thickBot="1"/>
    <row r="23" spans="2:8">
      <c r="B23" s="73" t="s">
        <v>434</v>
      </c>
      <c r="C23" s="74"/>
      <c r="D23" s="74">
        <v>1</v>
      </c>
      <c r="E23" s="74">
        <v>2</v>
      </c>
      <c r="F23" s="74">
        <v>3</v>
      </c>
      <c r="G23" s="74">
        <v>4</v>
      </c>
      <c r="H23" s="75">
        <v>5</v>
      </c>
    </row>
    <row r="24" spans="2:8">
      <c r="B24" s="76" t="s">
        <v>435</v>
      </c>
      <c r="C24" s="1"/>
      <c r="D24">
        <f>(1/(1+$D$18))^D23</f>
        <v>0.92365174643115144</v>
      </c>
      <c r="E24">
        <f>(1/(1+$D$18))^E23</f>
        <v>0.85313254868531607</v>
      </c>
      <c r="F24">
        <f t="shared" ref="F24:H24" si="3">(1/(1+$D$18))^F23</f>
        <v>0.78799736853045155</v>
      </c>
      <c r="G24">
        <f t="shared" si="3"/>
        <v>0.72783514562630325</v>
      </c>
      <c r="H24" s="25">
        <f t="shared" si="3"/>
        <v>0.67226620337170639</v>
      </c>
    </row>
    <row r="25" spans="2:8">
      <c r="B25" s="76" t="s">
        <v>436</v>
      </c>
      <c r="C25" s="1"/>
      <c r="D25" s="6">
        <f>D24*C12</f>
        <v>16352071854.865423</v>
      </c>
      <c r="E25" s="6">
        <f t="shared" ref="E25:H25" si="4">E24*D12</f>
        <v>24685101319.878105</v>
      </c>
      <c r="F25" s="6">
        <f t="shared" si="4"/>
        <v>26650494120.190388</v>
      </c>
      <c r="G25" s="6">
        <f t="shared" si="4"/>
        <v>28710049341.055172</v>
      </c>
      <c r="H25" s="77">
        <f t="shared" si="4"/>
        <v>-745020.85222901439</v>
      </c>
    </row>
    <row r="26" spans="2:8">
      <c r="B26" s="76" t="s">
        <v>437</v>
      </c>
      <c r="C26" s="1"/>
      <c r="H26" s="78">
        <f>(G12*(1+D21))/(D18-D21)</f>
        <v>61698897.049724177</v>
      </c>
    </row>
    <row r="27" spans="2:8">
      <c r="B27" s="76" t="s">
        <v>438</v>
      </c>
      <c r="C27" s="1"/>
      <c r="D27" s="6">
        <f>SUM(D25:H25)+H26</f>
        <v>96458670512.186584</v>
      </c>
      <c r="H27" s="25"/>
    </row>
    <row r="28" spans="2:8">
      <c r="B28" s="76" t="s">
        <v>439</v>
      </c>
      <c r="C28" s="1"/>
      <c r="D28" s="4">
        <f>[2]BS!K23</f>
        <v>1861162.38626966</v>
      </c>
      <c r="H28" s="25"/>
    </row>
    <row r="29" spans="2:8">
      <c r="B29" s="76" t="s">
        <v>440</v>
      </c>
      <c r="C29" s="1"/>
      <c r="D29" s="6">
        <f>SUM(D27:D28)</f>
        <v>96460531674.572861</v>
      </c>
      <c r="H29" s="25"/>
    </row>
    <row r="30" spans="2:8">
      <c r="B30" s="76" t="s">
        <v>441</v>
      </c>
      <c r="C30" s="1"/>
      <c r="D30" s="4">
        <v>57545929</v>
      </c>
      <c r="H30" s="25"/>
    </row>
    <row r="31" spans="2:8">
      <c r="B31" s="76" t="s">
        <v>442</v>
      </c>
      <c r="C31" s="1"/>
      <c r="D31">
        <f>D29/D30</f>
        <v>1676.2355452559095</v>
      </c>
      <c r="H31" s="25"/>
    </row>
    <row r="32" spans="2:8">
      <c r="B32" s="76" t="s">
        <v>443</v>
      </c>
      <c r="C32" s="1"/>
      <c r="D32">
        <v>1939.98</v>
      </c>
      <c r="H32" s="25"/>
    </row>
    <row r="33" spans="2:8" ht="15.75" thickBot="1">
      <c r="B33" s="79" t="s">
        <v>444</v>
      </c>
      <c r="C33" s="80"/>
      <c r="D33" s="22" t="s">
        <v>445</v>
      </c>
      <c r="E33" s="22"/>
      <c r="F33" s="22"/>
      <c r="G33" s="22"/>
      <c r="H33" s="38"/>
    </row>
  </sheetData>
  <mergeCells count="1">
    <mergeCell ref="C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42"/>
  <sheetViews>
    <sheetView topLeftCell="B1" zoomScale="60" zoomScaleNormal="60" workbookViewId="0">
      <selection activeCell="E30" sqref="E30"/>
    </sheetView>
  </sheetViews>
  <sheetFormatPr defaultRowHeight="15"/>
  <cols>
    <col min="2" max="2" width="21.85546875" bestFit="1" customWidth="1"/>
    <col min="3" max="3" width="21.140625" bestFit="1" customWidth="1"/>
    <col min="4" max="4" width="20" bestFit="1" customWidth="1"/>
    <col min="5" max="5" width="20.42578125" bestFit="1" customWidth="1"/>
    <col min="7" max="7" width="13.42578125" customWidth="1"/>
    <col min="8" max="8" width="22.140625" bestFit="1" customWidth="1"/>
    <col min="9" max="9" width="18.7109375" bestFit="1" customWidth="1"/>
    <col min="10" max="10" width="15.140625" bestFit="1" customWidth="1"/>
    <col min="15" max="15" width="22.5703125" bestFit="1" customWidth="1"/>
    <col min="16" max="16" width="15.85546875" bestFit="1" customWidth="1"/>
    <col min="17" max="17" width="9.140625" customWidth="1"/>
    <col min="25" max="25" width="22.5703125" bestFit="1" customWidth="1"/>
    <col min="26" max="26" width="25.85546875" bestFit="1" customWidth="1"/>
    <col min="27" max="27" width="14.42578125" bestFit="1" customWidth="1"/>
    <col min="35" max="35" width="22.5703125" bestFit="1" customWidth="1"/>
    <col min="36" max="36" width="16.140625" bestFit="1" customWidth="1"/>
  </cols>
  <sheetData>
    <row r="1" spans="1:20" ht="18.75">
      <c r="A1" s="81"/>
      <c r="B1" s="81" t="s">
        <v>446</v>
      </c>
      <c r="C1" s="82" t="s">
        <v>447</v>
      </c>
      <c r="D1" s="83"/>
      <c r="E1" s="83"/>
      <c r="F1" s="83"/>
      <c r="G1" s="81" t="s">
        <v>448</v>
      </c>
      <c r="H1" s="81" t="s">
        <v>449</v>
      </c>
      <c r="I1" s="81" t="s">
        <v>450</v>
      </c>
      <c r="J1" s="83"/>
      <c r="K1" s="83"/>
      <c r="O1" s="81"/>
      <c r="P1" s="81"/>
    </row>
    <row r="2" spans="1:20">
      <c r="B2" s="9"/>
      <c r="C2" s="4"/>
      <c r="H2" s="8">
        <v>4.0599999999999997E-2</v>
      </c>
      <c r="I2" s="8">
        <v>4.53E-2</v>
      </c>
      <c r="O2" s="81" t="s">
        <v>394</v>
      </c>
      <c r="P2" s="81"/>
    </row>
    <row r="3" spans="1:20" ht="15.75" thickBot="1">
      <c r="B3" s="9">
        <v>2016</v>
      </c>
      <c r="C3" s="4">
        <f>PNL!C8</f>
        <v>14019842677</v>
      </c>
      <c r="H3" s="8">
        <v>4.5600000000000002E-2</v>
      </c>
      <c r="I3" s="8">
        <v>2.86E-2</v>
      </c>
    </row>
    <row r="4" spans="1:20">
      <c r="B4" s="9">
        <v>2017</v>
      </c>
      <c r="C4" s="4">
        <f>PNL!C9</f>
        <v>7523277833</v>
      </c>
      <c r="H4" s="8">
        <v>5.3699999999999998E-2</v>
      </c>
      <c r="I4" s="8">
        <v>4.1500000000000002E-2</v>
      </c>
      <c r="O4" s="54" t="s">
        <v>395</v>
      </c>
      <c r="P4" s="54"/>
    </row>
    <row r="5" spans="1:20">
      <c r="B5" s="9">
        <v>2018</v>
      </c>
      <c r="C5" s="4">
        <f>PNL!C10</f>
        <v>6496564844</v>
      </c>
      <c r="H5" s="8">
        <v>5.2299999999999999E-2</v>
      </c>
      <c r="I5" s="8">
        <v>3.9300000000000002E-2</v>
      </c>
      <c r="O5" t="s">
        <v>396</v>
      </c>
      <c r="P5">
        <v>0.84988757890984534</v>
      </c>
    </row>
    <row r="6" spans="1:20">
      <c r="B6" s="9">
        <v>2019</v>
      </c>
      <c r="C6" s="4">
        <f>PNL!C11</f>
        <v>0</v>
      </c>
      <c r="H6" s="8">
        <v>2.9100000000000001E-2</v>
      </c>
      <c r="I6" s="8">
        <v>7.6399999999999996E-2</v>
      </c>
      <c r="O6" t="s">
        <v>397</v>
      </c>
      <c r="P6">
        <v>0.72230889678523869</v>
      </c>
    </row>
    <row r="7" spans="1:20">
      <c r="B7" s="47">
        <v>2020</v>
      </c>
      <c r="C7" s="4">
        <f>PNL!C12</f>
        <v>154584148</v>
      </c>
      <c r="H7" s="8">
        <v>2.81E-2</v>
      </c>
      <c r="I7" s="8">
        <v>6.9800000000000001E-2</v>
      </c>
      <c r="O7" t="s">
        <v>398</v>
      </c>
      <c r="P7">
        <v>0.44461779357047737</v>
      </c>
    </row>
    <row r="8" spans="1:20">
      <c r="B8" s="47">
        <v>2021</v>
      </c>
      <c r="C8" s="4">
        <f>PNL!C13</f>
        <v>133091979</v>
      </c>
      <c r="H8" s="8">
        <v>2.7799999999999998E-2</v>
      </c>
      <c r="I8" s="7">
        <v>0.05</v>
      </c>
      <c r="O8" t="s">
        <v>399</v>
      </c>
      <c r="P8">
        <v>5221248.9756936273</v>
      </c>
    </row>
    <row r="9" spans="1:20" ht="15.75" thickBot="1">
      <c r="B9" s="47">
        <v>2022</v>
      </c>
      <c r="C9" s="4">
        <f>PNL!C14</f>
        <v>479304653</v>
      </c>
      <c r="H9" s="8">
        <v>2.7E-2</v>
      </c>
      <c r="I9" s="7">
        <v>0.05</v>
      </c>
      <c r="O9" s="22" t="s">
        <v>400</v>
      </c>
      <c r="P9" s="22">
        <v>5</v>
      </c>
    </row>
    <row r="10" spans="1:20">
      <c r="B10" s="47">
        <v>2023</v>
      </c>
      <c r="C10" s="4">
        <f>PNL!C15</f>
        <v>436009872</v>
      </c>
      <c r="H10" s="8">
        <v>2.6200000000000001E-2</v>
      </c>
      <c r="I10" s="7">
        <v>0.05</v>
      </c>
    </row>
    <row r="11" spans="1:20" ht="15.75" thickBot="1">
      <c r="B11" s="47">
        <v>2024</v>
      </c>
      <c r="C11" s="4">
        <f>PNL!C16</f>
        <v>-244381346</v>
      </c>
      <c r="H11" s="8">
        <v>2.5399999999999999E-2</v>
      </c>
      <c r="I11" s="7">
        <v>0.05</v>
      </c>
      <c r="O11" t="s">
        <v>401</v>
      </c>
    </row>
    <row r="12" spans="1:20">
      <c r="O12" s="55"/>
      <c r="P12" s="55" t="s">
        <v>402</v>
      </c>
      <c r="Q12" s="55" t="s">
        <v>403</v>
      </c>
      <c r="R12" s="55" t="s">
        <v>404</v>
      </c>
      <c r="S12" s="55" t="s">
        <v>405</v>
      </c>
      <c r="T12" s="55" t="s">
        <v>406</v>
      </c>
    </row>
    <row r="13" spans="1:20">
      <c r="O13" t="s">
        <v>407</v>
      </c>
      <c r="P13">
        <v>2</v>
      </c>
      <c r="Q13">
        <v>141820757300956.5</v>
      </c>
      <c r="R13">
        <v>70910378650478.25</v>
      </c>
      <c r="S13">
        <v>2.6011236529483552</v>
      </c>
      <c r="T13">
        <v>0.27769110321476137</v>
      </c>
    </row>
    <row r="14" spans="1:20">
      <c r="O14" t="s">
        <v>408</v>
      </c>
      <c r="P14">
        <v>2</v>
      </c>
      <c r="Q14">
        <v>54522881732363.5</v>
      </c>
      <c r="R14">
        <v>27261440866181.75</v>
      </c>
    </row>
    <row r="15" spans="1:20" ht="15.75" thickBot="1">
      <c r="O15" s="22" t="s">
        <v>5</v>
      </c>
      <c r="P15" s="22">
        <v>4</v>
      </c>
      <c r="Q15" s="22">
        <v>196343639033320</v>
      </c>
      <c r="R15" s="22"/>
      <c r="S15" s="22"/>
      <c r="T15" s="22"/>
    </row>
    <row r="16" spans="1:20" ht="15.75" thickBot="1"/>
    <row r="17" spans="1:36">
      <c r="O17" s="55"/>
      <c r="P17" s="55" t="s">
        <v>409</v>
      </c>
      <c r="Q17" s="55" t="s">
        <v>399</v>
      </c>
      <c r="R17" s="55" t="s">
        <v>410</v>
      </c>
      <c r="S17" s="55" t="s">
        <v>411</v>
      </c>
      <c r="T17" s="55" t="s">
        <v>412</v>
      </c>
      <c r="U17" s="55" t="s">
        <v>413</v>
      </c>
      <c r="V17" s="55" t="s">
        <v>414</v>
      </c>
      <c r="W17" s="55" t="s">
        <v>415</v>
      </c>
    </row>
    <row r="18" spans="1:36">
      <c r="O18" t="s">
        <v>416</v>
      </c>
      <c r="P18">
        <v>-1181399.6936433055</v>
      </c>
      <c r="Q18">
        <v>29492719.009581286</v>
      </c>
      <c r="R18">
        <v>-4.0057333922298065E-2</v>
      </c>
      <c r="S18">
        <v>0.97168654314255054</v>
      </c>
      <c r="T18">
        <v>-128078327.64795212</v>
      </c>
      <c r="U18">
        <v>125715528.26066552</v>
      </c>
      <c r="V18">
        <v>-128078327.64795212</v>
      </c>
      <c r="W18">
        <v>125715528.26066552</v>
      </c>
    </row>
    <row r="19" spans="1:36">
      <c r="O19" t="s">
        <v>449</v>
      </c>
      <c r="P19">
        <v>392314447.54286647</v>
      </c>
      <c r="Q19">
        <v>440827460.35848659</v>
      </c>
      <c r="R19">
        <v>0.88995011160110415</v>
      </c>
      <c r="S19">
        <v>0.46739273794212788</v>
      </c>
      <c r="T19">
        <v>-1504413028.1170993</v>
      </c>
      <c r="U19">
        <v>2289041923.2028322</v>
      </c>
      <c r="V19">
        <v>-1504413028.1170993</v>
      </c>
      <c r="W19">
        <v>2289041923.2028322</v>
      </c>
    </row>
    <row r="20" spans="1:36" ht="15.75" thickBot="1">
      <c r="O20" s="22" t="s">
        <v>450</v>
      </c>
      <c r="P20" s="22">
        <v>480472722.74764252</v>
      </c>
      <c r="Q20" s="22">
        <v>244876975.10987306</v>
      </c>
      <c r="R20" s="22">
        <v>1.962098406892117</v>
      </c>
      <c r="S20" s="22">
        <v>0.18876037319416006</v>
      </c>
      <c r="T20" s="22">
        <v>-573147862.66164422</v>
      </c>
      <c r="U20" s="22">
        <v>1534093308.1569293</v>
      </c>
      <c r="V20" s="22">
        <v>-573147862.66164422</v>
      </c>
      <c r="W20" s="22">
        <v>1534093308.1569293</v>
      </c>
    </row>
    <row r="23" spans="1:36" ht="18.75">
      <c r="A23" s="83"/>
      <c r="B23" s="81" t="s">
        <v>446</v>
      </c>
      <c r="C23" s="82" t="s">
        <v>451</v>
      </c>
      <c r="D23" s="83"/>
      <c r="E23" s="83"/>
      <c r="F23" s="83"/>
      <c r="G23" s="83"/>
      <c r="H23" s="83"/>
      <c r="I23" s="83"/>
      <c r="J23" s="83"/>
      <c r="K23" s="83"/>
      <c r="L23" s="83"/>
      <c r="O23" s="81" t="s">
        <v>394</v>
      </c>
      <c r="P23" s="81" t="s">
        <v>452</v>
      </c>
      <c r="Y23" s="81" t="s">
        <v>394</v>
      </c>
      <c r="Z23" s="81" t="s">
        <v>453</v>
      </c>
      <c r="AI23" s="81" t="s">
        <v>394</v>
      </c>
      <c r="AJ23" s="81" t="s">
        <v>454</v>
      </c>
    </row>
    <row r="24" spans="1:36" ht="15.75" thickBot="1">
      <c r="A24" s="83"/>
      <c r="B24" s="83"/>
      <c r="C24" s="84" t="s">
        <v>455</v>
      </c>
      <c r="D24" s="84" t="s">
        <v>456</v>
      </c>
      <c r="E24" s="84" t="s">
        <v>457</v>
      </c>
      <c r="F24" s="83"/>
      <c r="G24" s="81" t="s">
        <v>448</v>
      </c>
      <c r="H24" s="81" t="s">
        <v>449</v>
      </c>
      <c r="I24" s="81" t="s">
        <v>450</v>
      </c>
      <c r="J24" s="81" t="s">
        <v>458</v>
      </c>
      <c r="K24" s="83"/>
      <c r="L24" s="83"/>
    </row>
    <row r="25" spans="1:36">
      <c r="B25" s="9"/>
      <c r="C25" s="5"/>
      <c r="D25" s="4"/>
      <c r="E25" s="5"/>
      <c r="H25" s="8"/>
      <c r="I25" s="8"/>
      <c r="J25" s="4"/>
      <c r="O25" s="54" t="s">
        <v>395</v>
      </c>
      <c r="P25" s="54"/>
      <c r="Y25" s="54" t="s">
        <v>395</v>
      </c>
      <c r="Z25" s="54"/>
      <c r="AI25" s="54" t="s">
        <v>395</v>
      </c>
      <c r="AJ25" s="54"/>
    </row>
    <row r="26" spans="1:36">
      <c r="B26" s="9">
        <v>2016</v>
      </c>
      <c r="C26" s="5">
        <f>PNL!C9</f>
        <v>7523277833</v>
      </c>
      <c r="D26" s="4">
        <f>PNL!C13</f>
        <v>133091979</v>
      </c>
      <c r="E26" s="5">
        <f>PNL!C14</f>
        <v>479304653</v>
      </c>
      <c r="H26" s="8">
        <v>4.5600000000000002E-2</v>
      </c>
      <c r="I26" s="8">
        <v>2.86E-2</v>
      </c>
      <c r="J26" s="4">
        <f>PNL!C9</f>
        <v>7523277833</v>
      </c>
      <c r="O26" t="s">
        <v>396</v>
      </c>
      <c r="P26">
        <v>0.99806851508317018</v>
      </c>
      <c r="Y26" t="s">
        <v>396</v>
      </c>
      <c r="Z26">
        <v>0.99773263551644498</v>
      </c>
      <c r="AI26" t="s">
        <v>396</v>
      </c>
      <c r="AJ26">
        <v>0.78047210004980094</v>
      </c>
    </row>
    <row r="27" spans="1:36">
      <c r="B27" s="9">
        <v>2017</v>
      </c>
      <c r="C27" s="5">
        <f>PNL!C10</f>
        <v>6496564844</v>
      </c>
      <c r="D27" s="4">
        <f>PNL!C14</f>
        <v>479304653</v>
      </c>
      <c r="E27" s="5">
        <f>PNL!C15</f>
        <v>436009872</v>
      </c>
      <c r="H27" s="8">
        <v>5.3699999999999998E-2</v>
      </c>
      <c r="I27" s="8">
        <v>4.1500000000000002E-2</v>
      </c>
      <c r="J27" s="4">
        <f>PNL!C10</f>
        <v>6496564844</v>
      </c>
      <c r="O27" t="s">
        <v>397</v>
      </c>
      <c r="P27">
        <v>0.99614076080032432</v>
      </c>
      <c r="Y27" t="s">
        <v>397</v>
      </c>
      <c r="Z27">
        <v>0.9954704119745913</v>
      </c>
      <c r="AI27" t="s">
        <v>397</v>
      </c>
      <c r="AJ27">
        <v>0.60913669895614642</v>
      </c>
    </row>
    <row r="28" spans="1:36">
      <c r="B28" s="9">
        <v>2018</v>
      </c>
      <c r="C28" s="5">
        <f>PNL!C11</f>
        <v>0</v>
      </c>
      <c r="D28" s="4">
        <f>PNL!C15</f>
        <v>436009872</v>
      </c>
      <c r="E28" s="5">
        <f>PNL!C16</f>
        <v>-244381346</v>
      </c>
      <c r="H28" s="8">
        <v>5.2299999999999999E-2</v>
      </c>
      <c r="I28" s="8">
        <v>3.9300000000000002E-2</v>
      </c>
      <c r="J28" s="4">
        <f>PNL!C11</f>
        <v>0</v>
      </c>
      <c r="O28" t="s">
        <v>398</v>
      </c>
      <c r="P28">
        <v>0.98456304320129728</v>
      </c>
      <c r="Y28" t="s">
        <v>398</v>
      </c>
      <c r="Z28">
        <v>0.98188164789836518</v>
      </c>
      <c r="AI28" t="s">
        <v>398</v>
      </c>
      <c r="AJ28">
        <v>0.21827339791229283</v>
      </c>
    </row>
    <row r="29" spans="1:36">
      <c r="B29" s="9">
        <v>2019</v>
      </c>
      <c r="C29" s="5">
        <f>PNL!C12</f>
        <v>154584148</v>
      </c>
      <c r="D29" s="4">
        <f>PNL!C16</f>
        <v>-244381346</v>
      </c>
      <c r="E29" s="5">
        <f>PNL!C17</f>
        <v>6252183498</v>
      </c>
      <c r="H29" s="8">
        <v>2.9100000000000001E-2</v>
      </c>
      <c r="I29" s="8">
        <v>7.6399999999999996E-2</v>
      </c>
      <c r="J29" s="4">
        <f>PNL!C12</f>
        <v>154584148</v>
      </c>
      <c r="O29" t="s">
        <v>399</v>
      </c>
      <c r="P29">
        <v>22635.158423524605</v>
      </c>
      <c r="Y29" t="s">
        <v>399</v>
      </c>
      <c r="Z29">
        <v>13790.522177510242</v>
      </c>
      <c r="AI29" t="s">
        <v>399</v>
      </c>
      <c r="AJ29">
        <v>47600.534653575778</v>
      </c>
    </row>
    <row r="30" spans="1:36" ht="15.75" thickBot="1">
      <c r="B30" s="47">
        <v>2020</v>
      </c>
      <c r="C30" s="5">
        <f>PNL!C13</f>
        <v>133091979</v>
      </c>
      <c r="D30" s="4">
        <f>PNL!C17</f>
        <v>6252183498</v>
      </c>
      <c r="E30" s="5">
        <f>PNL!C18</f>
        <v>78116546</v>
      </c>
      <c r="H30" s="8">
        <v>2.81E-2</v>
      </c>
      <c r="I30" s="8">
        <v>6.9800000000000001E-2</v>
      </c>
      <c r="J30" s="4">
        <f>PNL!C13</f>
        <v>133091979</v>
      </c>
      <c r="O30" s="22" t="s">
        <v>400</v>
      </c>
      <c r="P30" s="22">
        <v>5</v>
      </c>
      <c r="Y30" s="22" t="s">
        <v>400</v>
      </c>
      <c r="Z30" s="22">
        <v>5</v>
      </c>
      <c r="AI30" s="22" t="s">
        <v>400</v>
      </c>
      <c r="AJ30" s="22">
        <v>5</v>
      </c>
    </row>
    <row r="31" spans="1:36">
      <c r="B31" s="47">
        <v>2021</v>
      </c>
      <c r="C31" s="5">
        <f>PNL!C14</f>
        <v>479304653</v>
      </c>
      <c r="D31" s="4">
        <f>PNL!C18</f>
        <v>78116546</v>
      </c>
      <c r="E31" s="5">
        <f>PNL!C19</f>
        <v>6174066952</v>
      </c>
      <c r="H31" s="8">
        <v>2.7799999999999998E-2</v>
      </c>
      <c r="I31" s="7">
        <v>0.05</v>
      </c>
      <c r="J31" s="4">
        <f>PNL!C14</f>
        <v>479304653</v>
      </c>
    </row>
    <row r="32" spans="1:36" ht="15.75" thickBot="1">
      <c r="B32" s="47">
        <v>2022</v>
      </c>
      <c r="C32" s="5">
        <f>PNL!C15</f>
        <v>436009872</v>
      </c>
      <c r="D32" s="4">
        <f>PNL!C19</f>
        <v>6174066952</v>
      </c>
      <c r="E32" s="5">
        <f>PNL!C20</f>
        <v>1765991492</v>
      </c>
      <c r="H32" s="8">
        <v>2.7E-2</v>
      </c>
      <c r="I32" s="7">
        <v>0.05</v>
      </c>
      <c r="J32" s="4">
        <f>PNL!C15</f>
        <v>436009872</v>
      </c>
      <c r="O32" t="s">
        <v>401</v>
      </c>
      <c r="Y32" t="s">
        <v>401</v>
      </c>
      <c r="AI32" t="s">
        <v>401</v>
      </c>
    </row>
    <row r="33" spans="1:43">
      <c r="B33" s="47">
        <v>2023</v>
      </c>
      <c r="C33" s="5">
        <f>PNL!C16</f>
        <v>-244381346</v>
      </c>
      <c r="D33" s="4">
        <f>PNL!C20</f>
        <v>1765991492</v>
      </c>
      <c r="E33" s="5">
        <f>PNL!C21</f>
        <v>4408075460</v>
      </c>
      <c r="H33" s="8">
        <v>2.6200000000000001E-2</v>
      </c>
      <c r="I33" s="7">
        <v>0.05</v>
      </c>
      <c r="J33" s="4">
        <f>PNL!C16</f>
        <v>-244381346</v>
      </c>
      <c r="O33" s="55"/>
      <c r="P33" s="55" t="s">
        <v>402</v>
      </c>
      <c r="Q33" s="55" t="s">
        <v>403</v>
      </c>
      <c r="R33" s="55" t="s">
        <v>404</v>
      </c>
      <c r="S33" s="55" t="s">
        <v>405</v>
      </c>
      <c r="T33" s="55" t="s">
        <v>406</v>
      </c>
      <c r="Y33" s="55"/>
      <c r="Z33" s="55" t="s">
        <v>402</v>
      </c>
      <c r="AA33" s="55" t="s">
        <v>403</v>
      </c>
      <c r="AB33" s="55" t="s">
        <v>404</v>
      </c>
      <c r="AC33" s="55" t="s">
        <v>405</v>
      </c>
      <c r="AD33" s="55" t="s">
        <v>406</v>
      </c>
      <c r="AI33" s="55"/>
      <c r="AJ33" s="55" t="s">
        <v>402</v>
      </c>
      <c r="AK33" s="55" t="s">
        <v>403</v>
      </c>
      <c r="AL33" s="55" t="s">
        <v>404</v>
      </c>
      <c r="AM33" s="55" t="s">
        <v>405</v>
      </c>
      <c r="AN33" s="55" t="s">
        <v>406</v>
      </c>
    </row>
    <row r="34" spans="1:43">
      <c r="B34" s="47">
        <v>2024</v>
      </c>
      <c r="C34" s="5">
        <f>PNL!C17</f>
        <v>6252183498</v>
      </c>
      <c r="D34" s="4">
        <f>PNL!C21</f>
        <v>4408075460</v>
      </c>
      <c r="E34" s="5">
        <f>PNL!C22</f>
        <v>0</v>
      </c>
      <c r="H34" s="8">
        <v>2.5399999999999999E-2</v>
      </c>
      <c r="I34" s="7">
        <v>0.05</v>
      </c>
      <c r="J34" s="4">
        <f>PNL!C17</f>
        <v>6252183498</v>
      </c>
      <c r="O34" t="s">
        <v>407</v>
      </c>
      <c r="P34">
        <v>3</v>
      </c>
      <c r="Q34">
        <v>132247079726.34193</v>
      </c>
      <c r="R34">
        <v>44082359908.780647</v>
      </c>
      <c r="S34">
        <v>86.039476458126686</v>
      </c>
      <c r="T34">
        <v>7.9046268713812151E-2</v>
      </c>
      <c r="Y34" t="s">
        <v>407</v>
      </c>
      <c r="Z34">
        <v>3</v>
      </c>
      <c r="AA34">
        <v>41795649096.871605</v>
      </c>
      <c r="AB34">
        <v>13931883032.290535</v>
      </c>
      <c r="AC34">
        <v>73.256876518753913</v>
      </c>
      <c r="AD34">
        <v>8.56271049845371E-2</v>
      </c>
      <c r="AI34" t="s">
        <v>407</v>
      </c>
      <c r="AJ34">
        <v>2</v>
      </c>
      <c r="AK34">
        <v>7062257152.1874619</v>
      </c>
      <c r="AL34">
        <v>3531128576.0937309</v>
      </c>
      <c r="AM34">
        <v>1.5584392224324055</v>
      </c>
      <c r="AN34">
        <v>0.39086330104385353</v>
      </c>
    </row>
    <row r="35" spans="1:43">
      <c r="O35" t="s">
        <v>408</v>
      </c>
      <c r="P35">
        <v>1</v>
      </c>
      <c r="Q35">
        <v>512350396.85805684</v>
      </c>
      <c r="R35">
        <v>512350396.85805684</v>
      </c>
      <c r="Y35" t="s">
        <v>408</v>
      </c>
      <c r="Z35">
        <v>1</v>
      </c>
      <c r="AA35">
        <v>190178501.92840183</v>
      </c>
      <c r="AB35">
        <v>190178501.92840183</v>
      </c>
      <c r="AI35" t="s">
        <v>408</v>
      </c>
      <c r="AJ35">
        <v>2</v>
      </c>
      <c r="AK35">
        <v>4531621798.6125374</v>
      </c>
      <c r="AL35">
        <v>2265810899.3062687</v>
      </c>
    </row>
    <row r="36" spans="1:43" ht="15.75" thickBot="1">
      <c r="O36" s="22" t="s">
        <v>5</v>
      </c>
      <c r="P36" s="22">
        <v>4</v>
      </c>
      <c r="Q36" s="22">
        <v>132759430123.2</v>
      </c>
      <c r="R36" s="22"/>
      <c r="S36" s="22"/>
      <c r="T36" s="22"/>
      <c r="Y36" s="22" t="s">
        <v>5</v>
      </c>
      <c r="Z36" s="22">
        <v>4</v>
      </c>
      <c r="AA36" s="22">
        <v>41985827598.800003</v>
      </c>
      <c r="AB36" s="22"/>
      <c r="AC36" s="22"/>
      <c r="AD36" s="22"/>
      <c r="AI36" s="22" t="s">
        <v>5</v>
      </c>
      <c r="AJ36" s="22">
        <v>4</v>
      </c>
      <c r="AK36" s="22">
        <v>11593878950.799999</v>
      </c>
      <c r="AL36" s="22"/>
      <c r="AM36" s="22"/>
      <c r="AN36" s="22"/>
    </row>
    <row r="37" spans="1:43" ht="15.75" thickBot="1"/>
    <row r="38" spans="1:43">
      <c r="O38" s="55"/>
      <c r="P38" s="55" t="s">
        <v>409</v>
      </c>
      <c r="Q38" s="55" t="s">
        <v>399</v>
      </c>
      <c r="R38" s="55" t="s">
        <v>410</v>
      </c>
      <c r="S38" s="55" t="s">
        <v>411</v>
      </c>
      <c r="T38" s="55" t="s">
        <v>412</v>
      </c>
      <c r="U38" s="55" t="s">
        <v>413</v>
      </c>
      <c r="V38" s="55" t="s">
        <v>414</v>
      </c>
      <c r="W38" s="55" t="s">
        <v>415</v>
      </c>
      <c r="Y38" s="55"/>
      <c r="Z38" s="55" t="s">
        <v>409</v>
      </c>
      <c r="AA38" s="55" t="s">
        <v>399</v>
      </c>
      <c r="AB38" s="55" t="s">
        <v>410</v>
      </c>
      <c r="AC38" s="55" t="s">
        <v>411</v>
      </c>
      <c r="AD38" s="55" t="s">
        <v>412</v>
      </c>
      <c r="AE38" s="55" t="s">
        <v>413</v>
      </c>
      <c r="AF38" s="55" t="s">
        <v>414</v>
      </c>
      <c r="AG38" s="55" t="s">
        <v>415</v>
      </c>
      <c r="AI38" s="55"/>
      <c r="AJ38" s="55" t="s">
        <v>409</v>
      </c>
      <c r="AK38" s="55" t="s">
        <v>399</v>
      </c>
      <c r="AL38" s="55" t="s">
        <v>410</v>
      </c>
      <c r="AM38" s="55" t="s">
        <v>411</v>
      </c>
      <c r="AN38" s="55" t="s">
        <v>412</v>
      </c>
      <c r="AO38" s="55" t="s">
        <v>413</v>
      </c>
      <c r="AP38" s="55" t="s">
        <v>414</v>
      </c>
      <c r="AQ38" s="55" t="s">
        <v>415</v>
      </c>
    </row>
    <row r="39" spans="1:43">
      <c r="O39" t="s">
        <v>416</v>
      </c>
      <c r="P39">
        <v>-214620.88490861561</v>
      </c>
      <c r="Q39">
        <v>127897.34140329482</v>
      </c>
      <c r="R39">
        <v>-1.6780715107428079</v>
      </c>
      <c r="S39">
        <v>0.34212945667596556</v>
      </c>
      <c r="T39">
        <v>-1839710.6899913137</v>
      </c>
      <c r="U39">
        <v>1410468.9201740825</v>
      </c>
      <c r="V39">
        <v>-1839710.6899913137</v>
      </c>
      <c r="W39">
        <v>1410468.9201740825</v>
      </c>
      <c r="Y39" t="s">
        <v>416</v>
      </c>
      <c r="Z39">
        <v>-27942.923886931501</v>
      </c>
      <c r="AA39">
        <v>77921.74854997512</v>
      </c>
      <c r="AB39">
        <v>-0.35860237234037817</v>
      </c>
      <c r="AC39">
        <v>0.78080051030370723</v>
      </c>
      <c r="AD39">
        <v>-1018032.61436364</v>
      </c>
      <c r="AE39">
        <v>962146.76658977696</v>
      </c>
      <c r="AF39">
        <v>-1018032.61436364</v>
      </c>
      <c r="AG39">
        <v>962146.76658977696</v>
      </c>
      <c r="AI39" t="s">
        <v>416</v>
      </c>
      <c r="AJ39">
        <v>-138679.27540039938</v>
      </c>
      <c r="AK39">
        <v>268876.12519133842</v>
      </c>
      <c r="AL39">
        <v>-0.51577385423012934</v>
      </c>
      <c r="AM39">
        <v>0.65736857071980759</v>
      </c>
      <c r="AN39">
        <v>-1295559.8694193703</v>
      </c>
      <c r="AO39">
        <v>1018201.3186185715</v>
      </c>
      <c r="AP39">
        <v>-1295559.8694193703</v>
      </c>
      <c r="AQ39">
        <v>1018201.3186185715</v>
      </c>
    </row>
    <row r="40" spans="1:43">
      <c r="O40" t="s">
        <v>449</v>
      </c>
      <c r="P40">
        <v>-2076405.291442614</v>
      </c>
      <c r="Q40">
        <v>2304636.9252414238</v>
      </c>
      <c r="R40">
        <v>-0.90096850775099802</v>
      </c>
      <c r="S40">
        <v>0.53313493365195896</v>
      </c>
      <c r="T40">
        <v>-31359593.906108305</v>
      </c>
      <c r="U40">
        <v>27206783.323223077</v>
      </c>
      <c r="V40">
        <v>-31359593.906108305</v>
      </c>
      <c r="W40">
        <v>27206783.323223077</v>
      </c>
      <c r="Y40" t="s">
        <v>449</v>
      </c>
      <c r="Z40">
        <v>-1537710.7714467391</v>
      </c>
      <c r="AA40">
        <v>1404105.3318018683</v>
      </c>
      <c r="AB40">
        <v>-1.0951534308850013</v>
      </c>
      <c r="AC40">
        <v>0.47110714782498359</v>
      </c>
      <c r="AD40">
        <v>-19378560.588475794</v>
      </c>
      <c r="AE40">
        <v>16303139.045582317</v>
      </c>
      <c r="AF40">
        <v>-19378560.588475794</v>
      </c>
      <c r="AG40">
        <v>16303139.045582317</v>
      </c>
      <c r="AI40" t="s">
        <v>449</v>
      </c>
      <c r="AJ40">
        <v>3935595.3290681322</v>
      </c>
      <c r="AK40">
        <v>4018889.5225503654</v>
      </c>
      <c r="AL40">
        <v>0.97927432615033039</v>
      </c>
      <c r="AM40">
        <v>0.43071009138731964</v>
      </c>
      <c r="AN40">
        <v>-13356290.645694718</v>
      </c>
      <c r="AO40">
        <v>21227481.303830981</v>
      </c>
      <c r="AP40">
        <v>-13356290.645694718</v>
      </c>
      <c r="AQ40">
        <v>21227481.303830981</v>
      </c>
    </row>
    <row r="41" spans="1:43" ht="15.75" thickBot="1">
      <c r="O41" t="s">
        <v>450</v>
      </c>
      <c r="P41">
        <v>-5054114.2474499652</v>
      </c>
      <c r="Q41">
        <v>1884773.1584814279</v>
      </c>
      <c r="R41">
        <v>-2.6815504161371297</v>
      </c>
      <c r="S41">
        <v>0.22723800582865677</v>
      </c>
      <c r="T41">
        <v>-29002427.880361646</v>
      </c>
      <c r="U41">
        <v>18894199.385461718</v>
      </c>
      <c r="V41">
        <v>-29002427.880361646</v>
      </c>
      <c r="W41">
        <v>18894199.385461718</v>
      </c>
      <c r="Y41" t="s">
        <v>450</v>
      </c>
      <c r="Z41">
        <v>-1086884.2673772208</v>
      </c>
      <c r="AA41">
        <v>1148302.3690525973</v>
      </c>
      <c r="AB41">
        <v>-0.94651399898612998</v>
      </c>
      <c r="AC41">
        <v>0.51748853592440525</v>
      </c>
      <c r="AD41">
        <v>-15677449.267593969</v>
      </c>
      <c r="AE41">
        <v>13503680.732839528</v>
      </c>
      <c r="AF41">
        <v>-15677449.267593969</v>
      </c>
      <c r="AG41">
        <v>13503680.732839528</v>
      </c>
      <c r="AI41" s="22" t="s">
        <v>450</v>
      </c>
      <c r="AJ41" s="22">
        <v>3705249.3755050595</v>
      </c>
      <c r="AK41" s="22">
        <v>2232468.7050633943</v>
      </c>
      <c r="AL41" s="22">
        <v>1.6597094360612072</v>
      </c>
      <c r="AM41" s="22">
        <v>0.23884438970145749</v>
      </c>
      <c r="AN41" s="22">
        <v>-5900288.1924162041</v>
      </c>
      <c r="AO41" s="22">
        <v>13310786.943426324</v>
      </c>
      <c r="AP41" s="22">
        <v>-5900288.1924162041</v>
      </c>
      <c r="AQ41" s="22">
        <v>13310786.943426324</v>
      </c>
    </row>
    <row r="42" spans="1:43" ht="15.75" thickBot="1">
      <c r="O42" s="22" t="s">
        <v>458</v>
      </c>
      <c r="P42" s="22">
        <v>4.8153869444480503E-2</v>
      </c>
      <c r="Q42" s="22">
        <v>4.4757156605969607E-3</v>
      </c>
      <c r="R42" s="22">
        <v>10.758920605349145</v>
      </c>
      <c r="S42" s="22">
        <v>5.900182656096483E-2</v>
      </c>
      <c r="T42" s="22">
        <v>-8.7154900799679066E-3</v>
      </c>
      <c r="U42" s="22">
        <v>0.10502322896892891</v>
      </c>
      <c r="V42" s="22">
        <v>-8.7154900799679066E-3</v>
      </c>
      <c r="W42" s="22">
        <v>0.10502322896892891</v>
      </c>
      <c r="Y42" s="22" t="s">
        <v>458</v>
      </c>
      <c r="Z42" s="22">
        <v>2.2221854734247686E-2</v>
      </c>
      <c r="AA42" s="22">
        <v>2.7268400301340263E-3</v>
      </c>
      <c r="AB42" s="22">
        <v>8.1493063357865783</v>
      </c>
      <c r="AC42" s="22">
        <v>7.773090915520503E-2</v>
      </c>
      <c r="AD42" s="22">
        <v>-1.2425932971432057E-2</v>
      </c>
      <c r="AE42" s="22">
        <v>5.6869642439927426E-2</v>
      </c>
      <c r="AF42" s="22">
        <v>-1.2425932971432057E-2</v>
      </c>
      <c r="AG42" s="22">
        <v>5.6869642439927426E-2</v>
      </c>
    </row>
    <row r="43" spans="1:43">
      <c r="A43" s="242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</row>
    <row r="44" spans="1:43" ht="18.75">
      <c r="A44" s="242"/>
      <c r="B44" s="368"/>
      <c r="C44" s="369"/>
      <c r="D44" s="242"/>
      <c r="E44" s="242"/>
      <c r="F44" s="242"/>
      <c r="G44" s="368"/>
      <c r="H44" s="368"/>
      <c r="I44" s="368"/>
      <c r="J44" s="368"/>
      <c r="K44" s="242"/>
      <c r="L44" s="242"/>
      <c r="M44" s="242"/>
      <c r="O44" s="81" t="s">
        <v>394</v>
      </c>
      <c r="P44" s="81" t="s">
        <v>460</v>
      </c>
    </row>
    <row r="45" spans="1:43" ht="15.75" thickBot="1">
      <c r="A45" s="242"/>
      <c r="B45" s="242"/>
      <c r="C45" s="370"/>
      <c r="D45" s="242"/>
      <c r="E45" s="242"/>
      <c r="F45" s="242"/>
      <c r="G45" s="242"/>
      <c r="H45" s="242"/>
      <c r="I45" s="242"/>
      <c r="J45" s="370"/>
      <c r="K45" s="242"/>
      <c r="L45" s="242"/>
      <c r="M45" s="242"/>
    </row>
    <row r="46" spans="1:43">
      <c r="A46" s="242"/>
      <c r="B46" s="242"/>
      <c r="C46" s="370"/>
      <c r="D46" s="242"/>
      <c r="E46" s="242"/>
      <c r="F46" s="242"/>
      <c r="G46" s="242"/>
      <c r="H46" s="242"/>
      <c r="I46" s="371"/>
      <c r="J46" s="370"/>
      <c r="K46" s="242"/>
      <c r="L46" s="242"/>
      <c r="M46" s="242"/>
      <c r="O46" s="54" t="s">
        <v>395</v>
      </c>
      <c r="P46" s="54"/>
    </row>
    <row r="47" spans="1:43">
      <c r="A47" s="242"/>
      <c r="B47" s="242"/>
      <c r="C47" s="370"/>
      <c r="D47" s="242"/>
      <c r="E47" s="242"/>
      <c r="F47" s="242"/>
      <c r="G47" s="242"/>
      <c r="H47" s="242"/>
      <c r="I47" s="371"/>
      <c r="J47" s="370"/>
      <c r="K47" s="242"/>
      <c r="L47" s="242"/>
      <c r="M47" s="242"/>
      <c r="O47" t="s">
        <v>396</v>
      </c>
      <c r="P47">
        <v>0.97415489613686279</v>
      </c>
    </row>
    <row r="48" spans="1:43">
      <c r="A48" s="242"/>
      <c r="B48" s="242"/>
      <c r="C48" s="370"/>
      <c r="D48" s="242"/>
      <c r="E48" s="242"/>
      <c r="F48" s="242"/>
      <c r="G48" s="242"/>
      <c r="H48" s="242"/>
      <c r="I48" s="371"/>
      <c r="J48" s="370"/>
      <c r="K48" s="242"/>
      <c r="L48" s="242"/>
      <c r="M48" s="242"/>
      <c r="O48" t="s">
        <v>397</v>
      </c>
      <c r="P48">
        <v>0.94897776166742198</v>
      </c>
    </row>
    <row r="49" spans="1:23">
      <c r="A49" s="242"/>
      <c r="B49" s="242"/>
      <c r="C49" s="370"/>
      <c r="D49" s="242"/>
      <c r="E49" s="242"/>
      <c r="F49" s="242"/>
      <c r="G49" s="242"/>
      <c r="H49" s="242"/>
      <c r="I49" s="371"/>
      <c r="J49" s="370"/>
      <c r="K49" s="242"/>
      <c r="L49" s="242"/>
      <c r="M49" s="242"/>
      <c r="O49" t="s">
        <v>398</v>
      </c>
      <c r="P49">
        <v>0.89795552333484396</v>
      </c>
    </row>
    <row r="50" spans="1:23">
      <c r="A50" s="242"/>
      <c r="B50" s="242"/>
      <c r="C50" s="372"/>
      <c r="D50" s="242"/>
      <c r="E50" s="242"/>
      <c r="F50" s="242"/>
      <c r="G50" s="242"/>
      <c r="H50" s="242"/>
      <c r="I50" s="371"/>
      <c r="J50" s="370"/>
      <c r="K50" s="242"/>
      <c r="L50" s="242"/>
      <c r="M50" s="242"/>
      <c r="O50" t="s">
        <v>399</v>
      </c>
      <c r="P50">
        <v>12818.884291279264</v>
      </c>
    </row>
    <row r="51" spans="1:23" ht="15.75" thickBot="1">
      <c r="A51" s="242"/>
      <c r="B51" s="242"/>
      <c r="C51" s="372"/>
      <c r="D51" s="242"/>
      <c r="E51" s="242"/>
      <c r="F51" s="242"/>
      <c r="G51" s="242"/>
      <c r="H51" s="242"/>
      <c r="I51" s="371"/>
      <c r="J51" s="370"/>
      <c r="K51" s="242"/>
      <c r="L51" s="242"/>
      <c r="M51" s="242"/>
      <c r="O51" s="22" t="s">
        <v>400</v>
      </c>
      <c r="P51" s="22">
        <v>5</v>
      </c>
    </row>
    <row r="52" spans="1:23">
      <c r="A52" s="242"/>
      <c r="B52" s="242"/>
      <c r="C52" s="372"/>
      <c r="D52" s="242"/>
      <c r="E52" s="242"/>
      <c r="F52" s="242"/>
      <c r="G52" s="242"/>
      <c r="H52" s="242"/>
      <c r="I52" s="371"/>
      <c r="J52" s="370"/>
      <c r="K52" s="242"/>
      <c r="L52" s="242"/>
      <c r="M52" s="242"/>
    </row>
    <row r="53" spans="1:23" ht="15.75" thickBot="1">
      <c r="A53" s="242"/>
      <c r="B53" s="242"/>
      <c r="C53" s="372"/>
      <c r="D53" s="242"/>
      <c r="E53" s="242"/>
      <c r="F53" s="242"/>
      <c r="G53" s="242"/>
      <c r="H53" s="242"/>
      <c r="I53" s="371"/>
      <c r="J53" s="370"/>
      <c r="K53" s="242"/>
      <c r="L53" s="242"/>
      <c r="M53" s="242"/>
      <c r="O53" t="s">
        <v>401</v>
      </c>
    </row>
    <row r="54" spans="1:23">
      <c r="A54" s="242"/>
      <c r="B54" s="242"/>
      <c r="C54" s="372"/>
      <c r="D54" s="242"/>
      <c r="E54" s="242"/>
      <c r="F54" s="242"/>
      <c r="G54" s="242"/>
      <c r="H54" s="242"/>
      <c r="I54" s="371"/>
      <c r="J54" s="370"/>
      <c r="K54" s="242"/>
      <c r="L54" s="242"/>
      <c r="M54" s="242"/>
      <c r="O54" s="55"/>
      <c r="P54" s="55" t="s">
        <v>402</v>
      </c>
      <c r="Q54" s="55" t="s">
        <v>403</v>
      </c>
      <c r="R54" s="55" t="s">
        <v>404</v>
      </c>
      <c r="S54" s="55" t="s">
        <v>405</v>
      </c>
      <c r="T54" s="55" t="s">
        <v>406</v>
      </c>
    </row>
    <row r="55" spans="1:23">
      <c r="I55" s="4"/>
      <c r="O55" t="s">
        <v>407</v>
      </c>
      <c r="P55">
        <v>2</v>
      </c>
      <c r="Q55">
        <v>6112614097.8535862</v>
      </c>
      <c r="R55">
        <v>3056307048.9267931</v>
      </c>
      <c r="S55">
        <v>18.599296947376281</v>
      </c>
      <c r="T55">
        <v>5.1022238332577942E-2</v>
      </c>
    </row>
    <row r="56" spans="1:23">
      <c r="I56" s="4"/>
      <c r="O56" t="s">
        <v>408</v>
      </c>
      <c r="P56">
        <v>2</v>
      </c>
      <c r="Q56">
        <v>328647588.94641256</v>
      </c>
      <c r="R56">
        <v>164323794.47320628</v>
      </c>
    </row>
    <row r="57" spans="1:23" ht="15.75" thickBot="1">
      <c r="O57" s="22" t="s">
        <v>5</v>
      </c>
      <c r="P57" s="22">
        <v>4</v>
      </c>
      <c r="Q57" s="22">
        <v>6441261686.7999992</v>
      </c>
      <c r="R57" s="22"/>
      <c r="S57" s="22"/>
      <c r="T57" s="22"/>
    </row>
    <row r="58" spans="1:23" ht="15.75" thickBot="1"/>
    <row r="59" spans="1:23">
      <c r="B59" s="85"/>
      <c r="C59" s="85"/>
      <c r="O59" s="55"/>
      <c r="P59" s="55" t="s">
        <v>409</v>
      </c>
      <c r="Q59" s="55" t="s">
        <v>399</v>
      </c>
      <c r="R59" s="55" t="s">
        <v>410</v>
      </c>
      <c r="S59" s="55" t="s">
        <v>411</v>
      </c>
      <c r="T59" s="55" t="s">
        <v>412</v>
      </c>
      <c r="U59" s="55" t="s">
        <v>413</v>
      </c>
      <c r="V59" s="55" t="s">
        <v>414</v>
      </c>
      <c r="W59" s="55" t="s">
        <v>415</v>
      </c>
    </row>
    <row r="60" spans="1:23">
      <c r="O60" t="s">
        <v>416</v>
      </c>
      <c r="P60">
        <v>140491.98443492074</v>
      </c>
      <c r="Q60">
        <v>47198.441658242737</v>
      </c>
      <c r="R60">
        <v>2.9766233693095927</v>
      </c>
      <c r="S60">
        <v>9.6759833281226504E-2</v>
      </c>
      <c r="T60">
        <v>-62586.51940583816</v>
      </c>
      <c r="U60">
        <v>343570.48827567964</v>
      </c>
      <c r="V60">
        <v>-62586.51940583816</v>
      </c>
      <c r="W60">
        <v>343570.48827567964</v>
      </c>
    </row>
    <row r="61" spans="1:23">
      <c r="O61" t="s">
        <v>459</v>
      </c>
      <c r="P61">
        <v>-22598.510767843276</v>
      </c>
      <c r="Q61">
        <v>85041.902594542116</v>
      </c>
      <c r="R61">
        <v>-0.2657338333031794</v>
      </c>
      <c r="S61">
        <v>0.81532962542885712</v>
      </c>
      <c r="T61">
        <v>-388504.28510933794</v>
      </c>
      <c r="U61">
        <v>343307.26357365138</v>
      </c>
      <c r="V61">
        <v>-388504.28510933794</v>
      </c>
      <c r="W61">
        <v>343307.26357365138</v>
      </c>
    </row>
    <row r="62" spans="1:23" ht="15.75" thickBot="1">
      <c r="O62" s="22" t="s">
        <v>458</v>
      </c>
      <c r="P62" s="22">
        <v>8.1523580436548698E-3</v>
      </c>
      <c r="Q62" s="22">
        <v>1.7482844524468958E-3</v>
      </c>
      <c r="R62" s="22">
        <v>4.6630615700121592</v>
      </c>
      <c r="S62" s="22">
        <v>4.3041953851101045E-2</v>
      </c>
      <c r="T62" s="22">
        <v>6.3009717195568714E-4</v>
      </c>
      <c r="U62" s="22">
        <v>1.5674618915354051E-2</v>
      </c>
      <c r="V62" s="22">
        <v>6.3009717195568714E-4</v>
      </c>
      <c r="W62" s="22">
        <v>1.5674618915354051E-2</v>
      </c>
    </row>
    <row r="64" spans="1:23" ht="18.75">
      <c r="A64" s="81"/>
      <c r="B64" s="81" t="s">
        <v>446</v>
      </c>
      <c r="C64" s="82" t="s">
        <v>461</v>
      </c>
      <c r="D64" s="83"/>
      <c r="E64" s="83"/>
      <c r="F64" s="83"/>
      <c r="G64" s="81" t="s">
        <v>448</v>
      </c>
      <c r="H64" s="81" t="s">
        <v>462</v>
      </c>
      <c r="I64" s="81" t="s">
        <v>450</v>
      </c>
      <c r="J64" s="83"/>
      <c r="K64" s="83"/>
      <c r="O64" s="81" t="s">
        <v>394</v>
      </c>
      <c r="P64" s="81" t="s">
        <v>463</v>
      </c>
    </row>
    <row r="65" spans="2:23" ht="15.75" thickBot="1">
      <c r="B65" s="9">
        <v>2015</v>
      </c>
      <c r="C65" s="4">
        <f>[2]Assumptions!D16</f>
        <v>2991279</v>
      </c>
      <c r="H65" s="4">
        <f>[2]Assumptions!D5</f>
        <v>31174591</v>
      </c>
      <c r="I65" s="8">
        <f>I25</f>
        <v>0</v>
      </c>
    </row>
    <row r="66" spans="2:23">
      <c r="B66" s="9">
        <v>2016</v>
      </c>
      <c r="C66" s="4">
        <f>[2]Assumptions!E16</f>
        <v>2835686</v>
      </c>
      <c r="H66" s="4">
        <f>[2]Assumptions!E5</f>
        <v>33135291</v>
      </c>
      <c r="I66" s="8">
        <f t="shared" ref="I66:I74" si="0">I26</f>
        <v>2.86E-2</v>
      </c>
      <c r="O66" s="54" t="s">
        <v>395</v>
      </c>
      <c r="P66" s="54"/>
    </row>
    <row r="67" spans="2:23">
      <c r="B67" s="9">
        <v>2017</v>
      </c>
      <c r="C67" s="4">
        <f>[2]Assumptions!F16</f>
        <v>2992307</v>
      </c>
      <c r="D67" s="86"/>
      <c r="E67" s="86"/>
      <c r="F67" s="86"/>
      <c r="G67" s="86"/>
      <c r="H67" s="4">
        <f>[2]Assumptions!F5</f>
        <v>37498961</v>
      </c>
      <c r="I67" s="8">
        <f t="shared" si="0"/>
        <v>4.1500000000000002E-2</v>
      </c>
      <c r="O67" t="s">
        <v>396</v>
      </c>
      <c r="P67">
        <v>0.96700496499737598</v>
      </c>
    </row>
    <row r="68" spans="2:23">
      <c r="B68" s="9">
        <v>2018</v>
      </c>
      <c r="C68" s="4">
        <f>[2]Assumptions!G16</f>
        <v>3341903</v>
      </c>
      <c r="H68" s="4">
        <f>[2]Assumptions!G5</f>
        <v>41421811</v>
      </c>
      <c r="I68" s="8">
        <f t="shared" si="0"/>
        <v>3.9300000000000002E-2</v>
      </c>
      <c r="O68" t="s">
        <v>397</v>
      </c>
      <c r="P68">
        <v>0.93509860232957631</v>
      </c>
    </row>
    <row r="69" spans="2:23">
      <c r="B69" s="9">
        <v>2019</v>
      </c>
      <c r="C69" s="4">
        <f>[2]Assumptions!H16</f>
        <v>3722303</v>
      </c>
      <c r="H69" s="4">
        <f>[2]Assumptions!H5</f>
        <v>48718781</v>
      </c>
      <c r="I69" s="8">
        <f t="shared" si="0"/>
        <v>7.6399999999999996E-2</v>
      </c>
      <c r="O69" t="s">
        <v>398</v>
      </c>
      <c r="P69">
        <v>0.87019720465915262</v>
      </c>
    </row>
    <row r="70" spans="2:23">
      <c r="B70" s="47">
        <v>2020</v>
      </c>
      <c r="C70" s="35">
        <f>$P$80+H70*$P$81+I70*$P$82</f>
        <v>3509496.0601095986</v>
      </c>
      <c r="H70" s="4">
        <f>[2]Assumptions!I5</f>
        <v>43379632.330096692</v>
      </c>
      <c r="I70" s="8">
        <f t="shared" si="0"/>
        <v>6.9800000000000001E-2</v>
      </c>
      <c r="O70" t="s">
        <v>399</v>
      </c>
      <c r="P70">
        <v>128601.70806420084</v>
      </c>
    </row>
    <row r="71" spans="2:23" ht="15.75" thickBot="1">
      <c r="B71" s="47">
        <v>2021</v>
      </c>
      <c r="C71" s="35">
        <f t="shared" ref="C71:C74" si="1">$P$80+H71*$P$81+I71*$P$82</f>
        <v>3043722.8664654372</v>
      </c>
      <c r="H71" s="4">
        <f>[2]Assumptions!J5</f>
        <v>33748578.08543051</v>
      </c>
      <c r="I71" s="8">
        <f t="shared" si="0"/>
        <v>0.05</v>
      </c>
      <c r="O71" s="22" t="s">
        <v>400</v>
      </c>
      <c r="P71" s="22">
        <v>5</v>
      </c>
    </row>
    <row r="72" spans="2:23">
      <c r="B72" s="47">
        <v>2022</v>
      </c>
      <c r="C72" s="35">
        <f t="shared" si="1"/>
        <v>3032975.6650761124</v>
      </c>
      <c r="D72" s="86"/>
      <c r="E72" s="86"/>
      <c r="F72" s="86"/>
      <c r="G72" s="86"/>
      <c r="H72" s="4">
        <f>[2]Assumptions!K5</f>
        <v>33434726.527396217</v>
      </c>
      <c r="I72" s="8">
        <f t="shared" si="0"/>
        <v>0.05</v>
      </c>
      <c r="J72" s="86"/>
    </row>
    <row r="73" spans="2:23" ht="15.75" thickBot="1">
      <c r="B73" s="47">
        <v>2023</v>
      </c>
      <c r="C73" s="35">
        <f t="shared" si="1"/>
        <v>3022228.4636867885</v>
      </c>
      <c r="H73" s="4">
        <f>[2]Assumptions!L5</f>
        <v>33120874.969361924</v>
      </c>
      <c r="I73" s="8">
        <f t="shared" si="0"/>
        <v>0.05</v>
      </c>
      <c r="O73" t="s">
        <v>401</v>
      </c>
    </row>
    <row r="74" spans="2:23">
      <c r="B74" s="47">
        <v>2024</v>
      </c>
      <c r="C74" s="35">
        <f t="shared" si="1"/>
        <v>3011481.2622974636</v>
      </c>
      <c r="H74" s="4">
        <f>[2]Assumptions!M5</f>
        <v>32807023.41132763</v>
      </c>
      <c r="I74" s="8">
        <f t="shared" si="0"/>
        <v>0.05</v>
      </c>
      <c r="O74" s="55"/>
      <c r="P74" s="55" t="s">
        <v>402</v>
      </c>
      <c r="Q74" s="55" t="s">
        <v>403</v>
      </c>
      <c r="R74" s="55" t="s">
        <v>404</v>
      </c>
      <c r="S74" s="55" t="s">
        <v>405</v>
      </c>
      <c r="T74" s="55" t="s">
        <v>406</v>
      </c>
    </row>
    <row r="75" spans="2:23">
      <c r="O75" t="s">
        <v>407</v>
      </c>
      <c r="P75">
        <v>2</v>
      </c>
      <c r="Q75">
        <v>476570139973.14008</v>
      </c>
      <c r="R75">
        <v>238285069986.57004</v>
      </c>
      <c r="S75">
        <v>14.407988670415213</v>
      </c>
      <c r="T75">
        <v>6.4901397670423661E-2</v>
      </c>
    </row>
    <row r="76" spans="2:23">
      <c r="O76" t="s">
        <v>408</v>
      </c>
      <c r="P76">
        <v>2</v>
      </c>
      <c r="Q76">
        <v>33076798634.059875</v>
      </c>
      <c r="R76">
        <v>16538399317.029938</v>
      </c>
    </row>
    <row r="77" spans="2:23" ht="15.75" thickBot="1">
      <c r="O77" s="22" t="s">
        <v>5</v>
      </c>
      <c r="P77" s="22">
        <v>4</v>
      </c>
      <c r="Q77" s="22">
        <v>509646938607.19995</v>
      </c>
      <c r="R77" s="22"/>
      <c r="S77" s="22"/>
      <c r="T77" s="22"/>
    </row>
    <row r="78" spans="2:23" ht="15.75" thickBot="1"/>
    <row r="79" spans="2:23">
      <c r="O79" s="55"/>
      <c r="P79" s="55" t="s">
        <v>409</v>
      </c>
      <c r="Q79" s="55" t="s">
        <v>399</v>
      </c>
      <c r="R79" s="55" t="s">
        <v>410</v>
      </c>
      <c r="S79" s="55" t="s">
        <v>411</v>
      </c>
      <c r="T79" s="55" t="s">
        <v>412</v>
      </c>
      <c r="U79" s="55" t="s">
        <v>413</v>
      </c>
      <c r="V79" s="55" t="s">
        <v>414</v>
      </c>
      <c r="W79" s="55" t="s">
        <v>415</v>
      </c>
    </row>
    <row r="80" spans="2:23">
      <c r="O80" t="s">
        <v>416</v>
      </c>
      <c r="P80">
        <v>1544694.5625735887</v>
      </c>
      <c r="Q80">
        <v>398581.33160606597</v>
      </c>
      <c r="R80">
        <v>3.8754814640949435</v>
      </c>
      <c r="S80">
        <v>6.0592343875135679E-2</v>
      </c>
      <c r="T80">
        <v>-170262.49188842718</v>
      </c>
      <c r="U80">
        <v>3259651.6170356045</v>
      </c>
      <c r="V80">
        <v>-170262.49188842718</v>
      </c>
      <c r="W80">
        <v>3259651.6170356045</v>
      </c>
    </row>
    <row r="81" spans="1:23">
      <c r="O81" t="s">
        <v>462</v>
      </c>
      <c r="P81">
        <v>3.4242944201507142E-2</v>
      </c>
      <c r="Q81">
        <v>1.4740552287439807E-2</v>
      </c>
      <c r="R81">
        <v>2.3230435016118776</v>
      </c>
      <c r="S81">
        <v>0.14583199777616973</v>
      </c>
      <c r="T81">
        <v>-2.9180533336060438E-2</v>
      </c>
      <c r="U81">
        <v>9.7666421739074721E-2</v>
      </c>
      <c r="V81">
        <v>-2.9180533336060438E-2</v>
      </c>
      <c r="W81">
        <v>9.7666421739074721E-2</v>
      </c>
    </row>
    <row r="82" spans="1:23" ht="15.75" thickBot="1">
      <c r="O82" s="22" t="s">
        <v>450</v>
      </c>
      <c r="P82" s="22">
        <v>6867552.5526448945</v>
      </c>
      <c r="Q82" s="22">
        <v>5745649.8685462819</v>
      </c>
      <c r="R82" s="22">
        <v>1.1952612341104014</v>
      </c>
      <c r="S82" s="22">
        <v>0.35449249782830106</v>
      </c>
      <c r="T82" s="22">
        <v>-17853983.538440414</v>
      </c>
      <c r="U82" s="22">
        <v>31589088.643730201</v>
      </c>
      <c r="V82" s="22">
        <v>-17853983.538440414</v>
      </c>
      <c r="W82" s="22">
        <v>31589088.643730201</v>
      </c>
    </row>
    <row r="84" spans="1:23" ht="18.75">
      <c r="A84" s="81"/>
      <c r="B84" s="81" t="s">
        <v>446</v>
      </c>
      <c r="C84" s="82" t="s">
        <v>464</v>
      </c>
      <c r="D84" s="83"/>
      <c r="E84" s="83"/>
      <c r="F84" s="83"/>
      <c r="G84" s="81" t="s">
        <v>448</v>
      </c>
      <c r="H84" s="81" t="s">
        <v>462</v>
      </c>
      <c r="I84" s="81" t="s">
        <v>450</v>
      </c>
      <c r="J84" s="83"/>
      <c r="K84" s="83"/>
      <c r="O84" s="81" t="s">
        <v>394</v>
      </c>
      <c r="P84" s="81" t="s">
        <v>465</v>
      </c>
    </row>
    <row r="85" spans="1:23" ht="15.75" thickBot="1">
      <c r="B85" s="9">
        <v>2015</v>
      </c>
      <c r="C85" s="4">
        <f>[2]Assumptions!D45</f>
        <v>9089568</v>
      </c>
      <c r="H85" s="4">
        <f>H65</f>
        <v>31174591</v>
      </c>
      <c r="I85" s="10">
        <f>I65</f>
        <v>0</v>
      </c>
    </row>
    <row r="86" spans="1:23">
      <c r="B86" s="9">
        <v>2016</v>
      </c>
      <c r="C86" s="4">
        <f>[2]Assumptions!E45</f>
        <v>8891207</v>
      </c>
      <c r="H86" s="4">
        <f t="shared" ref="H86:I94" si="2">H66</f>
        <v>33135291</v>
      </c>
      <c r="I86" s="10">
        <f t="shared" si="2"/>
        <v>2.86E-2</v>
      </c>
      <c r="O86" s="54" t="s">
        <v>395</v>
      </c>
      <c r="P86" s="54"/>
    </row>
    <row r="87" spans="1:23">
      <c r="B87" s="9">
        <v>2017</v>
      </c>
      <c r="C87" s="4">
        <f>[2]Assumptions!F45</f>
        <v>10193599</v>
      </c>
      <c r="H87" s="4">
        <f t="shared" si="2"/>
        <v>37498961</v>
      </c>
      <c r="I87" s="10">
        <f t="shared" si="2"/>
        <v>4.1500000000000002E-2</v>
      </c>
      <c r="O87" t="s">
        <v>396</v>
      </c>
      <c r="P87">
        <v>0.99200247439961553</v>
      </c>
    </row>
    <row r="88" spans="1:23">
      <c r="B88" s="9">
        <v>2018</v>
      </c>
      <c r="C88" s="4">
        <f>[2]Assumptions!G45</f>
        <v>12448833</v>
      </c>
      <c r="H88" s="4">
        <f t="shared" si="2"/>
        <v>41421811</v>
      </c>
      <c r="I88" s="10">
        <f t="shared" si="2"/>
        <v>3.9300000000000002E-2</v>
      </c>
      <c r="O88" t="s">
        <v>397</v>
      </c>
      <c r="P88">
        <v>0.98406890921495993</v>
      </c>
    </row>
    <row r="89" spans="1:23">
      <c r="B89" s="9">
        <v>2019</v>
      </c>
      <c r="C89" s="4">
        <f>[2]Assumptions!H45</f>
        <v>16508353</v>
      </c>
      <c r="H89" s="4">
        <f t="shared" si="2"/>
        <v>48718781</v>
      </c>
      <c r="I89" s="10">
        <f t="shared" si="2"/>
        <v>7.6399999999999996E-2</v>
      </c>
      <c r="O89" t="s">
        <v>398</v>
      </c>
      <c r="P89">
        <v>0.96813781842991986</v>
      </c>
    </row>
    <row r="90" spans="1:23">
      <c r="B90" s="47">
        <v>2020</v>
      </c>
      <c r="C90" s="35">
        <f>$P$100+H90*$P$101+I90*$P$102</f>
        <v>14298258.707002766</v>
      </c>
      <c r="H90" s="4">
        <f t="shared" si="2"/>
        <v>43379632.330096692</v>
      </c>
      <c r="I90" s="10">
        <f t="shared" si="2"/>
        <v>6.9800000000000001E-2</v>
      </c>
      <c r="O90" t="s">
        <v>399</v>
      </c>
      <c r="P90">
        <v>566433.93100737431</v>
      </c>
    </row>
    <row r="91" spans="1:23" ht="15.75" thickBot="1">
      <c r="B91" s="47">
        <v>2021</v>
      </c>
      <c r="C91" s="35">
        <f t="shared" ref="C91:C94" si="3">$P$100+H91*$P$101+I91*$P$102</f>
        <v>10014260.001554113</v>
      </c>
      <c r="H91" s="4">
        <f t="shared" si="2"/>
        <v>33748578.08543051</v>
      </c>
      <c r="I91" s="10">
        <f t="shared" si="2"/>
        <v>0.05</v>
      </c>
      <c r="O91" s="22" t="s">
        <v>400</v>
      </c>
      <c r="P91" s="22">
        <v>5</v>
      </c>
    </row>
    <row r="92" spans="1:23">
      <c r="B92" s="47">
        <v>2022</v>
      </c>
      <c r="C92" s="35">
        <f t="shared" si="3"/>
        <v>9906256.3942478336</v>
      </c>
      <c r="H92" s="4">
        <f t="shared" si="2"/>
        <v>33434726.527396217</v>
      </c>
      <c r="I92" s="10">
        <f t="shared" si="2"/>
        <v>0.05</v>
      </c>
    </row>
    <row r="93" spans="1:23" ht="15.75" thickBot="1">
      <c r="B93" s="47">
        <v>2023</v>
      </c>
      <c r="C93" s="35">
        <f t="shared" si="3"/>
        <v>9798252.7869415563</v>
      </c>
      <c r="H93" s="4">
        <f t="shared" si="2"/>
        <v>33120874.969361924</v>
      </c>
      <c r="I93" s="10">
        <f t="shared" si="2"/>
        <v>0.05</v>
      </c>
      <c r="O93" t="s">
        <v>401</v>
      </c>
    </row>
    <row r="94" spans="1:23">
      <c r="B94" s="47">
        <v>2024</v>
      </c>
      <c r="C94" s="35">
        <f t="shared" si="3"/>
        <v>9690249.1796352789</v>
      </c>
      <c r="H94" s="4">
        <f t="shared" si="2"/>
        <v>32807023.41132763</v>
      </c>
      <c r="I94" s="10">
        <f t="shared" si="2"/>
        <v>0.05</v>
      </c>
      <c r="O94" s="55"/>
      <c r="P94" s="55" t="s">
        <v>402</v>
      </c>
      <c r="Q94" s="55" t="s">
        <v>403</v>
      </c>
      <c r="R94" s="55" t="s">
        <v>404</v>
      </c>
      <c r="S94" s="55" t="s">
        <v>405</v>
      </c>
      <c r="T94" s="55" t="s">
        <v>406</v>
      </c>
    </row>
    <row r="95" spans="1:23">
      <c r="O95" t="s">
        <v>407</v>
      </c>
      <c r="P95">
        <v>2</v>
      </c>
      <c r="Q95">
        <v>39637706347659.062</v>
      </c>
      <c r="R95">
        <v>19818853173829.531</v>
      </c>
      <c r="S95">
        <v>61.770340932276177</v>
      </c>
      <c r="T95">
        <v>1.5931090785039931E-2</v>
      </c>
    </row>
    <row r="96" spans="1:23">
      <c r="O96" t="s">
        <v>408</v>
      </c>
      <c r="P96">
        <v>2</v>
      </c>
      <c r="Q96">
        <v>641694796392.93372</v>
      </c>
      <c r="R96">
        <v>320847398196.46686</v>
      </c>
    </row>
    <row r="97" spans="1:23" ht="15.75" thickBot="1">
      <c r="O97" s="22" t="s">
        <v>5</v>
      </c>
      <c r="P97" s="22">
        <v>4</v>
      </c>
      <c r="Q97" s="22">
        <v>40279401144052</v>
      </c>
      <c r="R97" s="22"/>
      <c r="S97" s="22"/>
      <c r="T97" s="22"/>
    </row>
    <row r="98" spans="1:23" ht="15.75" thickBot="1"/>
    <row r="99" spans="1:23">
      <c r="O99" s="55"/>
      <c r="P99" s="55" t="s">
        <v>409</v>
      </c>
      <c r="Q99" s="55" t="s">
        <v>399</v>
      </c>
      <c r="R99" s="55" t="s">
        <v>410</v>
      </c>
      <c r="S99" s="55" t="s">
        <v>411</v>
      </c>
      <c r="T99" s="55" t="s">
        <v>412</v>
      </c>
      <c r="U99" s="55" t="s">
        <v>413</v>
      </c>
      <c r="V99" s="55" t="s">
        <v>414</v>
      </c>
      <c r="W99" s="55" t="s">
        <v>415</v>
      </c>
    </row>
    <row r="100" spans="1:23">
      <c r="O100" t="s">
        <v>416</v>
      </c>
      <c r="P100">
        <v>-4048220.6969307107</v>
      </c>
      <c r="Q100">
        <v>1755575.3643261746</v>
      </c>
      <c r="R100">
        <v>-2.3059224794285602</v>
      </c>
      <c r="S100">
        <v>0.14754804479336703</v>
      </c>
      <c r="T100">
        <v>-11601851.830529636</v>
      </c>
      <c r="U100">
        <v>3505410.4366682139</v>
      </c>
      <c r="V100">
        <v>-11601851.830529636</v>
      </c>
      <c r="W100">
        <v>3505410.4366682139</v>
      </c>
    </row>
    <row r="101" spans="1:23">
      <c r="O101" t="s">
        <v>462</v>
      </c>
      <c r="P101">
        <v>0.34412321539113244</v>
      </c>
      <c r="Q101">
        <v>6.4925646035945278E-2</v>
      </c>
      <c r="R101">
        <v>5.3002663262004797</v>
      </c>
      <c r="S101">
        <v>3.3801795339516487E-2</v>
      </c>
      <c r="T101">
        <v>6.4770707243825054E-2</v>
      </c>
      <c r="U101">
        <v>0.62347572353843983</v>
      </c>
      <c r="V101">
        <v>6.4770707243825054E-2</v>
      </c>
      <c r="W101">
        <v>0.62347572353843983</v>
      </c>
    </row>
    <row r="102" spans="1:23" ht="15.75" thickBot="1">
      <c r="O102" s="22" t="s">
        <v>450</v>
      </c>
      <c r="P102" s="22">
        <v>48976229.856955327</v>
      </c>
      <c r="Q102" s="22">
        <v>25307059.215791594</v>
      </c>
      <c r="R102" s="22">
        <v>1.9352793795335248</v>
      </c>
      <c r="S102" s="22">
        <v>0.19260310208740461</v>
      </c>
      <c r="T102" s="22">
        <v>-59911257.55980169</v>
      </c>
      <c r="U102" s="22">
        <v>157863717.27371234</v>
      </c>
      <c r="V102" s="22">
        <v>-59911257.55980169</v>
      </c>
      <c r="W102" s="22">
        <v>157863717.27371234</v>
      </c>
    </row>
    <row r="104" spans="1:23" ht="18.75">
      <c r="A104" s="81"/>
      <c r="B104" s="81" t="s">
        <v>446</v>
      </c>
      <c r="C104" s="82" t="s">
        <v>466</v>
      </c>
      <c r="D104" s="83"/>
      <c r="E104" s="83"/>
      <c r="F104" s="83"/>
      <c r="G104" s="81" t="s">
        <v>448</v>
      </c>
      <c r="H104" s="81" t="s">
        <v>462</v>
      </c>
      <c r="I104" s="81" t="s">
        <v>450</v>
      </c>
      <c r="J104" s="83"/>
      <c r="K104" s="83"/>
      <c r="O104" s="81" t="s">
        <v>394</v>
      </c>
      <c r="P104" s="81" t="s">
        <v>467</v>
      </c>
    </row>
    <row r="105" spans="1:23" ht="15.75" thickBot="1">
      <c r="B105" s="9">
        <v>2015</v>
      </c>
      <c r="C105" s="4">
        <f>[2]Assumptions!D51</f>
        <v>2818632</v>
      </c>
      <c r="H105" s="4">
        <f>H85</f>
        <v>31174591</v>
      </c>
      <c r="I105" s="8">
        <f>I85</f>
        <v>0</v>
      </c>
    </row>
    <row r="106" spans="1:23">
      <c r="B106" s="9">
        <v>2016</v>
      </c>
      <c r="C106" s="4">
        <f>[2]Assumptions!E51</f>
        <v>2955127</v>
      </c>
      <c r="H106" s="4">
        <f t="shared" ref="H106:I114" si="4">H86</f>
        <v>33135291</v>
      </c>
      <c r="I106" s="8">
        <f t="shared" si="4"/>
        <v>2.86E-2</v>
      </c>
      <c r="O106" s="54" t="s">
        <v>395</v>
      </c>
      <c r="P106" s="54"/>
    </row>
    <row r="107" spans="1:23">
      <c r="B107" s="9">
        <v>2017</v>
      </c>
      <c r="C107" s="4">
        <f>[2]Assumptions!F51</f>
        <v>3260729</v>
      </c>
      <c r="H107" s="4">
        <f t="shared" si="4"/>
        <v>37498961</v>
      </c>
      <c r="I107" s="8">
        <f t="shared" si="4"/>
        <v>4.1500000000000002E-2</v>
      </c>
      <c r="O107" t="s">
        <v>396</v>
      </c>
      <c r="P107">
        <v>0.99947074132267977</v>
      </c>
    </row>
    <row r="108" spans="1:23">
      <c r="B108" s="9">
        <v>2018</v>
      </c>
      <c r="C108" s="4">
        <f>[2]Assumptions!G51</f>
        <v>3602560</v>
      </c>
      <c r="H108" s="4">
        <f t="shared" si="4"/>
        <v>41421811</v>
      </c>
      <c r="I108" s="8">
        <f t="shared" si="4"/>
        <v>3.9300000000000002E-2</v>
      </c>
      <c r="O108" t="s">
        <v>397</v>
      </c>
      <c r="P108">
        <v>0.99894176276010715</v>
      </c>
    </row>
    <row r="109" spans="1:23">
      <c r="B109" s="9">
        <v>2019</v>
      </c>
      <c r="C109" s="4">
        <f>[2]Assumptions!H51</f>
        <v>4187228</v>
      </c>
      <c r="H109" s="4">
        <f t="shared" si="4"/>
        <v>48718781</v>
      </c>
      <c r="I109" s="8">
        <f t="shared" si="4"/>
        <v>7.6399999999999996E-2</v>
      </c>
      <c r="O109" t="s">
        <v>398</v>
      </c>
      <c r="P109">
        <v>0.99788352552021431</v>
      </c>
    </row>
    <row r="110" spans="1:23">
      <c r="B110" s="47">
        <v>2020</v>
      </c>
      <c r="C110" s="35">
        <f>$P$120+$P$121*H110+I110*$P$122</f>
        <v>3768921.7645994835</v>
      </c>
      <c r="H110" s="4">
        <f t="shared" si="4"/>
        <v>43379632.330096692</v>
      </c>
      <c r="I110" s="8">
        <f t="shared" si="4"/>
        <v>6.9800000000000001E-2</v>
      </c>
      <c r="O110" t="s">
        <v>399</v>
      </c>
      <c r="P110">
        <v>25301.580032952228</v>
      </c>
    </row>
    <row r="111" spans="1:23" ht="15.75" thickBot="1">
      <c r="B111" s="47">
        <v>2021</v>
      </c>
      <c r="C111" s="35">
        <f t="shared" ref="C111:C114" si="5">$P$120+$P$121*H111+I111*$P$122</f>
        <v>3012998.7626470528</v>
      </c>
      <c r="H111" s="4">
        <f t="shared" si="4"/>
        <v>33748578.08543051</v>
      </c>
      <c r="I111" s="8">
        <f t="shared" si="4"/>
        <v>0.05</v>
      </c>
      <c r="O111" s="22" t="s">
        <v>400</v>
      </c>
      <c r="P111" s="22">
        <v>5</v>
      </c>
    </row>
    <row r="112" spans="1:23">
      <c r="B112" s="47">
        <v>2022</v>
      </c>
      <c r="C112" s="35">
        <f t="shared" si="5"/>
        <v>2988967.2403178876</v>
      </c>
      <c r="H112" s="4">
        <f t="shared" si="4"/>
        <v>33434726.527396217</v>
      </c>
      <c r="I112" s="8">
        <f t="shared" si="4"/>
        <v>0.05</v>
      </c>
    </row>
    <row r="113" spans="1:23" ht="15.75" thickBot="1">
      <c r="B113" s="47">
        <v>2023</v>
      </c>
      <c r="C113" s="35">
        <f t="shared" si="5"/>
        <v>2964935.717988722</v>
      </c>
      <c r="H113" s="4">
        <f t="shared" si="4"/>
        <v>33120874.969361924</v>
      </c>
      <c r="I113" s="8">
        <f t="shared" si="4"/>
        <v>0.05</v>
      </c>
      <c r="O113" t="s">
        <v>401</v>
      </c>
    </row>
    <row r="114" spans="1:23">
      <c r="B114" s="47">
        <v>2024</v>
      </c>
      <c r="C114" s="35">
        <f t="shared" si="5"/>
        <v>2940904.1956595569</v>
      </c>
      <c r="H114" s="4">
        <f t="shared" si="4"/>
        <v>32807023.41132763</v>
      </c>
      <c r="I114" s="8">
        <f t="shared" si="4"/>
        <v>0.05</v>
      </c>
      <c r="O114" s="55"/>
      <c r="P114" s="55" t="s">
        <v>402</v>
      </c>
      <c r="Q114" s="55" t="s">
        <v>403</v>
      </c>
      <c r="R114" s="55" t="s">
        <v>404</v>
      </c>
      <c r="S114" s="55" t="s">
        <v>405</v>
      </c>
      <c r="T114" s="55" t="s">
        <v>406</v>
      </c>
    </row>
    <row r="115" spans="1:23">
      <c r="O115" t="s">
        <v>407</v>
      </c>
      <c r="P115">
        <v>2</v>
      </c>
      <c r="Q115">
        <v>1208599501838.4722</v>
      </c>
      <c r="R115">
        <v>604299750919.23608</v>
      </c>
      <c r="S115">
        <v>943.9676899495156</v>
      </c>
      <c r="T115">
        <v>1.0582372398927466E-3</v>
      </c>
    </row>
    <row r="116" spans="1:23">
      <c r="O116" t="s">
        <v>408</v>
      </c>
      <c r="P116">
        <v>2</v>
      </c>
      <c r="Q116">
        <v>1280339904.3277736</v>
      </c>
      <c r="R116">
        <v>640169952.16388679</v>
      </c>
    </row>
    <row r="117" spans="1:23" ht="15.75" thickBot="1">
      <c r="O117" s="22" t="s">
        <v>5</v>
      </c>
      <c r="P117" s="22">
        <v>4</v>
      </c>
      <c r="Q117" s="22">
        <v>1209879841742.8</v>
      </c>
      <c r="R117" s="22"/>
      <c r="S117" s="22"/>
      <c r="T117" s="22"/>
    </row>
    <row r="118" spans="1:23" ht="15.75" thickBot="1"/>
    <row r="119" spans="1:23">
      <c r="O119" s="55"/>
      <c r="P119" s="55" t="s">
        <v>409</v>
      </c>
      <c r="Q119" s="55" t="s">
        <v>399</v>
      </c>
      <c r="R119" s="55" t="s">
        <v>410</v>
      </c>
      <c r="S119" s="55" t="s">
        <v>411</v>
      </c>
      <c r="T119" s="55" t="s">
        <v>412</v>
      </c>
      <c r="U119" s="55" t="s">
        <v>413</v>
      </c>
      <c r="V119" s="55" t="s">
        <v>414</v>
      </c>
      <c r="W119" s="55" t="s">
        <v>415</v>
      </c>
    </row>
    <row r="120" spans="1:23">
      <c r="O120" t="s">
        <v>416</v>
      </c>
      <c r="P120">
        <v>382223.44578228379</v>
      </c>
      <c r="Q120">
        <v>78418.378830839662</v>
      </c>
      <c r="R120">
        <v>4.8741564347663671</v>
      </c>
      <c r="S120">
        <v>3.9608197550894141E-2</v>
      </c>
      <c r="T120">
        <v>44816.394043243956</v>
      </c>
      <c r="U120">
        <v>719630.49752132362</v>
      </c>
      <c r="V120">
        <v>44816.394043243956</v>
      </c>
      <c r="W120">
        <v>719630.49752132362</v>
      </c>
    </row>
    <row r="121" spans="1:23">
      <c r="O121" t="s">
        <v>462</v>
      </c>
      <c r="P121">
        <v>7.6569708558016383E-2</v>
      </c>
      <c r="Q121">
        <v>2.9001112741394207E-3</v>
      </c>
      <c r="R121">
        <v>26.402334710669916</v>
      </c>
      <c r="S121">
        <v>1.4314692949085662E-3</v>
      </c>
      <c r="T121">
        <v>6.4091536867763213E-2</v>
      </c>
      <c r="U121">
        <v>8.9047880248269554E-2</v>
      </c>
      <c r="V121">
        <v>6.4091536867763213E-2</v>
      </c>
      <c r="W121">
        <v>8.9047880248269554E-2</v>
      </c>
    </row>
    <row r="122" spans="1:23" ht="15.75" thickBot="1">
      <c r="O122" s="22" t="s">
        <v>450</v>
      </c>
      <c r="P122" s="22">
        <v>933130.57231792365</v>
      </c>
      <c r="Q122" s="22">
        <v>1130420.5999952289</v>
      </c>
      <c r="R122" s="22">
        <v>0.8254720166297943</v>
      </c>
      <c r="S122" s="22">
        <v>0.49589474489851093</v>
      </c>
      <c r="T122" s="22">
        <v>-3930676.7080165753</v>
      </c>
      <c r="U122" s="22">
        <v>5796937.8526524222</v>
      </c>
      <c r="V122" s="22">
        <v>-3930676.7080165753</v>
      </c>
      <c r="W122" s="22">
        <v>5796937.8526524222</v>
      </c>
    </row>
    <row r="124" spans="1:23" ht="18.75">
      <c r="A124" s="81"/>
      <c r="B124" s="81" t="s">
        <v>446</v>
      </c>
      <c r="C124" s="82" t="s">
        <v>468</v>
      </c>
      <c r="D124" s="83"/>
      <c r="E124" s="83"/>
      <c r="F124" s="83"/>
      <c r="G124" s="81" t="s">
        <v>448</v>
      </c>
      <c r="H124" s="81" t="s">
        <v>462</v>
      </c>
      <c r="I124" s="81" t="s">
        <v>450</v>
      </c>
      <c r="J124" s="83"/>
      <c r="K124" s="83"/>
      <c r="O124" s="81" t="s">
        <v>394</v>
      </c>
      <c r="P124" s="81" t="s">
        <v>469</v>
      </c>
    </row>
    <row r="125" spans="1:23" ht="15.75" thickBot="1">
      <c r="B125" s="9">
        <v>2015</v>
      </c>
      <c r="C125" s="4">
        <f>[2]Assumptions!D57</f>
        <v>86070</v>
      </c>
      <c r="H125" s="4">
        <f>H105</f>
        <v>31174591</v>
      </c>
      <c r="I125" s="10">
        <f>I105</f>
        <v>0</v>
      </c>
    </row>
    <row r="126" spans="1:23">
      <c r="B126" s="9">
        <v>2016</v>
      </c>
      <c r="C126" s="4">
        <f>[2]Assumptions!E57</f>
        <v>73960</v>
      </c>
      <c r="H126" s="4">
        <f t="shared" ref="H126:I134" si="6">H106</f>
        <v>33135291</v>
      </c>
      <c r="I126" s="10">
        <f t="shared" si="6"/>
        <v>2.86E-2</v>
      </c>
      <c r="O126" s="54" t="s">
        <v>395</v>
      </c>
      <c r="P126" s="54"/>
    </row>
    <row r="127" spans="1:23">
      <c r="B127" s="9">
        <v>2017</v>
      </c>
      <c r="C127" s="4">
        <f>[2]Assumptions!F57</f>
        <v>105705</v>
      </c>
      <c r="H127" s="4">
        <f t="shared" si="6"/>
        <v>37498961</v>
      </c>
      <c r="I127" s="10">
        <f t="shared" si="6"/>
        <v>4.1500000000000002E-2</v>
      </c>
      <c r="O127" t="s">
        <v>396</v>
      </c>
      <c r="P127">
        <v>0.98376142840333869</v>
      </c>
    </row>
    <row r="128" spans="1:23">
      <c r="B128" s="9">
        <v>2018</v>
      </c>
      <c r="C128" s="4">
        <f>[2]Assumptions!G57</f>
        <v>128173</v>
      </c>
      <c r="H128" s="4">
        <f t="shared" si="6"/>
        <v>41421811</v>
      </c>
      <c r="I128" s="10">
        <f t="shared" si="6"/>
        <v>3.9300000000000002E-2</v>
      </c>
      <c r="O128" t="s">
        <v>397</v>
      </c>
      <c r="P128">
        <v>0.96778654801417718</v>
      </c>
    </row>
    <row r="129" spans="2:23">
      <c r="B129" s="9">
        <v>2019</v>
      </c>
      <c r="C129" s="4">
        <f>[2]Assumptions!H57</f>
        <v>162614</v>
      </c>
      <c r="H129" s="4">
        <f t="shared" si="6"/>
        <v>48718781</v>
      </c>
      <c r="I129" s="10">
        <f t="shared" si="6"/>
        <v>7.6399999999999996E-2</v>
      </c>
      <c r="O129" t="s">
        <v>398</v>
      </c>
      <c r="P129">
        <v>0.93557309602835437</v>
      </c>
    </row>
    <row r="130" spans="2:23">
      <c r="B130" s="47">
        <v>2020</v>
      </c>
      <c r="C130" s="35">
        <f>$P$140+H130*$P$141+I130*$P$142</f>
        <v>141317.80709343823</v>
      </c>
      <c r="H130" s="4">
        <f t="shared" si="6"/>
        <v>43379632.330096692</v>
      </c>
      <c r="I130" s="10">
        <f t="shared" si="6"/>
        <v>6.9800000000000001E-2</v>
      </c>
      <c r="O130" t="s">
        <v>399</v>
      </c>
      <c r="P130">
        <v>8956.0485328649083</v>
      </c>
    </row>
    <row r="131" spans="2:23" ht="15.75" thickBot="1">
      <c r="B131" s="47">
        <v>2021</v>
      </c>
      <c r="C131" s="35">
        <f t="shared" ref="C131:C134" si="7">$P$140+H131*$P$141+I131*$P$142</f>
        <v>93822.941628814704</v>
      </c>
      <c r="H131" s="4">
        <f t="shared" si="6"/>
        <v>33748578.08543051</v>
      </c>
      <c r="I131" s="10">
        <f t="shared" si="6"/>
        <v>0.05</v>
      </c>
      <c r="O131" s="22" t="s">
        <v>400</v>
      </c>
      <c r="P131" s="22">
        <v>5</v>
      </c>
    </row>
    <row r="132" spans="2:23">
      <c r="B132" s="47">
        <v>2022</v>
      </c>
      <c r="C132" s="35">
        <f t="shared" si="7"/>
        <v>92537.079954275658</v>
      </c>
      <c r="H132" s="4">
        <f t="shared" si="6"/>
        <v>33434726.527396217</v>
      </c>
      <c r="I132" s="10">
        <f t="shared" si="6"/>
        <v>0.05</v>
      </c>
    </row>
    <row r="133" spans="2:23" ht="15.75" thickBot="1">
      <c r="B133" s="47">
        <v>2023</v>
      </c>
      <c r="C133" s="35">
        <f t="shared" si="7"/>
        <v>91251.218279736611</v>
      </c>
      <c r="H133" s="4">
        <f t="shared" si="6"/>
        <v>33120874.969361924</v>
      </c>
      <c r="I133" s="10">
        <f t="shared" si="6"/>
        <v>0.05</v>
      </c>
      <c r="O133" t="s">
        <v>401</v>
      </c>
    </row>
    <row r="134" spans="2:23">
      <c r="B134" s="47">
        <v>2024</v>
      </c>
      <c r="C134" s="35">
        <f t="shared" si="7"/>
        <v>89965.356605197565</v>
      </c>
      <c r="H134" s="4">
        <f t="shared" si="6"/>
        <v>32807023.41132763</v>
      </c>
      <c r="I134" s="10">
        <f t="shared" si="6"/>
        <v>0.05</v>
      </c>
      <c r="O134" s="55"/>
      <c r="P134" s="55" t="s">
        <v>402</v>
      </c>
      <c r="Q134" s="55" t="s">
        <v>403</v>
      </c>
      <c r="R134" s="55" t="s">
        <v>404</v>
      </c>
      <c r="S134" s="55" t="s">
        <v>405</v>
      </c>
      <c r="T134" s="55" t="s">
        <v>406</v>
      </c>
    </row>
    <row r="135" spans="2:23">
      <c r="O135" t="s">
        <v>407</v>
      </c>
      <c r="P135">
        <v>2</v>
      </c>
      <c r="Q135">
        <v>4819535542.5539379</v>
      </c>
      <c r="R135">
        <v>2409767771.276969</v>
      </c>
      <c r="S135">
        <v>30.042932016106192</v>
      </c>
      <c r="T135">
        <v>3.2213451985822858E-2</v>
      </c>
    </row>
    <row r="136" spans="2:23">
      <c r="O136" t="s">
        <v>408</v>
      </c>
      <c r="P136">
        <v>2</v>
      </c>
      <c r="Q136">
        <v>160421610.64606333</v>
      </c>
      <c r="R136">
        <v>80210805.323031664</v>
      </c>
    </row>
    <row r="137" spans="2:23" ht="15.75" thickBot="1">
      <c r="O137" s="22" t="s">
        <v>5</v>
      </c>
      <c r="P137" s="22">
        <v>4</v>
      </c>
      <c r="Q137" s="22">
        <v>4979957153.2000008</v>
      </c>
      <c r="R137" s="22"/>
      <c r="S137" s="22"/>
      <c r="T137" s="22"/>
    </row>
    <row r="138" spans="2:23" ht="15.75" thickBot="1"/>
    <row r="139" spans="2:23">
      <c r="O139" s="55"/>
      <c r="P139" s="55" t="s">
        <v>409</v>
      </c>
      <c r="Q139" s="55" t="s">
        <v>399</v>
      </c>
      <c r="R139" s="55" t="s">
        <v>410</v>
      </c>
      <c r="S139" s="55" t="s">
        <v>411</v>
      </c>
      <c r="T139" s="55" t="s">
        <v>412</v>
      </c>
      <c r="U139" s="55" t="s">
        <v>413</v>
      </c>
      <c r="V139" s="55" t="s">
        <v>414</v>
      </c>
      <c r="W139" s="55" t="s">
        <v>415</v>
      </c>
    </row>
    <row r="140" spans="2:23">
      <c r="O140" t="s">
        <v>416</v>
      </c>
      <c r="P140">
        <v>-64739.369354441398</v>
      </c>
      <c r="Q140">
        <v>27757.903093913559</v>
      </c>
      <c r="R140">
        <v>-2.3322860208643323</v>
      </c>
      <c r="S140">
        <v>0.14491706384741088</v>
      </c>
      <c r="T140">
        <v>-184171.98687358966</v>
      </c>
      <c r="U140">
        <v>54693.248164706863</v>
      </c>
      <c r="V140">
        <v>-184171.98687358966</v>
      </c>
      <c r="W140">
        <v>54693.248164706863</v>
      </c>
    </row>
    <row r="141" spans="2:23">
      <c r="O141" t="s">
        <v>462</v>
      </c>
      <c r="P141">
        <v>4.097037728895199E-3</v>
      </c>
      <c r="Q141">
        <v>1.0265579180459864E-3</v>
      </c>
      <c r="R141">
        <v>3.9910439117685175</v>
      </c>
      <c r="S141">
        <v>5.7426212694705714E-2</v>
      </c>
      <c r="T141">
        <v>-3.1988449943129091E-4</v>
      </c>
      <c r="U141">
        <v>8.5139599572216888E-3</v>
      </c>
      <c r="V141">
        <v>-3.1988449943129091E-4</v>
      </c>
      <c r="W141">
        <v>8.5139599572216888E-3</v>
      </c>
    </row>
    <row r="142" spans="2:23" ht="15.75" thickBot="1">
      <c r="O142" s="22" t="s">
        <v>450</v>
      </c>
      <c r="P142" s="22">
        <v>405862.26541363209</v>
      </c>
      <c r="Q142" s="22">
        <v>400137.13542482839</v>
      </c>
      <c r="R142" s="22">
        <v>1.014307919665405</v>
      </c>
      <c r="S142" s="22">
        <v>0.41718188168421388</v>
      </c>
      <c r="T142" s="22">
        <v>-1315788.8725961365</v>
      </c>
      <c r="U142" s="22">
        <v>2127513.4034234006</v>
      </c>
      <c r="V142" s="22">
        <v>-1315788.8725961365</v>
      </c>
      <c r="W142" s="22">
        <v>2127513.4034234006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154"/>
  <sheetViews>
    <sheetView zoomScale="62" zoomScaleNormal="62" workbookViewId="0">
      <selection activeCell="J18" sqref="J18"/>
    </sheetView>
  </sheetViews>
  <sheetFormatPr defaultRowHeight="15"/>
  <cols>
    <col min="1" max="2" width="11.140625" bestFit="1" customWidth="1"/>
    <col min="3" max="6" width="10.7109375" bestFit="1" customWidth="1"/>
    <col min="7" max="7" width="11.85546875" bestFit="1" customWidth="1"/>
    <col min="10" max="10" width="11.140625" bestFit="1" customWidth="1"/>
    <col min="11" max="11" width="25" bestFit="1" customWidth="1"/>
    <col min="12" max="12" width="11.42578125" bestFit="1" customWidth="1"/>
    <col min="13" max="13" width="17.7109375" bestFit="1" customWidth="1"/>
    <col min="14" max="14" width="18.140625" bestFit="1" customWidth="1"/>
    <col min="15" max="15" width="12.85546875" bestFit="1" customWidth="1"/>
    <col min="16" max="16" width="27.140625" bestFit="1" customWidth="1"/>
    <col min="17" max="17" width="28.42578125" bestFit="1" customWidth="1"/>
    <col min="21" max="21" width="26.5703125" bestFit="1" customWidth="1"/>
    <col min="22" max="22" width="15.5703125" bestFit="1" customWidth="1"/>
    <col min="23" max="23" width="17.85546875" bestFit="1" customWidth="1"/>
    <col min="24" max="25" width="14.140625" bestFit="1" customWidth="1"/>
    <col min="26" max="26" width="17.42578125" bestFit="1" customWidth="1"/>
    <col min="27" max="27" width="14.140625" bestFit="1" customWidth="1"/>
    <col min="28" max="28" width="15.5703125" bestFit="1" customWidth="1"/>
    <col min="29" max="29" width="15.28515625" bestFit="1" customWidth="1"/>
    <col min="30" max="30" width="9.140625" customWidth="1"/>
  </cols>
  <sheetData>
    <row r="1" spans="1:29" ht="16.5" thickBot="1">
      <c r="A1" s="41" t="s">
        <v>379</v>
      </c>
      <c r="B1" s="41" t="s">
        <v>380</v>
      </c>
      <c r="C1" s="41" t="s">
        <v>381</v>
      </c>
      <c r="D1" s="41" t="s">
        <v>382</v>
      </c>
      <c r="E1" s="41" t="s">
        <v>383</v>
      </c>
      <c r="F1" s="41" t="s">
        <v>384</v>
      </c>
      <c r="G1" s="41" t="s">
        <v>385</v>
      </c>
      <c r="H1" s="24"/>
      <c r="I1" s="1"/>
      <c r="J1" s="11" t="s">
        <v>380</v>
      </c>
      <c r="K1" s="11" t="s">
        <v>387</v>
      </c>
      <c r="L1" s="11" t="s">
        <v>388</v>
      </c>
      <c r="M1" s="11" t="s">
        <v>389</v>
      </c>
      <c r="N1" s="11" t="s">
        <v>390</v>
      </c>
      <c r="O1" s="11" t="s">
        <v>391</v>
      </c>
      <c r="P1" s="11" t="s">
        <v>392</v>
      </c>
      <c r="Q1" s="11" t="s">
        <v>393</v>
      </c>
      <c r="U1" s="44" t="s">
        <v>394</v>
      </c>
    </row>
    <row r="2" spans="1:29" ht="15.75" thickBot="1">
      <c r="A2" s="42" t="s">
        <v>388</v>
      </c>
      <c r="B2" s="43">
        <v>43280</v>
      </c>
      <c r="C2" s="42">
        <v>41998.66</v>
      </c>
      <c r="D2" s="42">
        <v>42081.88</v>
      </c>
      <c r="E2" s="42">
        <v>41750.01</v>
      </c>
      <c r="F2" s="42">
        <v>41910.9</v>
      </c>
      <c r="G2" s="42">
        <v>90718920</v>
      </c>
      <c r="I2" s="45"/>
      <c r="J2" s="46">
        <v>43280</v>
      </c>
      <c r="K2" s="47">
        <v>3149</v>
      </c>
      <c r="L2" s="47">
        <v>41910.9</v>
      </c>
      <c r="M2" s="48"/>
      <c r="N2" s="47"/>
      <c r="O2" s="49">
        <v>0.11385000000000001</v>
      </c>
      <c r="P2" s="47">
        <v>0</v>
      </c>
      <c r="Q2" s="47">
        <v>0</v>
      </c>
    </row>
    <row r="3" spans="1:29">
      <c r="A3" s="42" t="s">
        <v>388</v>
      </c>
      <c r="B3" s="43">
        <v>43283</v>
      </c>
      <c r="C3" s="42">
        <v>41948.67</v>
      </c>
      <c r="D3" s="42">
        <v>42136.52</v>
      </c>
      <c r="E3" s="42">
        <v>41609.699999999997</v>
      </c>
      <c r="F3" s="42">
        <v>41734.050000000003</v>
      </c>
      <c r="G3" s="42">
        <v>43089350</v>
      </c>
      <c r="H3" s="50"/>
      <c r="I3" s="45"/>
      <c r="J3" s="46">
        <v>43283</v>
      </c>
      <c r="K3" s="47">
        <v>2992</v>
      </c>
      <c r="L3" s="47">
        <v>41734.050000000003</v>
      </c>
      <c r="M3" s="51">
        <f>(K3-K2)/K2</f>
        <v>-4.9857097491267072E-2</v>
      </c>
      <c r="N3" s="51">
        <f>(L3-L2)/L2</f>
        <v>-4.2196660057407156E-3</v>
      </c>
      <c r="O3" s="52">
        <f>$O$2/360</f>
        <v>3.1625000000000002E-4</v>
      </c>
      <c r="P3" s="53">
        <f>M3-O3</f>
        <v>-5.0173347491267069E-2</v>
      </c>
      <c r="Q3" s="53">
        <f>N3-O3</f>
        <v>-4.5359160057407153E-3</v>
      </c>
      <c r="U3" s="54" t="s">
        <v>395</v>
      </c>
      <c r="V3" s="54"/>
    </row>
    <row r="4" spans="1:29">
      <c r="A4" s="42" t="s">
        <v>388</v>
      </c>
      <c r="B4" s="43">
        <v>43285</v>
      </c>
      <c r="C4" s="42">
        <v>41548.230000000003</v>
      </c>
      <c r="D4" s="42">
        <v>41548.230000000003</v>
      </c>
      <c r="E4" s="42">
        <v>40274.720000000001</v>
      </c>
      <c r="F4" s="42">
        <v>40345.68</v>
      </c>
      <c r="G4" s="42">
        <v>74724110</v>
      </c>
      <c r="H4" s="50"/>
      <c r="I4" s="45"/>
      <c r="J4" s="46">
        <v>43285</v>
      </c>
      <c r="K4" s="47">
        <v>2845.01</v>
      </c>
      <c r="L4" s="47">
        <v>40345.68</v>
      </c>
      <c r="M4" s="51">
        <f t="shared" ref="M4:N67" si="0">(K4-K3)/K3</f>
        <v>-4.9127673796791373E-2</v>
      </c>
      <c r="N4" s="51">
        <f t="shared" si="0"/>
        <v>-3.3267080477451923E-2</v>
      </c>
      <c r="O4" s="52">
        <f t="shared" ref="O4:O67" si="1">$O$2/360</f>
        <v>3.1625000000000002E-4</v>
      </c>
      <c r="P4" s="53">
        <f t="shared" ref="P4:P67" si="2">M4-O4</f>
        <v>-4.944392379679137E-2</v>
      </c>
      <c r="Q4" s="53">
        <f t="shared" ref="Q4:Q67" si="3">N4-O4</f>
        <v>-3.358333047745192E-2</v>
      </c>
      <c r="U4" t="s">
        <v>396</v>
      </c>
      <c r="V4">
        <v>4.9583024161535177E-2</v>
      </c>
    </row>
    <row r="5" spans="1:29">
      <c r="A5" s="42" t="s">
        <v>388</v>
      </c>
      <c r="B5" s="43">
        <v>43286</v>
      </c>
      <c r="C5" s="42">
        <v>40350.51</v>
      </c>
      <c r="D5" s="42">
        <v>40755.22</v>
      </c>
      <c r="E5" s="42">
        <v>40106.01</v>
      </c>
      <c r="F5" s="42">
        <v>40238.81</v>
      </c>
      <c r="G5" s="42">
        <v>93329730</v>
      </c>
      <c r="H5" s="50"/>
      <c r="I5" s="45"/>
      <c r="J5" s="46">
        <v>43286</v>
      </c>
      <c r="K5" s="47">
        <v>2712</v>
      </c>
      <c r="L5" s="47">
        <v>40238.81</v>
      </c>
      <c r="M5" s="51">
        <f t="shared" si="0"/>
        <v>-4.6752032506036961E-2</v>
      </c>
      <c r="N5" s="51">
        <f t="shared" si="0"/>
        <v>-2.6488585642874931E-3</v>
      </c>
      <c r="O5" s="52">
        <f t="shared" si="1"/>
        <v>3.1625000000000002E-4</v>
      </c>
      <c r="P5" s="53">
        <f>M5-O5</f>
        <v>-4.7068282506036958E-2</v>
      </c>
      <c r="Q5" s="53">
        <f t="shared" si="3"/>
        <v>-2.9651085642874932E-3</v>
      </c>
      <c r="U5" t="s">
        <v>397</v>
      </c>
      <c r="V5">
        <v>2.4584762850033809E-3</v>
      </c>
    </row>
    <row r="6" spans="1:29">
      <c r="A6" s="42" t="s">
        <v>388</v>
      </c>
      <c r="B6" s="43">
        <v>43290</v>
      </c>
      <c r="C6" s="42">
        <v>40349.25</v>
      </c>
      <c r="D6" s="42">
        <v>40372.9</v>
      </c>
      <c r="E6" s="42">
        <v>39067.15</v>
      </c>
      <c r="F6" s="42">
        <v>39288.480000000003</v>
      </c>
      <c r="G6" s="42">
        <v>75602560</v>
      </c>
      <c r="H6" s="50"/>
      <c r="I6" s="45"/>
      <c r="J6" s="46">
        <v>43290</v>
      </c>
      <c r="K6" s="47">
        <v>2715</v>
      </c>
      <c r="L6" s="47">
        <v>39288.480000000003</v>
      </c>
      <c r="M6" s="51">
        <f t="shared" si="0"/>
        <v>1.1061946902654867E-3</v>
      </c>
      <c r="N6" s="51">
        <f t="shared" si="0"/>
        <v>-2.3617249118450433E-2</v>
      </c>
      <c r="O6" s="52">
        <f t="shared" si="1"/>
        <v>3.1625000000000002E-4</v>
      </c>
      <c r="P6" s="53">
        <f t="shared" si="2"/>
        <v>7.8994469026548669E-4</v>
      </c>
      <c r="Q6" s="53">
        <f t="shared" si="3"/>
        <v>-2.3933499118450434E-2</v>
      </c>
      <c r="U6" t="s">
        <v>398</v>
      </c>
      <c r="V6">
        <v>-4.1477589713873253E-3</v>
      </c>
    </row>
    <row r="7" spans="1:29">
      <c r="A7" s="42" t="s">
        <v>388</v>
      </c>
      <c r="B7" s="43">
        <v>43291</v>
      </c>
      <c r="C7" s="42">
        <v>39261.360000000001</v>
      </c>
      <c r="D7" s="42">
        <v>39569.79</v>
      </c>
      <c r="E7" s="42">
        <v>38561.31</v>
      </c>
      <c r="F7" s="42">
        <v>39452.81</v>
      </c>
      <c r="G7" s="42">
        <v>116617330</v>
      </c>
      <c r="H7" s="50"/>
      <c r="I7" s="45"/>
      <c r="J7" s="46">
        <v>43291</v>
      </c>
      <c r="K7" s="47">
        <v>2800</v>
      </c>
      <c r="L7" s="47">
        <v>39452.81</v>
      </c>
      <c r="M7" s="51">
        <f t="shared" si="0"/>
        <v>3.1307550644567222E-2</v>
      </c>
      <c r="N7" s="51">
        <f t="shared" si="0"/>
        <v>4.1826509959152014E-3</v>
      </c>
      <c r="O7" s="52">
        <f t="shared" si="1"/>
        <v>3.1625000000000002E-4</v>
      </c>
      <c r="P7" s="53">
        <f t="shared" si="2"/>
        <v>3.0991300644567222E-2</v>
      </c>
      <c r="Q7" s="53">
        <f t="shared" si="3"/>
        <v>3.8664009959152013E-3</v>
      </c>
      <c r="U7" t="s">
        <v>399</v>
      </c>
      <c r="V7">
        <v>3.2729746813593648E-2</v>
      </c>
    </row>
    <row r="8" spans="1:29" ht="15.75" thickBot="1">
      <c r="A8" s="42" t="s">
        <v>388</v>
      </c>
      <c r="B8" s="43">
        <v>43293</v>
      </c>
      <c r="C8" s="42">
        <v>39570.239999999998</v>
      </c>
      <c r="D8" s="42">
        <v>39916.44</v>
      </c>
      <c r="E8" s="42">
        <v>39236.730000000003</v>
      </c>
      <c r="F8" s="42">
        <v>39875.120000000003</v>
      </c>
      <c r="G8" s="42">
        <v>59179390</v>
      </c>
      <c r="H8" s="50"/>
      <c r="I8" s="45"/>
      <c r="J8" s="46">
        <v>43293</v>
      </c>
      <c r="K8" s="47">
        <v>2940</v>
      </c>
      <c r="L8" s="47">
        <v>39875.120000000003</v>
      </c>
      <c r="M8" s="51">
        <f t="shared" si="0"/>
        <v>0.05</v>
      </c>
      <c r="N8" s="51">
        <f t="shared" si="0"/>
        <v>1.0704180513378007E-2</v>
      </c>
      <c r="O8" s="52">
        <f t="shared" si="1"/>
        <v>3.1625000000000002E-4</v>
      </c>
      <c r="P8" s="53">
        <f t="shared" si="2"/>
        <v>4.9683750000000006E-2</v>
      </c>
      <c r="Q8" s="53">
        <f t="shared" si="3"/>
        <v>1.0387930513378007E-2</v>
      </c>
      <c r="U8" s="22" t="s">
        <v>400</v>
      </c>
      <c r="V8" s="22">
        <v>153</v>
      </c>
    </row>
    <row r="9" spans="1:29">
      <c r="A9" s="42" t="s">
        <v>388</v>
      </c>
      <c r="B9" s="43">
        <v>43294</v>
      </c>
      <c r="C9" s="42">
        <v>39856.68</v>
      </c>
      <c r="D9" s="42">
        <v>40391.42</v>
      </c>
      <c r="E9" s="42">
        <v>39851.61</v>
      </c>
      <c r="F9" s="42">
        <v>40271</v>
      </c>
      <c r="G9" s="42">
        <v>87178560</v>
      </c>
      <c r="H9" s="50"/>
      <c r="I9" s="45"/>
      <c r="J9" s="46">
        <v>43294</v>
      </c>
      <c r="K9" s="47">
        <v>2919.78</v>
      </c>
      <c r="L9" s="47">
        <v>40271</v>
      </c>
      <c r="M9" s="51">
        <f t="shared" si="0"/>
        <v>-6.8775510204080953E-3</v>
      </c>
      <c r="N9" s="51">
        <f t="shared" si="0"/>
        <v>9.9279952010175102E-3</v>
      </c>
      <c r="O9" s="52">
        <f t="shared" si="1"/>
        <v>3.1625000000000002E-4</v>
      </c>
      <c r="P9" s="53">
        <f t="shared" si="2"/>
        <v>-7.193801020408095E-3</v>
      </c>
      <c r="Q9" s="53">
        <f t="shared" si="3"/>
        <v>9.6117452010175096E-3</v>
      </c>
    </row>
    <row r="10" spans="1:29" ht="15.75" thickBot="1">
      <c r="A10" s="42" t="s">
        <v>388</v>
      </c>
      <c r="B10" s="43">
        <v>43297</v>
      </c>
      <c r="C10" s="42">
        <v>40394.300000000003</v>
      </c>
      <c r="D10" s="42">
        <v>40464.86</v>
      </c>
      <c r="E10" s="42">
        <v>39396.370000000003</v>
      </c>
      <c r="F10" s="42">
        <v>39665.769999999997</v>
      </c>
      <c r="G10" s="42">
        <v>93216020</v>
      </c>
      <c r="H10" s="50"/>
      <c r="I10" s="45"/>
      <c r="J10" s="46">
        <v>43297</v>
      </c>
      <c r="K10" s="47">
        <v>3059</v>
      </c>
      <c r="L10" s="47">
        <v>39665.769999999997</v>
      </c>
      <c r="M10" s="51">
        <f t="shared" si="0"/>
        <v>4.7681674646719886E-2</v>
      </c>
      <c r="N10" s="51">
        <f t="shared" si="0"/>
        <v>-1.5028929005984534E-2</v>
      </c>
      <c r="O10" s="52">
        <f t="shared" si="1"/>
        <v>3.1625000000000002E-4</v>
      </c>
      <c r="P10" s="53">
        <f t="shared" si="2"/>
        <v>4.7365424646719889E-2</v>
      </c>
      <c r="Q10" s="53">
        <f t="shared" si="3"/>
        <v>-1.5345179005984535E-2</v>
      </c>
      <c r="U10" t="s">
        <v>401</v>
      </c>
    </row>
    <row r="11" spans="1:29">
      <c r="A11" s="42" t="s">
        <v>388</v>
      </c>
      <c r="B11" s="43">
        <v>43298</v>
      </c>
      <c r="C11" s="42">
        <v>39658.99</v>
      </c>
      <c r="D11" s="42">
        <v>40012.61</v>
      </c>
      <c r="E11" s="42">
        <v>39330.879999999997</v>
      </c>
      <c r="F11" s="42">
        <v>39932.980000000003</v>
      </c>
      <c r="G11" s="42">
        <v>86400820</v>
      </c>
      <c r="H11" s="50"/>
      <c r="I11" s="45"/>
      <c r="J11" s="46">
        <v>43298</v>
      </c>
      <c r="K11" s="47">
        <v>3194</v>
      </c>
      <c r="L11" s="47">
        <v>39932.980000000003</v>
      </c>
      <c r="M11" s="51">
        <f t="shared" si="0"/>
        <v>4.4132069303694017E-2</v>
      </c>
      <c r="N11" s="51">
        <f t="shared" si="0"/>
        <v>6.7365388343654095E-3</v>
      </c>
      <c r="O11" s="52">
        <f t="shared" si="1"/>
        <v>3.1625000000000002E-4</v>
      </c>
      <c r="P11" s="53">
        <f t="shared" si="2"/>
        <v>4.381581930369402E-2</v>
      </c>
      <c r="Q11" s="53">
        <f t="shared" si="3"/>
        <v>6.4202888343654098E-3</v>
      </c>
      <c r="U11" s="55"/>
      <c r="V11" s="55" t="s">
        <v>402</v>
      </c>
      <c r="W11" s="55" t="s">
        <v>403</v>
      </c>
      <c r="X11" s="55" t="s">
        <v>404</v>
      </c>
      <c r="Y11" s="55" t="s">
        <v>405</v>
      </c>
      <c r="Z11" s="55" t="s">
        <v>406</v>
      </c>
    </row>
    <row r="12" spans="1:29">
      <c r="A12" s="42" t="s">
        <v>388</v>
      </c>
      <c r="B12" s="43">
        <v>43299</v>
      </c>
      <c r="C12" s="42">
        <v>40017.550000000003</v>
      </c>
      <c r="D12" s="42">
        <v>40980.46</v>
      </c>
      <c r="E12" s="42">
        <v>40005.97</v>
      </c>
      <c r="F12" s="42">
        <v>40897.9</v>
      </c>
      <c r="G12" s="42">
        <v>131274210</v>
      </c>
      <c r="H12" s="50"/>
      <c r="I12" s="45"/>
      <c r="J12" s="46">
        <v>43299</v>
      </c>
      <c r="K12" s="47">
        <v>3249</v>
      </c>
      <c r="L12" s="47">
        <v>40897.9</v>
      </c>
      <c r="M12" s="51">
        <f t="shared" si="0"/>
        <v>1.7219787100814028E-2</v>
      </c>
      <c r="N12" s="51">
        <f t="shared" si="0"/>
        <v>2.4163485920660019E-2</v>
      </c>
      <c r="O12" s="52">
        <f t="shared" si="1"/>
        <v>3.1625000000000002E-4</v>
      </c>
      <c r="P12" s="53">
        <f t="shared" si="2"/>
        <v>1.6903537100814027E-2</v>
      </c>
      <c r="Q12" s="53">
        <f t="shared" si="3"/>
        <v>2.3847235920660018E-2</v>
      </c>
      <c r="U12" t="s">
        <v>407</v>
      </c>
      <c r="V12">
        <v>1</v>
      </c>
      <c r="W12">
        <v>3.98655058755637E-4</v>
      </c>
      <c r="X12">
        <v>3.98655058755637E-4</v>
      </c>
      <c r="Y12">
        <v>0.37214482827039996</v>
      </c>
      <c r="Z12">
        <v>0.54275442870051838</v>
      </c>
    </row>
    <row r="13" spans="1:29">
      <c r="A13" s="42" t="s">
        <v>388</v>
      </c>
      <c r="B13" s="43">
        <v>43301</v>
      </c>
      <c r="C13" s="42">
        <v>41810.959999999999</v>
      </c>
      <c r="D13" s="42">
        <v>41812.17</v>
      </c>
      <c r="E13" s="42">
        <v>41157.449999999997</v>
      </c>
      <c r="F13" s="42">
        <v>41221.75</v>
      </c>
      <c r="G13" s="42">
        <v>116445530</v>
      </c>
      <c r="H13" s="50"/>
      <c r="I13" s="45"/>
      <c r="J13" s="46">
        <v>43301</v>
      </c>
      <c r="K13" s="47">
        <v>3288</v>
      </c>
      <c r="L13" s="47">
        <v>41221.75</v>
      </c>
      <c r="M13" s="51">
        <f t="shared" si="0"/>
        <v>1.2003693444136657E-2</v>
      </c>
      <c r="N13" s="51">
        <f t="shared" si="0"/>
        <v>7.918499482858497E-3</v>
      </c>
      <c r="O13" s="52">
        <f t="shared" si="1"/>
        <v>3.1625000000000002E-4</v>
      </c>
      <c r="P13" s="53">
        <f t="shared" si="2"/>
        <v>1.1687443444136657E-2</v>
      </c>
      <c r="Q13" s="53">
        <f t="shared" si="3"/>
        <v>7.6022494828584973E-3</v>
      </c>
      <c r="U13" t="s">
        <v>408</v>
      </c>
      <c r="V13">
        <v>151</v>
      </c>
      <c r="W13">
        <v>0.16175668529877349</v>
      </c>
      <c r="X13">
        <v>1.0712363264819436E-3</v>
      </c>
    </row>
    <row r="14" spans="1:29" ht="15.75" thickBot="1">
      <c r="A14" s="42" t="s">
        <v>388</v>
      </c>
      <c r="B14" s="43">
        <v>43305</v>
      </c>
      <c r="C14" s="42">
        <v>40494.449999999997</v>
      </c>
      <c r="D14" s="42">
        <v>41467.85</v>
      </c>
      <c r="E14" s="42">
        <v>40485.660000000003</v>
      </c>
      <c r="F14" s="42">
        <v>41339.22</v>
      </c>
      <c r="G14" s="42">
        <v>107580270</v>
      </c>
      <c r="H14" s="50"/>
      <c r="I14" s="45"/>
      <c r="J14" s="46">
        <v>43305</v>
      </c>
      <c r="K14" s="47">
        <v>3123.6</v>
      </c>
      <c r="L14" s="47">
        <v>41339.22</v>
      </c>
      <c r="M14" s="51">
        <f t="shared" si="0"/>
        <v>-5.0000000000000031E-2</v>
      </c>
      <c r="N14" s="51">
        <f t="shared" si="0"/>
        <v>2.8497091947819091E-3</v>
      </c>
      <c r="O14" s="52">
        <f t="shared" si="1"/>
        <v>3.1625000000000002E-4</v>
      </c>
      <c r="P14" s="53">
        <f t="shared" si="2"/>
        <v>-5.0316250000000028E-2</v>
      </c>
      <c r="Q14" s="53">
        <f t="shared" si="3"/>
        <v>2.533459194781909E-3</v>
      </c>
      <c r="U14" s="22" t="s">
        <v>5</v>
      </c>
      <c r="V14" s="22">
        <v>152</v>
      </c>
      <c r="W14" s="22">
        <v>0.16215534035752913</v>
      </c>
      <c r="X14" s="22"/>
      <c r="Y14" s="22"/>
      <c r="Z14" s="22"/>
    </row>
    <row r="15" spans="1:29" ht="15.75" thickBot="1">
      <c r="A15" s="42" t="s">
        <v>388</v>
      </c>
      <c r="B15" s="43">
        <v>43307</v>
      </c>
      <c r="C15" s="42">
        <v>42106.57</v>
      </c>
      <c r="D15" s="42">
        <v>42136.32</v>
      </c>
      <c r="E15" s="42">
        <v>41698.35</v>
      </c>
      <c r="F15" s="42">
        <v>42089.16</v>
      </c>
      <c r="G15" s="42">
        <v>129858630</v>
      </c>
      <c r="H15" s="50"/>
      <c r="I15" s="45"/>
      <c r="J15" s="46">
        <v>43307</v>
      </c>
      <c r="K15" s="47">
        <v>2980</v>
      </c>
      <c r="L15" s="47">
        <v>42089.16</v>
      </c>
      <c r="M15" s="51">
        <f t="shared" si="0"/>
        <v>-4.5972595722883827E-2</v>
      </c>
      <c r="N15" s="51">
        <f t="shared" si="0"/>
        <v>1.8141126029954179E-2</v>
      </c>
      <c r="O15" s="52">
        <f t="shared" si="1"/>
        <v>3.1625000000000002E-4</v>
      </c>
      <c r="P15" s="53">
        <f t="shared" si="2"/>
        <v>-4.6288845722883824E-2</v>
      </c>
      <c r="Q15" s="53">
        <f t="shared" si="3"/>
        <v>1.7824876029954178E-2</v>
      </c>
    </row>
    <row r="16" spans="1:29">
      <c r="A16" s="42" t="s">
        <v>388</v>
      </c>
      <c r="B16" s="43">
        <v>43308</v>
      </c>
      <c r="C16" s="42">
        <v>42089.56</v>
      </c>
      <c r="D16" s="42">
        <v>42845.49</v>
      </c>
      <c r="E16" s="42">
        <v>42009.41</v>
      </c>
      <c r="F16" s="42">
        <v>42786.45</v>
      </c>
      <c r="G16" s="42">
        <v>187532240</v>
      </c>
      <c r="H16" s="50"/>
      <c r="I16" s="45"/>
      <c r="J16" s="46">
        <v>43308</v>
      </c>
      <c r="K16" s="47">
        <v>2890</v>
      </c>
      <c r="L16" s="47">
        <v>42786.45</v>
      </c>
      <c r="M16" s="51">
        <f t="shared" si="0"/>
        <v>-3.0201342281879196E-2</v>
      </c>
      <c r="N16" s="51">
        <f t="shared" si="0"/>
        <v>1.6566973539029847E-2</v>
      </c>
      <c r="O16" s="52">
        <f t="shared" si="1"/>
        <v>3.1625000000000002E-4</v>
      </c>
      <c r="P16" s="53">
        <f t="shared" si="2"/>
        <v>-3.0517592281879197E-2</v>
      </c>
      <c r="Q16" s="53">
        <f t="shared" si="3"/>
        <v>1.6250723539029847E-2</v>
      </c>
      <c r="U16" s="55"/>
      <c r="V16" s="55" t="s">
        <v>409</v>
      </c>
      <c r="W16" s="55" t="s">
        <v>399</v>
      </c>
      <c r="X16" s="55" t="s">
        <v>410</v>
      </c>
      <c r="Y16" s="55" t="s">
        <v>411</v>
      </c>
      <c r="Z16" s="55" t="s">
        <v>412</v>
      </c>
      <c r="AA16" s="55" t="s">
        <v>413</v>
      </c>
      <c r="AB16" s="55" t="s">
        <v>414</v>
      </c>
      <c r="AC16" s="55" t="s">
        <v>415</v>
      </c>
    </row>
    <row r="17" spans="1:29">
      <c r="A17" s="42" t="s">
        <v>388</v>
      </c>
      <c r="B17" s="43">
        <v>43311</v>
      </c>
      <c r="C17" s="42">
        <v>43045.59</v>
      </c>
      <c r="D17" s="42">
        <v>43605.04</v>
      </c>
      <c r="E17" s="42">
        <v>43045.59</v>
      </c>
      <c r="F17" s="42">
        <v>43556.63</v>
      </c>
      <c r="G17" s="42">
        <v>176405630</v>
      </c>
      <c r="H17" s="50"/>
      <c r="I17" s="45"/>
      <c r="J17" s="46">
        <v>43311</v>
      </c>
      <c r="K17" s="47">
        <v>3034.5</v>
      </c>
      <c r="L17" s="47">
        <v>43556.63</v>
      </c>
      <c r="M17" s="51">
        <f t="shared" si="0"/>
        <v>0.05</v>
      </c>
      <c r="N17" s="51">
        <f t="shared" si="0"/>
        <v>1.8000558588057675E-2</v>
      </c>
      <c r="O17" s="52">
        <f t="shared" si="1"/>
        <v>3.1625000000000002E-4</v>
      </c>
      <c r="P17" s="53">
        <f t="shared" si="2"/>
        <v>4.9683750000000006E-2</v>
      </c>
      <c r="Q17" s="53">
        <f t="shared" si="3"/>
        <v>1.7684308588057675E-2</v>
      </c>
      <c r="U17" t="s">
        <v>416</v>
      </c>
      <c r="V17">
        <v>-2.2764761302534455E-3</v>
      </c>
      <c r="W17">
        <v>2.6579842375397829E-3</v>
      </c>
      <c r="X17">
        <v>-0.85646712952690063</v>
      </c>
      <c r="Y17">
        <v>0.39309657289716893</v>
      </c>
      <c r="Z17">
        <v>-7.5281185263095882E-3</v>
      </c>
      <c r="AA17">
        <v>2.9751662658026971E-3</v>
      </c>
      <c r="AB17">
        <v>-7.5281185263095882E-3</v>
      </c>
      <c r="AC17">
        <v>2.9751662658026971E-3</v>
      </c>
    </row>
    <row r="18" spans="1:29" ht="15.75" thickBot="1">
      <c r="A18" s="42" t="s">
        <v>388</v>
      </c>
      <c r="B18" s="43">
        <v>43312</v>
      </c>
      <c r="C18" s="42">
        <v>43638.76</v>
      </c>
      <c r="D18" s="42">
        <v>43638.86</v>
      </c>
      <c r="E18" s="42">
        <v>42603.1</v>
      </c>
      <c r="F18" s="42">
        <v>42712.43</v>
      </c>
      <c r="G18" s="42">
        <v>158009440</v>
      </c>
      <c r="H18" s="50"/>
      <c r="I18" s="45"/>
      <c r="J18" s="46">
        <v>43312</v>
      </c>
      <c r="K18" s="47">
        <v>3150</v>
      </c>
      <c r="L18" s="47">
        <v>42712.43</v>
      </c>
      <c r="M18" s="51">
        <f t="shared" si="0"/>
        <v>3.8062283737024222E-2</v>
      </c>
      <c r="N18" s="51">
        <f t="shared" si="0"/>
        <v>-1.9381664743117113E-2</v>
      </c>
      <c r="O18" s="52">
        <f t="shared" si="1"/>
        <v>3.1625000000000002E-4</v>
      </c>
      <c r="P18" s="53">
        <f t="shared" si="2"/>
        <v>3.7746033737024225E-2</v>
      </c>
      <c r="Q18" s="53">
        <f t="shared" si="3"/>
        <v>-1.9697914743117113E-2</v>
      </c>
      <c r="U18" s="22" t="s">
        <v>393</v>
      </c>
      <c r="V18" s="22">
        <v>0.10228072514577198</v>
      </c>
      <c r="W18" s="22">
        <v>0.16766322070953163</v>
      </c>
      <c r="X18" s="22">
        <v>0.61003674337717961</v>
      </c>
      <c r="Y18" s="22">
        <v>0.54275442870060786</v>
      </c>
      <c r="Z18" s="22">
        <v>-0.22898808589596986</v>
      </c>
      <c r="AA18" s="22">
        <v>0.4335495361875138</v>
      </c>
      <c r="AB18" s="22">
        <v>-0.22898808589596986</v>
      </c>
      <c r="AC18" s="22">
        <v>0.4335495361875138</v>
      </c>
    </row>
    <row r="19" spans="1:29">
      <c r="A19" s="42" t="s">
        <v>388</v>
      </c>
      <c r="B19" s="43">
        <v>43313</v>
      </c>
      <c r="C19" s="42">
        <v>42742.89</v>
      </c>
      <c r="D19" s="42">
        <v>42942.23</v>
      </c>
      <c r="E19" s="42">
        <v>42527.44</v>
      </c>
      <c r="F19" s="42">
        <v>42810.04</v>
      </c>
      <c r="G19" s="42">
        <v>123658890</v>
      </c>
      <c r="H19" s="50"/>
      <c r="I19" s="45"/>
      <c r="J19" s="46">
        <v>43313</v>
      </c>
      <c r="K19" s="47">
        <v>3150</v>
      </c>
      <c r="L19" s="47">
        <v>42810.04</v>
      </c>
      <c r="M19" s="51">
        <f t="shared" si="0"/>
        <v>0</v>
      </c>
      <c r="N19" s="51">
        <f t="shared" si="0"/>
        <v>2.2852832301978741E-3</v>
      </c>
      <c r="O19" s="52">
        <f t="shared" si="1"/>
        <v>3.1625000000000002E-4</v>
      </c>
      <c r="P19" s="53">
        <f t="shared" si="2"/>
        <v>-3.1625000000000002E-4</v>
      </c>
      <c r="Q19" s="53">
        <f t="shared" si="3"/>
        <v>1.969033230197874E-3</v>
      </c>
    </row>
    <row r="20" spans="1:29">
      <c r="A20" s="42" t="s">
        <v>388</v>
      </c>
      <c r="B20" s="43">
        <v>43314</v>
      </c>
      <c r="C20" s="42">
        <v>42936.7</v>
      </c>
      <c r="D20" s="42">
        <v>42977.91</v>
      </c>
      <c r="E20" s="42">
        <v>42286.2</v>
      </c>
      <c r="F20" s="42">
        <v>42330.32</v>
      </c>
      <c r="G20" s="42">
        <v>170118210</v>
      </c>
      <c r="H20" s="50"/>
      <c r="I20" s="45"/>
      <c r="J20" s="46">
        <v>43314</v>
      </c>
      <c r="K20" s="47">
        <v>3031</v>
      </c>
      <c r="L20" s="47">
        <v>42330.32</v>
      </c>
      <c r="M20" s="51">
        <f t="shared" si="0"/>
        <v>-3.7777777777777778E-2</v>
      </c>
      <c r="N20" s="51">
        <f t="shared" si="0"/>
        <v>-1.1205782568761934E-2</v>
      </c>
      <c r="O20" s="52">
        <f t="shared" si="1"/>
        <v>3.1625000000000002E-4</v>
      </c>
      <c r="P20" s="53">
        <f t="shared" si="2"/>
        <v>-3.8094027777777775E-2</v>
      </c>
      <c r="Q20" s="53">
        <f t="shared" si="3"/>
        <v>-1.1522032568761935E-2</v>
      </c>
    </row>
    <row r="21" spans="1:29">
      <c r="A21" s="42" t="s">
        <v>388</v>
      </c>
      <c r="B21" s="43">
        <v>43315</v>
      </c>
      <c r="C21" s="42">
        <v>42233.74</v>
      </c>
      <c r="D21" s="42">
        <v>42553.37</v>
      </c>
      <c r="E21" s="42">
        <v>42097.07</v>
      </c>
      <c r="F21" s="42">
        <v>42505.05</v>
      </c>
      <c r="G21" s="42">
        <v>114139950</v>
      </c>
      <c r="H21" s="50"/>
      <c r="I21" s="45"/>
      <c r="J21" s="46">
        <v>43315</v>
      </c>
      <c r="K21" s="47">
        <v>3070</v>
      </c>
      <c r="L21" s="47">
        <v>42505.05</v>
      </c>
      <c r="M21" s="51">
        <f t="shared" si="0"/>
        <v>1.2867040580666447E-2</v>
      </c>
      <c r="N21" s="51">
        <f t="shared" si="0"/>
        <v>4.1277741344738998E-3</v>
      </c>
      <c r="O21" s="52">
        <f t="shared" si="1"/>
        <v>3.1625000000000002E-4</v>
      </c>
      <c r="P21" s="53">
        <f t="shared" si="2"/>
        <v>1.2550790580666446E-2</v>
      </c>
      <c r="Q21" s="53">
        <f t="shared" si="3"/>
        <v>3.8115241344738996E-3</v>
      </c>
    </row>
    <row r="22" spans="1:29">
      <c r="A22" s="42" t="s">
        <v>388</v>
      </c>
      <c r="B22" s="43">
        <v>43318</v>
      </c>
      <c r="C22" s="42">
        <v>42564.41</v>
      </c>
      <c r="D22" s="42">
        <v>42854.32</v>
      </c>
      <c r="E22" s="42">
        <v>42452.97</v>
      </c>
      <c r="F22" s="42">
        <v>42808.66</v>
      </c>
      <c r="G22" s="42">
        <v>76539370</v>
      </c>
      <c r="H22" s="50"/>
      <c r="I22" s="45"/>
      <c r="J22" s="46">
        <v>43318</v>
      </c>
      <c r="K22" s="47">
        <v>3100</v>
      </c>
      <c r="L22" s="47">
        <v>42808.66</v>
      </c>
      <c r="M22" s="51">
        <f t="shared" si="0"/>
        <v>9.7719869706840382E-3</v>
      </c>
      <c r="N22" s="51">
        <f t="shared" si="0"/>
        <v>7.1429159593977788E-3</v>
      </c>
      <c r="O22" s="52">
        <f t="shared" si="1"/>
        <v>3.1625000000000002E-4</v>
      </c>
      <c r="P22" s="53">
        <f t="shared" si="2"/>
        <v>9.4557369706840377E-3</v>
      </c>
      <c r="Q22" s="53">
        <f t="shared" si="3"/>
        <v>6.8266659593977791E-3</v>
      </c>
    </row>
    <row r="23" spans="1:29">
      <c r="A23" s="42" t="s">
        <v>388</v>
      </c>
      <c r="B23" s="43">
        <v>43319</v>
      </c>
      <c r="C23" s="42">
        <v>42838.3</v>
      </c>
      <c r="D23" s="42">
        <v>42993.18</v>
      </c>
      <c r="E23" s="42">
        <v>42705.04</v>
      </c>
      <c r="F23" s="42">
        <v>42760.13</v>
      </c>
      <c r="G23" s="42">
        <v>129184420</v>
      </c>
      <c r="H23" s="50"/>
      <c r="I23" s="45"/>
      <c r="J23" s="46">
        <v>43319</v>
      </c>
      <c r="K23" s="47">
        <v>3050</v>
      </c>
      <c r="L23" s="47">
        <v>42760.13</v>
      </c>
      <c r="M23" s="51">
        <f t="shared" si="0"/>
        <v>-1.6129032258064516E-2</v>
      </c>
      <c r="N23" s="51">
        <f t="shared" si="0"/>
        <v>-1.1336491261349014E-3</v>
      </c>
      <c r="O23" s="52">
        <f t="shared" si="1"/>
        <v>3.1625000000000002E-4</v>
      </c>
      <c r="P23" s="53">
        <f t="shared" si="2"/>
        <v>-1.6445282258064516E-2</v>
      </c>
      <c r="Q23" s="53">
        <f t="shared" si="3"/>
        <v>-1.4498991261349013E-3</v>
      </c>
    </row>
    <row r="24" spans="1:29">
      <c r="A24" s="42" t="s">
        <v>388</v>
      </c>
      <c r="B24" s="43">
        <v>43320</v>
      </c>
      <c r="C24" s="42">
        <v>42784.800000000003</v>
      </c>
      <c r="D24" s="42">
        <v>42857.120000000003</v>
      </c>
      <c r="E24" s="42">
        <v>42639.24</v>
      </c>
      <c r="F24" s="42">
        <v>42731.86</v>
      </c>
      <c r="G24" s="42">
        <v>92948060</v>
      </c>
      <c r="H24" s="50"/>
      <c r="I24" s="45"/>
      <c r="J24" s="46">
        <v>43320</v>
      </c>
      <c r="K24" s="47">
        <v>3051.05</v>
      </c>
      <c r="L24" s="47">
        <v>42731.86</v>
      </c>
      <c r="M24" s="51">
        <f t="shared" si="0"/>
        <v>3.4426229508202687E-4</v>
      </c>
      <c r="N24" s="51">
        <f t="shared" si="0"/>
        <v>-6.6112988898763404E-4</v>
      </c>
      <c r="O24" s="52">
        <f t="shared" si="1"/>
        <v>3.1625000000000002E-4</v>
      </c>
      <c r="P24" s="53">
        <f t="shared" si="2"/>
        <v>2.8012295082026849E-5</v>
      </c>
      <c r="Q24" s="53">
        <f t="shared" si="3"/>
        <v>-9.7737988898763395E-4</v>
      </c>
    </row>
    <row r="25" spans="1:29">
      <c r="A25" s="42" t="s">
        <v>388</v>
      </c>
      <c r="B25" s="43">
        <v>43321</v>
      </c>
      <c r="C25" s="42">
        <v>42760.66</v>
      </c>
      <c r="D25" s="42">
        <v>42960.94</v>
      </c>
      <c r="E25" s="42">
        <v>42695.22</v>
      </c>
      <c r="F25" s="42">
        <v>42923.95</v>
      </c>
      <c r="G25" s="42">
        <v>107396070</v>
      </c>
      <c r="H25" s="50"/>
      <c r="I25" s="45"/>
      <c r="J25" s="46">
        <v>43321</v>
      </c>
      <c r="K25" s="47">
        <v>3008.01</v>
      </c>
      <c r="L25" s="47">
        <v>42923.95</v>
      </c>
      <c r="M25" s="51">
        <f t="shared" si="0"/>
        <v>-1.4106619032791977E-2</v>
      </c>
      <c r="N25" s="51">
        <f t="shared" si="0"/>
        <v>4.4952407875528122E-3</v>
      </c>
      <c r="O25" s="52">
        <f t="shared" si="1"/>
        <v>3.1625000000000002E-4</v>
      </c>
      <c r="P25" s="53">
        <f t="shared" si="2"/>
        <v>-1.4422869032791977E-2</v>
      </c>
      <c r="Q25" s="53">
        <f t="shared" si="3"/>
        <v>4.1789907875528125E-3</v>
      </c>
    </row>
    <row r="26" spans="1:29">
      <c r="A26" s="42" t="s">
        <v>388</v>
      </c>
      <c r="B26" s="43">
        <v>43325</v>
      </c>
      <c r="C26" s="42">
        <v>42813.29</v>
      </c>
      <c r="D26" s="42">
        <v>42858.74</v>
      </c>
      <c r="E26" s="42">
        <v>42594.14</v>
      </c>
      <c r="F26" s="42">
        <v>42637.58</v>
      </c>
      <c r="G26" s="42">
        <v>87287550</v>
      </c>
      <c r="H26" s="50"/>
      <c r="I26" s="45"/>
      <c r="J26" s="46">
        <v>43325</v>
      </c>
      <c r="K26" s="47">
        <v>2991.67</v>
      </c>
      <c r="L26" s="47">
        <v>42637.58</v>
      </c>
      <c r="M26" s="51">
        <f t="shared" si="0"/>
        <v>-5.4321627920120427E-3</v>
      </c>
      <c r="N26" s="51">
        <f t="shared" si="0"/>
        <v>-6.6715668059438927E-3</v>
      </c>
      <c r="O26" s="52">
        <f t="shared" si="1"/>
        <v>3.1625000000000002E-4</v>
      </c>
      <c r="P26" s="53">
        <f t="shared" si="2"/>
        <v>-5.7484127920120424E-3</v>
      </c>
      <c r="Q26" s="53">
        <f t="shared" si="3"/>
        <v>-6.9878168059438923E-3</v>
      </c>
    </row>
    <row r="27" spans="1:29">
      <c r="A27" s="42" t="s">
        <v>388</v>
      </c>
      <c r="B27" s="43">
        <v>43327</v>
      </c>
      <c r="C27" s="42">
        <v>42764.95</v>
      </c>
      <c r="D27" s="42">
        <v>42852.57</v>
      </c>
      <c r="E27" s="42">
        <v>42368.07</v>
      </c>
      <c r="F27" s="42">
        <v>42446.559999999998</v>
      </c>
      <c r="G27" s="42">
        <v>74875130</v>
      </c>
      <c r="H27" s="50"/>
      <c r="I27" s="45"/>
      <c r="J27" s="46">
        <v>43327</v>
      </c>
      <c r="K27" s="47">
        <v>3000</v>
      </c>
      <c r="L27" s="47">
        <v>42446.559999999998</v>
      </c>
      <c r="M27" s="51">
        <f t="shared" si="0"/>
        <v>2.784398011812776E-3</v>
      </c>
      <c r="N27" s="51">
        <f t="shared" si="0"/>
        <v>-4.4800854082244837E-3</v>
      </c>
      <c r="O27" s="52">
        <f t="shared" si="1"/>
        <v>3.1625000000000002E-4</v>
      </c>
      <c r="P27" s="53">
        <f t="shared" si="2"/>
        <v>2.4681480118127759E-3</v>
      </c>
      <c r="Q27" s="53">
        <f t="shared" si="3"/>
        <v>-4.7963354082244834E-3</v>
      </c>
    </row>
    <row r="28" spans="1:29">
      <c r="A28" s="42" t="s">
        <v>388</v>
      </c>
      <c r="B28" s="43">
        <v>43328</v>
      </c>
      <c r="C28" s="42">
        <v>42422.98</v>
      </c>
      <c r="D28" s="42">
        <v>42483.11</v>
      </c>
      <c r="E28" s="42">
        <v>41750.54</v>
      </c>
      <c r="F28" s="42">
        <v>41960.800000000003</v>
      </c>
      <c r="G28" s="42">
        <v>83623550</v>
      </c>
      <c r="H28" s="50"/>
      <c r="I28" s="45"/>
      <c r="J28" s="46">
        <v>43328</v>
      </c>
      <c r="K28" s="47">
        <v>3000</v>
      </c>
      <c r="L28" s="47">
        <v>41960.800000000003</v>
      </c>
      <c r="M28" s="51">
        <f t="shared" si="0"/>
        <v>0</v>
      </c>
      <c r="N28" s="51">
        <f t="shared" si="0"/>
        <v>-1.1444036925489245E-2</v>
      </c>
      <c r="O28" s="52">
        <f t="shared" si="1"/>
        <v>3.1625000000000002E-4</v>
      </c>
      <c r="P28" s="53">
        <f t="shared" si="2"/>
        <v>-3.1625000000000002E-4</v>
      </c>
      <c r="Q28" s="53">
        <f t="shared" si="3"/>
        <v>-1.1760286925489246E-2</v>
      </c>
    </row>
    <row r="29" spans="1:29">
      <c r="A29" s="42" t="s">
        <v>388</v>
      </c>
      <c r="B29" s="43">
        <v>43329</v>
      </c>
      <c r="C29" s="42">
        <v>42006.53</v>
      </c>
      <c r="D29" s="42">
        <v>42552.84</v>
      </c>
      <c r="E29" s="42">
        <v>41992.160000000003</v>
      </c>
      <c r="F29" s="42">
        <v>42446.62</v>
      </c>
      <c r="G29" s="42">
        <v>111780100</v>
      </c>
      <c r="H29" s="50"/>
      <c r="I29" s="45"/>
      <c r="J29" s="46">
        <v>43329</v>
      </c>
      <c r="K29" s="47">
        <v>3000</v>
      </c>
      <c r="L29" s="47">
        <v>42446.62</v>
      </c>
      <c r="M29" s="51">
        <f t="shared" si="0"/>
        <v>0</v>
      </c>
      <c r="N29" s="51">
        <f t="shared" si="0"/>
        <v>1.1577948942822817E-2</v>
      </c>
      <c r="O29" s="52">
        <f t="shared" si="1"/>
        <v>3.1625000000000002E-4</v>
      </c>
      <c r="P29" s="53">
        <f t="shared" si="2"/>
        <v>-3.1625000000000002E-4</v>
      </c>
      <c r="Q29" s="53">
        <f t="shared" si="3"/>
        <v>1.1261698942822817E-2</v>
      </c>
    </row>
    <row r="30" spans="1:29">
      <c r="A30" s="42" t="s">
        <v>388</v>
      </c>
      <c r="B30" s="43">
        <v>43336</v>
      </c>
      <c r="C30" s="42">
        <v>42445.43</v>
      </c>
      <c r="D30" s="42">
        <v>42618.16</v>
      </c>
      <c r="E30" s="42">
        <v>42280.54</v>
      </c>
      <c r="F30" s="42">
        <v>42588.29</v>
      </c>
      <c r="G30" s="42">
        <v>49173890</v>
      </c>
      <c r="H30" s="50"/>
      <c r="I30" s="45"/>
      <c r="J30" s="46">
        <v>43336</v>
      </c>
      <c r="K30" s="47">
        <v>2953</v>
      </c>
      <c r="L30" s="47">
        <v>42588.29</v>
      </c>
      <c r="M30" s="51">
        <f t="shared" si="0"/>
        <v>-1.5666666666666666E-2</v>
      </c>
      <c r="N30" s="51">
        <f t="shared" si="0"/>
        <v>3.3376037950724521E-3</v>
      </c>
      <c r="O30" s="52">
        <f t="shared" si="1"/>
        <v>3.1625000000000002E-4</v>
      </c>
      <c r="P30" s="53">
        <f t="shared" si="2"/>
        <v>-1.5982916666666666E-2</v>
      </c>
      <c r="Q30" s="53">
        <f t="shared" si="3"/>
        <v>3.0213537950724519E-3</v>
      </c>
    </row>
    <row r="31" spans="1:29">
      <c r="A31" s="42" t="s">
        <v>388</v>
      </c>
      <c r="B31" s="43">
        <v>43339</v>
      </c>
      <c r="C31" s="42">
        <v>42618.01</v>
      </c>
      <c r="D31" s="42">
        <v>42873.120000000003</v>
      </c>
      <c r="E31" s="42">
        <v>42612.51</v>
      </c>
      <c r="F31" s="42">
        <v>42745.78</v>
      </c>
      <c r="G31" s="42">
        <v>106932260</v>
      </c>
      <c r="H31" s="50"/>
      <c r="I31" s="45"/>
      <c r="J31" s="46">
        <v>43339</v>
      </c>
      <c r="K31" s="47">
        <v>2883.55</v>
      </c>
      <c r="L31" s="47">
        <v>42745.78</v>
      </c>
      <c r="M31" s="51">
        <f t="shared" si="0"/>
        <v>-2.3518455807653174E-2</v>
      </c>
      <c r="N31" s="51">
        <f t="shared" si="0"/>
        <v>3.6979648631113846E-3</v>
      </c>
      <c r="O31" s="52">
        <f t="shared" si="1"/>
        <v>3.1625000000000002E-4</v>
      </c>
      <c r="P31" s="53">
        <f t="shared" si="2"/>
        <v>-2.3834705807653175E-2</v>
      </c>
      <c r="Q31" s="53">
        <f t="shared" si="3"/>
        <v>3.3817148631113845E-3</v>
      </c>
    </row>
    <row r="32" spans="1:29">
      <c r="A32" s="42" t="s">
        <v>388</v>
      </c>
      <c r="B32" s="43">
        <v>43341</v>
      </c>
      <c r="C32" s="42">
        <v>42564.34</v>
      </c>
      <c r="D32" s="42">
        <v>42628.34</v>
      </c>
      <c r="E32" s="42">
        <v>42157.63</v>
      </c>
      <c r="F32" s="42">
        <v>42249.440000000002</v>
      </c>
      <c r="G32" s="42">
        <v>58716930</v>
      </c>
      <c r="H32" s="50"/>
      <c r="I32" s="45"/>
      <c r="J32" s="46">
        <v>43341</v>
      </c>
      <c r="K32" s="47">
        <v>2900</v>
      </c>
      <c r="L32" s="47">
        <v>42249.440000000002</v>
      </c>
      <c r="M32" s="51">
        <f t="shared" si="0"/>
        <v>5.7047736297271825E-3</v>
      </c>
      <c r="N32" s="51">
        <f t="shared" si="0"/>
        <v>-1.1611438602828081E-2</v>
      </c>
      <c r="O32" s="52">
        <f t="shared" si="1"/>
        <v>3.1625000000000002E-4</v>
      </c>
      <c r="P32" s="53">
        <f t="shared" si="2"/>
        <v>5.3885236297271828E-3</v>
      </c>
      <c r="Q32" s="53">
        <f t="shared" si="3"/>
        <v>-1.1927688602828081E-2</v>
      </c>
    </row>
    <row r="33" spans="1:17">
      <c r="A33" s="42" t="s">
        <v>388</v>
      </c>
      <c r="B33" s="43">
        <v>43342</v>
      </c>
      <c r="C33" s="42">
        <v>42261.440000000002</v>
      </c>
      <c r="D33" s="42">
        <v>42273.52</v>
      </c>
      <c r="E33" s="42">
        <v>41659.26</v>
      </c>
      <c r="F33" s="42">
        <v>41863.519999999997</v>
      </c>
      <c r="G33" s="42">
        <v>85926660</v>
      </c>
      <c r="H33" s="50"/>
      <c r="I33" s="45"/>
      <c r="J33" s="46">
        <v>43342</v>
      </c>
      <c r="K33" s="47">
        <v>3045</v>
      </c>
      <c r="L33" s="47">
        <v>41863.519999999997</v>
      </c>
      <c r="M33" s="51">
        <f t="shared" si="0"/>
        <v>0.05</v>
      </c>
      <c r="N33" s="51">
        <f t="shared" si="0"/>
        <v>-9.1343222537388774E-3</v>
      </c>
      <c r="O33" s="52">
        <f t="shared" si="1"/>
        <v>3.1625000000000002E-4</v>
      </c>
      <c r="P33" s="53">
        <f t="shared" si="2"/>
        <v>4.9683750000000006E-2</v>
      </c>
      <c r="Q33" s="53">
        <f t="shared" si="3"/>
        <v>-9.450572253738878E-3</v>
      </c>
    </row>
    <row r="34" spans="1:17">
      <c r="A34" s="42" t="s">
        <v>388</v>
      </c>
      <c r="B34" s="43">
        <v>43343</v>
      </c>
      <c r="C34" s="42">
        <v>41888.230000000003</v>
      </c>
      <c r="D34" s="42">
        <v>42006.03</v>
      </c>
      <c r="E34" s="42">
        <v>41626.47</v>
      </c>
      <c r="F34" s="42">
        <v>41742.239999999998</v>
      </c>
      <c r="G34" s="42">
        <v>88497880</v>
      </c>
      <c r="H34" s="50"/>
      <c r="I34" s="45"/>
      <c r="J34" s="46">
        <v>43343</v>
      </c>
      <c r="K34" s="47">
        <v>2893</v>
      </c>
      <c r="L34" s="47">
        <v>41742.239999999998</v>
      </c>
      <c r="M34" s="51">
        <f t="shared" si="0"/>
        <v>-4.991789819376026E-2</v>
      </c>
      <c r="N34" s="51">
        <f t="shared" si="0"/>
        <v>-2.8970330254120733E-3</v>
      </c>
      <c r="O34" s="52">
        <f t="shared" si="1"/>
        <v>3.1625000000000002E-4</v>
      </c>
      <c r="P34" s="53">
        <f t="shared" si="2"/>
        <v>-5.0234148193760257E-2</v>
      </c>
      <c r="Q34" s="53">
        <f t="shared" si="3"/>
        <v>-3.2132830254120734E-3</v>
      </c>
    </row>
    <row r="35" spans="1:17">
      <c r="A35" s="42" t="s">
        <v>388</v>
      </c>
      <c r="B35" s="43">
        <v>43348</v>
      </c>
      <c r="C35" s="42">
        <v>41766.769999999997</v>
      </c>
      <c r="D35" s="42">
        <v>41805.339999999997</v>
      </c>
      <c r="E35" s="42">
        <v>41493.660000000003</v>
      </c>
      <c r="F35" s="42">
        <v>41620.959999999999</v>
      </c>
      <c r="G35" s="42">
        <v>70458220</v>
      </c>
      <c r="H35" s="50"/>
      <c r="I35" s="45"/>
      <c r="J35" s="46">
        <v>43348</v>
      </c>
      <c r="K35" s="47">
        <v>2513.87</v>
      </c>
      <c r="L35" s="47">
        <v>41620.959999999999</v>
      </c>
      <c r="M35" s="51">
        <f t="shared" si="0"/>
        <v>-0.1310508123055652</v>
      </c>
      <c r="N35" s="51">
        <f t="shared" si="0"/>
        <v>-2.9054502106259472E-3</v>
      </c>
      <c r="O35" s="52">
        <f t="shared" si="1"/>
        <v>3.1625000000000002E-4</v>
      </c>
      <c r="P35" s="53">
        <f t="shared" si="2"/>
        <v>-0.13136706230556519</v>
      </c>
      <c r="Q35" s="53">
        <f t="shared" si="3"/>
        <v>-3.2217002106259473E-3</v>
      </c>
    </row>
    <row r="36" spans="1:17">
      <c r="A36" s="42" t="s">
        <v>388</v>
      </c>
      <c r="B36" s="43">
        <v>43349</v>
      </c>
      <c r="C36" s="42">
        <v>41609.97</v>
      </c>
      <c r="D36" s="42">
        <v>41715.46</v>
      </c>
      <c r="E36" s="42">
        <v>41222.839999999997</v>
      </c>
      <c r="F36" s="42">
        <v>41266.39</v>
      </c>
      <c r="G36" s="42">
        <v>97344430</v>
      </c>
      <c r="H36" s="50"/>
      <c r="I36" s="45"/>
      <c r="J36" s="46">
        <v>43349</v>
      </c>
      <c r="K36" s="47">
        <v>2639</v>
      </c>
      <c r="L36" s="47">
        <v>41266.39</v>
      </c>
      <c r="M36" s="51">
        <f t="shared" si="0"/>
        <v>4.9775843619598512E-2</v>
      </c>
      <c r="N36" s="51">
        <f t="shared" si="0"/>
        <v>-8.5190250296965694E-3</v>
      </c>
      <c r="O36" s="52">
        <f t="shared" si="1"/>
        <v>3.1625000000000002E-4</v>
      </c>
      <c r="P36" s="53">
        <f t="shared" si="2"/>
        <v>4.9459593619598514E-2</v>
      </c>
      <c r="Q36" s="53">
        <f t="shared" si="3"/>
        <v>-8.8352750296965699E-3</v>
      </c>
    </row>
    <row r="37" spans="1:17">
      <c r="A37" s="42" t="s">
        <v>388</v>
      </c>
      <c r="B37" s="43">
        <v>43350</v>
      </c>
      <c r="C37" s="42">
        <v>41329.629999999997</v>
      </c>
      <c r="D37" s="42">
        <v>41416.74</v>
      </c>
      <c r="E37" s="42">
        <v>40793.699999999997</v>
      </c>
      <c r="F37" s="42">
        <v>40854.769999999997</v>
      </c>
      <c r="G37" s="42">
        <v>70053690</v>
      </c>
      <c r="H37" s="50"/>
      <c r="I37" s="45"/>
      <c r="J37" s="46">
        <v>43350</v>
      </c>
      <c r="K37" s="47">
        <v>2550</v>
      </c>
      <c r="L37" s="47">
        <v>40854.769999999997</v>
      </c>
      <c r="M37" s="51">
        <f t="shared" si="0"/>
        <v>-3.3724895793861308E-2</v>
      </c>
      <c r="N37" s="51">
        <f t="shared" si="0"/>
        <v>-9.974703384521947E-3</v>
      </c>
      <c r="O37" s="52">
        <f t="shared" si="1"/>
        <v>3.1625000000000002E-4</v>
      </c>
      <c r="P37" s="53">
        <f t="shared" si="2"/>
        <v>-3.4041145793861305E-2</v>
      </c>
      <c r="Q37" s="53">
        <f t="shared" si="3"/>
        <v>-1.0290953384521948E-2</v>
      </c>
    </row>
    <row r="38" spans="1:17">
      <c r="A38" s="42" t="s">
        <v>388</v>
      </c>
      <c r="B38" s="43">
        <v>43353</v>
      </c>
      <c r="C38" s="42">
        <v>40860.6</v>
      </c>
      <c r="D38" s="42">
        <v>40927.74</v>
      </c>
      <c r="E38" s="42">
        <v>40369.17</v>
      </c>
      <c r="F38" s="42">
        <v>40684.050000000003</v>
      </c>
      <c r="G38" s="42">
        <v>60272780</v>
      </c>
      <c r="H38" s="50"/>
      <c r="I38" s="45"/>
      <c r="J38" s="46">
        <v>43353</v>
      </c>
      <c r="K38" s="47">
        <v>2550</v>
      </c>
      <c r="L38" s="47">
        <v>40684.050000000003</v>
      </c>
      <c r="M38" s="51">
        <f t="shared" si="0"/>
        <v>0</v>
      </c>
      <c r="N38" s="51">
        <f t="shared" si="0"/>
        <v>-4.1787042247452113E-3</v>
      </c>
      <c r="O38" s="52">
        <f t="shared" si="1"/>
        <v>3.1625000000000002E-4</v>
      </c>
      <c r="P38" s="53">
        <f t="shared" si="2"/>
        <v>-3.1625000000000002E-4</v>
      </c>
      <c r="Q38" s="53">
        <f t="shared" si="3"/>
        <v>-4.4949542247452109E-3</v>
      </c>
    </row>
    <row r="39" spans="1:17">
      <c r="A39" s="42" t="s">
        <v>388</v>
      </c>
      <c r="B39" s="43">
        <v>43355</v>
      </c>
      <c r="C39" s="42">
        <v>40768.980000000003</v>
      </c>
      <c r="D39" s="42">
        <v>40824.46</v>
      </c>
      <c r="E39" s="42">
        <v>40424.089999999997</v>
      </c>
      <c r="F39" s="42">
        <v>40522.04</v>
      </c>
      <c r="G39" s="42">
        <v>69639350</v>
      </c>
      <c r="H39" s="50"/>
      <c r="I39" s="45"/>
      <c r="J39" s="46">
        <v>43355</v>
      </c>
      <c r="K39" s="47">
        <v>2500</v>
      </c>
      <c r="L39" s="47">
        <v>40522.04</v>
      </c>
      <c r="M39" s="51">
        <f t="shared" si="0"/>
        <v>-1.9607843137254902E-2</v>
      </c>
      <c r="N39" s="51">
        <f t="shared" si="0"/>
        <v>-3.9821502529861705E-3</v>
      </c>
      <c r="O39" s="52">
        <f t="shared" si="1"/>
        <v>3.1625000000000002E-4</v>
      </c>
      <c r="P39" s="53">
        <f t="shared" si="2"/>
        <v>-1.9924093137254902E-2</v>
      </c>
      <c r="Q39" s="53">
        <f t="shared" si="3"/>
        <v>-4.2984002529861702E-3</v>
      </c>
    </row>
    <row r="40" spans="1:17">
      <c r="A40" s="42" t="s">
        <v>388</v>
      </c>
      <c r="B40" s="43">
        <v>43356</v>
      </c>
      <c r="C40" s="42">
        <v>40498.050000000003</v>
      </c>
      <c r="D40" s="42">
        <v>41150.410000000003</v>
      </c>
      <c r="E40" s="42">
        <v>40339.040000000001</v>
      </c>
      <c r="F40" s="42">
        <v>41049.910000000003</v>
      </c>
      <c r="G40" s="42">
        <v>93501150</v>
      </c>
      <c r="H40" s="50"/>
      <c r="I40" s="45"/>
      <c r="J40" s="46">
        <v>43356</v>
      </c>
      <c r="K40" s="47">
        <v>2598</v>
      </c>
      <c r="L40" s="47">
        <v>41049.910000000003</v>
      </c>
      <c r="M40" s="51">
        <f t="shared" si="0"/>
        <v>3.9199999999999999E-2</v>
      </c>
      <c r="N40" s="51">
        <f t="shared" si="0"/>
        <v>1.3026738041816321E-2</v>
      </c>
      <c r="O40" s="52">
        <f t="shared" si="1"/>
        <v>3.1625000000000002E-4</v>
      </c>
      <c r="P40" s="53">
        <f t="shared" si="2"/>
        <v>3.8883750000000002E-2</v>
      </c>
      <c r="Q40" s="53">
        <f t="shared" si="3"/>
        <v>1.271048804181632E-2</v>
      </c>
    </row>
    <row r="41" spans="1:17">
      <c r="A41" s="42" t="s">
        <v>388</v>
      </c>
      <c r="B41" s="43">
        <v>43357</v>
      </c>
      <c r="C41" s="42">
        <v>41147.910000000003</v>
      </c>
      <c r="D41" s="42">
        <v>41230.69</v>
      </c>
      <c r="E41" s="42">
        <v>40789.760000000002</v>
      </c>
      <c r="F41" s="42">
        <v>40920.31</v>
      </c>
      <c r="G41" s="42">
        <v>80630570</v>
      </c>
      <c r="H41" s="50"/>
      <c r="I41" s="45"/>
      <c r="J41" s="46">
        <v>43357</v>
      </c>
      <c r="K41" s="47">
        <v>2482</v>
      </c>
      <c r="L41" s="47">
        <v>40920.31</v>
      </c>
      <c r="M41" s="51">
        <f t="shared" si="0"/>
        <v>-4.4649730561970746E-2</v>
      </c>
      <c r="N41" s="51">
        <f t="shared" si="0"/>
        <v>-3.1571323786094979E-3</v>
      </c>
      <c r="O41" s="52">
        <f t="shared" si="1"/>
        <v>3.1625000000000002E-4</v>
      </c>
      <c r="P41" s="53">
        <f t="shared" si="2"/>
        <v>-4.4965980561970743E-2</v>
      </c>
      <c r="Q41" s="53">
        <f t="shared" si="3"/>
        <v>-3.473382378609498E-3</v>
      </c>
    </row>
    <row r="42" spans="1:17">
      <c r="A42" s="42" t="s">
        <v>388</v>
      </c>
      <c r="B42" s="43">
        <v>43360</v>
      </c>
      <c r="C42" s="42">
        <v>40933.53</v>
      </c>
      <c r="D42" s="42">
        <v>40961.47</v>
      </c>
      <c r="E42" s="42">
        <v>40254.67</v>
      </c>
      <c r="F42" s="42">
        <v>40520.47</v>
      </c>
      <c r="G42" s="42">
        <v>69396730</v>
      </c>
      <c r="H42" s="50"/>
      <c r="I42" s="45"/>
      <c r="J42" s="46">
        <v>43360</v>
      </c>
      <c r="K42" s="47">
        <v>2357.9</v>
      </c>
      <c r="L42" s="47">
        <v>40520.47</v>
      </c>
      <c r="M42" s="51">
        <f t="shared" si="0"/>
        <v>-4.9999999999999961E-2</v>
      </c>
      <c r="N42" s="51">
        <f t="shared" si="0"/>
        <v>-9.77118697292363E-3</v>
      </c>
      <c r="O42" s="52">
        <f t="shared" si="1"/>
        <v>3.1625000000000002E-4</v>
      </c>
      <c r="P42" s="53">
        <f t="shared" si="2"/>
        <v>-5.0316249999999958E-2</v>
      </c>
      <c r="Q42" s="53">
        <f t="shared" si="3"/>
        <v>-1.0087436972923631E-2</v>
      </c>
    </row>
    <row r="43" spans="1:17">
      <c r="A43" s="42" t="s">
        <v>388</v>
      </c>
      <c r="B43" s="43">
        <v>43361</v>
      </c>
      <c r="C43" s="42">
        <v>40540.53</v>
      </c>
      <c r="D43" s="42">
        <v>41270.43</v>
      </c>
      <c r="E43" s="42">
        <v>40438.01</v>
      </c>
      <c r="F43" s="42">
        <v>41238.07</v>
      </c>
      <c r="G43" s="42">
        <v>83321050</v>
      </c>
      <c r="H43" s="50"/>
      <c r="I43" s="45"/>
      <c r="J43" s="46">
        <v>43361</v>
      </c>
      <c r="K43" s="47">
        <v>2425</v>
      </c>
      <c r="L43" s="47">
        <v>41238.07</v>
      </c>
      <c r="M43" s="51">
        <f t="shared" si="0"/>
        <v>2.8457525764451378E-2</v>
      </c>
      <c r="N43" s="51">
        <f t="shared" si="0"/>
        <v>1.7709567534631224E-2</v>
      </c>
      <c r="O43" s="52">
        <f t="shared" si="1"/>
        <v>3.1625000000000002E-4</v>
      </c>
      <c r="P43" s="53">
        <f t="shared" si="2"/>
        <v>2.8141275764451378E-2</v>
      </c>
      <c r="Q43" s="53">
        <f t="shared" si="3"/>
        <v>1.7393317534631223E-2</v>
      </c>
    </row>
    <row r="44" spans="1:17">
      <c r="A44" s="42" t="s">
        <v>388</v>
      </c>
      <c r="B44" s="43">
        <v>43371</v>
      </c>
      <c r="C44" s="42">
        <v>40862.69</v>
      </c>
      <c r="D44" s="42">
        <v>41064.19</v>
      </c>
      <c r="E44" s="42">
        <v>40621.08</v>
      </c>
      <c r="F44" s="42">
        <v>40998.589999999997</v>
      </c>
      <c r="G44" s="42">
        <v>98745300</v>
      </c>
      <c r="H44" s="50"/>
      <c r="I44" s="45"/>
      <c r="J44" s="46">
        <v>43371</v>
      </c>
      <c r="K44" s="47">
        <v>2400</v>
      </c>
      <c r="L44" s="47">
        <v>40998.589999999997</v>
      </c>
      <c r="M44" s="51">
        <f t="shared" si="0"/>
        <v>-1.0309278350515464E-2</v>
      </c>
      <c r="N44" s="51">
        <f t="shared" si="0"/>
        <v>-5.8072552861955758E-3</v>
      </c>
      <c r="O44" s="52">
        <f t="shared" si="1"/>
        <v>3.1625000000000002E-4</v>
      </c>
      <c r="P44" s="53">
        <f t="shared" si="2"/>
        <v>-1.0625528350515464E-2</v>
      </c>
      <c r="Q44" s="53">
        <f t="shared" si="3"/>
        <v>-6.1235052861955755E-3</v>
      </c>
    </row>
    <row r="45" spans="1:17">
      <c r="A45" s="42" t="s">
        <v>388</v>
      </c>
      <c r="B45" s="43">
        <v>43374</v>
      </c>
      <c r="C45" s="42">
        <v>40985.03</v>
      </c>
      <c r="D45" s="42">
        <v>41029.06</v>
      </c>
      <c r="E45" s="42">
        <v>40709.29</v>
      </c>
      <c r="F45" s="42">
        <v>40929.440000000002</v>
      </c>
      <c r="G45" s="42">
        <v>71481100</v>
      </c>
      <c r="H45" s="50"/>
      <c r="I45" s="45"/>
      <c r="J45" s="46">
        <v>43374</v>
      </c>
      <c r="K45" s="47">
        <v>2300.11</v>
      </c>
      <c r="L45" s="47">
        <v>40929.440000000002</v>
      </c>
      <c r="M45" s="51">
        <f t="shared" si="0"/>
        <v>-4.1620833333333281E-2</v>
      </c>
      <c r="N45" s="51">
        <f t="shared" si="0"/>
        <v>-1.686643369930385E-3</v>
      </c>
      <c r="O45" s="52">
        <f t="shared" si="1"/>
        <v>3.1625000000000002E-4</v>
      </c>
      <c r="P45" s="53">
        <f t="shared" si="2"/>
        <v>-4.1937083333333278E-2</v>
      </c>
      <c r="Q45" s="53">
        <f t="shared" si="3"/>
        <v>-2.0028933699303849E-3</v>
      </c>
    </row>
    <row r="46" spans="1:17">
      <c r="A46" s="42" t="s">
        <v>388</v>
      </c>
      <c r="B46" s="43">
        <v>43375</v>
      </c>
      <c r="C46" s="42">
        <v>40974.07</v>
      </c>
      <c r="D46" s="42">
        <v>41214.480000000003</v>
      </c>
      <c r="E46" s="42">
        <v>40739.760000000002</v>
      </c>
      <c r="F46" s="42">
        <v>40800.25</v>
      </c>
      <c r="G46" s="42">
        <v>66595340</v>
      </c>
      <c r="H46" s="50"/>
      <c r="I46" s="45"/>
      <c r="J46" s="46">
        <v>43375</v>
      </c>
      <c r="K46" s="47">
        <v>2350</v>
      </c>
      <c r="L46" s="47">
        <v>40800.25</v>
      </c>
      <c r="M46" s="51">
        <f t="shared" si="0"/>
        <v>2.1690266987230988E-2</v>
      </c>
      <c r="N46" s="51">
        <f t="shared" si="0"/>
        <v>-3.1564077104402678E-3</v>
      </c>
      <c r="O46" s="52">
        <f t="shared" si="1"/>
        <v>3.1625000000000002E-4</v>
      </c>
      <c r="P46" s="53">
        <f t="shared" si="2"/>
        <v>2.1374016987230987E-2</v>
      </c>
      <c r="Q46" s="53">
        <f t="shared" si="3"/>
        <v>-3.4726577104402679E-3</v>
      </c>
    </row>
    <row r="47" spans="1:17">
      <c r="A47" s="42" t="s">
        <v>388</v>
      </c>
      <c r="B47" s="43">
        <v>43376</v>
      </c>
      <c r="C47" s="42">
        <v>40818.6</v>
      </c>
      <c r="D47" s="42">
        <v>40841.53</v>
      </c>
      <c r="E47" s="42">
        <v>40471.300000000003</v>
      </c>
      <c r="F47" s="42">
        <v>40560.19</v>
      </c>
      <c r="G47" s="42">
        <v>52638230</v>
      </c>
      <c r="H47" s="50"/>
      <c r="I47" s="45"/>
      <c r="J47" s="46">
        <v>43376</v>
      </c>
      <c r="K47" s="47">
        <v>2301</v>
      </c>
      <c r="L47" s="47">
        <v>40560.19</v>
      </c>
      <c r="M47" s="51">
        <f t="shared" si="0"/>
        <v>-2.0851063829787235E-2</v>
      </c>
      <c r="N47" s="51">
        <f t="shared" si="0"/>
        <v>-5.8837874767923648E-3</v>
      </c>
      <c r="O47" s="52">
        <f t="shared" si="1"/>
        <v>3.1625000000000002E-4</v>
      </c>
      <c r="P47" s="53">
        <f t="shared" si="2"/>
        <v>-2.1167313829787236E-2</v>
      </c>
      <c r="Q47" s="53">
        <f t="shared" si="3"/>
        <v>-6.2000374767923645E-3</v>
      </c>
    </row>
    <row r="48" spans="1:17">
      <c r="A48" s="42" t="s">
        <v>388</v>
      </c>
      <c r="B48" s="43">
        <v>43377</v>
      </c>
      <c r="C48" s="42">
        <v>40568.92</v>
      </c>
      <c r="D48" s="42">
        <v>40603.730000000003</v>
      </c>
      <c r="E48" s="42">
        <v>39993.980000000003</v>
      </c>
      <c r="F48" s="42">
        <v>40087.120000000003</v>
      </c>
      <c r="G48" s="42">
        <v>54985750</v>
      </c>
      <c r="H48" s="50"/>
      <c r="I48" s="45"/>
      <c r="J48" s="46">
        <v>43377</v>
      </c>
      <c r="K48" s="47">
        <v>2300</v>
      </c>
      <c r="L48" s="47">
        <v>40087.120000000003</v>
      </c>
      <c r="M48" s="51">
        <f t="shared" si="0"/>
        <v>-4.3459365493263801E-4</v>
      </c>
      <c r="N48" s="51">
        <f t="shared" si="0"/>
        <v>-1.1663406902186594E-2</v>
      </c>
      <c r="O48" s="52">
        <f t="shared" si="1"/>
        <v>3.1625000000000002E-4</v>
      </c>
      <c r="P48" s="53">
        <f t="shared" si="2"/>
        <v>-7.5084365493263802E-4</v>
      </c>
      <c r="Q48" s="53">
        <f t="shared" si="3"/>
        <v>-1.1979656902186595E-2</v>
      </c>
    </row>
    <row r="49" spans="1:17">
      <c r="A49" s="42" t="s">
        <v>388</v>
      </c>
      <c r="B49" s="43">
        <v>43389</v>
      </c>
      <c r="C49" s="42">
        <v>36784.07</v>
      </c>
      <c r="D49" s="42">
        <v>37342.01</v>
      </c>
      <c r="E49" s="42">
        <v>36491.550000000003</v>
      </c>
      <c r="F49" s="42">
        <v>36663.379999999997</v>
      </c>
      <c r="G49" s="42">
        <v>92124890</v>
      </c>
      <c r="H49" s="50"/>
      <c r="I49" s="45"/>
      <c r="J49" s="46">
        <v>43389</v>
      </c>
      <c r="K49" s="47">
        <v>2400</v>
      </c>
      <c r="L49" s="47">
        <v>36663.379999999997</v>
      </c>
      <c r="M49" s="51">
        <f t="shared" si="0"/>
        <v>4.3478260869565216E-2</v>
      </c>
      <c r="N49" s="51">
        <f t="shared" si="0"/>
        <v>-8.5407482503108353E-2</v>
      </c>
      <c r="O49" s="52">
        <f t="shared" si="1"/>
        <v>3.1625000000000002E-4</v>
      </c>
      <c r="P49" s="53">
        <f t="shared" si="2"/>
        <v>4.3162010869565219E-2</v>
      </c>
      <c r="Q49" s="53">
        <f t="shared" si="3"/>
        <v>-8.5723732503108357E-2</v>
      </c>
    </row>
    <row r="50" spans="1:17">
      <c r="A50" s="42" t="s">
        <v>388</v>
      </c>
      <c r="B50" s="43">
        <v>43391</v>
      </c>
      <c r="C50" s="42">
        <v>37806.080000000002</v>
      </c>
      <c r="D50" s="42">
        <v>38189.160000000003</v>
      </c>
      <c r="E50" s="42">
        <v>37438.379999999997</v>
      </c>
      <c r="F50" s="42">
        <v>37982.25</v>
      </c>
      <c r="G50" s="42">
        <v>116454910</v>
      </c>
      <c r="H50" s="50"/>
      <c r="I50" s="45"/>
      <c r="J50" s="46">
        <v>43391</v>
      </c>
      <c r="K50" s="47">
        <v>2499.9899999999998</v>
      </c>
      <c r="L50" s="47">
        <v>37982.25</v>
      </c>
      <c r="M50" s="51">
        <f t="shared" si="0"/>
        <v>4.1662499999999908E-2</v>
      </c>
      <c r="N50" s="51">
        <f t="shared" si="0"/>
        <v>3.5972406253869736E-2</v>
      </c>
      <c r="O50" s="52">
        <f t="shared" si="1"/>
        <v>3.1625000000000002E-4</v>
      </c>
      <c r="P50" s="53">
        <f t="shared" si="2"/>
        <v>4.1346249999999911E-2</v>
      </c>
      <c r="Q50" s="53">
        <f t="shared" si="3"/>
        <v>3.5656156253869739E-2</v>
      </c>
    </row>
    <row r="51" spans="1:17">
      <c r="A51" s="42" t="s">
        <v>388</v>
      </c>
      <c r="B51" s="43">
        <v>43392</v>
      </c>
      <c r="C51" s="42">
        <v>38019.32</v>
      </c>
      <c r="D51" s="42">
        <v>38468.839999999997</v>
      </c>
      <c r="E51" s="42">
        <v>37756.78</v>
      </c>
      <c r="F51" s="42">
        <v>38430.269999999997</v>
      </c>
      <c r="G51" s="42">
        <v>115556860</v>
      </c>
      <c r="H51" s="50"/>
      <c r="I51" s="45"/>
      <c r="J51" s="46">
        <v>43392</v>
      </c>
      <c r="K51" s="47">
        <v>2500</v>
      </c>
      <c r="L51" s="47">
        <v>38430.269999999997</v>
      </c>
      <c r="M51" s="51">
        <f t="shared" si="0"/>
        <v>4.0000160001513125E-6</v>
      </c>
      <c r="N51" s="51">
        <f t="shared" si="0"/>
        <v>1.1795509744683288E-2</v>
      </c>
      <c r="O51" s="52">
        <f t="shared" si="1"/>
        <v>3.1625000000000002E-4</v>
      </c>
      <c r="P51" s="53">
        <f t="shared" si="2"/>
        <v>-3.1224998399984868E-4</v>
      </c>
      <c r="Q51" s="53">
        <f t="shared" si="3"/>
        <v>1.1479259744683288E-2</v>
      </c>
    </row>
    <row r="52" spans="1:17">
      <c r="A52" s="42" t="s">
        <v>388</v>
      </c>
      <c r="B52" s="43">
        <v>43395</v>
      </c>
      <c r="C52" s="42">
        <v>38520.730000000003</v>
      </c>
      <c r="D52" s="42">
        <v>38783.870000000003</v>
      </c>
      <c r="E52" s="42">
        <v>38258.14</v>
      </c>
      <c r="F52" s="42">
        <v>38345.42</v>
      </c>
      <c r="G52" s="42">
        <v>138847570</v>
      </c>
      <c r="H52" s="50"/>
      <c r="I52" s="45"/>
      <c r="J52" s="46">
        <v>43395</v>
      </c>
      <c r="K52" s="47">
        <v>2599.9899999999998</v>
      </c>
      <c r="L52" s="47">
        <v>38345.42</v>
      </c>
      <c r="M52" s="51">
        <f t="shared" si="0"/>
        <v>3.9995999999999914E-2</v>
      </c>
      <c r="N52" s="51">
        <f t="shared" si="0"/>
        <v>-2.2078949744562958E-3</v>
      </c>
      <c r="O52" s="52">
        <f t="shared" si="1"/>
        <v>3.1625000000000002E-4</v>
      </c>
      <c r="P52" s="53">
        <f t="shared" si="2"/>
        <v>3.9679749999999916E-2</v>
      </c>
      <c r="Q52" s="53">
        <f t="shared" si="3"/>
        <v>-2.5241449744562959E-3</v>
      </c>
    </row>
    <row r="53" spans="1:17">
      <c r="A53" s="42" t="s">
        <v>388</v>
      </c>
      <c r="B53" s="43">
        <v>43396</v>
      </c>
      <c r="C53" s="42">
        <v>38363.29</v>
      </c>
      <c r="D53" s="42">
        <v>38365.32</v>
      </c>
      <c r="E53" s="42">
        <v>37582.69</v>
      </c>
      <c r="F53" s="42">
        <v>37714.9</v>
      </c>
      <c r="G53" s="42">
        <v>117842550</v>
      </c>
      <c r="H53" s="50"/>
      <c r="I53" s="45"/>
      <c r="J53" s="46">
        <v>43396</v>
      </c>
      <c r="K53" s="47">
        <v>2470</v>
      </c>
      <c r="L53" s="47">
        <v>37714.9</v>
      </c>
      <c r="M53" s="51">
        <f t="shared" si="0"/>
        <v>-4.9996346139792765E-2</v>
      </c>
      <c r="N53" s="51">
        <f t="shared" si="0"/>
        <v>-1.6443163225229946E-2</v>
      </c>
      <c r="O53" s="52">
        <f t="shared" si="1"/>
        <v>3.1625000000000002E-4</v>
      </c>
      <c r="P53" s="53">
        <f t="shared" si="2"/>
        <v>-5.0312596139792762E-2</v>
      </c>
      <c r="Q53" s="53">
        <f t="shared" si="3"/>
        <v>-1.6759413225229947E-2</v>
      </c>
    </row>
    <row r="54" spans="1:17">
      <c r="A54" s="42" t="s">
        <v>388</v>
      </c>
      <c r="B54" s="43">
        <v>43398</v>
      </c>
      <c r="C54" s="42">
        <v>39697.699999999997</v>
      </c>
      <c r="D54" s="42">
        <v>40069.4</v>
      </c>
      <c r="E54" s="42">
        <v>39407.410000000003</v>
      </c>
      <c r="F54" s="42">
        <v>39631.910000000003</v>
      </c>
      <c r="G54" s="42">
        <v>200457050</v>
      </c>
      <c r="H54" s="50"/>
      <c r="I54" s="45"/>
      <c r="J54" s="46">
        <v>43398</v>
      </c>
      <c r="K54" s="47">
        <v>2580</v>
      </c>
      <c r="L54" s="47">
        <v>39631.910000000003</v>
      </c>
      <c r="M54" s="51">
        <f t="shared" si="0"/>
        <v>4.4534412955465584E-2</v>
      </c>
      <c r="N54" s="51">
        <f t="shared" si="0"/>
        <v>5.0828982709751371E-2</v>
      </c>
      <c r="O54" s="52">
        <f t="shared" si="1"/>
        <v>3.1625000000000002E-4</v>
      </c>
      <c r="P54" s="53">
        <f t="shared" si="2"/>
        <v>4.4218162955465587E-2</v>
      </c>
      <c r="Q54" s="53">
        <f t="shared" si="3"/>
        <v>5.0512732709751373E-2</v>
      </c>
    </row>
    <row r="55" spans="1:17">
      <c r="A55" s="42" t="s">
        <v>388</v>
      </c>
      <c r="B55" s="43">
        <v>43399</v>
      </c>
      <c r="C55" s="42">
        <v>39736.39</v>
      </c>
      <c r="D55" s="42">
        <v>40604.910000000003</v>
      </c>
      <c r="E55" s="42">
        <v>39375.42</v>
      </c>
      <c r="F55" s="42">
        <v>40556.449999999997</v>
      </c>
      <c r="G55" s="42">
        <v>237217740</v>
      </c>
      <c r="H55" s="50"/>
      <c r="I55" s="45"/>
      <c r="J55" s="46">
        <v>43399</v>
      </c>
      <c r="K55" s="47">
        <v>2453</v>
      </c>
      <c r="L55" s="47">
        <v>40556.449999999997</v>
      </c>
      <c r="M55" s="51">
        <f t="shared" si="0"/>
        <v>-4.922480620155039E-2</v>
      </c>
      <c r="N55" s="51">
        <f t="shared" si="0"/>
        <v>2.33281716677292E-2</v>
      </c>
      <c r="O55" s="52">
        <f t="shared" si="1"/>
        <v>3.1625000000000002E-4</v>
      </c>
      <c r="P55" s="53">
        <f t="shared" si="2"/>
        <v>-4.9541056201550387E-2</v>
      </c>
      <c r="Q55" s="53">
        <f t="shared" si="3"/>
        <v>2.3011921667729199E-2</v>
      </c>
    </row>
    <row r="56" spans="1:17">
      <c r="A56" s="42" t="s">
        <v>388</v>
      </c>
      <c r="B56" s="43">
        <v>43402</v>
      </c>
      <c r="C56" s="42">
        <v>40575.1</v>
      </c>
      <c r="D56" s="42">
        <v>41513.629999999997</v>
      </c>
      <c r="E56" s="42">
        <v>40575.1</v>
      </c>
      <c r="F56" s="42">
        <v>41453.760000000002</v>
      </c>
      <c r="G56" s="42">
        <v>279096990</v>
      </c>
      <c r="H56" s="50"/>
      <c r="I56" s="45"/>
      <c r="J56" s="46">
        <v>43402</v>
      </c>
      <c r="K56" s="47">
        <v>2352</v>
      </c>
      <c r="L56" s="47">
        <v>41453.760000000002</v>
      </c>
      <c r="M56" s="51">
        <f t="shared" si="0"/>
        <v>-4.1174072564207097E-2</v>
      </c>
      <c r="N56" s="51">
        <f t="shared" si="0"/>
        <v>2.2124964093257794E-2</v>
      </c>
      <c r="O56" s="52">
        <f t="shared" si="1"/>
        <v>3.1625000000000002E-4</v>
      </c>
      <c r="P56" s="53">
        <f t="shared" si="2"/>
        <v>-4.1490322564207094E-2</v>
      </c>
      <c r="Q56" s="53">
        <f t="shared" si="3"/>
        <v>2.1808714093257794E-2</v>
      </c>
    </row>
    <row r="57" spans="1:17">
      <c r="A57" s="42" t="s">
        <v>388</v>
      </c>
      <c r="B57" s="43">
        <v>43404</v>
      </c>
      <c r="C57" s="42">
        <v>41611.949999999997</v>
      </c>
      <c r="D57" s="42">
        <v>41825.550000000003</v>
      </c>
      <c r="E57" s="42">
        <v>41237.480000000003</v>
      </c>
      <c r="F57" s="42">
        <v>41649.360000000001</v>
      </c>
      <c r="G57" s="42">
        <v>178965920</v>
      </c>
      <c r="H57" s="50"/>
      <c r="I57" s="45"/>
      <c r="J57" s="46">
        <v>43404</v>
      </c>
      <c r="K57" s="47">
        <v>2241.0100000000002</v>
      </c>
      <c r="L57" s="47">
        <v>41649.360000000001</v>
      </c>
      <c r="M57" s="51">
        <f t="shared" si="0"/>
        <v>-4.718962585034004E-2</v>
      </c>
      <c r="N57" s="51">
        <f t="shared" si="0"/>
        <v>4.7185104559875519E-3</v>
      </c>
      <c r="O57" s="52">
        <f t="shared" si="1"/>
        <v>3.1625000000000002E-4</v>
      </c>
      <c r="P57" s="53">
        <f t="shared" si="2"/>
        <v>-4.7505875850340037E-2</v>
      </c>
      <c r="Q57" s="53">
        <f t="shared" si="3"/>
        <v>4.4022604559875523E-3</v>
      </c>
    </row>
    <row r="58" spans="1:17">
      <c r="A58" s="42" t="s">
        <v>388</v>
      </c>
      <c r="B58" s="43">
        <v>43405</v>
      </c>
      <c r="C58" s="42">
        <v>41616.269999999997</v>
      </c>
      <c r="D58" s="42">
        <v>41829.81</v>
      </c>
      <c r="E58" s="42">
        <v>41454.54</v>
      </c>
      <c r="F58" s="42">
        <v>41716.1</v>
      </c>
      <c r="G58" s="42">
        <v>151709820</v>
      </c>
      <c r="H58" s="50"/>
      <c r="I58" s="45"/>
      <c r="J58" s="46">
        <v>43405</v>
      </c>
      <c r="K58" s="47">
        <v>2353</v>
      </c>
      <c r="L58" s="47">
        <v>41716.1</v>
      </c>
      <c r="M58" s="51">
        <f t="shared" si="0"/>
        <v>4.9973003244072882E-2</v>
      </c>
      <c r="N58" s="51">
        <f t="shared" si="0"/>
        <v>1.6024255834903097E-3</v>
      </c>
      <c r="O58" s="52">
        <f t="shared" si="1"/>
        <v>3.1625000000000002E-4</v>
      </c>
      <c r="P58" s="53">
        <f t="shared" si="2"/>
        <v>4.9656753244072885E-2</v>
      </c>
      <c r="Q58" s="53">
        <f t="shared" si="3"/>
        <v>1.2861755834903095E-3</v>
      </c>
    </row>
    <row r="59" spans="1:17">
      <c r="A59" s="42" t="s">
        <v>388</v>
      </c>
      <c r="B59" s="43">
        <v>43406</v>
      </c>
      <c r="C59" s="42">
        <v>41701.980000000003</v>
      </c>
      <c r="D59" s="42">
        <v>42243.83</v>
      </c>
      <c r="E59" s="42">
        <v>41607.160000000003</v>
      </c>
      <c r="F59" s="42">
        <v>42004.09</v>
      </c>
      <c r="G59" s="42">
        <v>209724770</v>
      </c>
      <c r="H59" s="50"/>
      <c r="I59" s="45"/>
      <c r="J59" s="46">
        <v>43406</v>
      </c>
      <c r="K59" s="47">
        <v>2469.9899999999998</v>
      </c>
      <c r="L59" s="47">
        <v>42004.09</v>
      </c>
      <c r="M59" s="51">
        <f t="shared" si="0"/>
        <v>4.9719507012324596E-2</v>
      </c>
      <c r="N59" s="51">
        <f t="shared" si="0"/>
        <v>6.9035696050205554E-3</v>
      </c>
      <c r="O59" s="52">
        <f t="shared" si="1"/>
        <v>3.1625000000000002E-4</v>
      </c>
      <c r="P59" s="53">
        <f t="shared" si="2"/>
        <v>4.9403257012324599E-2</v>
      </c>
      <c r="Q59" s="53">
        <f t="shared" si="3"/>
        <v>6.5873196050205557E-3</v>
      </c>
    </row>
    <row r="60" spans="1:17">
      <c r="A60" s="42" t="s">
        <v>388</v>
      </c>
      <c r="B60" s="43">
        <v>43409</v>
      </c>
      <c r="C60" s="42">
        <v>41892.22</v>
      </c>
      <c r="D60" s="42">
        <v>41892.22</v>
      </c>
      <c r="E60" s="42">
        <v>41033.870000000003</v>
      </c>
      <c r="F60" s="42">
        <v>41493.96</v>
      </c>
      <c r="G60" s="42">
        <v>145503090</v>
      </c>
      <c r="H60" s="50"/>
      <c r="I60" s="45"/>
      <c r="J60" s="46">
        <v>43409</v>
      </c>
      <c r="K60" s="47">
        <v>2500</v>
      </c>
      <c r="L60" s="47">
        <v>41493.96</v>
      </c>
      <c r="M60" s="51">
        <f t="shared" si="0"/>
        <v>1.214984676051329E-2</v>
      </c>
      <c r="N60" s="51">
        <f t="shared" si="0"/>
        <v>-1.2144769711711346E-2</v>
      </c>
      <c r="O60" s="52">
        <f t="shared" si="1"/>
        <v>3.1625000000000002E-4</v>
      </c>
      <c r="P60" s="53">
        <f t="shared" si="2"/>
        <v>1.183359676051329E-2</v>
      </c>
      <c r="Q60" s="53">
        <f t="shared" si="3"/>
        <v>-1.2461019711711346E-2</v>
      </c>
    </row>
    <row r="61" spans="1:17">
      <c r="A61" s="42" t="s">
        <v>388</v>
      </c>
      <c r="B61" s="43">
        <v>43410</v>
      </c>
      <c r="C61" s="42">
        <v>41432.269999999997</v>
      </c>
      <c r="D61" s="42">
        <v>41554.32</v>
      </c>
      <c r="E61" s="42">
        <v>40757.03</v>
      </c>
      <c r="F61" s="42">
        <v>40958.53</v>
      </c>
      <c r="G61" s="42">
        <v>142334100</v>
      </c>
      <c r="H61" s="50"/>
      <c r="I61" s="45"/>
      <c r="J61" s="46">
        <v>43410</v>
      </c>
      <c r="K61" s="47">
        <v>2400.0100000000002</v>
      </c>
      <c r="L61" s="47">
        <v>40958.53</v>
      </c>
      <c r="M61" s="51">
        <f t="shared" si="0"/>
        <v>-3.9995999999999914E-2</v>
      </c>
      <c r="N61" s="51">
        <f t="shared" si="0"/>
        <v>-1.2903805758717662E-2</v>
      </c>
      <c r="O61" s="52">
        <f t="shared" si="1"/>
        <v>3.1625000000000002E-4</v>
      </c>
      <c r="P61" s="53">
        <f t="shared" si="2"/>
        <v>-4.0312249999999911E-2</v>
      </c>
      <c r="Q61" s="53">
        <f t="shared" si="3"/>
        <v>-1.3220055758717663E-2</v>
      </c>
    </row>
    <row r="62" spans="1:17">
      <c r="A62" s="42" t="s">
        <v>388</v>
      </c>
      <c r="B62" s="43">
        <v>43412</v>
      </c>
      <c r="C62" s="42">
        <v>41623.58</v>
      </c>
      <c r="D62" s="42">
        <v>41650.699999999997</v>
      </c>
      <c r="E62" s="42">
        <v>41283.68</v>
      </c>
      <c r="F62" s="42">
        <v>41367.379999999997</v>
      </c>
      <c r="G62" s="42">
        <v>133411690</v>
      </c>
      <c r="H62" s="50"/>
      <c r="I62" s="45"/>
      <c r="J62" s="46">
        <v>43412</v>
      </c>
      <c r="K62" s="47">
        <v>2400</v>
      </c>
      <c r="L62" s="47">
        <v>41367.379999999997</v>
      </c>
      <c r="M62" s="51">
        <f t="shared" si="0"/>
        <v>-4.1666493057188418E-6</v>
      </c>
      <c r="N62" s="51">
        <f t="shared" si="0"/>
        <v>9.9820476955593505E-3</v>
      </c>
      <c r="O62" s="52">
        <f t="shared" si="1"/>
        <v>3.1625000000000002E-4</v>
      </c>
      <c r="P62" s="53">
        <f t="shared" si="2"/>
        <v>-3.2041664930571885E-4</v>
      </c>
      <c r="Q62" s="53">
        <f t="shared" si="3"/>
        <v>9.66579769555935E-3</v>
      </c>
    </row>
    <row r="63" spans="1:17">
      <c r="A63" s="42" t="s">
        <v>388</v>
      </c>
      <c r="B63" s="43">
        <v>43413</v>
      </c>
      <c r="C63" s="42">
        <v>41332.75</v>
      </c>
      <c r="D63" s="42">
        <v>41569.449999999997</v>
      </c>
      <c r="E63" s="42">
        <v>41207.97</v>
      </c>
      <c r="F63" s="42">
        <v>41388.879999999997</v>
      </c>
      <c r="G63" s="42">
        <v>139975090</v>
      </c>
      <c r="H63" s="50"/>
      <c r="I63" s="45"/>
      <c r="J63" s="46">
        <v>43413</v>
      </c>
      <c r="K63" s="47">
        <v>2301</v>
      </c>
      <c r="L63" s="47">
        <v>41388.879999999997</v>
      </c>
      <c r="M63" s="51">
        <f t="shared" si="0"/>
        <v>-4.1250000000000002E-2</v>
      </c>
      <c r="N63" s="51">
        <f t="shared" si="0"/>
        <v>5.1973318107165602E-4</v>
      </c>
      <c r="O63" s="52">
        <f t="shared" si="1"/>
        <v>3.1625000000000002E-4</v>
      </c>
      <c r="P63" s="53">
        <f t="shared" si="2"/>
        <v>-4.1566249999999999E-2</v>
      </c>
      <c r="Q63" s="53">
        <f t="shared" si="3"/>
        <v>2.03483181071656E-4</v>
      </c>
    </row>
    <row r="64" spans="1:17">
      <c r="A64" s="42" t="s">
        <v>388</v>
      </c>
      <c r="B64" s="43">
        <v>43416</v>
      </c>
      <c r="C64" s="42">
        <v>41414.31</v>
      </c>
      <c r="D64" s="42">
        <v>41572.17</v>
      </c>
      <c r="E64" s="42">
        <v>41052.97</v>
      </c>
      <c r="F64" s="42">
        <v>41096.33</v>
      </c>
      <c r="G64" s="42">
        <v>96973130</v>
      </c>
      <c r="H64" s="50"/>
      <c r="I64" s="45"/>
      <c r="J64" s="46">
        <v>43416</v>
      </c>
      <c r="K64" s="47">
        <v>2416.0500000000002</v>
      </c>
      <c r="L64" s="47">
        <v>41096.33</v>
      </c>
      <c r="M64" s="51">
        <f t="shared" si="0"/>
        <v>5.0000000000000079E-2</v>
      </c>
      <c r="N64" s="51">
        <f t="shared" si="0"/>
        <v>-7.0683236656801452E-3</v>
      </c>
      <c r="O64" s="52">
        <f t="shared" si="1"/>
        <v>3.1625000000000002E-4</v>
      </c>
      <c r="P64" s="53">
        <f t="shared" si="2"/>
        <v>4.9683750000000082E-2</v>
      </c>
      <c r="Q64" s="53">
        <f t="shared" si="3"/>
        <v>-7.3845736656801449E-3</v>
      </c>
    </row>
    <row r="65" spans="1:17">
      <c r="A65" s="42" t="s">
        <v>388</v>
      </c>
      <c r="B65" s="43">
        <v>43418</v>
      </c>
      <c r="C65" s="42">
        <v>40854.89</v>
      </c>
      <c r="D65" s="42">
        <v>41322.769999999997</v>
      </c>
      <c r="E65" s="42">
        <v>40763.440000000002</v>
      </c>
      <c r="F65" s="42">
        <v>40994.050000000003</v>
      </c>
      <c r="G65" s="42">
        <v>146559710</v>
      </c>
      <c r="H65" s="50"/>
      <c r="I65" s="45"/>
      <c r="J65" s="46">
        <v>43418</v>
      </c>
      <c r="K65" s="47">
        <v>2295.25</v>
      </c>
      <c r="L65" s="47">
        <v>40994.050000000003</v>
      </c>
      <c r="M65" s="51">
        <f t="shared" si="0"/>
        <v>-4.9998965253202611E-2</v>
      </c>
      <c r="N65" s="51">
        <f t="shared" si="0"/>
        <v>-2.4887867116114462E-3</v>
      </c>
      <c r="O65" s="52">
        <f t="shared" si="1"/>
        <v>3.1625000000000002E-4</v>
      </c>
      <c r="P65" s="53">
        <f t="shared" si="2"/>
        <v>-5.0315215253202608E-2</v>
      </c>
      <c r="Q65" s="53">
        <f t="shared" si="3"/>
        <v>-2.8050367116114463E-3</v>
      </c>
    </row>
    <row r="66" spans="1:17">
      <c r="A66" s="42" t="s">
        <v>388</v>
      </c>
      <c r="B66" s="43">
        <v>43419</v>
      </c>
      <c r="C66" s="42">
        <v>41018.6</v>
      </c>
      <c r="D66" s="42">
        <v>41477.9</v>
      </c>
      <c r="E66" s="42">
        <v>40940.339999999997</v>
      </c>
      <c r="F66" s="42">
        <v>41428.629999999997</v>
      </c>
      <c r="G66" s="42">
        <v>145157860</v>
      </c>
      <c r="H66" s="50"/>
      <c r="I66" s="45"/>
      <c r="J66" s="46">
        <v>43419</v>
      </c>
      <c r="K66" s="47">
        <v>2410.0100000000002</v>
      </c>
      <c r="L66" s="47">
        <v>41428.629999999997</v>
      </c>
      <c r="M66" s="51">
        <f t="shared" si="0"/>
        <v>4.9998910794031244E-2</v>
      </c>
      <c r="N66" s="51">
        <f t="shared" si="0"/>
        <v>1.060105064027571E-2</v>
      </c>
      <c r="O66" s="52">
        <f t="shared" si="1"/>
        <v>3.1625000000000002E-4</v>
      </c>
      <c r="P66" s="53">
        <f t="shared" si="2"/>
        <v>4.9682660794031247E-2</v>
      </c>
      <c r="Q66" s="53">
        <f t="shared" si="3"/>
        <v>1.0284800640275709E-2</v>
      </c>
    </row>
    <row r="67" spans="1:17">
      <c r="A67" s="42" t="s">
        <v>388</v>
      </c>
      <c r="B67" s="43">
        <v>43420</v>
      </c>
      <c r="C67" s="42">
        <v>41536.07</v>
      </c>
      <c r="D67" s="42">
        <v>41804.81</v>
      </c>
      <c r="E67" s="42">
        <v>41441.74</v>
      </c>
      <c r="F67" s="42">
        <v>41660.75</v>
      </c>
      <c r="G67" s="42">
        <v>107559570</v>
      </c>
      <c r="H67" s="50"/>
      <c r="I67" s="45"/>
      <c r="J67" s="46">
        <v>43420</v>
      </c>
      <c r="K67" s="47">
        <v>2524.9899999999998</v>
      </c>
      <c r="L67" s="47">
        <v>41660.75</v>
      </c>
      <c r="M67" s="51">
        <f t="shared" si="0"/>
        <v>4.7709345604374898E-2</v>
      </c>
      <c r="N67" s="51">
        <f t="shared" si="0"/>
        <v>5.6028886303988966E-3</v>
      </c>
      <c r="O67" s="52">
        <f t="shared" si="1"/>
        <v>3.1625000000000002E-4</v>
      </c>
      <c r="P67" s="53">
        <f t="shared" si="2"/>
        <v>4.73930956043749E-2</v>
      </c>
      <c r="Q67" s="53">
        <f t="shared" si="3"/>
        <v>5.2866386303988969E-3</v>
      </c>
    </row>
    <row r="68" spans="1:17">
      <c r="A68" s="42" t="s">
        <v>388</v>
      </c>
      <c r="B68" s="43">
        <v>43423</v>
      </c>
      <c r="C68" s="42">
        <v>41682.92</v>
      </c>
      <c r="D68" s="42">
        <v>41682.99</v>
      </c>
      <c r="E68" s="42">
        <v>41240.51</v>
      </c>
      <c r="F68" s="42">
        <v>41352.769999999997</v>
      </c>
      <c r="G68" s="42">
        <v>68039700</v>
      </c>
      <c r="H68" s="50"/>
      <c r="I68" s="45"/>
      <c r="J68" s="46">
        <v>43423</v>
      </c>
      <c r="K68" s="47">
        <v>2409.9899999999998</v>
      </c>
      <c r="L68" s="47">
        <v>41352.769999999997</v>
      </c>
      <c r="M68" s="51">
        <f t="shared" ref="M68:N131" si="4">(K68-K67)/K67</f>
        <v>-4.5544734830632996E-2</v>
      </c>
      <c r="N68" s="51">
        <f t="shared" si="4"/>
        <v>-7.3925697449038529E-3</v>
      </c>
      <c r="O68" s="52">
        <f t="shared" ref="O68:O131" si="5">$O$2/360</f>
        <v>3.1625000000000002E-4</v>
      </c>
      <c r="P68" s="53">
        <f t="shared" ref="P68:P131" si="6">M68-O68</f>
        <v>-4.5860984830632993E-2</v>
      </c>
      <c r="Q68" s="53">
        <f t="shared" ref="Q68:Q131" si="7">N68-O68</f>
        <v>-7.7088197449038526E-3</v>
      </c>
    </row>
    <row r="69" spans="1:17">
      <c r="A69" s="42" t="s">
        <v>388</v>
      </c>
      <c r="B69" s="43">
        <v>43424</v>
      </c>
      <c r="C69" s="42">
        <v>41376.42</v>
      </c>
      <c r="D69" s="42">
        <v>41466.699999999997</v>
      </c>
      <c r="E69" s="42">
        <v>41213.56</v>
      </c>
      <c r="F69" s="42">
        <v>41419.24</v>
      </c>
      <c r="G69" s="42">
        <v>79636590</v>
      </c>
      <c r="H69" s="50"/>
      <c r="I69" s="45"/>
      <c r="J69" s="46">
        <v>43424</v>
      </c>
      <c r="K69" s="47">
        <v>2529.98</v>
      </c>
      <c r="L69" s="47">
        <v>41419.24</v>
      </c>
      <c r="M69" s="51">
        <f t="shared" si="4"/>
        <v>4.978858833439153E-2</v>
      </c>
      <c r="N69" s="51">
        <f t="shared" si="4"/>
        <v>1.6073892994351085E-3</v>
      </c>
      <c r="O69" s="52">
        <f t="shared" si="5"/>
        <v>3.1625000000000002E-4</v>
      </c>
      <c r="P69" s="53">
        <f t="shared" si="6"/>
        <v>4.9472338334391533E-2</v>
      </c>
      <c r="Q69" s="53">
        <f t="shared" si="7"/>
        <v>1.2911392994351084E-3</v>
      </c>
    </row>
    <row r="70" spans="1:17">
      <c r="A70" s="42" t="s">
        <v>388</v>
      </c>
      <c r="B70" s="43">
        <v>43426</v>
      </c>
      <c r="C70" s="42">
        <v>41367.89</v>
      </c>
      <c r="D70" s="42">
        <v>41367.89</v>
      </c>
      <c r="E70" s="42">
        <v>40795.96</v>
      </c>
      <c r="F70" s="42">
        <v>40874.03</v>
      </c>
      <c r="G70" s="42">
        <v>88919400</v>
      </c>
      <c r="H70" s="50"/>
      <c r="I70" s="45"/>
      <c r="J70" s="46">
        <v>43426</v>
      </c>
      <c r="K70" s="47">
        <v>2403.4899999999998</v>
      </c>
      <c r="L70" s="47">
        <v>40874.03</v>
      </c>
      <c r="M70" s="51">
        <f t="shared" si="4"/>
        <v>-4.9996442659625863E-2</v>
      </c>
      <c r="N70" s="51">
        <f t="shared" si="4"/>
        <v>-1.3163206278048539E-2</v>
      </c>
      <c r="O70" s="52">
        <f t="shared" si="5"/>
        <v>3.1625000000000002E-4</v>
      </c>
      <c r="P70" s="53">
        <f t="shared" si="6"/>
        <v>-5.031269265962586E-2</v>
      </c>
      <c r="Q70" s="53">
        <f t="shared" si="7"/>
        <v>-1.347945627804854E-2</v>
      </c>
    </row>
    <row r="71" spans="1:17">
      <c r="A71" s="42" t="s">
        <v>388</v>
      </c>
      <c r="B71" s="43">
        <v>43427</v>
      </c>
      <c r="C71" s="42">
        <v>40839.64</v>
      </c>
      <c r="D71" s="42">
        <v>40899.47</v>
      </c>
      <c r="E71" s="42">
        <v>40655.08</v>
      </c>
      <c r="F71" s="42">
        <v>40869.279999999999</v>
      </c>
      <c r="G71" s="42">
        <v>69738160</v>
      </c>
      <c r="H71" s="50"/>
      <c r="I71" s="45"/>
      <c r="J71" s="46">
        <v>43427</v>
      </c>
      <c r="K71" s="47">
        <v>2410</v>
      </c>
      <c r="L71" s="47">
        <v>40869.279999999999</v>
      </c>
      <c r="M71" s="51">
        <f t="shared" si="4"/>
        <v>2.7085613004423645E-3</v>
      </c>
      <c r="N71" s="51">
        <f t="shared" si="4"/>
        <v>-1.1621070885351897E-4</v>
      </c>
      <c r="O71" s="52">
        <f t="shared" si="5"/>
        <v>3.1625000000000002E-4</v>
      </c>
      <c r="P71" s="53">
        <f t="shared" si="6"/>
        <v>2.3923113004423644E-3</v>
      </c>
      <c r="Q71" s="53">
        <f t="shared" si="7"/>
        <v>-4.3246070885351898E-4</v>
      </c>
    </row>
    <row r="72" spans="1:17">
      <c r="A72" s="42" t="s">
        <v>388</v>
      </c>
      <c r="B72" s="43">
        <v>43430</v>
      </c>
      <c r="C72" s="42">
        <v>40882.1</v>
      </c>
      <c r="D72" s="42">
        <v>41144.089999999997</v>
      </c>
      <c r="E72" s="42">
        <v>40664.17</v>
      </c>
      <c r="F72" s="42">
        <v>40771.550000000003</v>
      </c>
      <c r="G72" s="42">
        <v>68878950</v>
      </c>
      <c r="H72" s="50"/>
      <c r="I72" s="45"/>
      <c r="J72" s="46">
        <v>43430</v>
      </c>
      <c r="K72" s="47">
        <v>2524</v>
      </c>
      <c r="L72" s="47">
        <v>40771.550000000003</v>
      </c>
      <c r="M72" s="51">
        <f t="shared" si="4"/>
        <v>4.7302904564315351E-2</v>
      </c>
      <c r="N72" s="51">
        <f t="shared" si="4"/>
        <v>-2.3912826455468736E-3</v>
      </c>
      <c r="O72" s="52">
        <f t="shared" si="5"/>
        <v>3.1625000000000002E-4</v>
      </c>
      <c r="P72" s="53">
        <f t="shared" si="6"/>
        <v>4.6986654564315354E-2</v>
      </c>
      <c r="Q72" s="53">
        <f t="shared" si="7"/>
        <v>-2.7075326455468737E-3</v>
      </c>
    </row>
    <row r="73" spans="1:17">
      <c r="A73" s="42" t="s">
        <v>388</v>
      </c>
      <c r="B73" s="43">
        <v>43431</v>
      </c>
      <c r="C73" s="42">
        <v>40825.54</v>
      </c>
      <c r="D73" s="42">
        <v>40925.43</v>
      </c>
      <c r="E73" s="42">
        <v>40520.47</v>
      </c>
      <c r="F73" s="42">
        <v>40894.22</v>
      </c>
      <c r="G73" s="42">
        <v>70707910</v>
      </c>
      <c r="H73" s="50"/>
      <c r="I73" s="45"/>
      <c r="J73" s="46">
        <v>43431</v>
      </c>
      <c r="K73" s="47">
        <v>2430</v>
      </c>
      <c r="L73" s="47">
        <v>40894.22</v>
      </c>
      <c r="M73" s="51">
        <f t="shared" si="4"/>
        <v>-3.724247226624406E-2</v>
      </c>
      <c r="N73" s="51">
        <f t="shared" si="4"/>
        <v>3.0087156362708371E-3</v>
      </c>
      <c r="O73" s="52">
        <f t="shared" si="5"/>
        <v>3.1625000000000002E-4</v>
      </c>
      <c r="P73" s="53">
        <f t="shared" si="6"/>
        <v>-3.7558722266244057E-2</v>
      </c>
      <c r="Q73" s="53">
        <f t="shared" si="7"/>
        <v>2.692465636270837E-3</v>
      </c>
    </row>
    <row r="74" spans="1:17">
      <c r="A74" s="42" t="s">
        <v>388</v>
      </c>
      <c r="B74" s="43">
        <v>43432</v>
      </c>
      <c r="C74" s="42">
        <v>40944.660000000003</v>
      </c>
      <c r="D74" s="42">
        <v>41084.080000000002</v>
      </c>
      <c r="E74" s="42">
        <v>40653.71</v>
      </c>
      <c r="F74" s="42">
        <v>40704.800000000003</v>
      </c>
      <c r="G74" s="42">
        <v>76389140</v>
      </c>
      <c r="H74" s="50"/>
      <c r="I74" s="45"/>
      <c r="J74" s="46">
        <v>43432</v>
      </c>
      <c r="K74" s="47">
        <v>2548.9</v>
      </c>
      <c r="L74" s="47">
        <v>40704.800000000003</v>
      </c>
      <c r="M74" s="51">
        <f t="shared" si="4"/>
        <v>4.8930041152263411E-2</v>
      </c>
      <c r="N74" s="51">
        <f t="shared" si="4"/>
        <v>-4.6319504321148137E-3</v>
      </c>
      <c r="O74" s="52">
        <f t="shared" si="5"/>
        <v>3.1625000000000002E-4</v>
      </c>
      <c r="P74" s="53">
        <f t="shared" si="6"/>
        <v>4.8613791152263414E-2</v>
      </c>
      <c r="Q74" s="53">
        <f t="shared" si="7"/>
        <v>-4.9482004321148134E-3</v>
      </c>
    </row>
    <row r="75" spans="1:17">
      <c r="A75" s="42" t="s">
        <v>388</v>
      </c>
      <c r="B75" s="43">
        <v>43438</v>
      </c>
      <c r="C75" s="42">
        <v>38889.68</v>
      </c>
      <c r="D75" s="42">
        <v>39658.480000000003</v>
      </c>
      <c r="E75" s="42">
        <v>38889.24</v>
      </c>
      <c r="F75" s="42">
        <v>39602.870000000003</v>
      </c>
      <c r="G75" s="42">
        <v>140546640</v>
      </c>
      <c r="H75" s="50"/>
      <c r="I75" s="45"/>
      <c r="J75" s="46">
        <v>43438</v>
      </c>
      <c r="K75" s="47">
        <v>2410</v>
      </c>
      <c r="L75" s="47">
        <v>39602.870000000003</v>
      </c>
      <c r="M75" s="51">
        <f t="shared" si="4"/>
        <v>-5.4494095492173128E-2</v>
      </c>
      <c r="N75" s="51">
        <f t="shared" si="4"/>
        <v>-2.7071254495784285E-2</v>
      </c>
      <c r="O75" s="52">
        <f t="shared" si="5"/>
        <v>3.1625000000000002E-4</v>
      </c>
      <c r="P75" s="53">
        <f t="shared" si="6"/>
        <v>-5.4810345492173125E-2</v>
      </c>
      <c r="Q75" s="53">
        <f t="shared" si="7"/>
        <v>-2.7387504495784285E-2</v>
      </c>
    </row>
    <row r="76" spans="1:17">
      <c r="A76" s="42" t="s">
        <v>388</v>
      </c>
      <c r="B76" s="43">
        <v>43439</v>
      </c>
      <c r="C76" s="42">
        <v>39607.1</v>
      </c>
      <c r="D76" s="42">
        <v>39607.1</v>
      </c>
      <c r="E76" s="42">
        <v>38718.42</v>
      </c>
      <c r="F76" s="42">
        <v>39303.11</v>
      </c>
      <c r="G76" s="42">
        <v>87957840</v>
      </c>
      <c r="H76" s="50"/>
      <c r="I76" s="45"/>
      <c r="J76" s="46">
        <v>43439</v>
      </c>
      <c r="K76" s="47">
        <v>2410</v>
      </c>
      <c r="L76" s="47">
        <v>39303.11</v>
      </c>
      <c r="M76" s="51">
        <f t="shared" si="4"/>
        <v>0</v>
      </c>
      <c r="N76" s="51">
        <f t="shared" si="4"/>
        <v>-7.5691483975783075E-3</v>
      </c>
      <c r="O76" s="52">
        <f t="shared" si="5"/>
        <v>3.1625000000000002E-4</v>
      </c>
      <c r="P76" s="53">
        <f t="shared" si="6"/>
        <v>-3.1625000000000002E-4</v>
      </c>
      <c r="Q76" s="53">
        <f t="shared" si="7"/>
        <v>-7.8853983975783071E-3</v>
      </c>
    </row>
    <row r="77" spans="1:17">
      <c r="A77" s="42" t="s">
        <v>388</v>
      </c>
      <c r="B77" s="43">
        <v>43440</v>
      </c>
      <c r="C77" s="42">
        <v>39371.089999999997</v>
      </c>
      <c r="D77" s="42">
        <v>39456.370000000003</v>
      </c>
      <c r="E77" s="42">
        <v>38236.92</v>
      </c>
      <c r="F77" s="42">
        <v>38300.620000000003</v>
      </c>
      <c r="G77" s="42">
        <v>121443350</v>
      </c>
      <c r="H77" s="50"/>
      <c r="I77" s="45"/>
      <c r="J77" s="46">
        <v>43440</v>
      </c>
      <c r="K77" s="47">
        <v>2410</v>
      </c>
      <c r="L77" s="47">
        <v>38300.620000000003</v>
      </c>
      <c r="M77" s="51">
        <f t="shared" si="4"/>
        <v>0</v>
      </c>
      <c r="N77" s="51">
        <f t="shared" si="4"/>
        <v>-2.5506632935663309E-2</v>
      </c>
      <c r="O77" s="52">
        <f t="shared" si="5"/>
        <v>3.1625000000000002E-4</v>
      </c>
      <c r="P77" s="53">
        <f t="shared" si="6"/>
        <v>-3.1625000000000002E-4</v>
      </c>
      <c r="Q77" s="53">
        <f t="shared" si="7"/>
        <v>-2.5822882935663309E-2</v>
      </c>
    </row>
    <row r="78" spans="1:17">
      <c r="A78" s="42" t="s">
        <v>388</v>
      </c>
      <c r="B78" s="43">
        <v>43444</v>
      </c>
      <c r="C78" s="42">
        <v>38826.230000000003</v>
      </c>
      <c r="D78" s="42">
        <v>39438.79</v>
      </c>
      <c r="E78" s="42">
        <v>38826.230000000003</v>
      </c>
      <c r="F78" s="42">
        <v>39299.620000000003</v>
      </c>
      <c r="G78" s="42">
        <v>113188170</v>
      </c>
      <c r="H78" s="50"/>
      <c r="I78" s="45"/>
      <c r="J78" s="46">
        <v>43444</v>
      </c>
      <c r="K78" s="47">
        <v>2425</v>
      </c>
      <c r="L78" s="47">
        <v>39299.620000000003</v>
      </c>
      <c r="M78" s="51">
        <f t="shared" si="4"/>
        <v>6.2240663900414933E-3</v>
      </c>
      <c r="N78" s="51">
        <f t="shared" si="4"/>
        <v>2.6083128680423447E-2</v>
      </c>
      <c r="O78" s="52">
        <f t="shared" si="5"/>
        <v>3.1625000000000002E-4</v>
      </c>
      <c r="P78" s="53">
        <f t="shared" si="6"/>
        <v>5.9078163900414937E-3</v>
      </c>
      <c r="Q78" s="53">
        <f t="shared" si="7"/>
        <v>2.5766878680423447E-2</v>
      </c>
    </row>
    <row r="79" spans="1:17">
      <c r="A79" s="42" t="s">
        <v>388</v>
      </c>
      <c r="B79" s="43">
        <v>43452</v>
      </c>
      <c r="C79" s="42">
        <v>38245.980000000003</v>
      </c>
      <c r="D79" s="42">
        <v>38323.440000000002</v>
      </c>
      <c r="E79" s="42">
        <v>37978.58</v>
      </c>
      <c r="F79" s="42">
        <v>38115.81</v>
      </c>
      <c r="G79" s="42">
        <v>68148660</v>
      </c>
      <c r="H79" s="50"/>
      <c r="I79" s="45"/>
      <c r="J79" s="46">
        <v>43452</v>
      </c>
      <c r="K79" s="47">
        <v>2311</v>
      </c>
      <c r="L79" s="47">
        <v>38115.81</v>
      </c>
      <c r="M79" s="51">
        <f t="shared" si="4"/>
        <v>-4.7010309278350516E-2</v>
      </c>
      <c r="N79" s="51">
        <f t="shared" si="4"/>
        <v>-3.0122683120091361E-2</v>
      </c>
      <c r="O79" s="52">
        <f t="shared" si="5"/>
        <v>3.1625000000000002E-4</v>
      </c>
      <c r="P79" s="53">
        <f t="shared" si="6"/>
        <v>-4.7326559278350513E-2</v>
      </c>
      <c r="Q79" s="53">
        <f t="shared" si="7"/>
        <v>-3.0438933120091362E-2</v>
      </c>
    </row>
    <row r="80" spans="1:17">
      <c r="A80" s="42" t="s">
        <v>388</v>
      </c>
      <c r="B80" s="43">
        <v>43453</v>
      </c>
      <c r="C80" s="42">
        <v>38051.78</v>
      </c>
      <c r="D80" s="42">
        <v>38179.269999999997</v>
      </c>
      <c r="E80" s="42">
        <v>37859.18</v>
      </c>
      <c r="F80" s="42">
        <v>38063.15</v>
      </c>
      <c r="G80" s="42">
        <v>70423870</v>
      </c>
      <c r="H80" s="50"/>
      <c r="I80" s="45"/>
      <c r="J80" s="46">
        <v>43453</v>
      </c>
      <c r="K80" s="47">
        <v>2400</v>
      </c>
      <c r="L80" s="47">
        <v>38063.15</v>
      </c>
      <c r="M80" s="51">
        <f t="shared" si="4"/>
        <v>3.8511466897446993E-2</v>
      </c>
      <c r="N80" s="51">
        <f t="shared" si="4"/>
        <v>-1.3815789301079059E-3</v>
      </c>
      <c r="O80" s="52">
        <f t="shared" si="5"/>
        <v>3.1625000000000002E-4</v>
      </c>
      <c r="P80" s="53">
        <f t="shared" si="6"/>
        <v>3.8195216897446996E-2</v>
      </c>
      <c r="Q80" s="53">
        <f t="shared" si="7"/>
        <v>-1.6978289301079058E-3</v>
      </c>
    </row>
    <row r="81" spans="1:17">
      <c r="A81" s="42" t="s">
        <v>388</v>
      </c>
      <c r="B81" s="43">
        <v>43455</v>
      </c>
      <c r="C81" s="42">
        <v>38241.050000000003</v>
      </c>
      <c r="D81" s="42">
        <v>38487.370000000003</v>
      </c>
      <c r="E81" s="42">
        <v>37845.42</v>
      </c>
      <c r="F81" s="42">
        <v>38251.040000000001</v>
      </c>
      <c r="G81" s="42">
        <v>98563050</v>
      </c>
      <c r="H81" s="50"/>
      <c r="I81" s="45"/>
      <c r="J81" s="46">
        <v>43455</v>
      </c>
      <c r="K81" s="47">
        <v>2410</v>
      </c>
      <c r="L81" s="47">
        <v>38251.040000000001</v>
      </c>
      <c r="M81" s="51">
        <f t="shared" si="4"/>
        <v>4.1666666666666666E-3</v>
      </c>
      <c r="N81" s="51">
        <f t="shared" si="4"/>
        <v>4.9362703822463305E-3</v>
      </c>
      <c r="O81" s="52">
        <f t="shared" si="5"/>
        <v>3.1625000000000002E-4</v>
      </c>
      <c r="P81" s="53">
        <f t="shared" si="6"/>
        <v>3.8504166666666665E-3</v>
      </c>
      <c r="Q81" s="53">
        <f t="shared" si="7"/>
        <v>4.6200203822463308E-3</v>
      </c>
    </row>
    <row r="82" spans="1:17">
      <c r="A82" s="42" t="s">
        <v>388</v>
      </c>
      <c r="B82" s="43">
        <v>43461</v>
      </c>
      <c r="C82" s="42">
        <v>38382.239999999998</v>
      </c>
      <c r="D82" s="42">
        <v>38460.1</v>
      </c>
      <c r="E82" s="42">
        <v>37701.160000000003</v>
      </c>
      <c r="F82" s="42">
        <v>37853.57</v>
      </c>
      <c r="G82" s="42">
        <v>69739040</v>
      </c>
      <c r="H82" s="50"/>
      <c r="I82" s="45"/>
      <c r="J82" s="46">
        <v>43461</v>
      </c>
      <c r="K82" s="47">
        <v>2290.0100000000002</v>
      </c>
      <c r="L82" s="47">
        <v>37853.57</v>
      </c>
      <c r="M82" s="51">
        <f t="shared" si="4"/>
        <v>-4.9788381742738495E-2</v>
      </c>
      <c r="N82" s="51">
        <f t="shared" si="4"/>
        <v>-1.0391090020036086E-2</v>
      </c>
      <c r="O82" s="52">
        <f t="shared" si="5"/>
        <v>3.1625000000000002E-4</v>
      </c>
      <c r="P82" s="53">
        <f t="shared" si="6"/>
        <v>-5.0104631742738492E-2</v>
      </c>
      <c r="Q82" s="53">
        <f t="shared" si="7"/>
        <v>-1.0707340020036087E-2</v>
      </c>
    </row>
    <row r="83" spans="1:17">
      <c r="A83" s="42" t="s">
        <v>388</v>
      </c>
      <c r="B83" s="43">
        <v>43465</v>
      </c>
      <c r="C83" s="42">
        <v>37071.760000000002</v>
      </c>
      <c r="D83" s="42">
        <v>37221.769999999997</v>
      </c>
      <c r="E83" s="42">
        <v>36802.400000000001</v>
      </c>
      <c r="F83" s="42">
        <v>37066.67</v>
      </c>
      <c r="G83" s="42">
        <v>164224090</v>
      </c>
      <c r="H83" s="50"/>
      <c r="I83" s="45"/>
      <c r="J83" s="46">
        <v>43465</v>
      </c>
      <c r="K83" s="47">
        <v>2290.0100000000002</v>
      </c>
      <c r="L83" s="47">
        <v>37066.67</v>
      </c>
      <c r="M83" s="51">
        <f t="shared" si="4"/>
        <v>0</v>
      </c>
      <c r="N83" s="51">
        <f t="shared" si="4"/>
        <v>-2.0787999652344586E-2</v>
      </c>
      <c r="O83" s="52">
        <f t="shared" si="5"/>
        <v>3.1625000000000002E-4</v>
      </c>
      <c r="P83" s="53">
        <f t="shared" si="6"/>
        <v>-3.1625000000000002E-4</v>
      </c>
      <c r="Q83" s="53">
        <f t="shared" si="7"/>
        <v>-2.1104249652344587E-2</v>
      </c>
    </row>
    <row r="84" spans="1:17">
      <c r="A84" s="42" t="s">
        <v>388</v>
      </c>
      <c r="B84" s="43">
        <v>43466</v>
      </c>
      <c r="C84" s="42">
        <v>37067.980000000003</v>
      </c>
      <c r="D84" s="42">
        <v>38046.980000000003</v>
      </c>
      <c r="E84" s="42">
        <v>37046.21</v>
      </c>
      <c r="F84" s="42">
        <v>37995.760000000002</v>
      </c>
      <c r="G84" s="42">
        <v>63471000</v>
      </c>
      <c r="H84" s="50"/>
      <c r="I84" s="45"/>
      <c r="J84" s="46">
        <v>43466</v>
      </c>
      <c r="K84" s="47">
        <v>2210</v>
      </c>
      <c r="L84" s="47">
        <v>37995.760000000002</v>
      </c>
      <c r="M84" s="51">
        <f t="shared" si="4"/>
        <v>-3.4938712058026039E-2</v>
      </c>
      <c r="N84" s="51">
        <f t="shared" si="4"/>
        <v>2.5065375443761303E-2</v>
      </c>
      <c r="O84" s="52">
        <f t="shared" si="5"/>
        <v>3.1625000000000002E-4</v>
      </c>
      <c r="P84" s="53">
        <f t="shared" si="6"/>
        <v>-3.5254962058026036E-2</v>
      </c>
      <c r="Q84" s="53">
        <f t="shared" si="7"/>
        <v>2.4749125443761302E-2</v>
      </c>
    </row>
    <row r="85" spans="1:17">
      <c r="A85" s="42" t="s">
        <v>388</v>
      </c>
      <c r="B85" s="43">
        <v>43472</v>
      </c>
      <c r="C85" s="42">
        <v>37621.24</v>
      </c>
      <c r="D85" s="42">
        <v>38626.800000000003</v>
      </c>
      <c r="E85" s="42">
        <v>37621.24</v>
      </c>
      <c r="F85" s="42">
        <v>38562.400000000001</v>
      </c>
      <c r="G85" s="42">
        <v>103490450</v>
      </c>
      <c r="H85" s="50"/>
      <c r="I85" s="45"/>
      <c r="J85" s="46">
        <v>43472</v>
      </c>
      <c r="K85" s="47">
        <v>2200</v>
      </c>
      <c r="L85" s="47">
        <v>38562.400000000001</v>
      </c>
      <c r="M85" s="51">
        <f t="shared" si="4"/>
        <v>-4.5248868778280547E-3</v>
      </c>
      <c r="N85" s="51">
        <f t="shared" si="4"/>
        <v>1.4913242951318762E-2</v>
      </c>
      <c r="O85" s="52">
        <f t="shared" si="5"/>
        <v>3.1625000000000002E-4</v>
      </c>
      <c r="P85" s="53">
        <f t="shared" si="6"/>
        <v>-4.8411368778280544E-3</v>
      </c>
      <c r="Q85" s="53">
        <f t="shared" si="7"/>
        <v>1.4596992951318761E-2</v>
      </c>
    </row>
    <row r="86" spans="1:17">
      <c r="A86" s="42" t="s">
        <v>388</v>
      </c>
      <c r="B86" s="43">
        <v>43476</v>
      </c>
      <c r="C86" s="42">
        <v>39116.620000000003</v>
      </c>
      <c r="D86" s="42">
        <v>39284.39</v>
      </c>
      <c r="E86" s="42">
        <v>38794.68</v>
      </c>
      <c r="F86" s="42">
        <v>39049.08</v>
      </c>
      <c r="G86" s="42">
        <v>91601920</v>
      </c>
      <c r="H86" s="50"/>
      <c r="I86" s="45"/>
      <c r="J86" s="46">
        <v>43476</v>
      </c>
      <c r="K86" s="47">
        <v>2110</v>
      </c>
      <c r="L86" s="47">
        <v>39049.08</v>
      </c>
      <c r="M86" s="51">
        <f t="shared" si="4"/>
        <v>-4.0909090909090909E-2</v>
      </c>
      <c r="N86" s="51">
        <f t="shared" si="4"/>
        <v>1.262058378109247E-2</v>
      </c>
      <c r="O86" s="52">
        <f t="shared" si="5"/>
        <v>3.1625000000000002E-4</v>
      </c>
      <c r="P86" s="53">
        <f t="shared" si="6"/>
        <v>-4.1225340909090906E-2</v>
      </c>
      <c r="Q86" s="53">
        <f t="shared" si="7"/>
        <v>1.2304333781092469E-2</v>
      </c>
    </row>
    <row r="87" spans="1:17">
      <c r="A87" s="42" t="s">
        <v>388</v>
      </c>
      <c r="B87" s="43">
        <v>43482</v>
      </c>
      <c r="C87" s="42">
        <v>39265.660000000003</v>
      </c>
      <c r="D87" s="42">
        <v>39294.47</v>
      </c>
      <c r="E87" s="42">
        <v>38773.269999999997</v>
      </c>
      <c r="F87" s="42">
        <v>39243.89</v>
      </c>
      <c r="G87" s="42">
        <v>78832880</v>
      </c>
      <c r="H87" s="50"/>
      <c r="I87" s="45"/>
      <c r="J87" s="46">
        <v>43482</v>
      </c>
      <c r="K87" s="47">
        <v>2010</v>
      </c>
      <c r="L87" s="47">
        <v>39243.89</v>
      </c>
      <c r="M87" s="51">
        <f t="shared" si="4"/>
        <v>-4.7393364928909949E-2</v>
      </c>
      <c r="N87" s="51">
        <f t="shared" si="4"/>
        <v>4.9888499293708755E-3</v>
      </c>
      <c r="O87" s="52">
        <f t="shared" si="5"/>
        <v>3.1625000000000002E-4</v>
      </c>
      <c r="P87" s="53">
        <f t="shared" si="6"/>
        <v>-4.7709614928909946E-2</v>
      </c>
      <c r="Q87" s="53">
        <f t="shared" si="7"/>
        <v>4.6725999293708758E-3</v>
      </c>
    </row>
    <row r="88" spans="1:17">
      <c r="A88" s="42" t="s">
        <v>388</v>
      </c>
      <c r="B88" s="43">
        <v>43483</v>
      </c>
      <c r="C88" s="42">
        <v>39253.449999999997</v>
      </c>
      <c r="D88" s="42">
        <v>39390.769999999997</v>
      </c>
      <c r="E88" s="42">
        <v>39091.519999999997</v>
      </c>
      <c r="F88" s="42">
        <v>39306.5</v>
      </c>
      <c r="G88" s="42">
        <v>121611410</v>
      </c>
      <c r="H88" s="50"/>
      <c r="I88" s="45"/>
      <c r="J88" s="46">
        <v>43483</v>
      </c>
      <c r="K88" s="47">
        <v>2000</v>
      </c>
      <c r="L88" s="47">
        <v>39306.5</v>
      </c>
      <c r="M88" s="51">
        <f t="shared" si="4"/>
        <v>-4.9751243781094526E-3</v>
      </c>
      <c r="N88" s="51">
        <f t="shared" si="4"/>
        <v>1.5954075908377224E-3</v>
      </c>
      <c r="O88" s="52">
        <f t="shared" si="5"/>
        <v>3.1625000000000002E-4</v>
      </c>
      <c r="P88" s="53">
        <f t="shared" si="6"/>
        <v>-5.2913743781094523E-3</v>
      </c>
      <c r="Q88" s="53">
        <f t="shared" si="7"/>
        <v>1.2791575908377224E-3</v>
      </c>
    </row>
    <row r="89" spans="1:17">
      <c r="A89" s="42" t="s">
        <v>388</v>
      </c>
      <c r="B89" s="43">
        <v>43486</v>
      </c>
      <c r="C89" s="42">
        <v>39345.129999999997</v>
      </c>
      <c r="D89" s="42">
        <v>39812.36</v>
      </c>
      <c r="E89" s="42">
        <v>39345.129999999997</v>
      </c>
      <c r="F89" s="42">
        <v>39543.769999999997</v>
      </c>
      <c r="G89" s="42">
        <v>77052990</v>
      </c>
      <c r="H89" s="50"/>
      <c r="I89" s="45"/>
      <c r="J89" s="46">
        <v>43486</v>
      </c>
      <c r="K89" s="47">
        <v>1999.99</v>
      </c>
      <c r="L89" s="47">
        <v>39543.769999999997</v>
      </c>
      <c r="M89" s="51">
        <f t="shared" si="4"/>
        <v>-4.9999999999954527E-6</v>
      </c>
      <c r="N89" s="51">
        <f t="shared" si="4"/>
        <v>6.0364061923599607E-3</v>
      </c>
      <c r="O89" s="52">
        <f t="shared" si="5"/>
        <v>3.1625000000000002E-4</v>
      </c>
      <c r="P89" s="53">
        <f t="shared" si="6"/>
        <v>-3.2124999999999548E-4</v>
      </c>
      <c r="Q89" s="53">
        <f t="shared" si="7"/>
        <v>5.720156192359961E-3</v>
      </c>
    </row>
    <row r="90" spans="1:17">
      <c r="A90" s="42" t="s">
        <v>388</v>
      </c>
      <c r="B90" s="43">
        <v>43487</v>
      </c>
      <c r="C90" s="42">
        <v>39557.26</v>
      </c>
      <c r="D90" s="42">
        <v>39961.25</v>
      </c>
      <c r="E90" s="42">
        <v>39485.760000000002</v>
      </c>
      <c r="F90" s="42">
        <v>39902.21</v>
      </c>
      <c r="G90" s="42">
        <v>88461030</v>
      </c>
      <c r="H90" s="50"/>
      <c r="I90" s="45"/>
      <c r="J90" s="46">
        <v>43487</v>
      </c>
      <c r="K90" s="47">
        <v>2000</v>
      </c>
      <c r="L90" s="47">
        <v>39902.21</v>
      </c>
      <c r="M90" s="51">
        <f t="shared" si="4"/>
        <v>5.0000250001204528E-6</v>
      </c>
      <c r="N90" s="51">
        <f t="shared" si="4"/>
        <v>9.0643861220111883E-3</v>
      </c>
      <c r="O90" s="52">
        <f t="shared" si="5"/>
        <v>3.1625000000000002E-4</v>
      </c>
      <c r="P90" s="53">
        <f t="shared" si="6"/>
        <v>-3.1124997499987954E-4</v>
      </c>
      <c r="Q90" s="53">
        <f t="shared" si="7"/>
        <v>8.7481361220111877E-3</v>
      </c>
    </row>
    <row r="91" spans="1:17">
      <c r="A91" s="42" t="s">
        <v>388</v>
      </c>
      <c r="B91" s="43">
        <v>43489</v>
      </c>
      <c r="C91" s="42">
        <v>40592.67</v>
      </c>
      <c r="D91" s="42">
        <v>40609.03</v>
      </c>
      <c r="E91" s="42">
        <v>40218.01</v>
      </c>
      <c r="F91" s="42">
        <v>40289.160000000003</v>
      </c>
      <c r="G91" s="42">
        <v>158761680</v>
      </c>
      <c r="H91" s="50"/>
      <c r="I91" s="45"/>
      <c r="J91" s="46">
        <v>43489</v>
      </c>
      <c r="K91" s="47">
        <v>1998</v>
      </c>
      <c r="L91" s="47">
        <v>40289.160000000003</v>
      </c>
      <c r="M91" s="51">
        <f t="shared" si="4"/>
        <v>-1E-3</v>
      </c>
      <c r="N91" s="51">
        <f t="shared" si="4"/>
        <v>9.6974578601035973E-3</v>
      </c>
      <c r="O91" s="52">
        <f t="shared" si="5"/>
        <v>3.1625000000000002E-4</v>
      </c>
      <c r="P91" s="53">
        <f t="shared" si="6"/>
        <v>-1.3162500000000001E-3</v>
      </c>
      <c r="Q91" s="53">
        <f t="shared" si="7"/>
        <v>9.3812078601035968E-3</v>
      </c>
    </row>
    <row r="92" spans="1:17">
      <c r="A92" s="42" t="s">
        <v>388</v>
      </c>
      <c r="B92" s="43">
        <v>43493</v>
      </c>
      <c r="C92" s="42">
        <v>40277.089999999997</v>
      </c>
      <c r="D92" s="42">
        <v>40465.24</v>
      </c>
      <c r="E92" s="42">
        <v>40261.18</v>
      </c>
      <c r="F92" s="42">
        <v>40420.089999999997</v>
      </c>
      <c r="G92" s="42">
        <v>68017120</v>
      </c>
      <c r="H92" s="50"/>
      <c r="I92" s="45"/>
      <c r="J92" s="46">
        <v>43493</v>
      </c>
      <c r="K92" s="47">
        <v>2000</v>
      </c>
      <c r="L92" s="47">
        <v>40420.089999999997</v>
      </c>
      <c r="M92" s="51">
        <f t="shared" si="4"/>
        <v>1.001001001001001E-3</v>
      </c>
      <c r="N92" s="51">
        <f t="shared" si="4"/>
        <v>3.2497575030105618E-3</v>
      </c>
      <c r="O92" s="52">
        <f t="shared" si="5"/>
        <v>3.1625000000000002E-4</v>
      </c>
      <c r="P92" s="53">
        <f t="shared" si="6"/>
        <v>6.8475100100100098E-4</v>
      </c>
      <c r="Q92" s="53">
        <f t="shared" si="7"/>
        <v>2.9335075030105617E-3</v>
      </c>
    </row>
    <row r="93" spans="1:17">
      <c r="A93" s="42" t="s">
        <v>388</v>
      </c>
      <c r="B93" s="43">
        <v>43495</v>
      </c>
      <c r="C93" s="42">
        <v>40644.33</v>
      </c>
      <c r="D93" s="42">
        <v>40777.019999999997</v>
      </c>
      <c r="E93" s="42">
        <v>40530.69</v>
      </c>
      <c r="F93" s="42">
        <v>40607.120000000003</v>
      </c>
      <c r="G93" s="42">
        <v>53852200</v>
      </c>
      <c r="H93" s="50"/>
      <c r="I93" s="45"/>
      <c r="J93" s="46">
        <v>43495</v>
      </c>
      <c r="K93" s="47">
        <v>2000</v>
      </c>
      <c r="L93" s="47">
        <v>40607.120000000003</v>
      </c>
      <c r="M93" s="51">
        <f t="shared" si="4"/>
        <v>0</v>
      </c>
      <c r="N93" s="51">
        <f t="shared" si="4"/>
        <v>4.6271544669991118E-3</v>
      </c>
      <c r="O93" s="52">
        <f t="shared" si="5"/>
        <v>3.1625000000000002E-4</v>
      </c>
      <c r="P93" s="53">
        <f t="shared" si="6"/>
        <v>-3.1625000000000002E-4</v>
      </c>
      <c r="Q93" s="53">
        <f t="shared" si="7"/>
        <v>4.3109044669991121E-3</v>
      </c>
    </row>
    <row r="94" spans="1:17">
      <c r="A94" s="42" t="s">
        <v>388</v>
      </c>
      <c r="B94" s="43">
        <v>43500</v>
      </c>
      <c r="C94" s="42">
        <v>41209.08</v>
      </c>
      <c r="D94" s="42">
        <v>41632.94</v>
      </c>
      <c r="E94" s="42">
        <v>41209.08</v>
      </c>
      <c r="F94" s="42">
        <v>41614.39</v>
      </c>
      <c r="G94" s="42">
        <v>138383260</v>
      </c>
      <c r="H94" s="50"/>
      <c r="I94" s="45"/>
      <c r="J94" s="46">
        <v>43500</v>
      </c>
      <c r="K94" s="47">
        <v>2000</v>
      </c>
      <c r="L94" s="47">
        <v>41614.39</v>
      </c>
      <c r="M94" s="51">
        <f t="shared" si="4"/>
        <v>0</v>
      </c>
      <c r="N94" s="51">
        <f t="shared" si="4"/>
        <v>2.4805255827056848E-2</v>
      </c>
      <c r="O94" s="52">
        <f t="shared" si="5"/>
        <v>3.1625000000000002E-4</v>
      </c>
      <c r="P94" s="53">
        <f t="shared" si="6"/>
        <v>-3.1625000000000002E-4</v>
      </c>
      <c r="Q94" s="53">
        <f t="shared" si="7"/>
        <v>2.4489005827056848E-2</v>
      </c>
    </row>
    <row r="95" spans="1:17">
      <c r="A95" s="42" t="s">
        <v>388</v>
      </c>
      <c r="B95" s="43">
        <v>43502</v>
      </c>
      <c r="C95" s="42">
        <v>41693.370000000003</v>
      </c>
      <c r="D95" s="42">
        <v>41766.93</v>
      </c>
      <c r="E95" s="42">
        <v>41417.82</v>
      </c>
      <c r="F95" s="42">
        <v>41505.68</v>
      </c>
      <c r="G95" s="42">
        <v>118361610</v>
      </c>
      <c r="H95" s="50"/>
      <c r="I95" s="45"/>
      <c r="J95" s="46">
        <v>43502</v>
      </c>
      <c r="K95" s="47">
        <v>1970</v>
      </c>
      <c r="L95" s="47">
        <v>41505.68</v>
      </c>
      <c r="M95" s="51">
        <f t="shared" si="4"/>
        <v>-1.4999999999999999E-2</v>
      </c>
      <c r="N95" s="51">
        <f t="shared" si="4"/>
        <v>-2.6123175180508265E-3</v>
      </c>
      <c r="O95" s="52">
        <f t="shared" si="5"/>
        <v>3.1625000000000002E-4</v>
      </c>
      <c r="P95" s="53">
        <f t="shared" si="6"/>
        <v>-1.531625E-2</v>
      </c>
      <c r="Q95" s="53">
        <f t="shared" si="7"/>
        <v>-2.9285675180508266E-3</v>
      </c>
    </row>
    <row r="96" spans="1:17">
      <c r="A96" s="42" t="s">
        <v>388</v>
      </c>
      <c r="B96" s="43">
        <v>43503</v>
      </c>
      <c r="C96" s="42">
        <v>41529.25</v>
      </c>
      <c r="D96" s="42">
        <v>41606.29</v>
      </c>
      <c r="E96" s="42">
        <v>41289.120000000003</v>
      </c>
      <c r="F96" s="42">
        <v>41332.75</v>
      </c>
      <c r="G96" s="42">
        <v>64174440</v>
      </c>
      <c r="H96" s="50"/>
      <c r="I96" s="45"/>
      <c r="J96" s="46">
        <v>43503</v>
      </c>
      <c r="K96" s="47">
        <v>2000</v>
      </c>
      <c r="L96" s="47">
        <v>41332.75</v>
      </c>
      <c r="M96" s="51">
        <f t="shared" si="4"/>
        <v>1.5228426395939087E-2</v>
      </c>
      <c r="N96" s="51">
        <f t="shared" si="4"/>
        <v>-4.1664177047575244E-3</v>
      </c>
      <c r="O96" s="52">
        <f t="shared" si="5"/>
        <v>3.1625000000000002E-4</v>
      </c>
      <c r="P96" s="53">
        <f t="shared" si="6"/>
        <v>1.4912176395939086E-2</v>
      </c>
      <c r="Q96" s="53">
        <f t="shared" si="7"/>
        <v>-4.4826677047575241E-3</v>
      </c>
    </row>
    <row r="97" spans="1:17">
      <c r="A97" s="42" t="s">
        <v>388</v>
      </c>
      <c r="B97" s="43">
        <v>43504</v>
      </c>
      <c r="C97" s="42">
        <v>41358.68</v>
      </c>
      <c r="D97" s="42">
        <v>41453.1</v>
      </c>
      <c r="E97" s="42">
        <v>40790.550000000003</v>
      </c>
      <c r="F97" s="42">
        <v>40887.35</v>
      </c>
      <c r="G97" s="42">
        <v>124636050</v>
      </c>
      <c r="H97" s="50"/>
      <c r="I97" s="45"/>
      <c r="J97" s="46">
        <v>43504</v>
      </c>
      <c r="K97" s="47">
        <v>1900</v>
      </c>
      <c r="L97" s="47">
        <v>40887.35</v>
      </c>
      <c r="M97" s="51">
        <f t="shared" si="4"/>
        <v>-0.05</v>
      </c>
      <c r="N97" s="51">
        <f t="shared" si="4"/>
        <v>-1.0775958531672861E-2</v>
      </c>
      <c r="O97" s="52">
        <f t="shared" si="5"/>
        <v>3.1625000000000002E-4</v>
      </c>
      <c r="P97" s="53">
        <f t="shared" si="6"/>
        <v>-5.031625E-2</v>
      </c>
      <c r="Q97" s="53">
        <f t="shared" si="7"/>
        <v>-1.1092208531672861E-2</v>
      </c>
    </row>
    <row r="98" spans="1:17">
      <c r="A98" s="42" t="s">
        <v>388</v>
      </c>
      <c r="B98" s="43">
        <v>43507</v>
      </c>
      <c r="C98" s="42">
        <v>41038.019999999997</v>
      </c>
      <c r="D98" s="42">
        <v>41076.26</v>
      </c>
      <c r="E98" s="42">
        <v>40218.370000000003</v>
      </c>
      <c r="F98" s="42">
        <v>40326.53</v>
      </c>
      <c r="G98" s="42">
        <v>87568210</v>
      </c>
      <c r="H98" s="50"/>
      <c r="I98" s="45"/>
      <c r="J98" s="46">
        <v>43507</v>
      </c>
      <c r="K98" s="47">
        <v>1950</v>
      </c>
      <c r="L98" s="47">
        <v>40326.53</v>
      </c>
      <c r="M98" s="51">
        <f t="shared" si="4"/>
        <v>2.6315789473684209E-2</v>
      </c>
      <c r="N98" s="51">
        <f t="shared" si="4"/>
        <v>-1.3716222743709233E-2</v>
      </c>
      <c r="O98" s="52">
        <f t="shared" si="5"/>
        <v>3.1625000000000002E-4</v>
      </c>
      <c r="P98" s="53">
        <f t="shared" si="6"/>
        <v>2.5999539473684209E-2</v>
      </c>
      <c r="Q98" s="53">
        <f t="shared" si="7"/>
        <v>-1.4032472743709234E-2</v>
      </c>
    </row>
    <row r="99" spans="1:17">
      <c r="A99" s="42" t="s">
        <v>388</v>
      </c>
      <c r="B99" s="43">
        <v>43508</v>
      </c>
      <c r="C99" s="42">
        <v>40326.19</v>
      </c>
      <c r="D99" s="42">
        <v>40637.5</v>
      </c>
      <c r="E99" s="42">
        <v>40269</v>
      </c>
      <c r="F99" s="42">
        <v>40596.28</v>
      </c>
      <c r="G99" s="42">
        <v>91160000</v>
      </c>
      <c r="H99" s="50"/>
      <c r="I99" s="45"/>
      <c r="J99" s="46">
        <v>43508</v>
      </c>
      <c r="K99" s="47">
        <v>1965</v>
      </c>
      <c r="L99" s="47">
        <v>40596.28</v>
      </c>
      <c r="M99" s="51">
        <f t="shared" si="4"/>
        <v>7.6923076923076927E-3</v>
      </c>
      <c r="N99" s="51">
        <f t="shared" si="4"/>
        <v>6.6891448383979485E-3</v>
      </c>
      <c r="O99" s="52">
        <f t="shared" si="5"/>
        <v>3.1625000000000002E-4</v>
      </c>
      <c r="P99" s="53">
        <f t="shared" si="6"/>
        <v>7.376057692307693E-3</v>
      </c>
      <c r="Q99" s="53">
        <f t="shared" si="7"/>
        <v>6.3728948383979488E-3</v>
      </c>
    </row>
    <row r="100" spans="1:17">
      <c r="A100" s="42" t="s">
        <v>388</v>
      </c>
      <c r="B100" s="43">
        <v>43509</v>
      </c>
      <c r="C100" s="42">
        <v>40692.74</v>
      </c>
      <c r="D100" s="42">
        <v>40839.480000000003</v>
      </c>
      <c r="E100" s="42">
        <v>40484.58</v>
      </c>
      <c r="F100" s="42">
        <v>40544.11</v>
      </c>
      <c r="G100" s="42">
        <v>102391360</v>
      </c>
      <c r="H100" s="50"/>
      <c r="I100" s="45"/>
      <c r="J100" s="46">
        <v>43509</v>
      </c>
      <c r="K100" s="47">
        <v>1975</v>
      </c>
      <c r="L100" s="47">
        <v>40544.11</v>
      </c>
      <c r="M100" s="51">
        <f t="shared" si="4"/>
        <v>5.0890585241730284E-3</v>
      </c>
      <c r="N100" s="51">
        <f t="shared" si="4"/>
        <v>-1.2850931169062351E-3</v>
      </c>
      <c r="O100" s="52">
        <f t="shared" si="5"/>
        <v>3.1625000000000002E-4</v>
      </c>
      <c r="P100" s="53">
        <f t="shared" si="6"/>
        <v>4.7728085241730287E-3</v>
      </c>
      <c r="Q100" s="53">
        <f t="shared" si="7"/>
        <v>-1.601343116906235E-3</v>
      </c>
    </row>
    <row r="101" spans="1:17">
      <c r="A101" s="42" t="s">
        <v>388</v>
      </c>
      <c r="B101" s="43">
        <v>43510</v>
      </c>
      <c r="C101" s="42">
        <v>40544.99</v>
      </c>
      <c r="D101" s="42">
        <v>40589.15</v>
      </c>
      <c r="E101" s="42">
        <v>40318.01</v>
      </c>
      <c r="F101" s="42">
        <v>40506.980000000003</v>
      </c>
      <c r="G101" s="42">
        <v>58296160</v>
      </c>
      <c r="H101" s="50"/>
      <c r="I101" s="45"/>
      <c r="J101" s="46">
        <v>43510</v>
      </c>
      <c r="K101" s="47">
        <v>2040</v>
      </c>
      <c r="L101" s="47">
        <v>40506.980000000003</v>
      </c>
      <c r="M101" s="51">
        <f t="shared" si="4"/>
        <v>3.2911392405063293E-2</v>
      </c>
      <c r="N101" s="51">
        <f t="shared" si="4"/>
        <v>-9.1579270083860223E-4</v>
      </c>
      <c r="O101" s="52">
        <f t="shared" si="5"/>
        <v>3.1625000000000002E-4</v>
      </c>
      <c r="P101" s="53">
        <f t="shared" si="6"/>
        <v>3.2595142405063296E-2</v>
      </c>
      <c r="Q101" s="53">
        <f t="shared" si="7"/>
        <v>-1.2320427008386022E-3</v>
      </c>
    </row>
    <row r="102" spans="1:17">
      <c r="A102" s="42" t="s">
        <v>388</v>
      </c>
      <c r="B102" s="43">
        <v>43516</v>
      </c>
      <c r="C102" s="42">
        <v>39943.99</v>
      </c>
      <c r="D102" s="42">
        <v>40331.96</v>
      </c>
      <c r="E102" s="42">
        <v>39688.75</v>
      </c>
      <c r="F102" s="42">
        <v>40279.379999999997</v>
      </c>
      <c r="G102" s="42">
        <v>89401930</v>
      </c>
      <c r="H102" s="50"/>
      <c r="I102" s="45"/>
      <c r="J102" s="46">
        <v>43516</v>
      </c>
      <c r="K102" s="47">
        <v>2050</v>
      </c>
      <c r="L102" s="47">
        <v>40279.379999999997</v>
      </c>
      <c r="M102" s="51">
        <f t="shared" si="4"/>
        <v>4.9019607843137254E-3</v>
      </c>
      <c r="N102" s="51">
        <f t="shared" si="4"/>
        <v>-5.6187847131532838E-3</v>
      </c>
      <c r="O102" s="52">
        <f t="shared" si="5"/>
        <v>3.1625000000000002E-4</v>
      </c>
      <c r="P102" s="53">
        <f t="shared" si="6"/>
        <v>4.5857107843137257E-3</v>
      </c>
      <c r="Q102" s="53">
        <f t="shared" si="7"/>
        <v>-5.9350347131532834E-3</v>
      </c>
    </row>
    <row r="103" spans="1:17">
      <c r="A103" s="42" t="s">
        <v>388</v>
      </c>
      <c r="B103" s="43">
        <v>43517</v>
      </c>
      <c r="C103" s="42">
        <v>40317.660000000003</v>
      </c>
      <c r="D103" s="42">
        <v>40416.83</v>
      </c>
      <c r="E103" s="42">
        <v>39882.230000000003</v>
      </c>
      <c r="F103" s="42">
        <v>40070.71</v>
      </c>
      <c r="G103" s="42">
        <v>76297540</v>
      </c>
      <c r="H103" s="50"/>
      <c r="I103" s="45"/>
      <c r="J103" s="46">
        <v>43517</v>
      </c>
      <c r="K103" s="47">
        <v>1995.83</v>
      </c>
      <c r="L103" s="47">
        <v>40070.71</v>
      </c>
      <c r="M103" s="51">
        <f t="shared" si="4"/>
        <v>-2.6424390243902474E-2</v>
      </c>
      <c r="N103" s="51">
        <f t="shared" si="4"/>
        <v>-5.1805663344370806E-3</v>
      </c>
      <c r="O103" s="52">
        <f t="shared" si="5"/>
        <v>3.1625000000000002E-4</v>
      </c>
      <c r="P103" s="53">
        <f t="shared" si="6"/>
        <v>-2.6740640243902474E-2</v>
      </c>
      <c r="Q103" s="53">
        <f t="shared" si="7"/>
        <v>-5.4968163344370803E-3</v>
      </c>
    </row>
    <row r="104" spans="1:17">
      <c r="A104" s="42" t="s">
        <v>388</v>
      </c>
      <c r="B104" s="43">
        <v>43523</v>
      </c>
      <c r="C104" s="42">
        <v>38630.120000000003</v>
      </c>
      <c r="D104" s="42">
        <v>38857.9</v>
      </c>
      <c r="E104" s="42">
        <v>37323.599999999999</v>
      </c>
      <c r="F104" s="42">
        <v>38692.69</v>
      </c>
      <c r="G104" s="42">
        <v>178891970</v>
      </c>
      <c r="H104" s="50"/>
      <c r="I104" s="45"/>
      <c r="J104" s="46">
        <v>43523</v>
      </c>
      <c r="K104" s="47">
        <v>2010</v>
      </c>
      <c r="L104" s="47">
        <v>38692.69</v>
      </c>
      <c r="M104" s="51">
        <f t="shared" si="4"/>
        <v>7.0998030894415219E-3</v>
      </c>
      <c r="N104" s="51">
        <f t="shared" si="4"/>
        <v>-3.4389707594399924E-2</v>
      </c>
      <c r="O104" s="52">
        <f t="shared" si="5"/>
        <v>3.1625000000000002E-4</v>
      </c>
      <c r="P104" s="53">
        <f t="shared" si="6"/>
        <v>6.7835530894415222E-3</v>
      </c>
      <c r="Q104" s="53">
        <f t="shared" si="7"/>
        <v>-3.4705957594399921E-2</v>
      </c>
    </row>
    <row r="105" spans="1:17">
      <c r="A105" s="42" t="s">
        <v>388</v>
      </c>
      <c r="B105" s="43">
        <v>43524</v>
      </c>
      <c r="C105" s="42">
        <v>38815.24</v>
      </c>
      <c r="D105" s="42">
        <v>39151.879999999997</v>
      </c>
      <c r="E105" s="42">
        <v>38558.449999999997</v>
      </c>
      <c r="F105" s="42">
        <v>39054.6</v>
      </c>
      <c r="G105" s="42">
        <v>102335140</v>
      </c>
      <c r="H105" s="50"/>
      <c r="I105" s="45"/>
      <c r="J105" s="46">
        <v>43524</v>
      </c>
      <c r="K105" s="47">
        <v>2010</v>
      </c>
      <c r="L105" s="47">
        <v>39054.6</v>
      </c>
      <c r="M105" s="51">
        <f t="shared" si="4"/>
        <v>0</v>
      </c>
      <c r="N105" s="51">
        <f t="shared" si="4"/>
        <v>9.353446348651288E-3</v>
      </c>
      <c r="O105" s="52">
        <f t="shared" si="5"/>
        <v>3.1625000000000002E-4</v>
      </c>
      <c r="P105" s="53">
        <f t="shared" si="6"/>
        <v>-3.1625000000000002E-4</v>
      </c>
      <c r="Q105" s="53">
        <f t="shared" si="7"/>
        <v>9.0371963486512875E-3</v>
      </c>
    </row>
    <row r="106" spans="1:17">
      <c r="A106" s="42" t="s">
        <v>388</v>
      </c>
      <c r="B106" s="43">
        <v>43529</v>
      </c>
      <c r="C106" s="42">
        <v>39775.160000000003</v>
      </c>
      <c r="D106" s="42">
        <v>39955.279999999999</v>
      </c>
      <c r="E106" s="42">
        <v>39598.910000000003</v>
      </c>
      <c r="F106" s="42">
        <v>39688.51</v>
      </c>
      <c r="G106" s="42">
        <v>126659130</v>
      </c>
      <c r="H106" s="50"/>
      <c r="I106" s="45"/>
      <c r="J106" s="46">
        <v>43529</v>
      </c>
      <c r="K106" s="47">
        <v>2020</v>
      </c>
      <c r="L106" s="47">
        <v>39688.51</v>
      </c>
      <c r="M106" s="51">
        <f t="shared" si="4"/>
        <v>4.9751243781094526E-3</v>
      </c>
      <c r="N106" s="51">
        <f t="shared" si="4"/>
        <v>1.6231378634015033E-2</v>
      </c>
      <c r="O106" s="52">
        <f t="shared" si="5"/>
        <v>3.1625000000000002E-4</v>
      </c>
      <c r="P106" s="53">
        <f t="shared" si="6"/>
        <v>4.658874378109453E-3</v>
      </c>
      <c r="Q106" s="53">
        <f t="shared" si="7"/>
        <v>1.5915128634015032E-2</v>
      </c>
    </row>
    <row r="107" spans="1:17">
      <c r="A107" s="42" t="s">
        <v>388</v>
      </c>
      <c r="B107" s="43">
        <v>43532</v>
      </c>
      <c r="C107" s="42">
        <v>39313.75</v>
      </c>
      <c r="D107" s="42">
        <v>39323.49</v>
      </c>
      <c r="E107" s="42">
        <v>38854.629999999997</v>
      </c>
      <c r="F107" s="42">
        <v>38950.230000000003</v>
      </c>
      <c r="G107" s="42">
        <v>46120890</v>
      </c>
      <c r="H107" s="50"/>
      <c r="I107" s="45"/>
      <c r="J107" s="46">
        <v>43532</v>
      </c>
      <c r="K107" s="47">
        <v>2030</v>
      </c>
      <c r="L107" s="47">
        <v>38950.230000000003</v>
      </c>
      <c r="M107" s="51">
        <f t="shared" si="4"/>
        <v>4.9504950495049506E-3</v>
      </c>
      <c r="N107" s="51">
        <f t="shared" si="4"/>
        <v>-1.860185731336346E-2</v>
      </c>
      <c r="O107" s="52">
        <f t="shared" si="5"/>
        <v>3.1625000000000002E-4</v>
      </c>
      <c r="P107" s="53">
        <f t="shared" si="6"/>
        <v>4.6342450495049509E-3</v>
      </c>
      <c r="Q107" s="53">
        <f t="shared" si="7"/>
        <v>-1.891810731336346E-2</v>
      </c>
    </row>
    <row r="108" spans="1:17">
      <c r="A108" s="42" t="s">
        <v>388</v>
      </c>
      <c r="B108" s="43">
        <v>43538</v>
      </c>
      <c r="C108" s="42">
        <v>38936.089999999997</v>
      </c>
      <c r="D108" s="42">
        <v>39000.050000000003</v>
      </c>
      <c r="E108" s="42">
        <v>38751.599999999999</v>
      </c>
      <c r="F108" s="42">
        <v>38808.61</v>
      </c>
      <c r="G108" s="42">
        <v>58895070</v>
      </c>
      <c r="H108" s="50"/>
      <c r="I108" s="45"/>
      <c r="J108" s="46">
        <v>43538</v>
      </c>
      <c r="K108" s="47">
        <v>2000</v>
      </c>
      <c r="L108" s="47">
        <v>38808.61</v>
      </c>
      <c r="M108" s="51">
        <f t="shared" si="4"/>
        <v>-1.4778325123152709E-2</v>
      </c>
      <c r="N108" s="51">
        <f t="shared" si="4"/>
        <v>-3.6359220471869512E-3</v>
      </c>
      <c r="O108" s="52">
        <f t="shared" si="5"/>
        <v>3.1625000000000002E-4</v>
      </c>
      <c r="P108" s="53">
        <f t="shared" si="6"/>
        <v>-1.5094575123152709E-2</v>
      </c>
      <c r="Q108" s="53">
        <f t="shared" si="7"/>
        <v>-3.9521720471869509E-3</v>
      </c>
    </row>
    <row r="109" spans="1:17">
      <c r="A109" s="42" t="s">
        <v>388</v>
      </c>
      <c r="B109" s="43">
        <v>43539</v>
      </c>
      <c r="C109" s="42">
        <v>38799.910000000003</v>
      </c>
      <c r="D109" s="42">
        <v>38839.01</v>
      </c>
      <c r="E109" s="42">
        <v>38187.71</v>
      </c>
      <c r="F109" s="42">
        <v>38306.949999999997</v>
      </c>
      <c r="G109" s="42">
        <v>100362350</v>
      </c>
      <c r="H109" s="50"/>
      <c r="I109" s="45"/>
      <c r="J109" s="46">
        <v>43539</v>
      </c>
      <c r="K109" s="47">
        <v>1999.99</v>
      </c>
      <c r="L109" s="47">
        <v>38306.949999999997</v>
      </c>
      <c r="M109" s="51">
        <f t="shared" si="4"/>
        <v>-4.9999999999954527E-6</v>
      </c>
      <c r="N109" s="51">
        <f t="shared" si="4"/>
        <v>-1.2926512956789833E-2</v>
      </c>
      <c r="O109" s="52">
        <f t="shared" si="5"/>
        <v>3.1625000000000002E-4</v>
      </c>
      <c r="P109" s="53">
        <f t="shared" si="6"/>
        <v>-3.2124999999999548E-4</v>
      </c>
      <c r="Q109" s="53">
        <f t="shared" si="7"/>
        <v>-1.3242762956789833E-2</v>
      </c>
    </row>
    <row r="110" spans="1:17">
      <c r="A110" s="42" t="s">
        <v>388</v>
      </c>
      <c r="B110" s="43">
        <v>43542</v>
      </c>
      <c r="C110" s="42">
        <v>38355.839999999997</v>
      </c>
      <c r="D110" s="42">
        <v>38882.82</v>
      </c>
      <c r="E110" s="42">
        <v>38161.72</v>
      </c>
      <c r="F110" s="42">
        <v>38851.949999999997</v>
      </c>
      <c r="G110" s="42">
        <v>74807000</v>
      </c>
      <c r="H110" s="50"/>
      <c r="I110" s="45"/>
      <c r="J110" s="46">
        <v>43542</v>
      </c>
      <c r="K110" s="47">
        <v>1900</v>
      </c>
      <c r="L110" s="47">
        <v>38851.949999999997</v>
      </c>
      <c r="M110" s="51">
        <f t="shared" si="4"/>
        <v>-4.9995249976249885E-2</v>
      </c>
      <c r="N110" s="51">
        <f t="shared" si="4"/>
        <v>1.4227183317909675E-2</v>
      </c>
      <c r="O110" s="52">
        <f t="shared" si="5"/>
        <v>3.1625000000000002E-4</v>
      </c>
      <c r="P110" s="53">
        <f t="shared" si="6"/>
        <v>-5.0311499976249882E-2</v>
      </c>
      <c r="Q110" s="53">
        <f t="shared" si="7"/>
        <v>1.3910933317909675E-2</v>
      </c>
    </row>
    <row r="111" spans="1:17">
      <c r="A111" s="42" t="s">
        <v>388</v>
      </c>
      <c r="B111" s="43">
        <v>43543</v>
      </c>
      <c r="C111" s="42">
        <v>38913.360000000001</v>
      </c>
      <c r="D111" s="42">
        <v>39011.910000000003</v>
      </c>
      <c r="E111" s="42">
        <v>38528.11</v>
      </c>
      <c r="F111" s="42">
        <v>38612.370000000003</v>
      </c>
      <c r="G111" s="42">
        <v>54797090</v>
      </c>
      <c r="H111" s="50"/>
      <c r="I111" s="45"/>
      <c r="J111" s="46">
        <v>43543</v>
      </c>
      <c r="K111" s="47">
        <v>1950</v>
      </c>
      <c r="L111" s="47">
        <v>38612.370000000003</v>
      </c>
      <c r="M111" s="51">
        <f t="shared" si="4"/>
        <v>2.6315789473684209E-2</v>
      </c>
      <c r="N111" s="51">
        <f t="shared" si="4"/>
        <v>-6.1664858520613375E-3</v>
      </c>
      <c r="O111" s="52">
        <f t="shared" si="5"/>
        <v>3.1625000000000002E-4</v>
      </c>
      <c r="P111" s="53">
        <f t="shared" si="6"/>
        <v>2.5999539473684209E-2</v>
      </c>
      <c r="Q111" s="53">
        <f t="shared" si="7"/>
        <v>-6.4827358520613372E-3</v>
      </c>
    </row>
    <row r="112" spans="1:17">
      <c r="A112" s="42" t="s">
        <v>388</v>
      </c>
      <c r="B112" s="43">
        <v>43544</v>
      </c>
      <c r="C112" s="42">
        <v>38600.559999999998</v>
      </c>
      <c r="D112" s="42">
        <v>38666.550000000003</v>
      </c>
      <c r="E112" s="42">
        <v>38427.64</v>
      </c>
      <c r="F112" s="42">
        <v>38547.760000000002</v>
      </c>
      <c r="G112" s="42">
        <v>56162720</v>
      </c>
      <c r="H112" s="50"/>
      <c r="I112" s="45"/>
      <c r="J112" s="46">
        <v>43544</v>
      </c>
      <c r="K112" s="47">
        <v>1940</v>
      </c>
      <c r="L112" s="47">
        <v>38547.760000000002</v>
      </c>
      <c r="M112" s="51">
        <f t="shared" si="4"/>
        <v>-5.1282051282051282E-3</v>
      </c>
      <c r="N112" s="51">
        <f t="shared" si="4"/>
        <v>-1.6732979612492209E-3</v>
      </c>
      <c r="O112" s="52">
        <f t="shared" si="5"/>
        <v>3.1625000000000002E-4</v>
      </c>
      <c r="P112" s="53">
        <f t="shared" si="6"/>
        <v>-5.4444551282051279E-3</v>
      </c>
      <c r="Q112" s="53">
        <f t="shared" si="7"/>
        <v>-1.9895479612492208E-3</v>
      </c>
    </row>
    <row r="113" spans="1:17">
      <c r="A113" s="42" t="s">
        <v>388</v>
      </c>
      <c r="B113" s="43">
        <v>43545</v>
      </c>
      <c r="C113" s="42">
        <v>38548.18</v>
      </c>
      <c r="D113" s="42">
        <v>38593.480000000003</v>
      </c>
      <c r="E113" s="42">
        <v>38202.28</v>
      </c>
      <c r="F113" s="42">
        <v>38384.71</v>
      </c>
      <c r="G113" s="42">
        <v>55284920</v>
      </c>
      <c r="H113" s="50"/>
      <c r="I113" s="45"/>
      <c r="J113" s="46">
        <v>43545</v>
      </c>
      <c r="K113" s="47">
        <v>1950</v>
      </c>
      <c r="L113" s="47">
        <v>38384.71</v>
      </c>
      <c r="M113" s="51">
        <f t="shared" si="4"/>
        <v>5.1546391752577319E-3</v>
      </c>
      <c r="N113" s="51">
        <f t="shared" si="4"/>
        <v>-4.2298177637300561E-3</v>
      </c>
      <c r="O113" s="52">
        <f t="shared" si="5"/>
        <v>3.1625000000000002E-4</v>
      </c>
      <c r="P113" s="53">
        <f t="shared" si="6"/>
        <v>4.8383891752577322E-3</v>
      </c>
      <c r="Q113" s="53">
        <f t="shared" si="7"/>
        <v>-4.5460677637300557E-3</v>
      </c>
    </row>
    <row r="114" spans="1:17">
      <c r="A114" s="42" t="s">
        <v>388</v>
      </c>
      <c r="B114" s="43">
        <v>43546</v>
      </c>
      <c r="C114" s="42">
        <v>38437.160000000003</v>
      </c>
      <c r="D114" s="42">
        <v>38721.18</v>
      </c>
      <c r="E114" s="42">
        <v>38389.86</v>
      </c>
      <c r="F114" s="42">
        <v>38531.870000000003</v>
      </c>
      <c r="G114" s="42">
        <v>54201620</v>
      </c>
      <c r="H114" s="50"/>
      <c r="I114" s="45"/>
      <c r="J114" s="46">
        <v>43546</v>
      </c>
      <c r="K114" s="47">
        <v>2000</v>
      </c>
      <c r="L114" s="47">
        <v>38531.870000000003</v>
      </c>
      <c r="M114" s="51">
        <f t="shared" si="4"/>
        <v>2.564102564102564E-2</v>
      </c>
      <c r="N114" s="51">
        <f t="shared" si="4"/>
        <v>3.8338182052177414E-3</v>
      </c>
      <c r="O114" s="52">
        <f t="shared" si="5"/>
        <v>3.1625000000000002E-4</v>
      </c>
      <c r="P114" s="53">
        <f t="shared" si="6"/>
        <v>2.532477564102564E-2</v>
      </c>
      <c r="Q114" s="53">
        <f t="shared" si="7"/>
        <v>3.5175682052177412E-3</v>
      </c>
    </row>
    <row r="115" spans="1:17">
      <c r="A115" s="42" t="s">
        <v>388</v>
      </c>
      <c r="B115" s="43">
        <v>43549</v>
      </c>
      <c r="C115" s="42">
        <v>38520.35</v>
      </c>
      <c r="D115" s="42">
        <v>38520.35</v>
      </c>
      <c r="E115" s="42">
        <v>38053</v>
      </c>
      <c r="F115" s="42">
        <v>38128.660000000003</v>
      </c>
      <c r="G115" s="42">
        <v>36485340</v>
      </c>
      <c r="H115" s="50"/>
      <c r="I115" s="45"/>
      <c r="J115" s="46">
        <v>43549</v>
      </c>
      <c r="K115" s="47">
        <v>2000</v>
      </c>
      <c r="L115" s="47">
        <v>38128.660000000003</v>
      </c>
      <c r="M115" s="51">
        <f t="shared" si="4"/>
        <v>0</v>
      </c>
      <c r="N115" s="51">
        <f t="shared" si="4"/>
        <v>-1.046432472651857E-2</v>
      </c>
      <c r="O115" s="52">
        <f t="shared" si="5"/>
        <v>3.1625000000000002E-4</v>
      </c>
      <c r="P115" s="53">
        <f t="shared" si="6"/>
        <v>-3.1625000000000002E-4</v>
      </c>
      <c r="Q115" s="53">
        <f t="shared" si="7"/>
        <v>-1.078057472651857E-2</v>
      </c>
    </row>
    <row r="116" spans="1:17">
      <c r="A116" s="42" t="s">
        <v>388</v>
      </c>
      <c r="B116" s="43">
        <v>43553</v>
      </c>
      <c r="C116" s="42">
        <v>38555.65</v>
      </c>
      <c r="D116" s="42">
        <v>38733.370000000003</v>
      </c>
      <c r="E116" s="42">
        <v>38483</v>
      </c>
      <c r="F116" s="42">
        <v>38649.339999999997</v>
      </c>
      <c r="G116" s="42">
        <v>82764790</v>
      </c>
      <c r="H116" s="50"/>
      <c r="I116" s="45"/>
      <c r="J116" s="46">
        <v>43553</v>
      </c>
      <c r="K116" s="47">
        <v>2000</v>
      </c>
      <c r="L116" s="47">
        <v>38649.339999999997</v>
      </c>
      <c r="M116" s="51">
        <f t="shared" si="4"/>
        <v>0</v>
      </c>
      <c r="N116" s="51">
        <f t="shared" si="4"/>
        <v>1.3655869364409684E-2</v>
      </c>
      <c r="O116" s="52">
        <f t="shared" si="5"/>
        <v>3.1625000000000002E-4</v>
      </c>
      <c r="P116" s="53">
        <f t="shared" si="6"/>
        <v>-3.1625000000000002E-4</v>
      </c>
      <c r="Q116" s="53">
        <f t="shared" si="7"/>
        <v>1.3339619364409683E-2</v>
      </c>
    </row>
    <row r="117" spans="1:17">
      <c r="A117" s="42" t="s">
        <v>388</v>
      </c>
      <c r="B117" s="43">
        <v>43556</v>
      </c>
      <c r="C117" s="42">
        <v>38633.56</v>
      </c>
      <c r="D117" s="42">
        <v>38633.56</v>
      </c>
      <c r="E117" s="42">
        <v>38211.08</v>
      </c>
      <c r="F117" s="42">
        <v>38354.85</v>
      </c>
      <c r="G117" s="42">
        <v>39697590</v>
      </c>
      <c r="H117" s="50"/>
      <c r="I117" s="45"/>
      <c r="J117" s="46">
        <v>43556</v>
      </c>
      <c r="K117" s="47">
        <v>2001</v>
      </c>
      <c r="L117" s="47">
        <v>38354.85</v>
      </c>
      <c r="M117" s="51">
        <f t="shared" si="4"/>
        <v>5.0000000000000001E-4</v>
      </c>
      <c r="N117" s="51">
        <f t="shared" si="4"/>
        <v>-7.6195350295761325E-3</v>
      </c>
      <c r="O117" s="52">
        <f t="shared" si="5"/>
        <v>3.1625000000000002E-4</v>
      </c>
      <c r="P117" s="53">
        <f t="shared" si="6"/>
        <v>1.8374999999999999E-4</v>
      </c>
      <c r="Q117" s="53">
        <f t="shared" si="7"/>
        <v>-7.9357850295761322E-3</v>
      </c>
    </row>
    <row r="118" spans="1:17">
      <c r="A118" s="42" t="s">
        <v>388</v>
      </c>
      <c r="B118" s="43">
        <v>43560</v>
      </c>
      <c r="C118" s="42">
        <v>37517.129999999997</v>
      </c>
      <c r="D118" s="42">
        <v>37592.269999999997</v>
      </c>
      <c r="E118" s="42">
        <v>37307.14</v>
      </c>
      <c r="F118" s="42">
        <v>37521.81</v>
      </c>
      <c r="G118" s="42">
        <v>48070970</v>
      </c>
      <c r="H118" s="50"/>
      <c r="I118" s="45"/>
      <c r="J118" s="46">
        <v>43560</v>
      </c>
      <c r="K118" s="47">
        <v>2000</v>
      </c>
      <c r="L118" s="47">
        <v>37521.81</v>
      </c>
      <c r="M118" s="51">
        <f t="shared" si="4"/>
        <v>-4.9975012493753122E-4</v>
      </c>
      <c r="N118" s="51">
        <f t="shared" si="4"/>
        <v>-2.1719287130571516E-2</v>
      </c>
      <c r="O118" s="52">
        <f t="shared" si="5"/>
        <v>3.1625000000000002E-4</v>
      </c>
      <c r="P118" s="53">
        <f t="shared" si="6"/>
        <v>-8.1600012493753123E-4</v>
      </c>
      <c r="Q118" s="53">
        <f t="shared" si="7"/>
        <v>-2.2035537130571516E-2</v>
      </c>
    </row>
    <row r="119" spans="1:17">
      <c r="A119" s="42" t="s">
        <v>388</v>
      </c>
      <c r="B119" s="43">
        <v>43563</v>
      </c>
      <c r="C119" s="42">
        <v>37552.9</v>
      </c>
      <c r="D119" s="42">
        <v>37553.22</v>
      </c>
      <c r="E119" s="42">
        <v>36738.959999999999</v>
      </c>
      <c r="F119" s="42">
        <v>36921.910000000003</v>
      </c>
      <c r="G119" s="42">
        <v>73330210</v>
      </c>
      <c r="H119" s="50"/>
      <c r="I119" s="45"/>
      <c r="J119" s="46">
        <v>43563</v>
      </c>
      <c r="K119" s="47">
        <v>1950</v>
      </c>
      <c r="L119" s="47">
        <v>36921.910000000003</v>
      </c>
      <c r="M119" s="51">
        <f t="shared" si="4"/>
        <v>-2.5000000000000001E-2</v>
      </c>
      <c r="N119" s="51">
        <f t="shared" si="4"/>
        <v>-1.5988034692356105E-2</v>
      </c>
      <c r="O119" s="52">
        <f t="shared" si="5"/>
        <v>3.1625000000000002E-4</v>
      </c>
      <c r="P119" s="53">
        <f t="shared" si="6"/>
        <v>-2.5316250000000002E-2</v>
      </c>
      <c r="Q119" s="53">
        <f t="shared" si="7"/>
        <v>-1.6304284692356105E-2</v>
      </c>
    </row>
    <row r="120" spans="1:17">
      <c r="A120" s="42" t="s">
        <v>388</v>
      </c>
      <c r="B120" s="43">
        <v>43565</v>
      </c>
      <c r="C120" s="42">
        <v>37138.79</v>
      </c>
      <c r="D120" s="42">
        <v>37170.36</v>
      </c>
      <c r="E120" s="42">
        <v>36464.85</v>
      </c>
      <c r="F120" s="42">
        <v>36579.32</v>
      </c>
      <c r="G120" s="42">
        <v>73299910</v>
      </c>
      <c r="H120" s="50"/>
      <c r="I120" s="45"/>
      <c r="J120" s="46">
        <v>43565</v>
      </c>
      <c r="K120" s="47">
        <v>1950</v>
      </c>
      <c r="L120" s="47">
        <v>36579.32</v>
      </c>
      <c r="M120" s="51">
        <f t="shared" si="4"/>
        <v>0</v>
      </c>
      <c r="N120" s="51">
        <f t="shared" si="4"/>
        <v>-9.2787724145366197E-3</v>
      </c>
      <c r="O120" s="52">
        <f t="shared" si="5"/>
        <v>3.1625000000000002E-4</v>
      </c>
      <c r="P120" s="53">
        <f t="shared" si="6"/>
        <v>-3.1625000000000002E-4</v>
      </c>
      <c r="Q120" s="53">
        <f t="shared" si="7"/>
        <v>-9.5950224145366202E-3</v>
      </c>
    </row>
    <row r="121" spans="1:17">
      <c r="A121" s="42" t="s">
        <v>388</v>
      </c>
      <c r="B121" s="43">
        <v>43567</v>
      </c>
      <c r="C121" s="42">
        <v>36788.89</v>
      </c>
      <c r="D121" s="42">
        <v>37420.92</v>
      </c>
      <c r="E121" s="42">
        <v>36741.699999999997</v>
      </c>
      <c r="F121" s="42">
        <v>37337.870000000003</v>
      </c>
      <c r="G121" s="42">
        <v>125963570</v>
      </c>
      <c r="H121" s="50"/>
      <c r="I121" s="45"/>
      <c r="J121" s="46">
        <v>43567</v>
      </c>
      <c r="K121" s="47">
        <v>1949.99</v>
      </c>
      <c r="L121" s="47">
        <v>37337.870000000003</v>
      </c>
      <c r="M121" s="51">
        <f t="shared" si="4"/>
        <v>-5.1282051282004642E-6</v>
      </c>
      <c r="N121" s="51">
        <f t="shared" si="4"/>
        <v>2.0737126879340647E-2</v>
      </c>
      <c r="O121" s="52">
        <f t="shared" si="5"/>
        <v>3.1625000000000002E-4</v>
      </c>
      <c r="P121" s="53">
        <f t="shared" si="6"/>
        <v>-3.2137820512820049E-4</v>
      </c>
      <c r="Q121" s="53">
        <f t="shared" si="7"/>
        <v>2.0420876879340646E-2</v>
      </c>
    </row>
    <row r="122" spans="1:17">
      <c r="A122" s="42" t="s">
        <v>388</v>
      </c>
      <c r="B122" s="43">
        <v>43570</v>
      </c>
      <c r="C122" s="42">
        <v>37431</v>
      </c>
      <c r="D122" s="42">
        <v>37698.79</v>
      </c>
      <c r="E122" s="42">
        <v>37281.15</v>
      </c>
      <c r="F122" s="42">
        <v>37504.080000000002</v>
      </c>
      <c r="G122" s="42">
        <v>134913290</v>
      </c>
      <c r="H122" s="50"/>
      <c r="I122" s="45"/>
      <c r="J122" s="46">
        <v>43570</v>
      </c>
      <c r="K122" s="47">
        <v>1948</v>
      </c>
      <c r="L122" s="47">
        <v>37504.080000000002</v>
      </c>
      <c r="M122" s="51">
        <f t="shared" si="4"/>
        <v>-1.0205180539387428E-3</v>
      </c>
      <c r="N122" s="51">
        <f t="shared" si="4"/>
        <v>4.4515126331523226E-3</v>
      </c>
      <c r="O122" s="52">
        <f t="shared" si="5"/>
        <v>3.1625000000000002E-4</v>
      </c>
      <c r="P122" s="53">
        <f t="shared" si="6"/>
        <v>-1.3367680539387427E-3</v>
      </c>
      <c r="Q122" s="53">
        <f t="shared" si="7"/>
        <v>4.1352626331523229E-3</v>
      </c>
    </row>
    <row r="123" spans="1:17">
      <c r="A123" s="42" t="s">
        <v>388</v>
      </c>
      <c r="B123" s="43">
        <v>43571</v>
      </c>
      <c r="C123" s="42">
        <v>37519.57</v>
      </c>
      <c r="D123" s="42">
        <v>37635.699999999997</v>
      </c>
      <c r="E123" s="42">
        <v>37337.74</v>
      </c>
      <c r="F123" s="42">
        <v>37381.949999999997</v>
      </c>
      <c r="G123" s="42">
        <v>95324120</v>
      </c>
      <c r="H123" s="50"/>
      <c r="I123" s="45"/>
      <c r="J123" s="46">
        <v>43571</v>
      </c>
      <c r="K123" s="47">
        <v>1947.5</v>
      </c>
      <c r="L123" s="47">
        <v>37381.949999999997</v>
      </c>
      <c r="M123" s="51">
        <f t="shared" si="4"/>
        <v>-2.5667351129363451E-4</v>
      </c>
      <c r="N123" s="51">
        <f t="shared" si="4"/>
        <v>-3.2564456987081046E-3</v>
      </c>
      <c r="O123" s="52">
        <f t="shared" si="5"/>
        <v>3.1625000000000002E-4</v>
      </c>
      <c r="P123" s="53">
        <f t="shared" si="6"/>
        <v>-5.7292351129363452E-4</v>
      </c>
      <c r="Q123" s="53">
        <f t="shared" si="7"/>
        <v>-3.5726956987081047E-3</v>
      </c>
    </row>
    <row r="124" spans="1:17">
      <c r="A124" s="42" t="s">
        <v>388</v>
      </c>
      <c r="B124" s="43">
        <v>43573</v>
      </c>
      <c r="C124" s="42">
        <v>36737.51</v>
      </c>
      <c r="D124" s="42">
        <v>36919.949999999997</v>
      </c>
      <c r="E124" s="42">
        <v>36417.71</v>
      </c>
      <c r="F124" s="42">
        <v>36811.86</v>
      </c>
      <c r="G124" s="42">
        <v>151835740</v>
      </c>
      <c r="H124" s="50"/>
      <c r="I124" s="45"/>
      <c r="J124" s="46">
        <v>43573</v>
      </c>
      <c r="K124" s="47">
        <v>1940</v>
      </c>
      <c r="L124" s="47">
        <v>36811.86</v>
      </c>
      <c r="M124" s="51">
        <f t="shared" si="4"/>
        <v>-3.8510911424903724E-3</v>
      </c>
      <c r="N124" s="51">
        <f t="shared" si="4"/>
        <v>-1.5250408285281975E-2</v>
      </c>
      <c r="O124" s="52">
        <f t="shared" si="5"/>
        <v>3.1625000000000002E-4</v>
      </c>
      <c r="P124" s="53">
        <f t="shared" si="6"/>
        <v>-4.1673411424903726E-3</v>
      </c>
      <c r="Q124" s="53">
        <f t="shared" si="7"/>
        <v>-1.5566658285281976E-2</v>
      </c>
    </row>
    <row r="125" spans="1:17">
      <c r="A125" s="42" t="s">
        <v>388</v>
      </c>
      <c r="B125" s="43">
        <v>43574</v>
      </c>
      <c r="C125" s="42">
        <v>36827.08</v>
      </c>
      <c r="D125" s="42">
        <v>37729.120000000003</v>
      </c>
      <c r="E125" s="42">
        <v>36818.61</v>
      </c>
      <c r="F125" s="42">
        <v>37292.47</v>
      </c>
      <c r="G125" s="42">
        <v>139073610</v>
      </c>
      <c r="H125" s="50"/>
      <c r="I125" s="45"/>
      <c r="J125" s="46">
        <v>43574</v>
      </c>
      <c r="K125" s="47">
        <v>1949.9</v>
      </c>
      <c r="L125" s="47">
        <v>37292.47</v>
      </c>
      <c r="M125" s="51">
        <f t="shared" si="4"/>
        <v>5.1030927835052017E-3</v>
      </c>
      <c r="N125" s="51">
        <f t="shared" si="4"/>
        <v>1.3055846675500792E-2</v>
      </c>
      <c r="O125" s="52">
        <f t="shared" si="5"/>
        <v>3.1625000000000002E-4</v>
      </c>
      <c r="P125" s="53">
        <f t="shared" si="6"/>
        <v>4.786842783505202E-3</v>
      </c>
      <c r="Q125" s="53">
        <f t="shared" si="7"/>
        <v>1.2739596675500791E-2</v>
      </c>
    </row>
    <row r="126" spans="1:17">
      <c r="A126" s="42" t="s">
        <v>388</v>
      </c>
      <c r="B126" s="43">
        <v>43577</v>
      </c>
      <c r="C126" s="42">
        <v>37474.800000000003</v>
      </c>
      <c r="D126" s="42">
        <v>37479.82</v>
      </c>
      <c r="E126" s="42">
        <v>36839.29</v>
      </c>
      <c r="F126" s="42">
        <v>36901.69</v>
      </c>
      <c r="G126" s="42">
        <v>104275390</v>
      </c>
      <c r="H126" s="50"/>
      <c r="I126" s="45"/>
      <c r="J126" s="46">
        <v>43577</v>
      </c>
      <c r="K126" s="47">
        <v>1950</v>
      </c>
      <c r="L126" s="47">
        <v>36901.69</v>
      </c>
      <c r="M126" s="51">
        <f t="shared" si="4"/>
        <v>5.1284681265659289E-5</v>
      </c>
      <c r="N126" s="51">
        <f t="shared" si="4"/>
        <v>-1.0478791026713941E-2</v>
      </c>
      <c r="O126" s="52">
        <f t="shared" si="5"/>
        <v>3.1625000000000002E-4</v>
      </c>
      <c r="P126" s="53">
        <f t="shared" si="6"/>
        <v>-2.6496531873434071E-4</v>
      </c>
      <c r="Q126" s="53">
        <f t="shared" si="7"/>
        <v>-1.0795041026713942E-2</v>
      </c>
    </row>
    <row r="127" spans="1:17">
      <c r="A127" s="42" t="s">
        <v>388</v>
      </c>
      <c r="B127" s="43">
        <v>43581</v>
      </c>
      <c r="C127" s="42">
        <v>36806.86</v>
      </c>
      <c r="D127" s="42">
        <v>37158.410000000003</v>
      </c>
      <c r="E127" s="42">
        <v>36787.19</v>
      </c>
      <c r="F127" s="42">
        <v>37130.629999999997</v>
      </c>
      <c r="G127" s="42">
        <v>109320020</v>
      </c>
      <c r="H127" s="50"/>
      <c r="I127" s="45"/>
      <c r="J127" s="46">
        <v>43581</v>
      </c>
      <c r="K127" s="47">
        <v>1947.9</v>
      </c>
      <c r="L127" s="47">
        <v>37130.629999999997</v>
      </c>
      <c r="M127" s="51">
        <f t="shared" si="4"/>
        <v>-1.0769230769230303E-3</v>
      </c>
      <c r="N127" s="51">
        <f t="shared" si="4"/>
        <v>6.2040519011458562E-3</v>
      </c>
      <c r="O127" s="52">
        <f t="shared" si="5"/>
        <v>3.1625000000000002E-4</v>
      </c>
      <c r="P127" s="53">
        <f t="shared" si="6"/>
        <v>-1.3931730769230302E-3</v>
      </c>
      <c r="Q127" s="53">
        <f t="shared" si="7"/>
        <v>5.8878019011458565E-3</v>
      </c>
    </row>
    <row r="128" spans="1:17">
      <c r="A128" s="42" t="s">
        <v>388</v>
      </c>
      <c r="B128" s="43">
        <v>43584</v>
      </c>
      <c r="C128" s="42">
        <v>37201.589999999997</v>
      </c>
      <c r="D128" s="42">
        <v>37438.550000000003</v>
      </c>
      <c r="E128" s="42">
        <v>36945.550000000003</v>
      </c>
      <c r="F128" s="42">
        <v>37026.269999999997</v>
      </c>
      <c r="G128" s="42">
        <v>132607150</v>
      </c>
      <c r="H128" s="50"/>
      <c r="I128" s="45"/>
      <c r="J128" s="46">
        <v>43584</v>
      </c>
      <c r="K128" s="47">
        <v>1948.5</v>
      </c>
      <c r="L128" s="47">
        <v>37026.269999999997</v>
      </c>
      <c r="M128" s="51">
        <f t="shared" si="4"/>
        <v>3.0802402587397148E-4</v>
      </c>
      <c r="N128" s="51">
        <f t="shared" si="4"/>
        <v>-2.8106175413668065E-3</v>
      </c>
      <c r="O128" s="52">
        <f t="shared" si="5"/>
        <v>3.1625000000000002E-4</v>
      </c>
      <c r="P128" s="53">
        <f t="shared" si="6"/>
        <v>-8.2259741260285357E-6</v>
      </c>
      <c r="Q128" s="53">
        <f t="shared" si="7"/>
        <v>-3.1268675413668066E-3</v>
      </c>
    </row>
    <row r="129" spans="1:17">
      <c r="A129" s="42" t="s">
        <v>388</v>
      </c>
      <c r="B129" s="43">
        <v>43588</v>
      </c>
      <c r="C129" s="42">
        <v>36544.9</v>
      </c>
      <c r="D129" s="42">
        <v>36556.400000000001</v>
      </c>
      <c r="E129" s="42">
        <v>36071.1</v>
      </c>
      <c r="F129" s="42">
        <v>36122.949999999997</v>
      </c>
      <c r="G129" s="42">
        <v>48576200</v>
      </c>
      <c r="H129" s="50"/>
      <c r="I129" s="45"/>
      <c r="J129" s="46">
        <v>43588</v>
      </c>
      <c r="K129" s="47">
        <v>1998</v>
      </c>
      <c r="L129" s="47">
        <v>36122.949999999997</v>
      </c>
      <c r="M129" s="51">
        <f t="shared" si="4"/>
        <v>2.5404157043879907E-2</v>
      </c>
      <c r="N129" s="51">
        <f t="shared" si="4"/>
        <v>-2.4396732374068461E-2</v>
      </c>
      <c r="O129" s="52">
        <f t="shared" si="5"/>
        <v>3.1625000000000002E-4</v>
      </c>
      <c r="P129" s="53">
        <f t="shared" si="6"/>
        <v>2.5087907043879906E-2</v>
      </c>
      <c r="Q129" s="53">
        <f t="shared" si="7"/>
        <v>-2.4712982374068462E-2</v>
      </c>
    </row>
    <row r="130" spans="1:17">
      <c r="A130" s="42" t="s">
        <v>388</v>
      </c>
      <c r="B130" s="43">
        <v>43591</v>
      </c>
      <c r="C130" s="42">
        <v>36127.08</v>
      </c>
      <c r="D130" s="42">
        <v>36192.050000000003</v>
      </c>
      <c r="E130" s="42">
        <v>35570.379999999997</v>
      </c>
      <c r="F130" s="42">
        <v>35605.42</v>
      </c>
      <c r="G130" s="42">
        <v>54352180</v>
      </c>
      <c r="H130" s="50"/>
      <c r="I130" s="45"/>
      <c r="J130" s="46">
        <v>43591</v>
      </c>
      <c r="K130" s="47">
        <v>2097</v>
      </c>
      <c r="L130" s="47">
        <v>35605.42</v>
      </c>
      <c r="M130" s="51">
        <f t="shared" si="4"/>
        <v>4.954954954954955E-2</v>
      </c>
      <c r="N130" s="51">
        <f t="shared" si="4"/>
        <v>-1.4326902979961462E-2</v>
      </c>
      <c r="O130" s="52">
        <f t="shared" si="5"/>
        <v>3.1625000000000002E-4</v>
      </c>
      <c r="P130" s="53">
        <f t="shared" si="6"/>
        <v>4.9233299549549553E-2</v>
      </c>
      <c r="Q130" s="53">
        <f t="shared" si="7"/>
        <v>-1.4643152979961462E-2</v>
      </c>
    </row>
    <row r="131" spans="1:17">
      <c r="A131" s="42" t="s">
        <v>388</v>
      </c>
      <c r="B131" s="43">
        <v>43593</v>
      </c>
      <c r="C131" s="42">
        <v>35666.78</v>
      </c>
      <c r="D131" s="42">
        <v>35697.730000000003</v>
      </c>
      <c r="E131" s="42">
        <v>34849.57</v>
      </c>
      <c r="F131" s="42">
        <v>35035.03</v>
      </c>
      <c r="G131" s="42">
        <v>86775350</v>
      </c>
      <c r="H131" s="50"/>
      <c r="I131" s="45"/>
      <c r="J131" s="46">
        <v>43593</v>
      </c>
      <c r="K131" s="47">
        <v>2311.94</v>
      </c>
      <c r="L131" s="47">
        <v>35035.03</v>
      </c>
      <c r="M131" s="51">
        <f t="shared" si="4"/>
        <v>0.10249880782069626</v>
      </c>
      <c r="N131" s="51">
        <f t="shared" si="4"/>
        <v>-1.6019752048985786E-2</v>
      </c>
      <c r="O131" s="52">
        <f t="shared" si="5"/>
        <v>3.1625000000000002E-4</v>
      </c>
      <c r="P131" s="53">
        <f t="shared" si="6"/>
        <v>0.10218255782069625</v>
      </c>
      <c r="Q131" s="53">
        <f t="shared" si="7"/>
        <v>-1.6336002048985786E-2</v>
      </c>
    </row>
    <row r="132" spans="1:17">
      <c r="A132" s="42" t="s">
        <v>388</v>
      </c>
      <c r="B132" s="43">
        <v>43594</v>
      </c>
      <c r="C132" s="42">
        <v>35025.230000000003</v>
      </c>
      <c r="D132" s="42">
        <v>35300.26</v>
      </c>
      <c r="E132" s="42">
        <v>34828.94</v>
      </c>
      <c r="F132" s="42">
        <v>34887.64</v>
      </c>
      <c r="G132" s="42">
        <v>60134240</v>
      </c>
      <c r="H132" s="50"/>
      <c r="I132" s="45"/>
      <c r="J132" s="46">
        <v>43594</v>
      </c>
      <c r="K132" s="47">
        <v>2196.35</v>
      </c>
      <c r="L132" s="47">
        <v>34887.64</v>
      </c>
      <c r="M132" s="51">
        <f t="shared" ref="M132:N154" si="8">(K132-K131)/K131</f>
        <v>-4.999697223976407E-2</v>
      </c>
      <c r="N132" s="51">
        <f t="shared" si="8"/>
        <v>-4.2069323188819712E-3</v>
      </c>
      <c r="O132" s="52">
        <f t="shared" ref="O132:O154" si="9">$O$2/360</f>
        <v>3.1625000000000002E-4</v>
      </c>
      <c r="P132" s="53">
        <f t="shared" ref="P132:P154" si="10">M132-O132</f>
        <v>-5.0313222239764067E-2</v>
      </c>
      <c r="Q132" s="53">
        <f t="shared" ref="Q132:Q154" si="11">N132-O132</f>
        <v>-4.5231823188819709E-3</v>
      </c>
    </row>
    <row r="133" spans="1:17">
      <c r="A133" s="42" t="s">
        <v>388</v>
      </c>
      <c r="B133" s="43">
        <v>43595</v>
      </c>
      <c r="C133" s="42">
        <v>34856.43</v>
      </c>
      <c r="D133" s="42">
        <v>34875.83</v>
      </c>
      <c r="E133" s="42">
        <v>34646.78</v>
      </c>
      <c r="F133" s="42">
        <v>34716.53</v>
      </c>
      <c r="G133" s="42">
        <v>30122890</v>
      </c>
      <c r="H133" s="50"/>
      <c r="I133" s="45"/>
      <c r="J133" s="46">
        <v>43595</v>
      </c>
      <c r="K133" s="47">
        <v>2086.54</v>
      </c>
      <c r="L133" s="47">
        <v>34716.53</v>
      </c>
      <c r="M133" s="51">
        <f t="shared" si="8"/>
        <v>-4.9996585243699751E-2</v>
      </c>
      <c r="N133" s="51">
        <f t="shared" si="8"/>
        <v>-4.9046023176116411E-3</v>
      </c>
      <c r="O133" s="52">
        <f t="shared" si="9"/>
        <v>3.1625000000000002E-4</v>
      </c>
      <c r="P133" s="53">
        <f t="shared" si="10"/>
        <v>-5.0312835243699748E-2</v>
      </c>
      <c r="Q133" s="53">
        <f t="shared" si="11"/>
        <v>-5.2208523176116408E-3</v>
      </c>
    </row>
    <row r="134" spans="1:17">
      <c r="A134" s="42" t="s">
        <v>388</v>
      </c>
      <c r="B134" s="43">
        <v>43598</v>
      </c>
      <c r="C134" s="42">
        <v>34850.589999999997</v>
      </c>
      <c r="D134" s="42">
        <v>35228.089999999997</v>
      </c>
      <c r="E134" s="42">
        <v>33779.660000000003</v>
      </c>
      <c r="F134" s="42">
        <v>33900.379999999997</v>
      </c>
      <c r="G134" s="42">
        <v>89963030</v>
      </c>
      <c r="H134" s="50"/>
      <c r="I134" s="45"/>
      <c r="J134" s="46">
        <v>43598</v>
      </c>
      <c r="K134" s="47">
        <v>2050</v>
      </c>
      <c r="L134" s="47">
        <v>33900.379999999997</v>
      </c>
      <c r="M134" s="51">
        <f t="shared" si="8"/>
        <v>-1.7512245152261623E-2</v>
      </c>
      <c r="N134" s="51">
        <f t="shared" si="8"/>
        <v>-2.3508973967156323E-2</v>
      </c>
      <c r="O134" s="52">
        <f t="shared" si="9"/>
        <v>3.1625000000000002E-4</v>
      </c>
      <c r="P134" s="53">
        <f t="shared" si="10"/>
        <v>-1.7828495152261623E-2</v>
      </c>
      <c r="Q134" s="53">
        <f t="shared" si="11"/>
        <v>-2.3825223967156323E-2</v>
      </c>
    </row>
    <row r="135" spans="1:17">
      <c r="A135" s="42" t="s">
        <v>388</v>
      </c>
      <c r="B135" s="43">
        <v>43599</v>
      </c>
      <c r="C135" s="42">
        <v>33932.93</v>
      </c>
      <c r="D135" s="42">
        <v>34067.269999999997</v>
      </c>
      <c r="E135" s="42">
        <v>33691.660000000003</v>
      </c>
      <c r="F135" s="42">
        <v>33885.089999999997</v>
      </c>
      <c r="G135" s="42">
        <v>82182390</v>
      </c>
      <c r="H135" s="50"/>
      <c r="I135" s="45"/>
      <c r="J135" s="46">
        <v>43599</v>
      </c>
      <c r="K135" s="47">
        <v>1950</v>
      </c>
      <c r="L135" s="47">
        <v>33885.089999999997</v>
      </c>
      <c r="M135" s="51">
        <f t="shared" si="8"/>
        <v>-4.878048780487805E-2</v>
      </c>
      <c r="N135" s="51">
        <f t="shared" si="8"/>
        <v>-4.5102739261332391E-4</v>
      </c>
      <c r="O135" s="52">
        <f t="shared" si="9"/>
        <v>3.1625000000000002E-4</v>
      </c>
      <c r="P135" s="53">
        <f t="shared" si="10"/>
        <v>-4.9096737804878048E-2</v>
      </c>
      <c r="Q135" s="53">
        <f t="shared" si="11"/>
        <v>-7.6727739261332392E-4</v>
      </c>
    </row>
    <row r="136" spans="1:17">
      <c r="A136" s="42" t="s">
        <v>388</v>
      </c>
      <c r="B136" s="43">
        <v>43601</v>
      </c>
      <c r="C136" s="42">
        <v>34361.39</v>
      </c>
      <c r="D136" s="42">
        <v>34416.46</v>
      </c>
      <c r="E136" s="42">
        <v>33569.64</v>
      </c>
      <c r="F136" s="42">
        <v>33971.120000000003</v>
      </c>
      <c r="G136" s="42">
        <v>85082260</v>
      </c>
      <c r="H136" s="50"/>
      <c r="I136" s="45"/>
      <c r="J136" s="46">
        <v>43601</v>
      </c>
      <c r="K136" s="47">
        <v>1950</v>
      </c>
      <c r="L136" s="47">
        <v>33971.120000000003</v>
      </c>
      <c r="M136" s="51">
        <f t="shared" si="8"/>
        <v>0</v>
      </c>
      <c r="N136" s="51">
        <f t="shared" si="8"/>
        <v>2.538874767633969E-3</v>
      </c>
      <c r="O136" s="52">
        <f t="shared" si="9"/>
        <v>3.1625000000000002E-4</v>
      </c>
      <c r="P136" s="53">
        <f t="shared" si="10"/>
        <v>-3.1625000000000002E-4</v>
      </c>
      <c r="Q136" s="53">
        <f t="shared" si="11"/>
        <v>2.2226247676339688E-3</v>
      </c>
    </row>
    <row r="137" spans="1:17">
      <c r="A137" s="42" t="s">
        <v>388</v>
      </c>
      <c r="B137" s="43">
        <v>43602</v>
      </c>
      <c r="C137" s="42">
        <v>33933.67</v>
      </c>
      <c r="D137" s="42">
        <v>33939.32</v>
      </c>
      <c r="E137" s="42">
        <v>33005.99</v>
      </c>
      <c r="F137" s="42">
        <v>33166.620000000003</v>
      </c>
      <c r="G137" s="42">
        <v>63321430</v>
      </c>
      <c r="H137" s="50"/>
      <c r="I137" s="45"/>
      <c r="J137" s="46">
        <v>43602</v>
      </c>
      <c r="K137" s="47">
        <v>1950</v>
      </c>
      <c r="L137" s="47">
        <v>33166.620000000003</v>
      </c>
      <c r="M137" s="51">
        <f t="shared" si="8"/>
        <v>0</v>
      </c>
      <c r="N137" s="51">
        <f t="shared" si="8"/>
        <v>-2.3681880373682115E-2</v>
      </c>
      <c r="O137" s="52">
        <f t="shared" si="9"/>
        <v>3.1625000000000002E-4</v>
      </c>
      <c r="P137" s="53">
        <f t="shared" si="10"/>
        <v>-3.1625000000000002E-4</v>
      </c>
      <c r="Q137" s="53">
        <f t="shared" si="11"/>
        <v>-2.3998130373682116E-2</v>
      </c>
    </row>
    <row r="138" spans="1:17">
      <c r="A138" s="42" t="s">
        <v>388</v>
      </c>
      <c r="B138" s="43">
        <v>43605</v>
      </c>
      <c r="C138" s="42">
        <v>33037.18</v>
      </c>
      <c r="D138" s="42">
        <v>33322.39</v>
      </c>
      <c r="E138" s="42">
        <v>32352.400000000001</v>
      </c>
      <c r="F138" s="42">
        <v>33250.54</v>
      </c>
      <c r="G138" s="42">
        <v>132056450</v>
      </c>
      <c r="H138" s="50"/>
      <c r="I138" s="45"/>
      <c r="J138" s="46">
        <v>43605</v>
      </c>
      <c r="K138" s="47">
        <v>1900</v>
      </c>
      <c r="L138" s="47">
        <v>33250.54</v>
      </c>
      <c r="M138" s="51">
        <f t="shared" si="8"/>
        <v>-2.564102564102564E-2</v>
      </c>
      <c r="N138" s="51">
        <f t="shared" si="8"/>
        <v>2.5302548164388848E-3</v>
      </c>
      <c r="O138" s="52">
        <f t="shared" si="9"/>
        <v>3.1625000000000002E-4</v>
      </c>
      <c r="P138" s="53">
        <f t="shared" si="10"/>
        <v>-2.5957275641025641E-2</v>
      </c>
      <c r="Q138" s="53">
        <f t="shared" si="11"/>
        <v>2.2140048164388847E-3</v>
      </c>
    </row>
    <row r="139" spans="1:17">
      <c r="A139" s="42" t="s">
        <v>388</v>
      </c>
      <c r="B139" s="43">
        <v>43606</v>
      </c>
      <c r="C139" s="42">
        <v>33260.94</v>
      </c>
      <c r="D139" s="42">
        <v>33549.620000000003</v>
      </c>
      <c r="E139" s="42">
        <v>32852.230000000003</v>
      </c>
      <c r="F139" s="42">
        <v>33442.1</v>
      </c>
      <c r="G139" s="42">
        <v>127620510</v>
      </c>
      <c r="H139" s="50"/>
      <c r="I139" s="45"/>
      <c r="J139" s="46">
        <v>43606</v>
      </c>
      <c r="K139" s="47">
        <v>1915</v>
      </c>
      <c r="L139" s="47">
        <v>33442.1</v>
      </c>
      <c r="M139" s="51">
        <f t="shared" si="8"/>
        <v>7.8947368421052634E-3</v>
      </c>
      <c r="N139" s="51">
        <f t="shared" si="8"/>
        <v>5.7611094436360328E-3</v>
      </c>
      <c r="O139" s="52">
        <f t="shared" si="9"/>
        <v>3.1625000000000002E-4</v>
      </c>
      <c r="P139" s="53">
        <f t="shared" si="10"/>
        <v>7.5784868421052637E-3</v>
      </c>
      <c r="Q139" s="53">
        <f t="shared" si="11"/>
        <v>5.4448594436360331E-3</v>
      </c>
    </row>
    <row r="140" spans="1:17">
      <c r="A140" s="42" t="s">
        <v>388</v>
      </c>
      <c r="B140" s="43">
        <v>43607</v>
      </c>
      <c r="C140" s="42">
        <v>33618.29</v>
      </c>
      <c r="D140" s="42">
        <v>34698.58</v>
      </c>
      <c r="E140" s="42">
        <v>33618.29</v>
      </c>
      <c r="F140" s="42">
        <v>34637.14</v>
      </c>
      <c r="G140" s="42">
        <v>140769070</v>
      </c>
      <c r="H140" s="50"/>
      <c r="I140" s="45"/>
      <c r="J140" s="46">
        <v>43607</v>
      </c>
      <c r="K140" s="47">
        <v>1900</v>
      </c>
      <c r="L140" s="47">
        <v>34637.14</v>
      </c>
      <c r="M140" s="51">
        <f t="shared" si="8"/>
        <v>-7.832898172323759E-3</v>
      </c>
      <c r="N140" s="51">
        <f t="shared" si="8"/>
        <v>3.573459800670415E-2</v>
      </c>
      <c r="O140" s="52">
        <f t="shared" si="9"/>
        <v>3.1625000000000002E-4</v>
      </c>
      <c r="P140" s="53">
        <f t="shared" si="10"/>
        <v>-8.1491481723237596E-3</v>
      </c>
      <c r="Q140" s="53">
        <f t="shared" si="11"/>
        <v>3.5418348006704153E-2</v>
      </c>
    </row>
    <row r="141" spans="1:17">
      <c r="A141" s="42" t="s">
        <v>388</v>
      </c>
      <c r="B141" s="43">
        <v>43608</v>
      </c>
      <c r="C141" s="42">
        <v>35176.79</v>
      </c>
      <c r="D141" s="42">
        <v>35631.96</v>
      </c>
      <c r="E141" s="42">
        <v>34897.370000000003</v>
      </c>
      <c r="F141" s="42">
        <v>35581.339999999997</v>
      </c>
      <c r="G141" s="42">
        <v>164340750</v>
      </c>
      <c r="H141" s="50"/>
      <c r="I141" s="45"/>
      <c r="J141" s="46">
        <v>43608</v>
      </c>
      <c r="K141" s="47">
        <v>1950</v>
      </c>
      <c r="L141" s="47">
        <v>35581.339999999997</v>
      </c>
      <c r="M141" s="51">
        <f t="shared" si="8"/>
        <v>2.6315789473684209E-2</v>
      </c>
      <c r="N141" s="51">
        <f t="shared" si="8"/>
        <v>2.7259756434855682E-2</v>
      </c>
      <c r="O141" s="52">
        <f t="shared" si="9"/>
        <v>3.1625000000000002E-4</v>
      </c>
      <c r="P141" s="53">
        <f t="shared" si="10"/>
        <v>2.5999539473684209E-2</v>
      </c>
      <c r="Q141" s="53">
        <f t="shared" si="11"/>
        <v>2.6943506434855682E-2</v>
      </c>
    </row>
    <row r="142" spans="1:17">
      <c r="A142" s="42" t="s">
        <v>388</v>
      </c>
      <c r="B142" s="43">
        <v>43609</v>
      </c>
      <c r="C142" s="42">
        <v>35635.17</v>
      </c>
      <c r="D142" s="42">
        <v>35767.160000000003</v>
      </c>
      <c r="E142" s="42">
        <v>35434.07</v>
      </c>
      <c r="F142" s="42">
        <v>35703.81</v>
      </c>
      <c r="G142" s="42">
        <v>110418650</v>
      </c>
      <c r="H142" s="50"/>
      <c r="I142" s="45"/>
      <c r="J142" s="46">
        <v>43609</v>
      </c>
      <c r="K142" s="47">
        <v>1950</v>
      </c>
      <c r="L142" s="47">
        <v>35703.81</v>
      </c>
      <c r="M142" s="51">
        <f t="shared" si="8"/>
        <v>0</v>
      </c>
      <c r="N142" s="51">
        <f t="shared" si="8"/>
        <v>3.4419726744411867E-3</v>
      </c>
      <c r="O142" s="52">
        <f t="shared" si="9"/>
        <v>3.1625000000000002E-4</v>
      </c>
      <c r="P142" s="53">
        <f t="shared" si="10"/>
        <v>-3.1625000000000002E-4</v>
      </c>
      <c r="Q142" s="53">
        <f t="shared" si="11"/>
        <v>3.1257226744411865E-3</v>
      </c>
    </row>
    <row r="143" spans="1:17">
      <c r="A143" s="42" t="s">
        <v>388</v>
      </c>
      <c r="B143" s="43">
        <v>43612</v>
      </c>
      <c r="C143" s="42">
        <v>35818.33</v>
      </c>
      <c r="D143" s="42">
        <v>35892.879999999997</v>
      </c>
      <c r="E143" s="42">
        <v>35607.39</v>
      </c>
      <c r="F143" s="42">
        <v>35697.370000000003</v>
      </c>
      <c r="G143" s="42">
        <v>94511150</v>
      </c>
      <c r="H143" s="50"/>
      <c r="I143" s="45"/>
      <c r="J143" s="46">
        <v>43612</v>
      </c>
      <c r="K143" s="47">
        <v>1975</v>
      </c>
      <c r="L143" s="47">
        <v>35697.370000000003</v>
      </c>
      <c r="M143" s="51">
        <f t="shared" si="8"/>
        <v>1.282051282051282E-2</v>
      </c>
      <c r="N143" s="51">
        <f t="shared" si="8"/>
        <v>-1.8037290698093712E-4</v>
      </c>
      <c r="O143" s="52">
        <f t="shared" si="9"/>
        <v>3.1625000000000002E-4</v>
      </c>
      <c r="P143" s="53">
        <f t="shared" si="10"/>
        <v>1.250426282051282E-2</v>
      </c>
      <c r="Q143" s="53">
        <f t="shared" si="11"/>
        <v>-4.9662290698093713E-4</v>
      </c>
    </row>
    <row r="144" spans="1:17">
      <c r="A144" s="42" t="s">
        <v>388</v>
      </c>
      <c r="B144" s="43">
        <v>43613</v>
      </c>
      <c r="C144" s="42">
        <v>35690.61</v>
      </c>
      <c r="D144" s="42">
        <v>35709.120000000003</v>
      </c>
      <c r="E144" s="42">
        <v>34898.589999999997</v>
      </c>
      <c r="F144" s="42">
        <v>34949.279999999999</v>
      </c>
      <c r="G144" s="42">
        <v>122791520</v>
      </c>
      <c r="H144" s="50"/>
      <c r="I144" s="45"/>
      <c r="J144" s="46">
        <v>43613</v>
      </c>
      <c r="K144" s="47">
        <v>1975</v>
      </c>
      <c r="L144" s="47">
        <v>34949.279999999999</v>
      </c>
      <c r="M144" s="51">
        <f t="shared" si="8"/>
        <v>0</v>
      </c>
      <c r="N144" s="51">
        <f t="shared" si="8"/>
        <v>-2.0956445810994023E-2</v>
      </c>
      <c r="O144" s="52">
        <f t="shared" si="9"/>
        <v>3.1625000000000002E-4</v>
      </c>
      <c r="P144" s="53">
        <f t="shared" si="10"/>
        <v>-3.1625000000000002E-4</v>
      </c>
      <c r="Q144" s="53">
        <f t="shared" si="11"/>
        <v>-2.1272695810994023E-2</v>
      </c>
    </row>
    <row r="145" spans="1:17">
      <c r="A145" s="42" t="s">
        <v>388</v>
      </c>
      <c r="B145" s="43">
        <v>43615</v>
      </c>
      <c r="C145" s="42">
        <v>36218.83</v>
      </c>
      <c r="D145" s="42">
        <v>36536.78</v>
      </c>
      <c r="E145" s="42">
        <v>35655.25</v>
      </c>
      <c r="F145" s="42">
        <v>35974.79</v>
      </c>
      <c r="G145" s="42">
        <v>176397730</v>
      </c>
      <c r="H145" s="50"/>
      <c r="I145" s="45"/>
      <c r="J145" s="46">
        <v>43615</v>
      </c>
      <c r="K145" s="47">
        <v>2073.75</v>
      </c>
      <c r="L145" s="47">
        <v>35974.79</v>
      </c>
      <c r="M145" s="51">
        <f t="shared" si="8"/>
        <v>0.05</v>
      </c>
      <c r="N145" s="51">
        <f t="shared" si="8"/>
        <v>2.934280763437765E-2</v>
      </c>
      <c r="O145" s="52">
        <f t="shared" si="9"/>
        <v>3.1625000000000002E-4</v>
      </c>
      <c r="P145" s="53">
        <f t="shared" si="10"/>
        <v>4.9683750000000006E-2</v>
      </c>
      <c r="Q145" s="53">
        <f t="shared" si="11"/>
        <v>2.9026557634377649E-2</v>
      </c>
    </row>
    <row r="146" spans="1:17">
      <c r="A146" s="42" t="s">
        <v>388</v>
      </c>
      <c r="B146" s="43">
        <v>43627</v>
      </c>
      <c r="C146" s="42">
        <v>34408.07</v>
      </c>
      <c r="D146" s="42">
        <v>34798.6</v>
      </c>
      <c r="E146" s="42">
        <v>34262.050000000003</v>
      </c>
      <c r="F146" s="42">
        <v>34659.85</v>
      </c>
      <c r="G146" s="42">
        <v>93100110</v>
      </c>
      <c r="H146" s="50"/>
      <c r="I146" s="45"/>
      <c r="J146" s="46">
        <v>43627</v>
      </c>
      <c r="K146" s="47">
        <v>2100</v>
      </c>
      <c r="L146" s="47">
        <v>34659.85</v>
      </c>
      <c r="M146" s="51">
        <f t="shared" si="8"/>
        <v>1.2658227848101266E-2</v>
      </c>
      <c r="N146" s="51">
        <f t="shared" si="8"/>
        <v>-3.6551707459584956E-2</v>
      </c>
      <c r="O146" s="52">
        <f t="shared" si="9"/>
        <v>3.1625000000000002E-4</v>
      </c>
      <c r="P146" s="53">
        <f t="shared" si="10"/>
        <v>1.2341977848101265E-2</v>
      </c>
      <c r="Q146" s="53">
        <f t="shared" si="11"/>
        <v>-3.6867957459584953E-2</v>
      </c>
    </row>
    <row r="147" spans="1:17">
      <c r="A147" s="42" t="s">
        <v>388</v>
      </c>
      <c r="B147" s="43">
        <v>43630</v>
      </c>
      <c r="C147" s="42">
        <v>35443.4</v>
      </c>
      <c r="D147" s="42">
        <v>35659.35</v>
      </c>
      <c r="E147" s="42">
        <v>35295.64</v>
      </c>
      <c r="F147" s="42">
        <v>35572.949999999997</v>
      </c>
      <c r="G147" s="42">
        <v>129022750</v>
      </c>
      <c r="H147" s="50"/>
      <c r="I147" s="45"/>
      <c r="J147" s="46">
        <v>43630</v>
      </c>
      <c r="K147" s="47">
        <v>2050</v>
      </c>
      <c r="L147" s="47">
        <v>35572.949999999997</v>
      </c>
      <c r="M147" s="51">
        <f t="shared" si="8"/>
        <v>-2.3809523809523808E-2</v>
      </c>
      <c r="N147" s="51">
        <f t="shared" si="8"/>
        <v>2.6344603337867839E-2</v>
      </c>
      <c r="O147" s="52">
        <f t="shared" si="9"/>
        <v>3.1625000000000002E-4</v>
      </c>
      <c r="P147" s="53">
        <f t="shared" si="10"/>
        <v>-2.4125773809523809E-2</v>
      </c>
      <c r="Q147" s="53">
        <f t="shared" si="11"/>
        <v>2.6028353337867838E-2</v>
      </c>
    </row>
    <row r="148" spans="1:17">
      <c r="A148" s="42" t="s">
        <v>388</v>
      </c>
      <c r="B148" s="43">
        <v>43633</v>
      </c>
      <c r="C148" s="42">
        <v>35601.39</v>
      </c>
      <c r="D148" s="42">
        <v>35625.47</v>
      </c>
      <c r="E148" s="42">
        <v>35109.94</v>
      </c>
      <c r="F148" s="42">
        <v>35168.82</v>
      </c>
      <c r="G148" s="42">
        <v>87297950</v>
      </c>
      <c r="H148" s="50"/>
      <c r="I148" s="45"/>
      <c r="J148" s="46">
        <v>43633</v>
      </c>
      <c r="K148" s="47">
        <v>2051</v>
      </c>
      <c r="L148" s="47">
        <v>35168.82</v>
      </c>
      <c r="M148" s="51">
        <f t="shared" si="8"/>
        <v>4.8780487804878049E-4</v>
      </c>
      <c r="N148" s="51">
        <f t="shared" si="8"/>
        <v>-1.1360598432235657E-2</v>
      </c>
      <c r="O148" s="52">
        <f t="shared" si="9"/>
        <v>3.1625000000000002E-4</v>
      </c>
      <c r="P148" s="53">
        <f t="shared" si="10"/>
        <v>1.7155487804878047E-4</v>
      </c>
      <c r="Q148" s="53">
        <f t="shared" si="11"/>
        <v>-1.1676848432235657E-2</v>
      </c>
    </row>
    <row r="149" spans="1:17">
      <c r="A149" s="42" t="s">
        <v>388</v>
      </c>
      <c r="B149" s="43">
        <v>43636</v>
      </c>
      <c r="C149" s="42">
        <v>34691.800000000003</v>
      </c>
      <c r="D149" s="42">
        <v>35061.54</v>
      </c>
      <c r="E149" s="42">
        <v>34645.96</v>
      </c>
      <c r="F149" s="42">
        <v>34995.910000000003</v>
      </c>
      <c r="G149" s="42">
        <v>92007450</v>
      </c>
      <c r="H149" s="50"/>
      <c r="I149" s="45"/>
      <c r="J149" s="46">
        <v>43636</v>
      </c>
      <c r="K149" s="47">
        <v>2100</v>
      </c>
      <c r="L149" s="47">
        <v>34995.910000000003</v>
      </c>
      <c r="M149" s="51">
        <f t="shared" si="8"/>
        <v>2.3890784982935155E-2</v>
      </c>
      <c r="N149" s="51">
        <f t="shared" si="8"/>
        <v>-4.9165709853215495E-3</v>
      </c>
      <c r="O149" s="52">
        <f t="shared" si="9"/>
        <v>3.1625000000000002E-4</v>
      </c>
      <c r="P149" s="53">
        <f t="shared" si="10"/>
        <v>2.3574534982935155E-2</v>
      </c>
      <c r="Q149" s="53">
        <f t="shared" si="11"/>
        <v>-5.2328209853215492E-3</v>
      </c>
    </row>
    <row r="150" spans="1:17">
      <c r="A150" s="42" t="s">
        <v>388</v>
      </c>
      <c r="B150" s="43">
        <v>43637</v>
      </c>
      <c r="C150" s="42">
        <v>35106.58</v>
      </c>
      <c r="D150" s="42">
        <v>35207.589999999997</v>
      </c>
      <c r="E150" s="42">
        <v>35036.300000000003</v>
      </c>
      <c r="F150" s="42">
        <v>35125.25</v>
      </c>
      <c r="G150" s="42">
        <v>81666780</v>
      </c>
      <c r="H150" s="50"/>
      <c r="I150" s="45"/>
      <c r="J150" s="46">
        <v>43637</v>
      </c>
      <c r="K150" s="47">
        <v>2075</v>
      </c>
      <c r="L150" s="47">
        <v>35125.25</v>
      </c>
      <c r="M150" s="51">
        <f t="shared" si="8"/>
        <v>-1.1904761904761904E-2</v>
      </c>
      <c r="N150" s="51">
        <f t="shared" si="8"/>
        <v>3.6958604591221232E-3</v>
      </c>
      <c r="O150" s="52">
        <f t="shared" si="9"/>
        <v>3.1625000000000002E-4</v>
      </c>
      <c r="P150" s="53">
        <f t="shared" si="10"/>
        <v>-1.2221011904761905E-2</v>
      </c>
      <c r="Q150" s="53">
        <f t="shared" si="11"/>
        <v>3.379610459122123E-3</v>
      </c>
    </row>
    <row r="151" spans="1:17">
      <c r="A151" s="42" t="s">
        <v>388</v>
      </c>
      <c r="B151" s="43">
        <v>43640</v>
      </c>
      <c r="C151" s="42">
        <v>35147.18</v>
      </c>
      <c r="D151" s="42">
        <v>35194.639999999999</v>
      </c>
      <c r="E151" s="42">
        <v>34368.46</v>
      </c>
      <c r="F151" s="42">
        <v>34471.949999999997</v>
      </c>
      <c r="G151" s="42">
        <v>58098190</v>
      </c>
      <c r="H151" s="50"/>
      <c r="I151" s="45"/>
      <c r="J151" s="46">
        <v>43640</v>
      </c>
      <c r="K151" s="47">
        <v>2076.25</v>
      </c>
      <c r="L151" s="47">
        <v>34471.949999999997</v>
      </c>
      <c r="M151" s="51">
        <f t="shared" si="8"/>
        <v>6.0240963855421692E-4</v>
      </c>
      <c r="N151" s="51">
        <f t="shared" si="8"/>
        <v>-1.8599155877894191E-2</v>
      </c>
      <c r="O151" s="52">
        <f t="shared" si="9"/>
        <v>3.1625000000000002E-4</v>
      </c>
      <c r="P151" s="53">
        <f t="shared" si="10"/>
        <v>2.861596385542169E-4</v>
      </c>
      <c r="Q151" s="53">
        <f t="shared" si="11"/>
        <v>-1.8915405877894191E-2</v>
      </c>
    </row>
    <row r="152" spans="1:17">
      <c r="A152" s="42" t="s">
        <v>388</v>
      </c>
      <c r="B152" s="43">
        <v>43642</v>
      </c>
      <c r="C152" s="42">
        <v>34261.32</v>
      </c>
      <c r="D152" s="42">
        <v>34290.629999999997</v>
      </c>
      <c r="E152" s="42">
        <v>33731.410000000003</v>
      </c>
      <c r="F152" s="42">
        <v>34088.559999999998</v>
      </c>
      <c r="G152" s="42">
        <v>115483370</v>
      </c>
      <c r="H152" s="50"/>
      <c r="I152" s="45"/>
      <c r="J152" s="46">
        <v>43642</v>
      </c>
      <c r="K152" s="47">
        <v>2079.9899999999998</v>
      </c>
      <c r="L152" s="47">
        <v>34088.559999999998</v>
      </c>
      <c r="M152" s="51">
        <f t="shared" si="8"/>
        <v>1.8013245033111532E-3</v>
      </c>
      <c r="N152" s="51">
        <f t="shared" si="8"/>
        <v>-1.1121796126995992E-2</v>
      </c>
      <c r="O152" s="52">
        <f t="shared" si="9"/>
        <v>3.1625000000000002E-4</v>
      </c>
      <c r="P152" s="53">
        <f t="shared" si="10"/>
        <v>1.485074503311153E-3</v>
      </c>
      <c r="Q152" s="53">
        <f t="shared" si="11"/>
        <v>-1.1438046126995992E-2</v>
      </c>
    </row>
    <row r="153" spans="1:17">
      <c r="A153" s="42" t="s">
        <v>388</v>
      </c>
      <c r="B153" s="43">
        <v>43643</v>
      </c>
      <c r="C153" s="42">
        <v>34101.39</v>
      </c>
      <c r="D153" s="42">
        <v>34261.919999999998</v>
      </c>
      <c r="E153" s="42">
        <v>33521.379999999997</v>
      </c>
      <c r="F153" s="42">
        <v>33774.42</v>
      </c>
      <c r="G153" s="42">
        <v>111731650</v>
      </c>
      <c r="H153" s="50"/>
      <c r="I153" s="45"/>
      <c r="J153" s="46">
        <v>43643</v>
      </c>
      <c r="K153" s="47">
        <v>2050</v>
      </c>
      <c r="L153" s="47">
        <v>33774.42</v>
      </c>
      <c r="M153" s="51">
        <f t="shared" si="8"/>
        <v>-1.4418338549704462E-2</v>
      </c>
      <c r="N153" s="51">
        <f t="shared" si="8"/>
        <v>-9.2154083364037499E-3</v>
      </c>
      <c r="O153" s="52">
        <f t="shared" si="9"/>
        <v>3.1625000000000002E-4</v>
      </c>
      <c r="P153" s="53">
        <f t="shared" si="10"/>
        <v>-1.4734588549704462E-2</v>
      </c>
      <c r="Q153" s="53">
        <f t="shared" si="11"/>
        <v>-9.5316583364037505E-3</v>
      </c>
    </row>
    <row r="154" spans="1:17">
      <c r="A154" s="42" t="s">
        <v>388</v>
      </c>
      <c r="B154" s="43">
        <v>43644</v>
      </c>
      <c r="C154" s="42">
        <v>33776.370000000003</v>
      </c>
      <c r="D154" s="42">
        <v>33938.54</v>
      </c>
      <c r="E154" s="42">
        <v>33408</v>
      </c>
      <c r="F154" s="42">
        <v>33901.58</v>
      </c>
      <c r="G154" s="42">
        <v>149239500</v>
      </c>
      <c r="H154" s="50"/>
      <c r="I154" s="45"/>
      <c r="J154" s="46">
        <v>43644</v>
      </c>
      <c r="K154" s="47">
        <v>2075</v>
      </c>
      <c r="L154" s="47">
        <v>33901.58</v>
      </c>
      <c r="M154" s="51">
        <f t="shared" si="8"/>
        <v>1.2195121951219513E-2</v>
      </c>
      <c r="N154" s="51">
        <f t="shared" si="8"/>
        <v>3.7649795318469865E-3</v>
      </c>
      <c r="O154" s="52">
        <f t="shared" si="9"/>
        <v>3.1625000000000002E-4</v>
      </c>
      <c r="P154" s="53">
        <f t="shared" si="10"/>
        <v>1.1878871951219512E-2</v>
      </c>
      <c r="Q154" s="53">
        <f t="shared" si="11"/>
        <v>3.4487295318469864E-3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38"/>
  <sheetViews>
    <sheetView zoomScale="55" zoomScaleNormal="55" workbookViewId="0">
      <selection activeCell="A15" sqref="A15"/>
    </sheetView>
  </sheetViews>
  <sheetFormatPr defaultRowHeight="15"/>
  <sheetData>
    <row r="1" spans="1:13">
      <c r="A1" s="284" t="s">
        <v>473</v>
      </c>
      <c r="B1" s="284" t="s">
        <v>474</v>
      </c>
      <c r="C1" s="284" t="s">
        <v>475</v>
      </c>
      <c r="D1" s="285"/>
      <c r="E1" s="284" t="s">
        <v>476</v>
      </c>
      <c r="F1" s="284" t="s">
        <v>380</v>
      </c>
      <c r="G1" s="284" t="s">
        <v>477</v>
      </c>
      <c r="H1" s="284" t="s">
        <v>478</v>
      </c>
      <c r="I1" s="284"/>
      <c r="J1" s="284" t="s">
        <v>476</v>
      </c>
      <c r="K1" s="284" t="s">
        <v>380</v>
      </c>
      <c r="L1" s="284" t="s">
        <v>477</v>
      </c>
      <c r="M1" s="284" t="s">
        <v>478</v>
      </c>
    </row>
    <row r="2" spans="1:13">
      <c r="A2" s="276">
        <v>42186</v>
      </c>
      <c r="B2" s="277">
        <v>101.80844999999999</v>
      </c>
      <c r="C2" s="275"/>
      <c r="D2" s="275"/>
      <c r="E2" s="275" t="s">
        <v>479</v>
      </c>
      <c r="F2" s="275" t="s">
        <v>480</v>
      </c>
      <c r="G2" s="278">
        <v>34843.599999999999</v>
      </c>
      <c r="H2" s="275"/>
      <c r="I2" s="275"/>
      <c r="J2" s="275" t="s">
        <v>1717</v>
      </c>
      <c r="K2" s="275" t="s">
        <v>480</v>
      </c>
      <c r="L2" s="275">
        <v>155.38</v>
      </c>
      <c r="M2" s="275"/>
    </row>
    <row r="3" spans="1:13">
      <c r="A3" s="279">
        <v>42217</v>
      </c>
      <c r="B3" s="277">
        <v>102.32767</v>
      </c>
      <c r="C3" s="275"/>
      <c r="D3" s="275"/>
      <c r="E3" s="275" t="s">
        <v>479</v>
      </c>
      <c r="F3" s="275" t="s">
        <v>481</v>
      </c>
      <c r="G3" s="278">
        <v>35186.559999999998</v>
      </c>
      <c r="H3" s="280">
        <f>(G3-G2)/G2</f>
        <v>9.8428405790446198E-3</v>
      </c>
      <c r="I3" s="275"/>
      <c r="J3" s="275" t="s">
        <v>1717</v>
      </c>
      <c r="K3" s="275" t="s">
        <v>481</v>
      </c>
      <c r="L3" s="275">
        <v>158.83000000000001</v>
      </c>
      <c r="M3" s="280">
        <f>(L3-L2)/L2</f>
        <v>2.2203629810786569E-2</v>
      </c>
    </row>
    <row r="4" spans="1:13">
      <c r="A4" s="279">
        <v>42248</v>
      </c>
      <c r="B4" s="277">
        <v>104.280568</v>
      </c>
      <c r="C4" s="275"/>
      <c r="D4" s="275"/>
      <c r="E4" s="275" t="s">
        <v>479</v>
      </c>
      <c r="F4" s="275" t="s">
        <v>482</v>
      </c>
      <c r="G4" s="278">
        <v>35456.35</v>
      </c>
      <c r="H4" s="280">
        <f t="shared" ref="H4:H67" si="0">(G4-G3)/G3</f>
        <v>7.6674161952745845E-3</v>
      </c>
      <c r="I4" s="275"/>
      <c r="J4" s="275" t="s">
        <v>1717</v>
      </c>
      <c r="K4" s="275" t="s">
        <v>482</v>
      </c>
      <c r="L4" s="275">
        <v>164.26</v>
      </c>
      <c r="M4" s="280">
        <f t="shared" ref="M4:M67" si="1">(L4-L3)/L3</f>
        <v>3.4187496064974995E-2</v>
      </c>
    </row>
    <row r="5" spans="1:13">
      <c r="A5" s="279">
        <v>42278</v>
      </c>
      <c r="B5" s="277">
        <v>104.510277</v>
      </c>
      <c r="C5" s="275"/>
      <c r="D5" s="275"/>
      <c r="E5" s="275" t="s">
        <v>479</v>
      </c>
      <c r="F5" s="275" t="s">
        <v>483</v>
      </c>
      <c r="G5" s="278">
        <v>35502.28</v>
      </c>
      <c r="H5" s="280">
        <f t="shared" si="0"/>
        <v>1.2953956061467211E-3</v>
      </c>
      <c r="I5" s="275"/>
      <c r="J5" s="275" t="s">
        <v>1717</v>
      </c>
      <c r="K5" s="275" t="s">
        <v>483</v>
      </c>
      <c r="L5" s="275">
        <v>172.47</v>
      </c>
      <c r="M5" s="280">
        <f>(L5-L4)/L4</f>
        <v>4.9981736271764325E-2</v>
      </c>
    </row>
    <row r="6" spans="1:13">
      <c r="A6" s="279">
        <v>42309</v>
      </c>
      <c r="B6" s="277">
        <v>105.46245999999999</v>
      </c>
      <c r="C6" s="275"/>
      <c r="D6" s="275"/>
      <c r="E6" s="275" t="s">
        <v>479</v>
      </c>
      <c r="F6" s="275" t="s">
        <v>484</v>
      </c>
      <c r="G6" s="278">
        <v>35537.69</v>
      </c>
      <c r="H6" s="280">
        <f t="shared" si="0"/>
        <v>9.9740073031939053E-4</v>
      </c>
      <c r="I6" s="275"/>
      <c r="J6" s="275" t="s">
        <v>1717</v>
      </c>
      <c r="K6" s="275" t="s">
        <v>484</v>
      </c>
      <c r="L6" s="275">
        <v>179.52</v>
      </c>
      <c r="M6" s="280">
        <f t="shared" si="1"/>
        <v>4.0876674204209491E-2</v>
      </c>
    </row>
    <row r="7" spans="1:13">
      <c r="A7" s="279">
        <v>42339</v>
      </c>
      <c r="B7" s="277">
        <v>104.822621</v>
      </c>
      <c r="C7" s="275"/>
      <c r="D7" s="275"/>
      <c r="E7" s="275" t="s">
        <v>479</v>
      </c>
      <c r="F7" s="275" t="s">
        <v>485</v>
      </c>
      <c r="G7" s="278">
        <v>35328.83</v>
      </c>
      <c r="H7" s="280">
        <f t="shared" si="0"/>
        <v>-5.8771405794805619E-3</v>
      </c>
      <c r="I7" s="275"/>
      <c r="J7" s="275" t="s">
        <v>1717</v>
      </c>
      <c r="K7" s="275" t="s">
        <v>485</v>
      </c>
      <c r="L7" s="275">
        <v>185.67</v>
      </c>
      <c r="M7" s="280">
        <f t="shared" si="1"/>
        <v>3.4258021390374205E-2</v>
      </c>
    </row>
    <row r="8" spans="1:13">
      <c r="A8" s="279">
        <v>42370</v>
      </c>
      <c r="B8" s="277">
        <v>104.834751</v>
      </c>
      <c r="C8" s="275"/>
      <c r="D8" s="275"/>
      <c r="E8" s="275" t="s">
        <v>479</v>
      </c>
      <c r="F8" s="275" t="s">
        <v>486</v>
      </c>
      <c r="G8" s="278">
        <v>35147.129999999997</v>
      </c>
      <c r="H8" s="280">
        <f t="shared" si="0"/>
        <v>-5.1431083339019256E-3</v>
      </c>
      <c r="I8" s="275"/>
      <c r="J8" s="275" t="s">
        <v>1717</v>
      </c>
      <c r="K8" s="275" t="s">
        <v>486</v>
      </c>
      <c r="L8" s="275">
        <v>182.63</v>
      </c>
      <c r="M8" s="280">
        <f t="shared" si="1"/>
        <v>-1.6373135132223795E-2</v>
      </c>
    </row>
    <row r="9" spans="1:13">
      <c r="A9" s="279">
        <v>42401</v>
      </c>
      <c r="B9" s="277">
        <v>104.658727</v>
      </c>
      <c r="C9" s="275"/>
      <c r="D9" s="275"/>
      <c r="E9" s="275" t="s">
        <v>479</v>
      </c>
      <c r="F9" s="275" t="s">
        <v>487</v>
      </c>
      <c r="G9" s="278">
        <v>35112.29</v>
      </c>
      <c r="H9" s="280">
        <f t="shared" si="0"/>
        <v>-9.9126159091785047E-4</v>
      </c>
      <c r="I9" s="275"/>
      <c r="J9" s="275" t="s">
        <v>1717</v>
      </c>
      <c r="K9" s="275" t="s">
        <v>487</v>
      </c>
      <c r="L9" s="275">
        <v>181.09</v>
      </c>
      <c r="M9" s="280">
        <f t="shared" si="1"/>
        <v>-8.4323495592180473E-3</v>
      </c>
    </row>
    <row r="10" spans="1:13">
      <c r="A10" s="279">
        <v>42430</v>
      </c>
      <c r="B10" s="277">
        <v>104.70592600000001</v>
      </c>
      <c r="C10" s="275"/>
      <c r="D10" s="275"/>
      <c r="E10" s="275" t="s">
        <v>479</v>
      </c>
      <c r="F10" s="275" t="s">
        <v>488</v>
      </c>
      <c r="G10" s="278">
        <v>35496.620000000003</v>
      </c>
      <c r="H10" s="280">
        <f t="shared" si="0"/>
        <v>1.0945740081322002E-2</v>
      </c>
      <c r="I10" s="275"/>
      <c r="J10" s="275" t="s">
        <v>1717</v>
      </c>
      <c r="K10" s="275" t="s">
        <v>488</v>
      </c>
      <c r="L10" s="275">
        <v>182.28</v>
      </c>
      <c r="M10" s="280">
        <f t="shared" si="1"/>
        <v>6.5713181291070615E-3</v>
      </c>
    </row>
    <row r="11" spans="1:13">
      <c r="A11" s="279">
        <v>42461</v>
      </c>
      <c r="B11" s="277">
        <v>104.738675</v>
      </c>
      <c r="C11" s="275"/>
      <c r="D11" s="275"/>
      <c r="E11" s="275" t="s">
        <v>479</v>
      </c>
      <c r="F11" s="275" t="s">
        <v>489</v>
      </c>
      <c r="G11" s="278">
        <v>35446.89</v>
      </c>
      <c r="H11" s="280">
        <f t="shared" si="0"/>
        <v>-1.400978459357629E-3</v>
      </c>
      <c r="I11" s="275"/>
      <c r="J11" s="275" t="s">
        <v>1717</v>
      </c>
      <c r="K11" s="275" t="s">
        <v>489</v>
      </c>
      <c r="L11" s="275">
        <v>181.69</v>
      </c>
      <c r="M11" s="280">
        <f t="shared" si="1"/>
        <v>-3.236778582400721E-3</v>
      </c>
    </row>
    <row r="12" spans="1:13">
      <c r="A12" s="279">
        <v>42491</v>
      </c>
      <c r="B12" s="277">
        <v>104.710787</v>
      </c>
      <c r="C12" s="275"/>
      <c r="D12" s="275"/>
      <c r="E12" s="275" t="s">
        <v>479</v>
      </c>
      <c r="F12" s="275" t="s">
        <v>490</v>
      </c>
      <c r="G12" s="278">
        <v>35699.75</v>
      </c>
      <c r="H12" s="280">
        <f t="shared" si="0"/>
        <v>7.133489002843425E-3</v>
      </c>
      <c r="I12" s="275"/>
      <c r="J12" s="275" t="s">
        <v>1717</v>
      </c>
      <c r="K12" s="275" t="s">
        <v>490</v>
      </c>
      <c r="L12" s="275">
        <v>180.89</v>
      </c>
      <c r="M12" s="280">
        <f t="shared" si="1"/>
        <v>-4.4031041884529222E-3</v>
      </c>
    </row>
    <row r="13" spans="1:13">
      <c r="A13" s="279">
        <v>42522</v>
      </c>
      <c r="B13" s="277">
        <v>104.601314</v>
      </c>
      <c r="C13" s="281">
        <f>AVERAGE(B2:B13)</f>
        <v>104.28851883333333</v>
      </c>
      <c r="D13" s="275"/>
      <c r="E13" s="275" t="s">
        <v>479</v>
      </c>
      <c r="F13" s="275" t="s">
        <v>491</v>
      </c>
      <c r="G13" s="278">
        <v>35887.660000000003</v>
      </c>
      <c r="H13" s="280">
        <f t="shared" si="0"/>
        <v>5.2636222942738673E-3</v>
      </c>
      <c r="I13" s="275"/>
      <c r="J13" s="275" t="s">
        <v>1717</v>
      </c>
      <c r="K13" s="275" t="s">
        <v>491</v>
      </c>
      <c r="L13" s="275">
        <v>180.11</v>
      </c>
      <c r="M13" s="280">
        <f t="shared" si="1"/>
        <v>-4.3120128254738946E-3</v>
      </c>
    </row>
    <row r="14" spans="1:13">
      <c r="A14" s="275"/>
      <c r="B14" s="275"/>
      <c r="C14" s="275"/>
      <c r="D14" s="275"/>
      <c r="E14" s="275" t="s">
        <v>479</v>
      </c>
      <c r="F14" s="275" t="s">
        <v>492</v>
      </c>
      <c r="G14" s="278">
        <v>36056.68</v>
      </c>
      <c r="H14" s="280">
        <f t="shared" si="0"/>
        <v>4.7096968707348646E-3</v>
      </c>
      <c r="I14" s="275"/>
      <c r="J14" s="275" t="s">
        <v>1717</v>
      </c>
      <c r="K14" s="275" t="s">
        <v>492</v>
      </c>
      <c r="L14" s="275">
        <v>175.34</v>
      </c>
      <c r="M14" s="280">
        <f t="shared" si="1"/>
        <v>-2.6483815446116318E-2</v>
      </c>
    </row>
    <row r="15" spans="1:13">
      <c r="A15" s="279">
        <v>42552</v>
      </c>
      <c r="B15" s="281">
        <v>104.764912</v>
      </c>
      <c r="C15" s="281"/>
      <c r="D15" s="275"/>
      <c r="E15" s="275" t="s">
        <v>479</v>
      </c>
      <c r="F15" s="275" t="s">
        <v>493</v>
      </c>
      <c r="G15" s="278">
        <v>35934.99</v>
      </c>
      <c r="H15" s="280">
        <f t="shared" si="0"/>
        <v>-3.3749640843250771E-3</v>
      </c>
      <c r="I15" s="275"/>
      <c r="J15" s="275" t="s">
        <v>1717</v>
      </c>
      <c r="K15" s="275" t="s">
        <v>493</v>
      </c>
      <c r="L15" s="275">
        <v>177.98</v>
      </c>
      <c r="M15" s="280">
        <f t="shared" si="1"/>
        <v>1.5056461731493021E-2</v>
      </c>
    </row>
    <row r="16" spans="1:13">
      <c r="A16" s="279">
        <v>42583</v>
      </c>
      <c r="B16" s="281">
        <v>104.672101</v>
      </c>
      <c r="C16" s="281"/>
      <c r="D16" s="275"/>
      <c r="E16" s="275" t="s">
        <v>479</v>
      </c>
      <c r="F16" s="275" t="s">
        <v>494</v>
      </c>
      <c r="G16" s="278">
        <v>35815.199999999997</v>
      </c>
      <c r="H16" s="280">
        <f t="shared" si="0"/>
        <v>-3.3335197811381295E-3</v>
      </c>
      <c r="I16" s="275"/>
      <c r="J16" s="275" t="s">
        <v>1717</v>
      </c>
      <c r="K16" s="275" t="s">
        <v>494</v>
      </c>
      <c r="L16" s="275">
        <v>174.42</v>
      </c>
      <c r="M16" s="280">
        <f t="shared" si="1"/>
        <v>-2.0002247443532996E-2</v>
      </c>
    </row>
    <row r="17" spans="1:13">
      <c r="A17" s="279">
        <v>42614</v>
      </c>
      <c r="B17" s="281">
        <v>104.521501</v>
      </c>
      <c r="C17" s="281"/>
      <c r="D17" s="275"/>
      <c r="E17" s="275" t="s">
        <v>479</v>
      </c>
      <c r="F17" s="275" t="s">
        <v>495</v>
      </c>
      <c r="G17" s="278">
        <v>35175.49</v>
      </c>
      <c r="H17" s="280">
        <f t="shared" si="0"/>
        <v>-1.7861410797650138E-2</v>
      </c>
      <c r="I17" s="275"/>
      <c r="J17" s="275" t="s">
        <v>1717</v>
      </c>
      <c r="K17" s="275" t="s">
        <v>495</v>
      </c>
      <c r="L17" s="275">
        <v>171.54</v>
      </c>
      <c r="M17" s="280">
        <f t="shared" si="1"/>
        <v>-1.6511867905056734E-2</v>
      </c>
    </row>
    <row r="18" spans="1:13">
      <c r="A18" s="279">
        <v>42644</v>
      </c>
      <c r="B18" s="281">
        <v>104.60549</v>
      </c>
      <c r="C18" s="281"/>
      <c r="D18" s="275"/>
      <c r="E18" s="275" t="s">
        <v>479</v>
      </c>
      <c r="F18" s="275" t="s">
        <v>496</v>
      </c>
      <c r="G18" s="278">
        <v>35274.660000000003</v>
      </c>
      <c r="H18" s="280">
        <f t="shared" si="0"/>
        <v>2.81929263814109E-3</v>
      </c>
      <c r="I18" s="275"/>
      <c r="J18" s="275" t="s">
        <v>1717</v>
      </c>
      <c r="K18" s="275" t="s">
        <v>496</v>
      </c>
      <c r="L18" s="275">
        <v>169.6</v>
      </c>
      <c r="M18" s="280">
        <f t="shared" si="1"/>
        <v>-1.1309315611519167E-2</v>
      </c>
    </row>
    <row r="19" spans="1:13">
      <c r="A19" s="279">
        <v>42675</v>
      </c>
      <c r="B19" s="281">
        <v>104.752019</v>
      </c>
      <c r="C19" s="281"/>
      <c r="D19" s="275"/>
      <c r="E19" s="275" t="s">
        <v>479</v>
      </c>
      <c r="F19" s="275" t="s">
        <v>497</v>
      </c>
      <c r="G19" s="278">
        <v>35676.49</v>
      </c>
      <c r="H19" s="280">
        <f t="shared" si="0"/>
        <v>1.1391463447131579E-2</v>
      </c>
      <c r="I19" s="275"/>
      <c r="J19" s="275" t="s">
        <v>1717</v>
      </c>
      <c r="K19" s="275" t="s">
        <v>497</v>
      </c>
      <c r="L19" s="275">
        <v>168.46</v>
      </c>
      <c r="M19" s="280">
        <f t="shared" si="1"/>
        <v>-6.7216981132074667E-3</v>
      </c>
    </row>
    <row r="20" spans="1:13">
      <c r="A20" s="279">
        <v>42705</v>
      </c>
      <c r="B20" s="281">
        <v>104.74914200000001</v>
      </c>
      <c r="C20" s="281"/>
      <c r="D20" s="275"/>
      <c r="E20" s="275" t="s">
        <v>479</v>
      </c>
      <c r="F20" s="275" t="s">
        <v>498</v>
      </c>
      <c r="G20" s="278">
        <v>35730.01</v>
      </c>
      <c r="H20" s="280">
        <f t="shared" si="0"/>
        <v>1.5001475761770309E-3</v>
      </c>
      <c r="I20" s="275"/>
      <c r="J20" s="275" t="s">
        <v>1717</v>
      </c>
      <c r="K20" s="275" t="s">
        <v>498</v>
      </c>
      <c r="L20" s="275">
        <v>171.82</v>
      </c>
      <c r="M20" s="280">
        <f t="shared" si="1"/>
        <v>1.9945387629110679E-2</v>
      </c>
    </row>
    <row r="21" spans="1:13">
      <c r="A21" s="279">
        <v>42736</v>
      </c>
      <c r="B21" s="281">
        <v>104.742367</v>
      </c>
      <c r="C21" s="281"/>
      <c r="D21" s="275"/>
      <c r="E21" s="275" t="s">
        <v>479</v>
      </c>
      <c r="F21" s="275" t="s">
        <v>499</v>
      </c>
      <c r="G21" s="278">
        <v>35741.519999999997</v>
      </c>
      <c r="H21" s="280">
        <f t="shared" si="0"/>
        <v>3.2213816900680299E-4</v>
      </c>
      <c r="I21" s="275"/>
      <c r="J21" s="275" t="s">
        <v>1717</v>
      </c>
      <c r="K21" s="275" t="s">
        <v>499</v>
      </c>
      <c r="L21" s="275">
        <v>169.28</v>
      </c>
      <c r="M21" s="280">
        <f t="shared" si="1"/>
        <v>-1.4782912350133815E-2</v>
      </c>
    </row>
    <row r="22" spans="1:13">
      <c r="A22" s="279">
        <v>42767</v>
      </c>
      <c r="B22" s="281">
        <v>104.774472</v>
      </c>
      <c r="C22" s="281"/>
      <c r="D22" s="275"/>
      <c r="E22" s="275" t="s">
        <v>479</v>
      </c>
      <c r="F22" s="275" t="s">
        <v>500</v>
      </c>
      <c r="G22" s="278">
        <v>35824.559999999998</v>
      </c>
      <c r="H22" s="280">
        <f t="shared" si="0"/>
        <v>2.3233483075146464E-3</v>
      </c>
      <c r="I22" s="275"/>
      <c r="J22" s="275" t="s">
        <v>1717</v>
      </c>
      <c r="K22" s="275" t="s">
        <v>500</v>
      </c>
      <c r="L22" s="275">
        <v>175.28</v>
      </c>
      <c r="M22" s="280">
        <f t="shared" si="1"/>
        <v>3.544423440453686E-2</v>
      </c>
    </row>
    <row r="23" spans="1:13">
      <c r="A23" s="279">
        <v>42795</v>
      </c>
      <c r="B23" s="281">
        <v>104.78248600000001</v>
      </c>
      <c r="C23" s="281"/>
      <c r="D23" s="275"/>
      <c r="E23" s="275" t="s">
        <v>479</v>
      </c>
      <c r="F23" s="275" t="s">
        <v>501</v>
      </c>
      <c r="G23" s="278">
        <v>35921.71</v>
      </c>
      <c r="H23" s="280">
        <f t="shared" si="0"/>
        <v>2.7118267467905106E-3</v>
      </c>
      <c r="I23" s="275"/>
      <c r="J23" s="275" t="s">
        <v>1717</v>
      </c>
      <c r="K23" s="275" t="s">
        <v>501</v>
      </c>
      <c r="L23" s="275">
        <v>180.09</v>
      </c>
      <c r="M23" s="280">
        <f t="shared" si="1"/>
        <v>2.7441807393884084E-2</v>
      </c>
    </row>
    <row r="24" spans="1:13">
      <c r="A24" s="279">
        <v>42826</v>
      </c>
      <c r="B24" s="281">
        <v>104.800004</v>
      </c>
      <c r="C24" s="281"/>
      <c r="D24" s="275"/>
      <c r="E24" s="275" t="s">
        <v>479</v>
      </c>
      <c r="F24" s="275" t="s">
        <v>502</v>
      </c>
      <c r="G24" s="278">
        <v>36156.83</v>
      </c>
      <c r="H24" s="280">
        <f t="shared" si="0"/>
        <v>6.5453454192465396E-3</v>
      </c>
      <c r="I24" s="275"/>
      <c r="J24" s="275" t="s">
        <v>1717</v>
      </c>
      <c r="K24" s="275" t="s">
        <v>502</v>
      </c>
      <c r="L24" s="275">
        <v>179.57</v>
      </c>
      <c r="M24" s="280">
        <f t="shared" si="1"/>
        <v>-2.8874451663057927E-3</v>
      </c>
    </row>
    <row r="25" spans="1:13">
      <c r="A25" s="279">
        <v>42856</v>
      </c>
      <c r="B25" s="281">
        <v>104.81074700000001</v>
      </c>
      <c r="C25" s="281"/>
      <c r="D25" s="275"/>
      <c r="E25" s="275" t="s">
        <v>479</v>
      </c>
      <c r="F25" s="275" t="s">
        <v>503</v>
      </c>
      <c r="G25" s="278">
        <v>36228.879999999997</v>
      </c>
      <c r="H25" s="280">
        <f t="shared" si="0"/>
        <v>1.9927078784283806E-3</v>
      </c>
      <c r="I25" s="275"/>
      <c r="J25" s="275" t="s">
        <v>1717</v>
      </c>
      <c r="K25" s="275" t="s">
        <v>503</v>
      </c>
      <c r="L25" s="275">
        <v>179.32</v>
      </c>
      <c r="M25" s="280">
        <f t="shared" si="1"/>
        <v>-1.3922147352007574E-3</v>
      </c>
    </row>
    <row r="26" spans="1:13">
      <c r="A26" s="279">
        <v>42887</v>
      </c>
      <c r="B26" s="281">
        <v>104.834934</v>
      </c>
      <c r="C26" s="281">
        <f>AVERAGE(B15:B26)</f>
        <v>104.73418125000001</v>
      </c>
      <c r="D26" s="275"/>
      <c r="E26" s="275" t="s">
        <v>479</v>
      </c>
      <c r="F26" s="275" t="s">
        <v>504</v>
      </c>
      <c r="G26" s="278">
        <v>36222.629999999997</v>
      </c>
      <c r="H26" s="280">
        <f t="shared" si="0"/>
        <v>-1.725143035059323E-4</v>
      </c>
      <c r="I26" s="275"/>
      <c r="J26" s="275" t="s">
        <v>1717</v>
      </c>
      <c r="K26" s="275" t="s">
        <v>504</v>
      </c>
      <c r="L26" s="275">
        <v>184.16</v>
      </c>
      <c r="M26" s="280">
        <f t="shared" si="1"/>
        <v>2.6990854338612556E-2</v>
      </c>
    </row>
    <row r="27" spans="1:13">
      <c r="A27" s="275"/>
      <c r="B27" s="275"/>
      <c r="C27" s="275"/>
      <c r="D27" s="275"/>
      <c r="E27" s="275" t="s">
        <v>479</v>
      </c>
      <c r="F27" s="275" t="s">
        <v>505</v>
      </c>
      <c r="G27" s="278">
        <v>36084.67</v>
      </c>
      <c r="H27" s="280">
        <f t="shared" si="0"/>
        <v>-3.8086687797103396E-3</v>
      </c>
      <c r="I27" s="275"/>
      <c r="J27" s="275" t="s">
        <v>1717</v>
      </c>
      <c r="K27" s="275" t="s">
        <v>505</v>
      </c>
      <c r="L27" s="275">
        <v>181.89</v>
      </c>
      <c r="M27" s="280">
        <f t="shared" si="1"/>
        <v>-1.2326238053866258E-2</v>
      </c>
    </row>
    <row r="28" spans="1:13">
      <c r="A28" s="279">
        <v>42917</v>
      </c>
      <c r="B28" s="281">
        <v>105.37038099999999</v>
      </c>
      <c r="C28" s="281"/>
      <c r="D28" s="275"/>
      <c r="E28" s="275" t="s">
        <v>479</v>
      </c>
      <c r="F28" s="275" t="s">
        <v>506</v>
      </c>
      <c r="G28" s="278">
        <v>36205.94</v>
      </c>
      <c r="H28" s="280">
        <f t="shared" si="0"/>
        <v>3.3607069151527251E-3</v>
      </c>
      <c r="I28" s="275"/>
      <c r="J28" s="275" t="s">
        <v>1717</v>
      </c>
      <c r="K28" s="275" t="s">
        <v>506</v>
      </c>
      <c r="L28" s="275">
        <v>180.03</v>
      </c>
      <c r="M28" s="280">
        <f t="shared" si="1"/>
        <v>-1.0225960745505445E-2</v>
      </c>
    </row>
    <row r="29" spans="1:13">
      <c r="A29" s="279">
        <v>42948</v>
      </c>
      <c r="B29" s="281">
        <v>105.374002</v>
      </c>
      <c r="C29" s="281"/>
      <c r="D29" s="275"/>
      <c r="E29" s="275" t="s">
        <v>479</v>
      </c>
      <c r="F29" s="275" t="s">
        <v>507</v>
      </c>
      <c r="G29" s="278">
        <v>35892.769999999997</v>
      </c>
      <c r="H29" s="280">
        <f t="shared" si="0"/>
        <v>-8.6496856593146175E-3</v>
      </c>
      <c r="I29" s="275"/>
      <c r="J29" s="275" t="s">
        <v>1717</v>
      </c>
      <c r="K29" s="275" t="s">
        <v>507</v>
      </c>
      <c r="L29" s="275">
        <v>180.12</v>
      </c>
      <c r="M29" s="280">
        <f t="shared" si="1"/>
        <v>4.9991668055326011E-4</v>
      </c>
    </row>
    <row r="30" spans="1:13">
      <c r="A30" s="279">
        <v>42979</v>
      </c>
      <c r="B30" s="281">
        <v>105.360557</v>
      </c>
      <c r="C30" s="281"/>
      <c r="D30" s="275"/>
      <c r="E30" s="275" t="s">
        <v>479</v>
      </c>
      <c r="F30" s="275" t="s">
        <v>508</v>
      </c>
      <c r="G30" s="278">
        <v>35937.33</v>
      </c>
      <c r="H30" s="280">
        <f t="shared" si="0"/>
        <v>1.2414756509459969E-3</v>
      </c>
      <c r="I30" s="275"/>
      <c r="J30" s="275" t="s">
        <v>1717</v>
      </c>
      <c r="K30" s="275" t="s">
        <v>508</v>
      </c>
      <c r="L30" s="275">
        <v>176.9</v>
      </c>
      <c r="M30" s="280">
        <f t="shared" si="1"/>
        <v>-1.7876970908283361E-2</v>
      </c>
    </row>
    <row r="31" spans="1:13">
      <c r="A31" s="279">
        <v>43009</v>
      </c>
      <c r="B31" s="281">
        <v>105.348495</v>
      </c>
      <c r="C31" s="281"/>
      <c r="D31" s="275"/>
      <c r="E31" s="275" t="s">
        <v>479</v>
      </c>
      <c r="F31" s="275" t="s">
        <v>509</v>
      </c>
      <c r="G31" s="278">
        <v>35588.050000000003</v>
      </c>
      <c r="H31" s="280">
        <f t="shared" si="0"/>
        <v>-9.7191416279394944E-3</v>
      </c>
      <c r="I31" s="275"/>
      <c r="J31" s="275" t="s">
        <v>1717</v>
      </c>
      <c r="K31" s="275" t="s">
        <v>509</v>
      </c>
      <c r="L31" s="275">
        <v>170.18</v>
      </c>
      <c r="M31" s="280">
        <f t="shared" si="1"/>
        <v>-3.7987563595251544E-2</v>
      </c>
    </row>
    <row r="32" spans="1:13">
      <c r="A32" s="279">
        <v>43040</v>
      </c>
      <c r="B32" s="281">
        <v>105.219092</v>
      </c>
      <c r="C32" s="281"/>
      <c r="D32" s="275"/>
      <c r="E32" s="275" t="s">
        <v>479</v>
      </c>
      <c r="F32" s="275" t="s">
        <v>510</v>
      </c>
      <c r="G32" s="278">
        <v>35546.03</v>
      </c>
      <c r="H32" s="280">
        <f t="shared" si="0"/>
        <v>-1.1807334203476749E-3</v>
      </c>
      <c r="I32" s="275"/>
      <c r="J32" s="275" t="s">
        <v>1717</v>
      </c>
      <c r="K32" s="275" t="s">
        <v>510</v>
      </c>
      <c r="L32" s="275">
        <v>171.44</v>
      </c>
      <c r="M32" s="280">
        <f t="shared" si="1"/>
        <v>7.4039252556116512E-3</v>
      </c>
    </row>
    <row r="33" spans="1:13">
      <c r="A33" s="279">
        <v>43070</v>
      </c>
      <c r="B33" s="281">
        <v>108.43322499999999</v>
      </c>
      <c r="C33" s="281"/>
      <c r="D33" s="275"/>
      <c r="E33" s="275" t="s">
        <v>479</v>
      </c>
      <c r="F33" s="275" t="s">
        <v>511</v>
      </c>
      <c r="G33" s="278">
        <v>35461.58</v>
      </c>
      <c r="H33" s="280">
        <f t="shared" si="0"/>
        <v>-2.3757927397235947E-3</v>
      </c>
      <c r="I33" s="275"/>
      <c r="J33" s="275" t="s">
        <v>1717</v>
      </c>
      <c r="K33" s="275" t="s">
        <v>511</v>
      </c>
      <c r="L33" s="275">
        <v>172.12</v>
      </c>
      <c r="M33" s="280">
        <f t="shared" si="1"/>
        <v>3.9664022398507165E-3</v>
      </c>
    </row>
    <row r="34" spans="1:13">
      <c r="A34" s="279">
        <v>43101</v>
      </c>
      <c r="B34" s="281">
        <v>110.573975</v>
      </c>
      <c r="C34" s="281"/>
      <c r="D34" s="275"/>
      <c r="E34" s="275" t="s">
        <v>479</v>
      </c>
      <c r="F34" s="275" t="s">
        <v>512</v>
      </c>
      <c r="G34" s="278">
        <v>35219.589999999997</v>
      </c>
      <c r="H34" s="280">
        <f t="shared" si="0"/>
        <v>-6.8240050217730072E-3</v>
      </c>
      <c r="I34" s="275"/>
      <c r="J34" s="275" t="s">
        <v>1717</v>
      </c>
      <c r="K34" s="275" t="s">
        <v>512</v>
      </c>
      <c r="L34" s="275">
        <v>169.23</v>
      </c>
      <c r="M34" s="280">
        <f t="shared" si="1"/>
        <v>-1.6790611201487421E-2</v>
      </c>
    </row>
    <row r="35" spans="1:13">
      <c r="A35" s="279">
        <v>43132</v>
      </c>
      <c r="B35" s="281">
        <v>110.555308</v>
      </c>
      <c r="C35" s="281"/>
      <c r="D35" s="275"/>
      <c r="E35" s="275" t="s">
        <v>479</v>
      </c>
      <c r="F35" s="275" t="s">
        <v>513</v>
      </c>
      <c r="G35" s="278">
        <v>34519.769999999997</v>
      </c>
      <c r="H35" s="280">
        <f t="shared" si="0"/>
        <v>-1.9870191561003402E-2</v>
      </c>
      <c r="I35" s="275"/>
      <c r="J35" s="275" t="s">
        <v>1717</v>
      </c>
      <c r="K35" s="275" t="s">
        <v>513</v>
      </c>
      <c r="L35" s="275">
        <v>166.92</v>
      </c>
      <c r="M35" s="280">
        <f t="shared" si="1"/>
        <v>-1.3650062045736586E-2</v>
      </c>
    </row>
    <row r="36" spans="1:13">
      <c r="A36" s="279">
        <v>43160</v>
      </c>
      <c r="B36" s="281">
        <v>112.196558</v>
      </c>
      <c r="C36" s="281"/>
      <c r="D36" s="275"/>
      <c r="E36" s="275" t="s">
        <v>479</v>
      </c>
      <c r="F36" s="275" t="s">
        <v>514</v>
      </c>
      <c r="G36" s="278">
        <v>33100.339999999997</v>
      </c>
      <c r="H36" s="280">
        <f t="shared" si="0"/>
        <v>-4.1119335383752571E-2</v>
      </c>
      <c r="I36" s="275"/>
      <c r="J36" s="275" t="s">
        <v>1717</v>
      </c>
      <c r="K36" s="275" t="s">
        <v>514</v>
      </c>
      <c r="L36" s="275">
        <v>158.58000000000001</v>
      </c>
      <c r="M36" s="280">
        <f t="shared" si="1"/>
        <v>-4.9964054636951687E-2</v>
      </c>
    </row>
    <row r="37" spans="1:13">
      <c r="A37" s="279">
        <v>43191</v>
      </c>
      <c r="B37" s="281">
        <v>115.65065800000001</v>
      </c>
      <c r="C37" s="281"/>
      <c r="D37" s="275"/>
      <c r="E37" s="275" t="s">
        <v>479</v>
      </c>
      <c r="F37" s="275" t="s">
        <v>515</v>
      </c>
      <c r="G37" s="278">
        <v>33798.800000000003</v>
      </c>
      <c r="H37" s="280">
        <f t="shared" si="0"/>
        <v>2.1101293823568172E-2</v>
      </c>
      <c r="I37" s="275"/>
      <c r="J37" s="275" t="s">
        <v>1717</v>
      </c>
      <c r="K37" s="275" t="s">
        <v>515</v>
      </c>
      <c r="L37" s="275">
        <v>166.5</v>
      </c>
      <c r="M37" s="280">
        <f t="shared" si="1"/>
        <v>4.9943246311010131E-2</v>
      </c>
    </row>
    <row r="38" spans="1:13">
      <c r="A38" s="279">
        <v>43221</v>
      </c>
      <c r="B38" s="281">
        <v>115.591617</v>
      </c>
      <c r="C38" s="281"/>
      <c r="D38" s="275"/>
      <c r="E38" s="275" t="s">
        <v>479</v>
      </c>
      <c r="F38" s="275" t="s">
        <v>516</v>
      </c>
      <c r="G38" s="278">
        <v>33537.42</v>
      </c>
      <c r="H38" s="280">
        <f t="shared" si="0"/>
        <v>-7.7334106536328107E-3</v>
      </c>
      <c r="I38" s="275"/>
      <c r="J38" s="275" t="s">
        <v>1717</v>
      </c>
      <c r="K38" s="275" t="s">
        <v>516</v>
      </c>
      <c r="L38" s="275">
        <v>173.45</v>
      </c>
      <c r="M38" s="280">
        <f t="shared" si="1"/>
        <v>4.1741741741741674E-2</v>
      </c>
    </row>
    <row r="39" spans="1:13">
      <c r="A39" s="279">
        <v>43252</v>
      </c>
      <c r="B39" s="281">
        <v>118.612082</v>
      </c>
      <c r="C39" s="281">
        <f>AVERAGE(B28:B39)</f>
        <v>109.85716250000002</v>
      </c>
      <c r="D39" s="275"/>
      <c r="E39" s="275" t="s">
        <v>479</v>
      </c>
      <c r="F39" s="275" t="s">
        <v>517</v>
      </c>
      <c r="G39" s="278">
        <v>33961.29</v>
      </c>
      <c r="H39" s="280">
        <f t="shared" si="0"/>
        <v>1.2638718184046436E-2</v>
      </c>
      <c r="I39" s="275"/>
      <c r="J39" s="275" t="s">
        <v>1717</v>
      </c>
      <c r="K39" s="275" t="s">
        <v>517</v>
      </c>
      <c r="L39" s="275">
        <v>170.61</v>
      </c>
      <c r="M39" s="280">
        <f t="shared" si="1"/>
        <v>-1.6373594695877632E-2</v>
      </c>
    </row>
    <row r="40" spans="1:13">
      <c r="A40" s="275"/>
      <c r="B40" s="281"/>
      <c r="C40" s="281"/>
      <c r="D40" s="275"/>
      <c r="E40" s="275" t="s">
        <v>479</v>
      </c>
      <c r="F40" s="275" t="s">
        <v>518</v>
      </c>
      <c r="G40" s="278">
        <v>34447.47</v>
      </c>
      <c r="H40" s="280">
        <f t="shared" si="0"/>
        <v>1.4315710622299692E-2</v>
      </c>
      <c r="I40" s="275"/>
      <c r="J40" s="275" t="s">
        <v>1717</v>
      </c>
      <c r="K40" s="275" t="s">
        <v>518</v>
      </c>
      <c r="L40" s="275">
        <v>172.97</v>
      </c>
      <c r="M40" s="280">
        <f t="shared" si="1"/>
        <v>1.3832717894613359E-2</v>
      </c>
    </row>
    <row r="41" spans="1:13">
      <c r="A41" s="279">
        <v>43282</v>
      </c>
      <c r="B41" s="281">
        <v>124.35917499999999</v>
      </c>
      <c r="C41" s="281"/>
      <c r="D41" s="275"/>
      <c r="E41" s="275" t="s">
        <v>479</v>
      </c>
      <c r="F41" s="275" t="s">
        <v>519</v>
      </c>
      <c r="G41" s="278">
        <v>34726.51</v>
      </c>
      <c r="H41" s="280">
        <f t="shared" si="0"/>
        <v>8.1004497572681206E-3</v>
      </c>
      <c r="I41" s="275"/>
      <c r="J41" s="275" t="s">
        <v>1717</v>
      </c>
      <c r="K41" s="275" t="s">
        <v>519</v>
      </c>
      <c r="L41" s="275">
        <v>173.07</v>
      </c>
      <c r="M41" s="280">
        <f t="shared" si="1"/>
        <v>5.7813493669419162E-4</v>
      </c>
    </row>
    <row r="42" spans="1:13">
      <c r="A42" s="279">
        <v>43313</v>
      </c>
      <c r="B42" s="281">
        <v>123.530866</v>
      </c>
      <c r="C42" s="281"/>
      <c r="D42" s="275"/>
      <c r="E42" s="275" t="s">
        <v>479</v>
      </c>
      <c r="F42" s="275" t="s">
        <v>520</v>
      </c>
      <c r="G42" s="278">
        <v>34456.339999999997</v>
      </c>
      <c r="H42" s="280">
        <f t="shared" si="0"/>
        <v>-7.7799352713533703E-3</v>
      </c>
      <c r="I42" s="275"/>
      <c r="J42" s="275" t="s">
        <v>1717</v>
      </c>
      <c r="K42" s="275" t="s">
        <v>520</v>
      </c>
      <c r="L42" s="275">
        <v>169.57</v>
      </c>
      <c r="M42" s="280">
        <f t="shared" si="1"/>
        <v>-2.0223031143467962E-2</v>
      </c>
    </row>
    <row r="43" spans="1:13">
      <c r="A43" s="279">
        <v>43344</v>
      </c>
      <c r="B43" s="281">
        <v>123.696245</v>
      </c>
      <c r="C43" s="281"/>
      <c r="D43" s="275"/>
      <c r="E43" s="275" t="s">
        <v>479</v>
      </c>
      <c r="F43" s="275" t="s">
        <v>521</v>
      </c>
      <c r="G43" s="278">
        <v>34309.760000000002</v>
      </c>
      <c r="H43" s="280">
        <f t="shared" si="0"/>
        <v>-4.2540792202536452E-3</v>
      </c>
      <c r="I43" s="275"/>
      <c r="J43" s="275" t="s">
        <v>1717</v>
      </c>
      <c r="K43" s="275" t="s">
        <v>521</v>
      </c>
      <c r="L43" s="275">
        <v>168.62</v>
      </c>
      <c r="M43" s="280">
        <f t="shared" si="1"/>
        <v>-5.6024060859821232E-3</v>
      </c>
    </row>
    <row r="44" spans="1:13">
      <c r="A44" s="279">
        <v>43374</v>
      </c>
      <c r="B44" s="281">
        <v>129.760706</v>
      </c>
      <c r="C44" s="281"/>
      <c r="D44" s="275"/>
      <c r="E44" s="275" t="s">
        <v>479</v>
      </c>
      <c r="F44" s="275" t="s">
        <v>522</v>
      </c>
      <c r="G44" s="278">
        <v>34397.33</v>
      </c>
      <c r="H44" s="280">
        <f t="shared" si="0"/>
        <v>2.5523349624130189E-3</v>
      </c>
      <c r="I44" s="275"/>
      <c r="J44" s="275" t="s">
        <v>1717</v>
      </c>
      <c r="K44" s="275" t="s">
        <v>522</v>
      </c>
      <c r="L44" s="275">
        <v>168.86</v>
      </c>
      <c r="M44" s="280">
        <f t="shared" si="1"/>
        <v>1.4233187047800325E-3</v>
      </c>
    </row>
    <row r="45" spans="1:13">
      <c r="A45" s="279">
        <v>43405</v>
      </c>
      <c r="B45" s="281">
        <v>133.81875299999999</v>
      </c>
      <c r="C45" s="281"/>
      <c r="D45" s="275"/>
      <c r="E45" s="275" t="s">
        <v>479</v>
      </c>
      <c r="F45" s="275" t="s">
        <v>523</v>
      </c>
      <c r="G45" s="278">
        <v>33891.08</v>
      </c>
      <c r="H45" s="280">
        <f t="shared" si="0"/>
        <v>-1.4717712101491597E-2</v>
      </c>
      <c r="I45" s="275"/>
      <c r="J45" s="275" t="s">
        <v>1717</v>
      </c>
      <c r="K45" s="275" t="s">
        <v>523</v>
      </c>
      <c r="L45" s="275">
        <v>166.36</v>
      </c>
      <c r="M45" s="280">
        <f t="shared" si="1"/>
        <v>-1.4805164041217575E-2</v>
      </c>
    </row>
    <row r="46" spans="1:13">
      <c r="A46" s="279">
        <v>43435</v>
      </c>
      <c r="B46" s="281">
        <v>139.06262100000001</v>
      </c>
      <c r="C46" s="281"/>
      <c r="D46" s="275"/>
      <c r="E46" s="275" t="s">
        <v>479</v>
      </c>
      <c r="F46" s="275" t="s">
        <v>524</v>
      </c>
      <c r="G46" s="278">
        <v>32944.480000000003</v>
      </c>
      <c r="H46" s="280">
        <f t="shared" si="0"/>
        <v>-2.7930653139410091E-2</v>
      </c>
      <c r="I46" s="275"/>
      <c r="J46" s="275" t="s">
        <v>1717</v>
      </c>
      <c r="K46" s="275" t="s">
        <v>524</v>
      </c>
      <c r="L46" s="275">
        <v>163.08000000000001</v>
      </c>
      <c r="M46" s="280">
        <f t="shared" si="1"/>
        <v>-1.9716277951430636E-2</v>
      </c>
    </row>
    <row r="47" spans="1:13">
      <c r="A47" s="279">
        <v>43466</v>
      </c>
      <c r="B47" s="281">
        <v>139.587727</v>
      </c>
      <c r="C47" s="281"/>
      <c r="D47" s="275"/>
      <c r="E47" s="275" t="s">
        <v>479</v>
      </c>
      <c r="F47" s="275" t="s">
        <v>525</v>
      </c>
      <c r="G47" s="278">
        <v>33474.17</v>
      </c>
      <c r="H47" s="280">
        <f t="shared" si="0"/>
        <v>1.6078262579952544E-2</v>
      </c>
      <c r="I47" s="275"/>
      <c r="J47" s="275" t="s">
        <v>1717</v>
      </c>
      <c r="K47" s="275" t="s">
        <v>525</v>
      </c>
      <c r="L47" s="275">
        <v>161.44999999999999</v>
      </c>
      <c r="M47" s="280">
        <f t="shared" si="1"/>
        <v>-9.995094432180671E-3</v>
      </c>
    </row>
    <row r="48" spans="1:13">
      <c r="A48" s="279">
        <v>43497</v>
      </c>
      <c r="B48" s="281">
        <v>139.233519</v>
      </c>
      <c r="C48" s="281"/>
      <c r="D48" s="275"/>
      <c r="E48" s="275" t="s">
        <v>479</v>
      </c>
      <c r="F48" s="275" t="s">
        <v>526</v>
      </c>
      <c r="G48" s="278">
        <v>33830.36</v>
      </c>
      <c r="H48" s="280">
        <f t="shared" si="0"/>
        <v>1.0640741801813229E-2</v>
      </c>
      <c r="I48" s="275"/>
      <c r="J48" s="275" t="s">
        <v>1717</v>
      </c>
      <c r="K48" s="275" t="s">
        <v>526</v>
      </c>
      <c r="L48" s="275">
        <v>161.1</v>
      </c>
      <c r="M48" s="280">
        <f t="shared" si="1"/>
        <v>-2.1678538247134984E-3</v>
      </c>
    </row>
    <row r="49" spans="1:13">
      <c r="A49" s="279">
        <v>43525</v>
      </c>
      <c r="B49" s="281">
        <v>139.93369899999999</v>
      </c>
      <c r="C49" s="281"/>
      <c r="D49" s="275"/>
      <c r="E49" s="275" t="s">
        <v>479</v>
      </c>
      <c r="F49" s="275" t="s">
        <v>527</v>
      </c>
      <c r="G49" s="278">
        <v>33792.370000000003</v>
      </c>
      <c r="H49" s="280">
        <f t="shared" si="0"/>
        <v>-1.1229558302068899E-3</v>
      </c>
      <c r="I49" s="275"/>
      <c r="J49" s="275" t="s">
        <v>1717</v>
      </c>
      <c r="K49" s="275" t="s">
        <v>527</v>
      </c>
      <c r="L49" s="275">
        <v>163.08000000000001</v>
      </c>
      <c r="M49" s="280">
        <f t="shared" si="1"/>
        <v>1.2290502793296203E-2</v>
      </c>
    </row>
    <row r="50" spans="1:13">
      <c r="A50" s="279">
        <v>43556</v>
      </c>
      <c r="B50" s="281">
        <v>141.432615</v>
      </c>
      <c r="C50" s="281"/>
      <c r="D50" s="275"/>
      <c r="E50" s="275" t="s">
        <v>479</v>
      </c>
      <c r="F50" s="275" t="s">
        <v>528</v>
      </c>
      <c r="G50" s="278">
        <v>33672.720000000001</v>
      </c>
      <c r="H50" s="280">
        <f t="shared" si="0"/>
        <v>-3.5407401138186356E-3</v>
      </c>
      <c r="I50" s="275"/>
      <c r="J50" s="275" t="s">
        <v>1717</v>
      </c>
      <c r="K50" s="275" t="s">
        <v>528</v>
      </c>
      <c r="L50" s="275">
        <v>161.84</v>
      </c>
      <c r="M50" s="280">
        <f t="shared" si="1"/>
        <v>-7.6036301201864668E-3</v>
      </c>
    </row>
    <row r="51" spans="1:13">
      <c r="A51" s="279">
        <v>43586</v>
      </c>
      <c r="B51" s="281">
        <v>145.475482</v>
      </c>
      <c r="C51" s="281"/>
      <c r="D51" s="275"/>
      <c r="E51" s="275" t="s">
        <v>479</v>
      </c>
      <c r="F51" s="275" t="s">
        <v>529</v>
      </c>
      <c r="G51" s="278">
        <v>33384.730000000003</v>
      </c>
      <c r="H51" s="280">
        <f t="shared" si="0"/>
        <v>-8.5526206377149801E-3</v>
      </c>
      <c r="I51" s="275"/>
      <c r="J51" s="275" t="s">
        <v>1717</v>
      </c>
      <c r="K51" s="275" t="s">
        <v>529</v>
      </c>
      <c r="L51" s="275">
        <v>157.18</v>
      </c>
      <c r="M51" s="280">
        <f t="shared" si="1"/>
        <v>-2.8793870489372198E-2</v>
      </c>
    </row>
    <row r="52" spans="1:13">
      <c r="A52" s="279">
        <v>43617</v>
      </c>
      <c r="B52" s="281">
        <v>153.72687400000001</v>
      </c>
      <c r="C52" s="281">
        <f>AVERAGE(B41:B52)</f>
        <v>136.13485683333332</v>
      </c>
      <c r="D52" s="275"/>
      <c r="E52" s="275" t="s">
        <v>479</v>
      </c>
      <c r="F52" s="275" t="s">
        <v>530</v>
      </c>
      <c r="G52" s="278">
        <v>33191.46</v>
      </c>
      <c r="H52" s="280">
        <f t="shared" si="0"/>
        <v>-5.7891736731135483E-3</v>
      </c>
      <c r="I52" s="275"/>
      <c r="J52" s="275" t="s">
        <v>1717</v>
      </c>
      <c r="K52" s="275" t="s">
        <v>530</v>
      </c>
      <c r="L52" s="275">
        <v>155.66</v>
      </c>
      <c r="M52" s="280">
        <f t="shared" si="1"/>
        <v>-9.6704415320015922E-3</v>
      </c>
    </row>
    <row r="53" spans="1:13">
      <c r="A53" s="275"/>
      <c r="B53" s="281"/>
      <c r="C53" s="281"/>
      <c r="D53" s="275"/>
      <c r="E53" s="275" t="s">
        <v>479</v>
      </c>
      <c r="F53" s="275" t="s">
        <v>531</v>
      </c>
      <c r="G53" s="278">
        <v>33345.56</v>
      </c>
      <c r="H53" s="280">
        <f t="shared" si="0"/>
        <v>4.6427605173137475E-3</v>
      </c>
      <c r="I53" s="275"/>
      <c r="J53" s="275" t="s">
        <v>1717</v>
      </c>
      <c r="K53" s="275" t="s">
        <v>531</v>
      </c>
      <c r="L53" s="275">
        <v>157.65</v>
      </c>
      <c r="M53" s="280">
        <f t="shared" si="1"/>
        <v>1.2784273416420463E-2</v>
      </c>
    </row>
    <row r="54" spans="1:13">
      <c r="A54" s="279">
        <v>43647</v>
      </c>
      <c r="B54" s="281">
        <v>159.30013299999999</v>
      </c>
      <c r="C54" s="281"/>
      <c r="D54" s="275"/>
      <c r="E54" s="275" t="s">
        <v>479</v>
      </c>
      <c r="F54" s="275" t="s">
        <v>532</v>
      </c>
      <c r="G54" s="278">
        <v>33152.06</v>
      </c>
      <c r="H54" s="280">
        <f t="shared" si="0"/>
        <v>-5.8028715067313316E-3</v>
      </c>
      <c r="I54" s="275"/>
      <c r="J54" s="275" t="s">
        <v>1717</v>
      </c>
      <c r="K54" s="275" t="s">
        <v>532</v>
      </c>
      <c r="L54" s="275">
        <v>154.25</v>
      </c>
      <c r="M54" s="280">
        <f t="shared" si="1"/>
        <v>-2.1566761814145293E-2</v>
      </c>
    </row>
    <row r="55" spans="1:13">
      <c r="A55" s="279">
        <v>43678</v>
      </c>
      <c r="B55" s="281">
        <v>159.19549799999999</v>
      </c>
      <c r="C55" s="281"/>
      <c r="D55" s="275"/>
      <c r="E55" s="275" t="s">
        <v>479</v>
      </c>
      <c r="F55" s="275" t="s">
        <v>533</v>
      </c>
      <c r="G55" s="278">
        <v>32760.95</v>
      </c>
      <c r="H55" s="280">
        <f t="shared" si="0"/>
        <v>-1.1797456930278147E-2</v>
      </c>
      <c r="I55" s="275"/>
      <c r="J55" s="275" t="s">
        <v>1717</v>
      </c>
      <c r="K55" s="275" t="s">
        <v>533</v>
      </c>
      <c r="L55" s="275">
        <v>152.62</v>
      </c>
      <c r="M55" s="280">
        <f t="shared" si="1"/>
        <v>-1.0567260940032385E-2</v>
      </c>
    </row>
    <row r="56" spans="1:13">
      <c r="A56" s="279">
        <v>43709</v>
      </c>
      <c r="B56" s="281">
        <v>156.48054300000001</v>
      </c>
      <c r="C56" s="281"/>
      <c r="D56" s="275"/>
      <c r="E56" s="275" t="s">
        <v>479</v>
      </c>
      <c r="F56" s="275" t="s">
        <v>534</v>
      </c>
      <c r="G56" s="278">
        <v>32826.239999999998</v>
      </c>
      <c r="H56" s="280">
        <f t="shared" si="0"/>
        <v>1.992921450690448E-3</v>
      </c>
      <c r="I56" s="275"/>
      <c r="J56" s="275" t="s">
        <v>1717</v>
      </c>
      <c r="K56" s="275" t="s">
        <v>534</v>
      </c>
      <c r="L56" s="275">
        <v>152.41</v>
      </c>
      <c r="M56" s="280">
        <f t="shared" si="1"/>
        <v>-1.3759664526274927E-3</v>
      </c>
    </row>
    <row r="57" spans="1:13">
      <c r="A57" s="279">
        <v>43739</v>
      </c>
      <c r="B57" s="281">
        <v>156.266108</v>
      </c>
      <c r="C57" s="281"/>
      <c r="D57" s="275"/>
      <c r="E57" s="275" t="s">
        <v>479</v>
      </c>
      <c r="F57" s="275" t="s">
        <v>535</v>
      </c>
      <c r="G57" s="278">
        <v>32882.019999999997</v>
      </c>
      <c r="H57" s="280">
        <f t="shared" si="0"/>
        <v>1.6992503558128753E-3</v>
      </c>
      <c r="I57" s="275"/>
      <c r="J57" s="275" t="s">
        <v>1717</v>
      </c>
      <c r="K57" s="275" t="s">
        <v>535</v>
      </c>
      <c r="L57" s="275">
        <v>153.08000000000001</v>
      </c>
      <c r="M57" s="280">
        <f t="shared" si="1"/>
        <v>4.3960370054459416E-3</v>
      </c>
    </row>
    <row r="58" spans="1:13">
      <c r="A58" s="279">
        <v>43770</v>
      </c>
      <c r="B58" s="281">
        <v>155.625945</v>
      </c>
      <c r="C58" s="281"/>
      <c r="D58" s="275"/>
      <c r="E58" s="275" t="s">
        <v>479</v>
      </c>
      <c r="F58" s="275" t="s">
        <v>536</v>
      </c>
      <c r="G58" s="278">
        <v>32822.839999999997</v>
      </c>
      <c r="H58" s="280">
        <f t="shared" si="0"/>
        <v>-1.7997677758240004E-3</v>
      </c>
      <c r="I58" s="275"/>
      <c r="J58" s="275" t="s">
        <v>1717</v>
      </c>
      <c r="K58" s="275" t="s">
        <v>536</v>
      </c>
      <c r="L58" s="275">
        <v>152.94999999999999</v>
      </c>
      <c r="M58" s="280">
        <f t="shared" si="1"/>
        <v>-8.4922916122304583E-4</v>
      </c>
    </row>
    <row r="59" spans="1:13">
      <c r="A59" s="279">
        <v>43800</v>
      </c>
      <c r="B59" s="281">
        <v>154.84592900000001</v>
      </c>
      <c r="C59" s="281"/>
      <c r="D59" s="275"/>
      <c r="E59" s="275" t="s">
        <v>479</v>
      </c>
      <c r="F59" s="275" t="s">
        <v>537</v>
      </c>
      <c r="G59" s="278">
        <v>32690.02</v>
      </c>
      <c r="H59" s="280">
        <f t="shared" si="0"/>
        <v>-4.0465724477222595E-3</v>
      </c>
      <c r="I59" s="275"/>
      <c r="J59" s="275" t="s">
        <v>1717</v>
      </c>
      <c r="K59" s="275" t="s">
        <v>537</v>
      </c>
      <c r="L59" s="275">
        <v>151.68</v>
      </c>
      <c r="M59" s="280">
        <f t="shared" si="1"/>
        <v>-8.3033671134356453E-3</v>
      </c>
    </row>
    <row r="60" spans="1:13">
      <c r="A60" s="279">
        <v>43831</v>
      </c>
      <c r="B60" s="281">
        <v>154.73313899999999</v>
      </c>
      <c r="C60" s="281"/>
      <c r="D60" s="275"/>
      <c r="E60" s="275" t="s">
        <v>479</v>
      </c>
      <c r="F60" s="275" t="s">
        <v>538</v>
      </c>
      <c r="G60" s="278">
        <v>32214.58</v>
      </c>
      <c r="H60" s="280">
        <f t="shared" si="0"/>
        <v>-1.4543888318208392E-2</v>
      </c>
      <c r="I60" s="275"/>
      <c r="J60" s="275" t="s">
        <v>1717</v>
      </c>
      <c r="K60" s="275" t="s">
        <v>538</v>
      </c>
      <c r="L60" s="275">
        <v>149.88</v>
      </c>
      <c r="M60" s="280">
        <f t="shared" si="1"/>
        <v>-1.186708860759501E-2</v>
      </c>
    </row>
    <row r="61" spans="1:13">
      <c r="A61" s="279">
        <v>43862</v>
      </c>
      <c r="B61" s="281">
        <v>154.37761399999999</v>
      </c>
      <c r="C61" s="281"/>
      <c r="D61" s="275"/>
      <c r="E61" s="275" t="s">
        <v>479</v>
      </c>
      <c r="F61" s="275" t="s">
        <v>539</v>
      </c>
      <c r="G61" s="278">
        <v>32287.41</v>
      </c>
      <c r="H61" s="280">
        <f t="shared" si="0"/>
        <v>2.2607775733844149E-3</v>
      </c>
      <c r="I61" s="275"/>
      <c r="J61" s="275" t="s">
        <v>1717</v>
      </c>
      <c r="K61" s="275" t="s">
        <v>539</v>
      </c>
      <c r="L61" s="275">
        <v>146.88999999999999</v>
      </c>
      <c r="M61" s="280">
        <f t="shared" si="1"/>
        <v>-1.9949292767547432E-2</v>
      </c>
    </row>
    <row r="62" spans="1:13">
      <c r="A62" s="279">
        <v>43891</v>
      </c>
      <c r="B62" s="281">
        <v>158.52420799999999</v>
      </c>
      <c r="C62" s="281"/>
      <c r="D62" s="275"/>
      <c r="E62" s="275" t="s">
        <v>479</v>
      </c>
      <c r="F62" s="275" t="s">
        <v>540</v>
      </c>
      <c r="G62" s="278">
        <v>32750.31</v>
      </c>
      <c r="H62" s="280">
        <f t="shared" si="0"/>
        <v>1.4336857617257051E-2</v>
      </c>
      <c r="I62" s="275"/>
      <c r="J62" s="275" t="s">
        <v>1717</v>
      </c>
      <c r="K62" s="275" t="s">
        <v>540</v>
      </c>
      <c r="L62" s="275">
        <v>146.65</v>
      </c>
      <c r="M62" s="280">
        <f t="shared" si="1"/>
        <v>-1.633875689291175E-3</v>
      </c>
    </row>
    <row r="63" spans="1:13">
      <c r="A63" s="279">
        <v>43922</v>
      </c>
      <c r="B63" s="281">
        <v>164.87454700000001</v>
      </c>
      <c r="C63" s="281"/>
      <c r="D63" s="275"/>
      <c r="E63" s="275" t="s">
        <v>479</v>
      </c>
      <c r="F63" s="275" t="s">
        <v>541</v>
      </c>
      <c r="G63" s="278">
        <v>32969.730000000003</v>
      </c>
      <c r="H63" s="280">
        <f t="shared" si="0"/>
        <v>6.6997839104424323E-3</v>
      </c>
      <c r="I63" s="275"/>
      <c r="J63" s="275" t="s">
        <v>1717</v>
      </c>
      <c r="K63" s="275" t="s">
        <v>541</v>
      </c>
      <c r="L63" s="275">
        <v>147.88999999999999</v>
      </c>
      <c r="M63" s="280">
        <f t="shared" si="1"/>
        <v>8.4555063075348151E-3</v>
      </c>
    </row>
    <row r="64" spans="1:13">
      <c r="A64" s="279">
        <v>43952</v>
      </c>
      <c r="B64" s="281">
        <v>160.502634</v>
      </c>
      <c r="C64" s="281"/>
      <c r="D64" s="275"/>
      <c r="E64" s="275" t="s">
        <v>479</v>
      </c>
      <c r="F64" s="275" t="s">
        <v>542</v>
      </c>
      <c r="G64" s="278">
        <v>32784.94</v>
      </c>
      <c r="H64" s="280">
        <f t="shared" si="0"/>
        <v>-5.6048381348588801E-3</v>
      </c>
      <c r="I64" s="275"/>
      <c r="J64" s="275" t="s">
        <v>1717</v>
      </c>
      <c r="K64" s="275" t="s">
        <v>542</v>
      </c>
      <c r="L64" s="275">
        <v>154.66</v>
      </c>
      <c r="M64" s="280">
        <f t="shared" si="1"/>
        <v>4.5777266887551633E-2</v>
      </c>
    </row>
    <row r="65" spans="1:13">
      <c r="A65" s="279">
        <v>43983</v>
      </c>
      <c r="B65" s="281">
        <v>165.407488</v>
      </c>
      <c r="C65" s="281">
        <f>AVERAGE(B54:B65)</f>
        <v>158.34448216666667</v>
      </c>
      <c r="D65" s="275"/>
      <c r="E65" s="275" t="s">
        <v>479</v>
      </c>
      <c r="F65" s="275" t="s">
        <v>543</v>
      </c>
      <c r="G65" s="278">
        <v>33202.870000000003</v>
      </c>
      <c r="H65" s="280">
        <f t="shared" si="0"/>
        <v>1.2747621316372708E-2</v>
      </c>
      <c r="I65" s="275"/>
      <c r="J65" s="275" t="s">
        <v>1717</v>
      </c>
      <c r="K65" s="275" t="s">
        <v>543</v>
      </c>
      <c r="L65" s="275">
        <v>155.32</v>
      </c>
      <c r="M65" s="280">
        <f t="shared" si="1"/>
        <v>4.2674253200568769E-3</v>
      </c>
    </row>
    <row r="66" spans="1:13">
      <c r="A66" s="275"/>
      <c r="B66" s="275"/>
      <c r="C66" s="275"/>
      <c r="D66" s="275"/>
      <c r="E66" s="275" t="s">
        <v>479</v>
      </c>
      <c r="F66" s="275" t="s">
        <v>544</v>
      </c>
      <c r="G66" s="278">
        <v>33376.199999999997</v>
      </c>
      <c r="H66" s="280">
        <f t="shared" si="0"/>
        <v>5.2203318568543764E-3</v>
      </c>
      <c r="I66" s="275"/>
      <c r="J66" s="275" t="s">
        <v>1717</v>
      </c>
      <c r="K66" s="275" t="s">
        <v>544</v>
      </c>
      <c r="L66" s="275">
        <v>153.78</v>
      </c>
      <c r="M66" s="280">
        <f t="shared" si="1"/>
        <v>-9.9150141643058985E-3</v>
      </c>
    </row>
    <row r="67" spans="1:13">
      <c r="A67" s="279">
        <v>44013</v>
      </c>
      <c r="B67" s="281">
        <v>167.187757</v>
      </c>
      <c r="C67" s="275"/>
      <c r="D67" s="275"/>
      <c r="E67" s="275" t="s">
        <v>479</v>
      </c>
      <c r="F67" s="275" t="s">
        <v>545</v>
      </c>
      <c r="G67" s="278">
        <v>33469.15</v>
      </c>
      <c r="H67" s="280">
        <f t="shared" si="0"/>
        <v>2.7849185946873631E-3</v>
      </c>
      <c r="I67" s="275"/>
      <c r="J67" s="275" t="s">
        <v>1717</v>
      </c>
      <c r="K67" s="275" t="s">
        <v>545</v>
      </c>
      <c r="L67" s="275">
        <v>161.12</v>
      </c>
      <c r="M67" s="280">
        <f t="shared" si="1"/>
        <v>4.773052412537393E-2</v>
      </c>
    </row>
    <row r="68" spans="1:13">
      <c r="A68" s="279">
        <v>44044</v>
      </c>
      <c r="B68" s="281">
        <v>168.02704600000001</v>
      </c>
      <c r="C68" s="275"/>
      <c r="D68" s="275"/>
      <c r="E68" s="275" t="s">
        <v>479</v>
      </c>
      <c r="F68" s="275" t="s">
        <v>546</v>
      </c>
      <c r="G68" s="278">
        <v>33843.18</v>
      </c>
      <c r="H68" s="280">
        <f t="shared" ref="H68:H131" si="2">(G68-G67)/G67</f>
        <v>1.11753659713497E-2</v>
      </c>
      <c r="I68" s="275"/>
      <c r="J68" s="275" t="s">
        <v>1717</v>
      </c>
      <c r="K68" s="275" t="s">
        <v>546</v>
      </c>
      <c r="L68" s="275">
        <v>162.44999999999999</v>
      </c>
      <c r="M68" s="280">
        <f t="shared" ref="M68:M131" si="3">(L68-L67)/L67</f>
        <v>8.2547169811319765E-3</v>
      </c>
    </row>
    <row r="69" spans="1:13">
      <c r="A69" s="279">
        <v>44075</v>
      </c>
      <c r="B69" s="281">
        <v>166.00865300000001</v>
      </c>
      <c r="C69" s="275"/>
      <c r="D69" s="275"/>
      <c r="E69" s="275" t="s">
        <v>479</v>
      </c>
      <c r="F69" s="275" t="s">
        <v>547</v>
      </c>
      <c r="G69" s="278">
        <v>34183.85</v>
      </c>
      <c r="H69" s="280">
        <f t="shared" si="2"/>
        <v>1.0066134447176602E-2</v>
      </c>
      <c r="I69" s="275"/>
      <c r="J69" s="275" t="s">
        <v>1717</v>
      </c>
      <c r="K69" s="275" t="s">
        <v>547</v>
      </c>
      <c r="L69" s="275">
        <v>160.44999999999999</v>
      </c>
      <c r="M69" s="280">
        <f t="shared" si="3"/>
        <v>-1.2311480455524777E-2</v>
      </c>
    </row>
    <row r="70" spans="1:13">
      <c r="A70" s="279">
        <v>44105</v>
      </c>
      <c r="B70" s="281">
        <v>162.99843799999999</v>
      </c>
      <c r="C70" s="275"/>
      <c r="D70" s="275"/>
      <c r="E70" s="275" t="s">
        <v>479</v>
      </c>
      <c r="F70" s="275" t="s">
        <v>548</v>
      </c>
      <c r="G70" s="278">
        <v>34031.78</v>
      </c>
      <c r="H70" s="280">
        <f t="shared" si="2"/>
        <v>-4.4485919520475233E-3</v>
      </c>
      <c r="I70" s="275"/>
      <c r="J70" s="275" t="s">
        <v>1717</v>
      </c>
      <c r="K70" s="275" t="s">
        <v>548</v>
      </c>
      <c r="L70" s="275">
        <v>161.54</v>
      </c>
      <c r="M70" s="280">
        <f t="shared" si="3"/>
        <v>6.7933935805547119E-3</v>
      </c>
    </row>
    <row r="71" spans="1:13">
      <c r="A71" s="279">
        <v>44136</v>
      </c>
      <c r="B71" s="281">
        <v>159.45241899999999</v>
      </c>
      <c r="C71" s="275"/>
      <c r="D71" s="275"/>
      <c r="E71" s="275" t="s">
        <v>479</v>
      </c>
      <c r="F71" s="275" t="s">
        <v>549</v>
      </c>
      <c r="G71" s="278">
        <v>33974.85</v>
      </c>
      <c r="H71" s="280">
        <f t="shared" si="2"/>
        <v>-1.672848143705686E-3</v>
      </c>
      <c r="I71" s="275"/>
      <c r="J71" s="275" t="s">
        <v>1717</v>
      </c>
      <c r="K71" s="275" t="s">
        <v>549</v>
      </c>
      <c r="L71" s="275">
        <v>161.05000000000001</v>
      </c>
      <c r="M71" s="280">
        <f t="shared" si="3"/>
        <v>-3.0333044447194545E-3</v>
      </c>
    </row>
    <row r="72" spans="1:13">
      <c r="A72" s="279">
        <v>44166</v>
      </c>
      <c r="B72" s="281">
        <v>160.289863</v>
      </c>
      <c r="C72" s="275"/>
      <c r="D72" s="275"/>
      <c r="E72" s="275" t="s">
        <v>479</v>
      </c>
      <c r="F72" s="275" t="s">
        <v>550</v>
      </c>
      <c r="G72" s="278">
        <v>33921.96</v>
      </c>
      <c r="H72" s="280">
        <f t="shared" si="2"/>
        <v>-1.5567397648554569E-3</v>
      </c>
      <c r="I72" s="275"/>
      <c r="J72" s="275" t="s">
        <v>1717</v>
      </c>
      <c r="K72" s="275" t="s">
        <v>550</v>
      </c>
      <c r="L72" s="275">
        <v>161.31</v>
      </c>
      <c r="M72" s="280">
        <f t="shared" si="3"/>
        <v>1.6144054641415142E-3</v>
      </c>
    </row>
    <row r="73" spans="1:13">
      <c r="A73" s="279">
        <v>44197</v>
      </c>
      <c r="B73" s="281">
        <v>160.46761900000001</v>
      </c>
      <c r="C73" s="275"/>
      <c r="D73" s="275"/>
      <c r="E73" s="275" t="s">
        <v>479</v>
      </c>
      <c r="F73" s="275" t="s">
        <v>551</v>
      </c>
      <c r="G73" s="278">
        <v>33954.980000000003</v>
      </c>
      <c r="H73" s="280">
        <f t="shared" si="2"/>
        <v>9.7341073452135657E-4</v>
      </c>
      <c r="I73" s="275"/>
      <c r="J73" s="275" t="s">
        <v>1717</v>
      </c>
      <c r="K73" s="275" t="s">
        <v>551</v>
      </c>
      <c r="L73" s="275">
        <v>159.18</v>
      </c>
      <c r="M73" s="280">
        <f t="shared" si="3"/>
        <v>-1.3204389064534099E-2</v>
      </c>
    </row>
    <row r="74" spans="1:13">
      <c r="A74" s="279">
        <v>44228</v>
      </c>
      <c r="B74" s="281">
        <v>159.494732</v>
      </c>
      <c r="C74" s="275"/>
      <c r="D74" s="275"/>
      <c r="E74" s="275" t="s">
        <v>479</v>
      </c>
      <c r="F74" s="275" t="s">
        <v>552</v>
      </c>
      <c r="G74" s="278">
        <v>33966.75</v>
      </c>
      <c r="H74" s="280">
        <f t="shared" si="2"/>
        <v>3.4663545671347171E-4</v>
      </c>
      <c r="I74" s="275"/>
      <c r="J74" s="275" t="s">
        <v>1717</v>
      </c>
      <c r="K74" s="275" t="s">
        <v>552</v>
      </c>
      <c r="L74" s="275">
        <v>164.11</v>
      </c>
      <c r="M74" s="280">
        <f t="shared" si="3"/>
        <v>3.0971227541148429E-2</v>
      </c>
    </row>
    <row r="75" spans="1:13">
      <c r="A75" s="279">
        <v>44256</v>
      </c>
      <c r="B75" s="281">
        <v>156.39103800000001</v>
      </c>
      <c r="C75" s="275"/>
      <c r="D75" s="275"/>
      <c r="E75" s="275" t="s">
        <v>479</v>
      </c>
      <c r="F75" s="275" t="s">
        <v>553</v>
      </c>
      <c r="G75" s="278">
        <v>33910.17</v>
      </c>
      <c r="H75" s="280">
        <f t="shared" si="2"/>
        <v>-1.6657466492967902E-3</v>
      </c>
      <c r="I75" s="275"/>
      <c r="J75" s="275" t="s">
        <v>1717</v>
      </c>
      <c r="K75" s="275" t="s">
        <v>553</v>
      </c>
      <c r="L75" s="275">
        <v>162.32</v>
      </c>
      <c r="M75" s="280">
        <f t="shared" si="3"/>
        <v>-1.090731826214137E-2</v>
      </c>
    </row>
    <row r="76" spans="1:13">
      <c r="A76" s="279">
        <v>44287</v>
      </c>
      <c r="B76" s="281">
        <v>153.163521</v>
      </c>
      <c r="C76" s="275"/>
      <c r="D76" s="275"/>
      <c r="E76" s="275" t="s">
        <v>479</v>
      </c>
      <c r="F76" s="275" t="s">
        <v>554</v>
      </c>
      <c r="G76" s="278">
        <v>33943.74</v>
      </c>
      <c r="H76" s="280">
        <f t="shared" si="2"/>
        <v>9.8996849617680204E-4</v>
      </c>
      <c r="I76" s="275"/>
      <c r="J76" s="275" t="s">
        <v>1717</v>
      </c>
      <c r="K76" s="275" t="s">
        <v>554</v>
      </c>
      <c r="L76" s="275">
        <v>161.93</v>
      </c>
      <c r="M76" s="280">
        <f t="shared" si="3"/>
        <v>-2.4026614095612763E-3</v>
      </c>
    </row>
    <row r="77" spans="1:13">
      <c r="A77" s="279">
        <v>44317</v>
      </c>
      <c r="B77" s="281">
        <v>153.18211299999999</v>
      </c>
      <c r="C77" s="275"/>
      <c r="D77" s="275"/>
      <c r="E77" s="275" t="s">
        <v>479</v>
      </c>
      <c r="F77" s="275" t="s">
        <v>555</v>
      </c>
      <c r="G77" s="278">
        <v>33945.32</v>
      </c>
      <c r="H77" s="280">
        <f t="shared" si="2"/>
        <v>4.6547610840813247E-5</v>
      </c>
      <c r="I77" s="275"/>
      <c r="J77" s="275" t="s">
        <v>1717</v>
      </c>
      <c r="K77" s="275" t="s">
        <v>555</v>
      </c>
      <c r="L77" s="275">
        <v>169.55</v>
      </c>
      <c r="M77" s="280">
        <f t="shared" si="3"/>
        <v>4.7057370468721077E-2</v>
      </c>
    </row>
    <row r="78" spans="1:13">
      <c r="A78" s="279">
        <v>44348</v>
      </c>
      <c r="B78" s="281">
        <v>154.1</v>
      </c>
      <c r="C78" s="282">
        <f>AVERAGE(B67:B78)</f>
        <v>160.06359991666667</v>
      </c>
      <c r="D78" s="275"/>
      <c r="E78" s="275" t="s">
        <v>479</v>
      </c>
      <c r="F78" s="275" t="s">
        <v>556</v>
      </c>
      <c r="G78" s="278">
        <v>33860.639999999999</v>
      </c>
      <c r="H78" s="280">
        <f t="shared" si="2"/>
        <v>-2.4946001392828318E-3</v>
      </c>
      <c r="I78" s="275"/>
      <c r="J78" s="275" t="s">
        <v>1717</v>
      </c>
      <c r="K78" s="275" t="s">
        <v>556</v>
      </c>
      <c r="L78" s="275">
        <v>165.98</v>
      </c>
      <c r="M78" s="280">
        <f t="shared" si="3"/>
        <v>-2.1055735771159077E-2</v>
      </c>
    </row>
    <row r="79" spans="1:13">
      <c r="A79" s="275"/>
      <c r="B79" s="275"/>
      <c r="C79" s="275"/>
      <c r="D79" s="275"/>
      <c r="E79" s="275" t="s">
        <v>479</v>
      </c>
      <c r="F79" s="275" t="s">
        <v>557</v>
      </c>
      <c r="G79" s="278">
        <v>33843.83</v>
      </c>
      <c r="H79" s="280">
        <f t="shared" si="2"/>
        <v>-4.964466117591892E-4</v>
      </c>
      <c r="I79" s="275"/>
      <c r="J79" s="275" t="s">
        <v>1717</v>
      </c>
      <c r="K79" s="275" t="s">
        <v>557</v>
      </c>
      <c r="L79" s="275">
        <v>171.54</v>
      </c>
      <c r="M79" s="280">
        <f t="shared" si="3"/>
        <v>3.3498011808651661E-2</v>
      </c>
    </row>
    <row r="80" spans="1:13">
      <c r="A80" s="279">
        <v>44378</v>
      </c>
      <c r="B80" s="275">
        <v>154.69999999999999</v>
      </c>
      <c r="C80" s="275"/>
      <c r="D80" s="275" t="s">
        <v>558</v>
      </c>
      <c r="E80" s="275" t="s">
        <v>479</v>
      </c>
      <c r="F80" s="275" t="s">
        <v>559</v>
      </c>
      <c r="G80" s="278">
        <v>34061.42</v>
      </c>
      <c r="H80" s="280">
        <f t="shared" si="2"/>
        <v>6.4292368801047786E-3</v>
      </c>
      <c r="I80" s="275"/>
      <c r="J80" s="275" t="s">
        <v>1717</v>
      </c>
      <c r="K80" s="275" t="s">
        <v>559</v>
      </c>
      <c r="L80" s="275">
        <v>171.56</v>
      </c>
      <c r="M80" s="280">
        <f t="shared" si="3"/>
        <v>1.1659088259304088E-4</v>
      </c>
    </row>
    <row r="81" spans="1:13">
      <c r="A81" s="279">
        <v>44409</v>
      </c>
      <c r="B81" s="275">
        <v>153.30000000000001</v>
      </c>
      <c r="C81" s="283"/>
      <c r="D81" s="283"/>
      <c r="E81" s="275" t="s">
        <v>479</v>
      </c>
      <c r="F81" s="275" t="s">
        <v>560</v>
      </c>
      <c r="G81" s="278">
        <v>34332.43</v>
      </c>
      <c r="H81" s="280">
        <f t="shared" si="2"/>
        <v>7.9565091531710076E-3</v>
      </c>
      <c r="I81" s="275"/>
      <c r="J81" s="275" t="s">
        <v>1717</v>
      </c>
      <c r="K81" s="275" t="s">
        <v>560</v>
      </c>
      <c r="L81" s="275">
        <v>170.41</v>
      </c>
      <c r="M81" s="280">
        <f t="shared" si="3"/>
        <v>-6.7031942177664125E-3</v>
      </c>
    </row>
    <row r="82" spans="1:13">
      <c r="A82" s="279">
        <v>44440</v>
      </c>
      <c r="B82" s="275">
        <v>150</v>
      </c>
      <c r="C82" s="275"/>
      <c r="D82" s="275"/>
      <c r="E82" s="275" t="s">
        <v>479</v>
      </c>
      <c r="F82" s="275" t="s">
        <v>561</v>
      </c>
      <c r="G82" s="278">
        <v>34261.599999999999</v>
      </c>
      <c r="H82" s="280">
        <f t="shared" si="2"/>
        <v>-2.0630639893535569E-3</v>
      </c>
      <c r="I82" s="275"/>
      <c r="J82" s="275" t="s">
        <v>1717</v>
      </c>
      <c r="K82" s="275" t="s">
        <v>561</v>
      </c>
      <c r="L82" s="275">
        <v>166.38</v>
      </c>
      <c r="M82" s="280">
        <f t="shared" si="3"/>
        <v>-2.3648846898656189E-2</v>
      </c>
    </row>
    <row r="83" spans="1:13">
      <c r="A83" s="279">
        <v>44470</v>
      </c>
      <c r="B83" s="275">
        <v>148.4</v>
      </c>
      <c r="C83" s="275"/>
      <c r="D83" s="275"/>
      <c r="E83" s="275" t="s">
        <v>479</v>
      </c>
      <c r="F83" s="275" t="s">
        <v>562</v>
      </c>
      <c r="G83" s="278">
        <v>34226.120000000003</v>
      </c>
      <c r="H83" s="280">
        <f t="shared" si="2"/>
        <v>-1.0355616783803421E-3</v>
      </c>
      <c r="I83" s="275"/>
      <c r="J83" s="275" t="s">
        <v>1717</v>
      </c>
      <c r="K83" s="275" t="s">
        <v>562</v>
      </c>
      <c r="L83" s="275">
        <v>165.85</v>
      </c>
      <c r="M83" s="280">
        <f t="shared" si="3"/>
        <v>-3.1854790239211513E-3</v>
      </c>
    </row>
    <row r="84" spans="1:13">
      <c r="A84" s="279">
        <v>44501</v>
      </c>
      <c r="B84" s="275">
        <v>148.30000000000001</v>
      </c>
      <c r="C84" s="275"/>
      <c r="D84" s="275"/>
      <c r="E84" s="275" t="s">
        <v>479</v>
      </c>
      <c r="F84" s="275" t="s">
        <v>563</v>
      </c>
      <c r="G84" s="278">
        <v>34275.75</v>
      </c>
      <c r="H84" s="280">
        <f t="shared" si="2"/>
        <v>1.4500621163017419E-3</v>
      </c>
      <c r="I84" s="275"/>
      <c r="J84" s="275" t="s">
        <v>1717</v>
      </c>
      <c r="K84" s="275" t="s">
        <v>563</v>
      </c>
      <c r="L84" s="275">
        <v>166.92</v>
      </c>
      <c r="M84" s="280">
        <f t="shared" si="3"/>
        <v>6.4516129032257657E-3</v>
      </c>
    </row>
    <row r="85" spans="1:13">
      <c r="A85" s="279">
        <v>44531</v>
      </c>
      <c r="B85" s="275">
        <v>149.1</v>
      </c>
      <c r="C85" s="275"/>
      <c r="D85" s="275"/>
      <c r="E85" s="275" t="s">
        <v>479</v>
      </c>
      <c r="F85" s="275" t="s">
        <v>564</v>
      </c>
      <c r="G85" s="278">
        <v>34522.949999999997</v>
      </c>
      <c r="H85" s="280">
        <f t="shared" si="2"/>
        <v>7.2120960154043916E-3</v>
      </c>
      <c r="I85" s="275"/>
      <c r="J85" s="275" t="s">
        <v>1717</v>
      </c>
      <c r="K85" s="275" t="s">
        <v>564</v>
      </c>
      <c r="L85" s="275">
        <v>168.45</v>
      </c>
      <c r="M85" s="280">
        <f t="shared" si="3"/>
        <v>9.1660675772825377E-3</v>
      </c>
    </row>
    <row r="86" spans="1:13">
      <c r="A86" s="279">
        <v>44562</v>
      </c>
      <c r="B86" s="275">
        <v>148.19999999999999</v>
      </c>
      <c r="C86" s="283"/>
      <c r="D86" s="283"/>
      <c r="E86" s="275" t="s">
        <v>479</v>
      </c>
      <c r="F86" s="275" t="s">
        <v>565</v>
      </c>
      <c r="G86" s="278">
        <v>34454.589999999997</v>
      </c>
      <c r="H86" s="280">
        <f t="shared" si="2"/>
        <v>-1.9801320570808864E-3</v>
      </c>
      <c r="I86" s="275"/>
      <c r="J86" s="275" t="s">
        <v>1717</v>
      </c>
      <c r="K86" s="275" t="s">
        <v>565</v>
      </c>
      <c r="L86" s="275">
        <v>171.99</v>
      </c>
      <c r="M86" s="280">
        <f t="shared" si="3"/>
        <v>2.1015138023152392E-2</v>
      </c>
    </row>
    <row r="87" spans="1:13">
      <c r="A87" s="279">
        <v>44593</v>
      </c>
      <c r="B87" s="275">
        <v>143.80000000000001</v>
      </c>
      <c r="C87" s="275"/>
      <c r="D87" s="275"/>
      <c r="E87" s="275" t="s">
        <v>479</v>
      </c>
      <c r="F87" s="275" t="s">
        <v>566</v>
      </c>
      <c r="G87" s="278">
        <v>34426.75</v>
      </c>
      <c r="H87" s="280">
        <f t="shared" si="2"/>
        <v>-8.0802006350957911E-4</v>
      </c>
      <c r="I87" s="275"/>
      <c r="J87" s="275" t="s">
        <v>1717</v>
      </c>
      <c r="K87" s="275" t="s">
        <v>566</v>
      </c>
      <c r="L87" s="275">
        <v>169.23</v>
      </c>
      <c r="M87" s="280">
        <f t="shared" si="3"/>
        <v>-1.6047444618873301E-2</v>
      </c>
    </row>
    <row r="88" spans="1:13">
      <c r="A88" s="279">
        <v>44621</v>
      </c>
      <c r="B88" s="275">
        <v>143.30000000000001</v>
      </c>
      <c r="C88" s="275"/>
      <c r="D88" s="275"/>
      <c r="E88" s="275" t="s">
        <v>479</v>
      </c>
      <c r="F88" s="275" t="s">
        <v>567</v>
      </c>
      <c r="G88" s="278">
        <v>34336.47</v>
      </c>
      <c r="H88" s="280">
        <f t="shared" si="2"/>
        <v>-2.6223793997399939E-3</v>
      </c>
      <c r="I88" s="275"/>
      <c r="J88" s="275" t="s">
        <v>1717</v>
      </c>
      <c r="K88" s="275" t="s">
        <v>567</v>
      </c>
      <c r="L88" s="275">
        <v>168.87</v>
      </c>
      <c r="M88" s="280">
        <f t="shared" si="3"/>
        <v>-2.1272823967380798E-3</v>
      </c>
    </row>
    <row r="89" spans="1:13">
      <c r="A89" s="279">
        <v>44652</v>
      </c>
      <c r="B89" s="275">
        <v>142.30000000000001</v>
      </c>
      <c r="C89" s="275"/>
      <c r="D89" s="275"/>
      <c r="E89" s="275" t="s">
        <v>479</v>
      </c>
      <c r="F89" s="275" t="s">
        <v>568</v>
      </c>
      <c r="G89" s="278">
        <v>33958.120000000003</v>
      </c>
      <c r="H89" s="280">
        <f t="shared" si="2"/>
        <v>-1.1018896234819669E-2</v>
      </c>
      <c r="I89" s="275"/>
      <c r="J89" s="275" t="s">
        <v>1717</v>
      </c>
      <c r="K89" s="275" t="s">
        <v>568</v>
      </c>
      <c r="L89" s="275">
        <v>166.92</v>
      </c>
      <c r="M89" s="280">
        <f t="shared" si="3"/>
        <v>-1.1547344110854604E-2</v>
      </c>
    </row>
    <row r="90" spans="1:13">
      <c r="A90" s="279">
        <v>44682</v>
      </c>
      <c r="B90" s="275">
        <v>141.80000000000001</v>
      </c>
      <c r="C90" s="275"/>
      <c r="D90" s="275"/>
      <c r="E90" s="275" t="s">
        <v>479</v>
      </c>
      <c r="F90" s="275" t="s">
        <v>569</v>
      </c>
      <c r="G90" s="278">
        <v>33934.04</v>
      </c>
      <c r="H90" s="280">
        <f t="shared" si="2"/>
        <v>-7.0910874924765401E-4</v>
      </c>
      <c r="I90" s="275"/>
      <c r="J90" s="275" t="s">
        <v>1717</v>
      </c>
      <c r="K90" s="275" t="s">
        <v>569</v>
      </c>
      <c r="L90" s="275">
        <v>166.92</v>
      </c>
      <c r="M90" s="280">
        <f t="shared" si="3"/>
        <v>0</v>
      </c>
    </row>
    <row r="91" spans="1:13">
      <c r="A91" s="279">
        <v>44713</v>
      </c>
      <c r="B91" s="275">
        <v>146</v>
      </c>
      <c r="C91" s="281">
        <f>AVERAGE(B80:B91)</f>
        <v>147.43333333333331</v>
      </c>
      <c r="D91" s="275"/>
      <c r="E91" s="275" t="s">
        <v>479</v>
      </c>
      <c r="F91" s="275" t="s">
        <v>570</v>
      </c>
      <c r="G91" s="278">
        <v>34264.559999999998</v>
      </c>
      <c r="H91" s="280">
        <f t="shared" si="2"/>
        <v>9.7400722106768534E-3</v>
      </c>
      <c r="I91" s="275"/>
      <c r="J91" s="275" t="s">
        <v>1717</v>
      </c>
      <c r="K91" s="275" t="s">
        <v>570</v>
      </c>
      <c r="L91" s="275">
        <v>167.71</v>
      </c>
      <c r="M91" s="280">
        <f t="shared" si="3"/>
        <v>4.7328061346754166E-3</v>
      </c>
    </row>
    <row r="92" spans="1:13">
      <c r="A92" s="275"/>
      <c r="B92" s="275"/>
      <c r="C92" s="281"/>
      <c r="D92" s="275"/>
      <c r="E92" s="275" t="s">
        <v>479</v>
      </c>
      <c r="F92" s="275" t="s">
        <v>571</v>
      </c>
      <c r="G92" s="278">
        <v>34144.78</v>
      </c>
      <c r="H92" s="280">
        <f t="shared" si="2"/>
        <v>-3.4957402050398091E-3</v>
      </c>
      <c r="I92" s="275"/>
      <c r="J92" s="275" t="s">
        <v>1717</v>
      </c>
      <c r="K92" s="275" t="s">
        <v>571</v>
      </c>
      <c r="L92" s="275">
        <v>167.57</v>
      </c>
      <c r="M92" s="280">
        <f t="shared" si="3"/>
        <v>-8.3477431280194845E-4</v>
      </c>
    </row>
    <row r="93" spans="1:13">
      <c r="A93" s="279">
        <v>44743</v>
      </c>
      <c r="B93" s="275">
        <v>148.80000000000001</v>
      </c>
      <c r="C93" s="281"/>
      <c r="D93" s="275"/>
      <c r="E93" s="275" t="s">
        <v>479</v>
      </c>
      <c r="F93" s="275" t="s">
        <v>572</v>
      </c>
      <c r="G93" s="278">
        <v>33946.410000000003</v>
      </c>
      <c r="H93" s="280">
        <f t="shared" si="2"/>
        <v>-5.8096728108951159E-3</v>
      </c>
      <c r="I93" s="275"/>
      <c r="J93" s="275" t="s">
        <v>1717</v>
      </c>
      <c r="K93" s="275" t="s">
        <v>572</v>
      </c>
      <c r="L93" s="275">
        <v>167.25</v>
      </c>
      <c r="M93" s="280">
        <f t="shared" si="3"/>
        <v>-1.9096496986333662E-3</v>
      </c>
    </row>
    <row r="94" spans="1:13">
      <c r="A94" s="279">
        <v>44774</v>
      </c>
      <c r="B94" s="275">
        <v>144.30000000000001</v>
      </c>
      <c r="C94" s="281"/>
      <c r="D94" s="283"/>
      <c r="E94" s="275" t="s">
        <v>479</v>
      </c>
      <c r="F94" s="275" t="s">
        <v>573</v>
      </c>
      <c r="G94" s="278">
        <v>34065.870000000003</v>
      </c>
      <c r="H94" s="280">
        <f t="shared" si="2"/>
        <v>3.5190760967065181E-3</v>
      </c>
      <c r="I94" s="275"/>
      <c r="J94" s="275" t="s">
        <v>1717</v>
      </c>
      <c r="K94" s="275" t="s">
        <v>573</v>
      </c>
      <c r="L94" s="275">
        <v>171.42</v>
      </c>
      <c r="M94" s="280">
        <f t="shared" si="3"/>
        <v>2.4932735426008892E-2</v>
      </c>
    </row>
    <row r="95" spans="1:13">
      <c r="A95" s="279">
        <v>44805</v>
      </c>
      <c r="B95" s="275">
        <v>148.6</v>
      </c>
      <c r="C95" s="281"/>
      <c r="D95" s="275"/>
      <c r="E95" s="275" t="s">
        <v>479</v>
      </c>
      <c r="F95" s="275" t="s">
        <v>574</v>
      </c>
      <c r="G95" s="278">
        <v>33949.26</v>
      </c>
      <c r="H95" s="280">
        <f t="shared" si="2"/>
        <v>-3.423074179523393E-3</v>
      </c>
      <c r="I95" s="275"/>
      <c r="J95" s="275" t="s">
        <v>1717</v>
      </c>
      <c r="K95" s="275" t="s">
        <v>574</v>
      </c>
      <c r="L95" s="275">
        <v>168.58</v>
      </c>
      <c r="M95" s="280">
        <f t="shared" si="3"/>
        <v>-1.6567495041418592E-2</v>
      </c>
    </row>
    <row r="96" spans="1:13">
      <c r="A96" s="279">
        <v>44835</v>
      </c>
      <c r="B96" s="275">
        <v>148.6</v>
      </c>
      <c r="C96" s="281"/>
      <c r="D96" s="275"/>
      <c r="E96" s="275" t="s">
        <v>479</v>
      </c>
      <c r="F96" s="275" t="s">
        <v>575</v>
      </c>
      <c r="G96" s="278">
        <v>33908.44</v>
      </c>
      <c r="H96" s="280">
        <f t="shared" si="2"/>
        <v>-1.2023826145253153E-3</v>
      </c>
      <c r="I96" s="275"/>
      <c r="J96" s="275" t="s">
        <v>1717</v>
      </c>
      <c r="K96" s="275" t="s">
        <v>575</v>
      </c>
      <c r="L96" s="275">
        <v>168.85</v>
      </c>
      <c r="M96" s="280">
        <f t="shared" si="3"/>
        <v>1.6016134772807082E-3</v>
      </c>
    </row>
    <row r="97" spans="1:13">
      <c r="A97" s="279">
        <v>44866</v>
      </c>
      <c r="B97" s="275">
        <v>148.19999999999999</v>
      </c>
      <c r="C97" s="281"/>
      <c r="D97" s="275"/>
      <c r="E97" s="275" t="s">
        <v>479</v>
      </c>
      <c r="F97" s="275" t="s">
        <v>576</v>
      </c>
      <c r="G97" s="278">
        <v>33857</v>
      </c>
      <c r="H97" s="280">
        <f t="shared" si="2"/>
        <v>-1.5170264394352062E-3</v>
      </c>
      <c r="I97" s="275"/>
      <c r="J97" s="275" t="s">
        <v>1717</v>
      </c>
      <c r="K97" s="275" t="s">
        <v>576</v>
      </c>
      <c r="L97" s="275">
        <v>167.77</v>
      </c>
      <c r="M97" s="280">
        <f t="shared" si="3"/>
        <v>-6.3962096535385496E-3</v>
      </c>
    </row>
    <row r="98" spans="1:13">
      <c r="A98" s="279">
        <v>44896</v>
      </c>
      <c r="B98" s="275">
        <v>147.80000000000001</v>
      </c>
      <c r="C98" s="281"/>
      <c r="D98" s="275"/>
      <c r="E98" s="275" t="s">
        <v>479</v>
      </c>
      <c r="F98" s="275" t="s">
        <v>577</v>
      </c>
      <c r="G98" s="278">
        <v>33732.910000000003</v>
      </c>
      <c r="H98" s="280">
        <f t="shared" si="2"/>
        <v>-3.6651209498773226E-3</v>
      </c>
      <c r="I98" s="275"/>
      <c r="J98" s="275" t="s">
        <v>1717</v>
      </c>
      <c r="K98" s="275" t="s">
        <v>577</v>
      </c>
      <c r="L98" s="275">
        <v>167.69</v>
      </c>
      <c r="M98" s="280">
        <f t="shared" si="3"/>
        <v>-4.7684329737147582E-4</v>
      </c>
    </row>
    <row r="99" spans="1:13">
      <c r="A99" s="279">
        <v>44927</v>
      </c>
      <c r="B99" s="275">
        <v>147.4</v>
      </c>
      <c r="C99" s="281"/>
      <c r="D99" s="283"/>
      <c r="E99" s="275" t="s">
        <v>479</v>
      </c>
      <c r="F99" s="275" t="s">
        <v>578</v>
      </c>
      <c r="G99" s="278">
        <v>33571.589999999997</v>
      </c>
      <c r="H99" s="280">
        <f t="shared" si="2"/>
        <v>-4.782273453431885E-3</v>
      </c>
      <c r="I99" s="275"/>
      <c r="J99" s="275" t="s">
        <v>1717</v>
      </c>
      <c r="K99" s="275" t="s">
        <v>578</v>
      </c>
      <c r="L99" s="275">
        <v>165.07</v>
      </c>
      <c r="M99" s="280">
        <f t="shared" si="3"/>
        <v>-1.5624068221122337E-2</v>
      </c>
    </row>
    <row r="100" spans="1:13">
      <c r="A100" s="279">
        <v>44958</v>
      </c>
      <c r="B100" s="275">
        <v>146.80000000000001</v>
      </c>
      <c r="C100" s="281"/>
      <c r="D100" s="275"/>
      <c r="E100" s="275" t="s">
        <v>479</v>
      </c>
      <c r="F100" s="275" t="s">
        <v>579</v>
      </c>
      <c r="G100" s="278">
        <v>33199.86</v>
      </c>
      <c r="H100" s="280">
        <f t="shared" si="2"/>
        <v>-1.107275526717668E-2</v>
      </c>
      <c r="I100" s="275"/>
      <c r="J100" s="275" t="s">
        <v>1717</v>
      </c>
      <c r="K100" s="275" t="s">
        <v>579</v>
      </c>
      <c r="L100" s="275">
        <v>162.41999999999999</v>
      </c>
      <c r="M100" s="280">
        <f t="shared" si="3"/>
        <v>-1.605379535954447E-2</v>
      </c>
    </row>
    <row r="101" spans="1:13">
      <c r="A101" s="279">
        <v>44986</v>
      </c>
      <c r="B101" s="275">
        <v>146.30000000000001</v>
      </c>
      <c r="C101" s="281"/>
      <c r="D101" s="275"/>
      <c r="E101" s="275" t="s">
        <v>479</v>
      </c>
      <c r="F101" s="275" t="s">
        <v>580</v>
      </c>
      <c r="G101" s="278">
        <v>33079.370000000003</v>
      </c>
      <c r="H101" s="280">
        <f t="shared" si="2"/>
        <v>-3.6292321714609024E-3</v>
      </c>
      <c r="I101" s="275"/>
      <c r="J101" s="275" t="s">
        <v>1717</v>
      </c>
      <c r="K101" s="275" t="s">
        <v>580</v>
      </c>
      <c r="L101" s="275">
        <v>161.55000000000001</v>
      </c>
      <c r="M101" s="280">
        <f t="shared" si="3"/>
        <v>-5.3564831917250104E-3</v>
      </c>
    </row>
    <row r="102" spans="1:13">
      <c r="A102" s="279">
        <v>45017</v>
      </c>
      <c r="B102" s="275">
        <v>143.1</v>
      </c>
      <c r="C102" s="281"/>
      <c r="D102" s="275"/>
      <c r="E102" s="275" t="s">
        <v>479</v>
      </c>
      <c r="F102" s="275" t="s">
        <v>581</v>
      </c>
      <c r="G102" s="278">
        <v>32960.269999999997</v>
      </c>
      <c r="H102" s="280">
        <f t="shared" si="2"/>
        <v>-3.6004313262316002E-3</v>
      </c>
      <c r="I102" s="275"/>
      <c r="J102" s="275" t="s">
        <v>1717</v>
      </c>
      <c r="K102" s="275" t="s">
        <v>581</v>
      </c>
      <c r="L102" s="275">
        <v>158.4</v>
      </c>
      <c r="M102" s="280">
        <f t="shared" si="3"/>
        <v>-1.9498607242339868E-2</v>
      </c>
    </row>
    <row r="103" spans="1:13">
      <c r="A103" s="279">
        <v>45047</v>
      </c>
      <c r="B103" s="275">
        <v>140.6</v>
      </c>
      <c r="C103" s="281"/>
      <c r="D103" s="275"/>
      <c r="E103" s="275" t="s">
        <v>479</v>
      </c>
      <c r="F103" s="275" t="s">
        <v>582</v>
      </c>
      <c r="G103" s="278">
        <v>32255.200000000001</v>
      </c>
      <c r="H103" s="280">
        <f t="shared" si="2"/>
        <v>-2.1391511659340053E-2</v>
      </c>
      <c r="I103" s="275"/>
      <c r="J103" s="275" t="s">
        <v>1717</v>
      </c>
      <c r="K103" s="275" t="s">
        <v>582</v>
      </c>
      <c r="L103" s="275">
        <v>155.38</v>
      </c>
      <c r="M103" s="280">
        <f t="shared" si="3"/>
        <v>-1.9065656565656629E-2</v>
      </c>
    </row>
    <row r="104" spans="1:13">
      <c r="A104" s="279">
        <v>45078</v>
      </c>
      <c r="B104" s="275">
        <v>144.80000000000001</v>
      </c>
      <c r="C104" s="281">
        <f>AVERAGE(B93:B104)</f>
        <v>146.27499999999998</v>
      </c>
      <c r="D104" s="275"/>
      <c r="E104" s="275" t="s">
        <v>479</v>
      </c>
      <c r="F104" s="275" t="s">
        <v>583</v>
      </c>
      <c r="G104" s="278">
        <v>31709.360000000001</v>
      </c>
      <c r="H104" s="280">
        <f t="shared" si="2"/>
        <v>-1.69225427217937E-2</v>
      </c>
      <c r="I104" s="275"/>
      <c r="J104" s="275" t="s">
        <v>1717</v>
      </c>
      <c r="K104" s="275" t="s">
        <v>583</v>
      </c>
      <c r="L104" s="275">
        <v>153.08000000000001</v>
      </c>
      <c r="M104" s="280">
        <f t="shared" si="3"/>
        <v>-1.480241987385753E-2</v>
      </c>
    </row>
    <row r="105" spans="1:13">
      <c r="A105" s="279"/>
      <c r="B105" s="275"/>
      <c r="C105" s="275"/>
      <c r="D105" s="275"/>
      <c r="E105" s="275" t="s">
        <v>479</v>
      </c>
      <c r="F105" s="275" t="s">
        <v>584</v>
      </c>
      <c r="G105" s="278">
        <v>32392.92</v>
      </c>
      <c r="H105" s="280">
        <f t="shared" si="2"/>
        <v>2.1557041832443093E-2</v>
      </c>
      <c r="I105" s="275"/>
      <c r="J105" s="275" t="s">
        <v>1717</v>
      </c>
      <c r="K105" s="275" t="s">
        <v>584</v>
      </c>
      <c r="L105" s="275">
        <v>157.47999999999999</v>
      </c>
      <c r="M105" s="280">
        <f t="shared" si="3"/>
        <v>2.8743140841389972E-2</v>
      </c>
    </row>
    <row r="106" spans="1:13">
      <c r="A106" s="275"/>
      <c r="B106" s="275"/>
      <c r="C106" s="275"/>
      <c r="D106" s="275"/>
      <c r="E106" s="275" t="s">
        <v>479</v>
      </c>
      <c r="F106" s="275" t="s">
        <v>585</v>
      </c>
      <c r="G106" s="278">
        <v>32565.14</v>
      </c>
      <c r="H106" s="280">
        <f t="shared" si="2"/>
        <v>5.3165938729821567E-3</v>
      </c>
      <c r="I106" s="275"/>
      <c r="J106" s="275" t="s">
        <v>1717</v>
      </c>
      <c r="K106" s="275" t="s">
        <v>585</v>
      </c>
      <c r="L106" s="275">
        <v>162.33000000000001</v>
      </c>
      <c r="M106" s="280">
        <f t="shared" si="3"/>
        <v>3.0797561595123337E-2</v>
      </c>
    </row>
    <row r="107" spans="1:13">
      <c r="A107" s="275"/>
      <c r="B107" s="275"/>
      <c r="C107" s="275"/>
      <c r="D107" s="275"/>
      <c r="E107" s="275" t="s">
        <v>479</v>
      </c>
      <c r="F107" s="275" t="s">
        <v>586</v>
      </c>
      <c r="G107" s="278">
        <v>32707.91</v>
      </c>
      <c r="H107" s="280">
        <f t="shared" si="2"/>
        <v>4.3841359195753628E-3</v>
      </c>
      <c r="I107" s="275"/>
      <c r="J107" s="275" t="s">
        <v>1717</v>
      </c>
      <c r="K107" s="275" t="s">
        <v>586</v>
      </c>
      <c r="L107" s="275">
        <v>163.85</v>
      </c>
      <c r="M107" s="280">
        <f t="shared" si="3"/>
        <v>9.3636419639005833E-3</v>
      </c>
    </row>
    <row r="108" spans="1:13">
      <c r="A108" s="275"/>
      <c r="B108" s="275"/>
      <c r="C108" s="275"/>
      <c r="D108" s="275"/>
      <c r="E108" s="275" t="s">
        <v>479</v>
      </c>
      <c r="F108" s="275" t="s">
        <v>587</v>
      </c>
      <c r="G108" s="278">
        <v>32853.54</v>
      </c>
      <c r="H108" s="280">
        <f t="shared" si="2"/>
        <v>4.4524397920870217E-3</v>
      </c>
      <c r="I108" s="275"/>
      <c r="J108" s="275" t="s">
        <v>1717</v>
      </c>
      <c r="K108" s="275" t="s">
        <v>587</v>
      </c>
      <c r="L108" s="275">
        <v>170.05</v>
      </c>
      <c r="M108" s="280">
        <f t="shared" si="3"/>
        <v>3.7839487335978132E-2</v>
      </c>
    </row>
    <row r="109" spans="1:13">
      <c r="A109" s="275"/>
      <c r="B109" s="275"/>
      <c r="C109" s="275"/>
      <c r="D109" s="275"/>
      <c r="E109" s="275" t="s">
        <v>479</v>
      </c>
      <c r="F109" s="275" t="s">
        <v>588</v>
      </c>
      <c r="G109" s="278">
        <v>32791.71</v>
      </c>
      <c r="H109" s="280">
        <f t="shared" si="2"/>
        <v>-1.8819889728778616E-3</v>
      </c>
      <c r="I109" s="275"/>
      <c r="J109" s="275" t="s">
        <v>1717</v>
      </c>
      <c r="K109" s="275" t="s">
        <v>588</v>
      </c>
      <c r="L109" s="275">
        <v>171.83</v>
      </c>
      <c r="M109" s="280">
        <f t="shared" si="3"/>
        <v>1.0467509556012944E-2</v>
      </c>
    </row>
    <row r="110" spans="1:13">
      <c r="A110" s="275"/>
      <c r="B110" s="275"/>
      <c r="C110" s="275"/>
      <c r="D110" s="275"/>
      <c r="E110" s="275" t="s">
        <v>479</v>
      </c>
      <c r="F110" s="275" t="s">
        <v>589</v>
      </c>
      <c r="G110" s="278">
        <v>33020.26</v>
      </c>
      <c r="H110" s="280">
        <f t="shared" si="2"/>
        <v>6.9697493665320572E-3</v>
      </c>
      <c r="I110" s="275"/>
      <c r="J110" s="275" t="s">
        <v>1717</v>
      </c>
      <c r="K110" s="275" t="s">
        <v>589</v>
      </c>
      <c r="L110" s="275">
        <v>173.08</v>
      </c>
      <c r="M110" s="280">
        <f t="shared" si="3"/>
        <v>7.2746319036256762E-3</v>
      </c>
    </row>
    <row r="111" spans="1:13">
      <c r="A111" s="275"/>
      <c r="B111" s="275"/>
      <c r="C111" s="275"/>
      <c r="D111" s="275"/>
      <c r="E111" s="275" t="s">
        <v>479</v>
      </c>
      <c r="F111" s="275" t="s">
        <v>590</v>
      </c>
      <c r="G111" s="278">
        <v>33211.919999999998</v>
      </c>
      <c r="H111" s="280">
        <f t="shared" si="2"/>
        <v>5.8043152900672558E-3</v>
      </c>
      <c r="I111" s="275"/>
      <c r="J111" s="275" t="s">
        <v>1717</v>
      </c>
      <c r="K111" s="275" t="s">
        <v>590</v>
      </c>
      <c r="L111" s="275">
        <v>170.11</v>
      </c>
      <c r="M111" s="280">
        <f t="shared" si="3"/>
        <v>-1.7159694938756638E-2</v>
      </c>
    </row>
    <row r="112" spans="1:13">
      <c r="A112" s="275"/>
      <c r="B112" s="275"/>
      <c r="C112" s="275"/>
      <c r="D112" s="275"/>
      <c r="E112" s="275" t="s">
        <v>479</v>
      </c>
      <c r="F112" s="275" t="s">
        <v>591</v>
      </c>
      <c r="G112" s="278">
        <v>33048.51</v>
      </c>
      <c r="H112" s="280">
        <f t="shared" si="2"/>
        <v>-4.9202214144799883E-3</v>
      </c>
      <c r="I112" s="275"/>
      <c r="J112" s="275" t="s">
        <v>1717</v>
      </c>
      <c r="K112" s="275" t="s">
        <v>591</v>
      </c>
      <c r="L112" s="275">
        <v>170.35</v>
      </c>
      <c r="M112" s="280">
        <f t="shared" si="3"/>
        <v>1.4108518017752082E-3</v>
      </c>
    </row>
    <row r="113" spans="1:13">
      <c r="A113" s="275"/>
      <c r="B113" s="275"/>
      <c r="C113" s="275"/>
      <c r="D113" s="275"/>
      <c r="E113" s="275" t="s">
        <v>479</v>
      </c>
      <c r="F113" s="275" t="s">
        <v>592</v>
      </c>
      <c r="G113" s="278">
        <v>32757.82</v>
      </c>
      <c r="H113" s="280">
        <f t="shared" si="2"/>
        <v>-8.7958579675756123E-3</v>
      </c>
      <c r="I113" s="275"/>
      <c r="J113" s="275" t="s">
        <v>1717</v>
      </c>
      <c r="K113" s="275" t="s">
        <v>592</v>
      </c>
      <c r="L113" s="275">
        <v>170.38</v>
      </c>
      <c r="M113" s="280">
        <f t="shared" si="3"/>
        <v>1.761080129145943E-4</v>
      </c>
    </row>
    <row r="114" spans="1:13">
      <c r="A114" s="275"/>
      <c r="B114" s="275"/>
      <c r="C114" s="275"/>
      <c r="D114" s="275"/>
      <c r="E114" s="275" t="s">
        <v>479</v>
      </c>
      <c r="F114" s="275" t="s">
        <v>593</v>
      </c>
      <c r="G114" s="278">
        <v>32467.040000000001</v>
      </c>
      <c r="H114" s="280">
        <f t="shared" si="2"/>
        <v>-8.8766590694984836E-3</v>
      </c>
      <c r="I114" s="275"/>
      <c r="J114" s="275" t="s">
        <v>1717</v>
      </c>
      <c r="K114" s="275" t="s">
        <v>593</v>
      </c>
      <c r="L114" s="275">
        <v>171.54</v>
      </c>
      <c r="M114" s="280">
        <f t="shared" si="3"/>
        <v>6.8083108346049803E-3</v>
      </c>
    </row>
    <row r="115" spans="1:13">
      <c r="A115" s="275"/>
      <c r="B115" s="275"/>
      <c r="C115" s="275"/>
      <c r="D115" s="275"/>
      <c r="E115" s="275" t="s">
        <v>479</v>
      </c>
      <c r="F115" s="275" t="s">
        <v>594</v>
      </c>
      <c r="G115" s="278">
        <v>32714.6</v>
      </c>
      <c r="H115" s="280">
        <f t="shared" si="2"/>
        <v>7.6249636554486539E-3</v>
      </c>
      <c r="I115" s="275"/>
      <c r="J115" s="275" t="s">
        <v>1717</v>
      </c>
      <c r="K115" s="275" t="s">
        <v>594</v>
      </c>
      <c r="L115" s="275">
        <v>170.69</v>
      </c>
      <c r="M115" s="280">
        <f t="shared" si="3"/>
        <v>-4.9551125102016693E-3</v>
      </c>
    </row>
    <row r="116" spans="1:13">
      <c r="A116" s="275"/>
      <c r="B116" s="275"/>
      <c r="C116" s="275"/>
      <c r="D116" s="275"/>
      <c r="E116" s="275" t="s">
        <v>479</v>
      </c>
      <c r="F116" s="275" t="s">
        <v>595</v>
      </c>
      <c r="G116" s="278">
        <v>33109.54</v>
      </c>
      <c r="H116" s="280">
        <f t="shared" si="2"/>
        <v>1.2072285768433737E-2</v>
      </c>
      <c r="I116" s="275"/>
      <c r="J116" s="275" t="s">
        <v>1717</v>
      </c>
      <c r="K116" s="275" t="s">
        <v>595</v>
      </c>
      <c r="L116" s="275">
        <v>178.28</v>
      </c>
      <c r="M116" s="280">
        <f t="shared" si="3"/>
        <v>4.4466576835198335E-2</v>
      </c>
    </row>
    <row r="117" spans="1:13">
      <c r="A117" s="275"/>
      <c r="B117" s="275"/>
      <c r="C117" s="275"/>
      <c r="D117" s="275"/>
      <c r="E117" s="275" t="s">
        <v>479</v>
      </c>
      <c r="F117" s="275" t="s">
        <v>596</v>
      </c>
      <c r="G117" s="278">
        <v>32777.040000000001</v>
      </c>
      <c r="H117" s="280">
        <f t="shared" si="2"/>
        <v>-1.0042422818317621E-2</v>
      </c>
      <c r="I117" s="275"/>
      <c r="J117" s="275" t="s">
        <v>1717</v>
      </c>
      <c r="K117" s="275" t="s">
        <v>596</v>
      </c>
      <c r="L117" s="275">
        <v>180.87</v>
      </c>
      <c r="M117" s="280">
        <f t="shared" si="3"/>
        <v>1.4527709221449425E-2</v>
      </c>
    </row>
    <row r="118" spans="1:13">
      <c r="A118" s="275"/>
      <c r="B118" s="275"/>
      <c r="C118" s="275"/>
      <c r="D118" s="275"/>
      <c r="E118" s="275" t="s">
        <v>479</v>
      </c>
      <c r="F118" s="275" t="s">
        <v>597</v>
      </c>
      <c r="G118" s="278">
        <v>32658.97</v>
      </c>
      <c r="H118" s="280">
        <f t="shared" si="2"/>
        <v>-3.6022166736227467E-3</v>
      </c>
      <c r="I118" s="275"/>
      <c r="J118" s="275" t="s">
        <v>1717</v>
      </c>
      <c r="K118" s="275" t="s">
        <v>597</v>
      </c>
      <c r="L118" s="275">
        <v>181.08</v>
      </c>
      <c r="M118" s="280">
        <f t="shared" si="3"/>
        <v>1.1610549013103774E-3</v>
      </c>
    </row>
    <row r="119" spans="1:13">
      <c r="A119" s="275"/>
      <c r="B119" s="275"/>
      <c r="C119" s="275"/>
      <c r="D119" s="275"/>
      <c r="E119" s="275" t="s">
        <v>479</v>
      </c>
      <c r="F119" s="275" t="s">
        <v>598</v>
      </c>
      <c r="G119" s="278">
        <v>32641.09</v>
      </c>
      <c r="H119" s="280">
        <f t="shared" si="2"/>
        <v>-5.4747593080862675E-4</v>
      </c>
      <c r="I119" s="275"/>
      <c r="J119" s="275" t="s">
        <v>1717</v>
      </c>
      <c r="K119" s="275" t="s">
        <v>598</v>
      </c>
      <c r="L119" s="275">
        <v>181.73</v>
      </c>
      <c r="M119" s="280">
        <f t="shared" si="3"/>
        <v>3.5895736690964063E-3</v>
      </c>
    </row>
    <row r="120" spans="1:13">
      <c r="A120" s="275"/>
      <c r="B120" s="275"/>
      <c r="C120" s="275"/>
      <c r="D120" s="275"/>
      <c r="E120" s="275" t="s">
        <v>479</v>
      </c>
      <c r="F120" s="275" t="s">
        <v>599</v>
      </c>
      <c r="G120" s="278">
        <v>32500.75</v>
      </c>
      <c r="H120" s="280">
        <f t="shared" si="2"/>
        <v>-4.2994887731996742E-3</v>
      </c>
      <c r="I120" s="275"/>
      <c r="J120" s="275" t="s">
        <v>1717</v>
      </c>
      <c r="K120" s="275" t="s">
        <v>599</v>
      </c>
      <c r="L120" s="275">
        <v>178.55</v>
      </c>
      <c r="M120" s="280">
        <f t="shared" si="3"/>
        <v>-1.7498486766081432E-2</v>
      </c>
    </row>
    <row r="121" spans="1:13">
      <c r="A121" s="275"/>
      <c r="B121" s="275"/>
      <c r="C121" s="275"/>
      <c r="D121" s="275"/>
      <c r="E121" s="275" t="s">
        <v>479</v>
      </c>
      <c r="F121" s="275" t="s">
        <v>600</v>
      </c>
      <c r="G121" s="278">
        <v>32674.04</v>
      </c>
      <c r="H121" s="280">
        <f t="shared" si="2"/>
        <v>5.3318769566856414E-3</v>
      </c>
      <c r="I121" s="275"/>
      <c r="J121" s="275" t="s">
        <v>1717</v>
      </c>
      <c r="K121" s="275" t="s">
        <v>600</v>
      </c>
      <c r="L121" s="275">
        <v>180.92</v>
      </c>
      <c r="M121" s="280">
        <f t="shared" si="3"/>
        <v>1.3273592831139602E-2</v>
      </c>
    </row>
    <row r="122" spans="1:13">
      <c r="A122" s="275"/>
      <c r="B122" s="275"/>
      <c r="C122" s="275"/>
      <c r="D122" s="275"/>
      <c r="E122" s="275" t="s">
        <v>479</v>
      </c>
      <c r="F122" s="275" t="s">
        <v>601</v>
      </c>
      <c r="G122" s="278">
        <v>32811.89</v>
      </c>
      <c r="H122" s="280">
        <f t="shared" si="2"/>
        <v>4.2189456828723515E-3</v>
      </c>
      <c r="I122" s="275"/>
      <c r="J122" s="275" t="s">
        <v>1717</v>
      </c>
      <c r="K122" s="275" t="s">
        <v>601</v>
      </c>
      <c r="L122" s="275">
        <v>181.33</v>
      </c>
      <c r="M122" s="280">
        <f t="shared" si="3"/>
        <v>2.2661950033165215E-3</v>
      </c>
    </row>
    <row r="123" spans="1:13">
      <c r="A123" s="275"/>
      <c r="B123" s="275"/>
      <c r="C123" s="275"/>
      <c r="D123" s="275"/>
      <c r="E123" s="275" t="s">
        <v>479</v>
      </c>
      <c r="F123" s="275" t="s">
        <v>602</v>
      </c>
      <c r="G123" s="278">
        <v>32825.03</v>
      </c>
      <c r="H123" s="280">
        <f t="shared" si="2"/>
        <v>4.0046458768450762E-4</v>
      </c>
      <c r="I123" s="275"/>
      <c r="J123" s="275" t="s">
        <v>1717</v>
      </c>
      <c r="K123" s="275" t="s">
        <v>602</v>
      </c>
      <c r="L123" s="275">
        <v>181.93</v>
      </c>
      <c r="M123" s="280">
        <f t="shared" si="3"/>
        <v>3.308884354491779E-3</v>
      </c>
    </row>
    <row r="124" spans="1:13">
      <c r="A124" s="275"/>
      <c r="B124" s="275"/>
      <c r="C124" s="275"/>
      <c r="D124" s="275"/>
      <c r="E124" s="275" t="s">
        <v>479</v>
      </c>
      <c r="F124" s="275" t="s">
        <v>603</v>
      </c>
      <c r="G124" s="278">
        <v>32816.31</v>
      </c>
      <c r="H124" s="280">
        <f t="shared" si="2"/>
        <v>-2.656509377143346E-4</v>
      </c>
      <c r="I124" s="275"/>
      <c r="J124" s="275" t="s">
        <v>1717</v>
      </c>
      <c r="K124" s="275" t="s">
        <v>603</v>
      </c>
      <c r="L124" s="275">
        <v>185.29</v>
      </c>
      <c r="M124" s="280">
        <f t="shared" si="3"/>
        <v>1.8468641785301956E-2</v>
      </c>
    </row>
    <row r="125" spans="1:13">
      <c r="A125" s="275"/>
      <c r="B125" s="275"/>
      <c r="C125" s="275"/>
      <c r="D125" s="275"/>
      <c r="E125" s="275" t="s">
        <v>479</v>
      </c>
      <c r="F125" s="275" t="s">
        <v>604</v>
      </c>
      <c r="G125" s="278">
        <v>33228.949999999997</v>
      </c>
      <c r="H125" s="280">
        <f t="shared" si="2"/>
        <v>1.2574235189757759E-2</v>
      </c>
      <c r="I125" s="275"/>
      <c r="J125" s="275" t="s">
        <v>1717</v>
      </c>
      <c r="K125" s="275" t="s">
        <v>604</v>
      </c>
      <c r="L125" s="275">
        <v>186.98</v>
      </c>
      <c r="M125" s="280">
        <f t="shared" si="3"/>
        <v>9.1208376059150401E-3</v>
      </c>
    </row>
    <row r="126" spans="1:13">
      <c r="A126" s="275"/>
      <c r="B126" s="275"/>
      <c r="C126" s="275"/>
      <c r="D126" s="275"/>
      <c r="E126" s="275" t="s">
        <v>479</v>
      </c>
      <c r="F126" s="275" t="s">
        <v>605</v>
      </c>
      <c r="G126" s="278">
        <v>33009.129999999997</v>
      </c>
      <c r="H126" s="280">
        <f t="shared" si="2"/>
        <v>-6.6153158616206569E-3</v>
      </c>
      <c r="I126" s="275"/>
      <c r="J126" s="275" t="s">
        <v>1717</v>
      </c>
      <c r="K126" s="275" t="s">
        <v>605</v>
      </c>
      <c r="L126" s="275">
        <v>186.18</v>
      </c>
      <c r="M126" s="280">
        <f t="shared" si="3"/>
        <v>-4.2785324633649747E-3</v>
      </c>
    </row>
    <row r="127" spans="1:13">
      <c r="A127" s="275"/>
      <c r="B127" s="275"/>
      <c r="C127" s="275"/>
      <c r="D127" s="275"/>
      <c r="E127" s="275" t="s">
        <v>479</v>
      </c>
      <c r="F127" s="275" t="s">
        <v>606</v>
      </c>
      <c r="G127" s="278">
        <v>32983.47</v>
      </c>
      <c r="H127" s="280">
        <f t="shared" si="2"/>
        <v>-7.7736068778535574E-4</v>
      </c>
      <c r="I127" s="275"/>
      <c r="J127" s="275" t="s">
        <v>1717</v>
      </c>
      <c r="K127" s="275" t="s">
        <v>606</v>
      </c>
      <c r="L127" s="275">
        <v>186.95</v>
      </c>
      <c r="M127" s="280">
        <f t="shared" si="3"/>
        <v>4.1357825760016207E-3</v>
      </c>
    </row>
    <row r="128" spans="1:13">
      <c r="A128" s="275"/>
      <c r="B128" s="275"/>
      <c r="C128" s="275"/>
      <c r="D128" s="275"/>
      <c r="E128" s="275" t="s">
        <v>479</v>
      </c>
      <c r="F128" s="275" t="s">
        <v>607</v>
      </c>
      <c r="G128" s="278">
        <v>32968.26</v>
      </c>
      <c r="H128" s="280">
        <f t="shared" si="2"/>
        <v>-4.6114008016740285E-4</v>
      </c>
      <c r="I128" s="275"/>
      <c r="J128" s="275" t="s">
        <v>1717</v>
      </c>
      <c r="K128" s="275" t="s">
        <v>607</v>
      </c>
      <c r="L128" s="275">
        <v>189.51</v>
      </c>
      <c r="M128" s="280">
        <f t="shared" si="3"/>
        <v>1.3693500936079179E-2</v>
      </c>
    </row>
    <row r="129" spans="1:13">
      <c r="A129" s="275"/>
      <c r="B129" s="275"/>
      <c r="C129" s="275"/>
      <c r="D129" s="275"/>
      <c r="E129" s="275" t="s">
        <v>479</v>
      </c>
      <c r="F129" s="275" t="s">
        <v>608</v>
      </c>
      <c r="G129" s="278">
        <v>32682.5</v>
      </c>
      <c r="H129" s="280">
        <f t="shared" si="2"/>
        <v>-8.6677307203959809E-3</v>
      </c>
      <c r="I129" s="275"/>
      <c r="J129" s="275" t="s">
        <v>1717</v>
      </c>
      <c r="K129" s="275" t="s">
        <v>608</v>
      </c>
      <c r="L129" s="275">
        <v>190.77</v>
      </c>
      <c r="M129" s="280">
        <f t="shared" si="3"/>
        <v>6.6487256609150938E-3</v>
      </c>
    </row>
    <row r="130" spans="1:13">
      <c r="A130" s="275"/>
      <c r="B130" s="275"/>
      <c r="C130" s="275"/>
      <c r="D130" s="275"/>
      <c r="E130" s="275" t="s">
        <v>479</v>
      </c>
      <c r="F130" s="275" t="s">
        <v>609</v>
      </c>
      <c r="G130" s="278">
        <v>32534.85</v>
      </c>
      <c r="H130" s="280">
        <f t="shared" si="2"/>
        <v>-4.5177082536526107E-3</v>
      </c>
      <c r="I130" s="275"/>
      <c r="J130" s="275" t="s">
        <v>1717</v>
      </c>
      <c r="K130" s="275" t="s">
        <v>609</v>
      </c>
      <c r="L130" s="275">
        <v>187.96</v>
      </c>
      <c r="M130" s="280">
        <f t="shared" si="3"/>
        <v>-1.4729779315405997E-2</v>
      </c>
    </row>
    <row r="131" spans="1:13">
      <c r="A131" s="275"/>
      <c r="B131" s="275"/>
      <c r="C131" s="275"/>
      <c r="D131" s="275"/>
      <c r="E131" s="275" t="s">
        <v>479</v>
      </c>
      <c r="F131" s="275" t="s">
        <v>610</v>
      </c>
      <c r="G131" s="278">
        <v>32320.05</v>
      </c>
      <c r="H131" s="280">
        <f t="shared" si="2"/>
        <v>-6.6021512316792388E-3</v>
      </c>
      <c r="I131" s="275"/>
      <c r="J131" s="275" t="s">
        <v>1717</v>
      </c>
      <c r="K131" s="275" t="s">
        <v>610</v>
      </c>
      <c r="L131" s="275">
        <v>187.69</v>
      </c>
      <c r="M131" s="280">
        <f t="shared" si="3"/>
        <v>-1.4364758459247192E-3</v>
      </c>
    </row>
    <row r="132" spans="1:13">
      <c r="A132" s="275"/>
      <c r="B132" s="275"/>
      <c r="C132" s="275"/>
      <c r="D132" s="275"/>
      <c r="E132" s="275" t="s">
        <v>479</v>
      </c>
      <c r="F132" s="275" t="s">
        <v>611</v>
      </c>
      <c r="G132" s="278">
        <v>32265.65</v>
      </c>
      <c r="H132" s="280">
        <f t="shared" ref="H132:H195" si="4">(G132-G131)/G131</f>
        <v>-1.6831657129242627E-3</v>
      </c>
      <c r="I132" s="275"/>
      <c r="J132" s="275" t="s">
        <v>1717</v>
      </c>
      <c r="K132" s="275" t="s">
        <v>611</v>
      </c>
      <c r="L132" s="275">
        <v>189.47</v>
      </c>
      <c r="M132" s="280">
        <f t="shared" ref="M132:M195" si="5">(L132-L131)/L131</f>
        <v>9.4837231605306681E-3</v>
      </c>
    </row>
    <row r="133" spans="1:13">
      <c r="A133" s="275"/>
      <c r="B133" s="275"/>
      <c r="C133" s="275"/>
      <c r="D133" s="275"/>
      <c r="E133" s="275" t="s">
        <v>479</v>
      </c>
      <c r="F133" s="275" t="s">
        <v>612</v>
      </c>
      <c r="G133" s="278">
        <v>32154.17</v>
      </c>
      <c r="H133" s="280">
        <f t="shared" si="4"/>
        <v>-3.455067540867864E-3</v>
      </c>
      <c r="I133" s="275"/>
      <c r="J133" s="275" t="s">
        <v>1717</v>
      </c>
      <c r="K133" s="275" t="s">
        <v>612</v>
      </c>
      <c r="L133" s="275">
        <v>188.95</v>
      </c>
      <c r="M133" s="280">
        <f t="shared" si="5"/>
        <v>-2.7444978096796868E-3</v>
      </c>
    </row>
    <row r="134" spans="1:13">
      <c r="A134" s="275"/>
      <c r="B134" s="275"/>
      <c r="C134" s="275"/>
      <c r="D134" s="275"/>
      <c r="E134" s="275" t="s">
        <v>479</v>
      </c>
      <c r="F134" s="275" t="s">
        <v>613</v>
      </c>
      <c r="G134" s="278">
        <v>31441.02</v>
      </c>
      <c r="H134" s="280">
        <f t="shared" si="4"/>
        <v>-2.217908283746705E-2</v>
      </c>
      <c r="I134" s="275"/>
      <c r="J134" s="275" t="s">
        <v>1717</v>
      </c>
      <c r="K134" s="275" t="s">
        <v>613</v>
      </c>
      <c r="L134" s="275">
        <v>186.82</v>
      </c>
      <c r="M134" s="280">
        <f t="shared" si="5"/>
        <v>-1.1272823498279945E-2</v>
      </c>
    </row>
    <row r="135" spans="1:13">
      <c r="A135" s="275"/>
      <c r="B135" s="275"/>
      <c r="C135" s="275"/>
      <c r="D135" s="275"/>
      <c r="E135" s="275" t="s">
        <v>479</v>
      </c>
      <c r="F135" s="275" t="s">
        <v>614</v>
      </c>
      <c r="G135" s="278">
        <v>31001.49</v>
      </c>
      <c r="H135" s="280">
        <f t="shared" si="4"/>
        <v>-1.3979508298394863E-2</v>
      </c>
      <c r="I135" s="275"/>
      <c r="J135" s="275" t="s">
        <v>1717</v>
      </c>
      <c r="K135" s="275" t="s">
        <v>614</v>
      </c>
      <c r="L135" s="275">
        <v>184.83</v>
      </c>
      <c r="M135" s="280">
        <f t="shared" si="5"/>
        <v>-1.0651964457766731E-2</v>
      </c>
    </row>
    <row r="136" spans="1:13">
      <c r="A136" s="275"/>
      <c r="B136" s="275"/>
      <c r="C136" s="275"/>
      <c r="D136" s="275"/>
      <c r="E136" s="275" t="s">
        <v>479</v>
      </c>
      <c r="F136" s="275" t="s">
        <v>615</v>
      </c>
      <c r="G136" s="278">
        <v>30628.400000000001</v>
      </c>
      <c r="H136" s="280">
        <f t="shared" si="4"/>
        <v>-1.2034582853920896E-2</v>
      </c>
      <c r="I136" s="275"/>
      <c r="J136" s="275" t="s">
        <v>1717</v>
      </c>
      <c r="K136" s="275" t="s">
        <v>615</v>
      </c>
      <c r="L136" s="275">
        <v>183.93</v>
      </c>
      <c r="M136" s="280">
        <f t="shared" si="5"/>
        <v>-4.8693393929557195E-3</v>
      </c>
    </row>
    <row r="137" spans="1:13">
      <c r="A137" s="275"/>
      <c r="B137" s="275"/>
      <c r="C137" s="275"/>
      <c r="D137" s="275"/>
      <c r="E137" s="275" t="s">
        <v>479</v>
      </c>
      <c r="F137" s="275" t="s">
        <v>616</v>
      </c>
      <c r="G137" s="278">
        <v>31092.61</v>
      </c>
      <c r="H137" s="280">
        <f t="shared" si="4"/>
        <v>1.5156194904075927E-2</v>
      </c>
      <c r="I137" s="275"/>
      <c r="J137" s="275" t="s">
        <v>1717</v>
      </c>
      <c r="K137" s="275" t="s">
        <v>616</v>
      </c>
      <c r="L137" s="275">
        <v>183.85</v>
      </c>
      <c r="M137" s="280">
        <f t="shared" si="5"/>
        <v>-4.34948078073248E-4</v>
      </c>
    </row>
    <row r="138" spans="1:13">
      <c r="A138" s="275"/>
      <c r="B138" s="275"/>
      <c r="C138" s="275"/>
      <c r="D138" s="275"/>
      <c r="E138" s="275" t="s">
        <v>479</v>
      </c>
      <c r="F138" s="275" t="s">
        <v>617</v>
      </c>
      <c r="G138" s="278">
        <v>30766.01</v>
      </c>
      <c r="H138" s="280">
        <f t="shared" si="4"/>
        <v>-1.050410370824457E-2</v>
      </c>
      <c r="I138" s="275"/>
      <c r="J138" s="275" t="s">
        <v>1717</v>
      </c>
      <c r="K138" s="275" t="s">
        <v>617</v>
      </c>
      <c r="L138" s="275">
        <v>184.62</v>
      </c>
      <c r="M138" s="280">
        <f t="shared" si="5"/>
        <v>4.1881968996465065E-3</v>
      </c>
    </row>
    <row r="139" spans="1:13">
      <c r="A139" s="275"/>
      <c r="B139" s="275"/>
      <c r="C139" s="275"/>
      <c r="D139" s="275"/>
      <c r="E139" s="275" t="s">
        <v>479</v>
      </c>
      <c r="F139" s="275" t="s">
        <v>618</v>
      </c>
      <c r="G139" s="278">
        <v>30751.8</v>
      </c>
      <c r="H139" s="280">
        <f t="shared" si="4"/>
        <v>-4.6187334659252623E-4</v>
      </c>
      <c r="I139" s="275"/>
      <c r="J139" s="275" t="s">
        <v>1717</v>
      </c>
      <c r="K139" s="275" t="s">
        <v>618</v>
      </c>
      <c r="L139" s="275">
        <v>184.62</v>
      </c>
      <c r="M139" s="280">
        <f t="shared" si="5"/>
        <v>0</v>
      </c>
    </row>
    <row r="140" spans="1:13">
      <c r="A140" s="275"/>
      <c r="B140" s="275"/>
      <c r="C140" s="275"/>
      <c r="D140" s="275"/>
      <c r="E140" s="275" t="s">
        <v>479</v>
      </c>
      <c r="F140" s="275" t="s">
        <v>619</v>
      </c>
      <c r="G140" s="278">
        <v>30949.02</v>
      </c>
      <c r="H140" s="280">
        <f t="shared" si="4"/>
        <v>6.4132831248902887E-3</v>
      </c>
      <c r="I140" s="275"/>
      <c r="J140" s="275" t="s">
        <v>1717</v>
      </c>
      <c r="K140" s="275" t="s">
        <v>619</v>
      </c>
      <c r="L140" s="275">
        <v>184.98</v>
      </c>
      <c r="M140" s="280">
        <f t="shared" si="5"/>
        <v>1.9499512512186395E-3</v>
      </c>
    </row>
    <row r="141" spans="1:13">
      <c r="A141" s="275"/>
      <c r="B141" s="275"/>
      <c r="C141" s="275"/>
      <c r="D141" s="275"/>
      <c r="E141" s="275" t="s">
        <v>479</v>
      </c>
      <c r="F141" s="275" t="s">
        <v>620</v>
      </c>
      <c r="G141" s="278">
        <v>31065.13</v>
      </c>
      <c r="H141" s="280">
        <f t="shared" si="4"/>
        <v>3.7516535257013173E-3</v>
      </c>
      <c r="I141" s="275"/>
      <c r="J141" s="275" t="s">
        <v>1717</v>
      </c>
      <c r="K141" s="275" t="s">
        <v>620</v>
      </c>
      <c r="L141" s="275">
        <v>186.17</v>
      </c>
      <c r="M141" s="280">
        <f t="shared" si="5"/>
        <v>6.4331279057195257E-3</v>
      </c>
    </row>
    <row r="142" spans="1:13">
      <c r="A142" s="275"/>
      <c r="B142" s="275"/>
      <c r="C142" s="275"/>
      <c r="D142" s="275"/>
      <c r="E142" s="275" t="s">
        <v>479</v>
      </c>
      <c r="F142" s="275" t="s">
        <v>621</v>
      </c>
      <c r="G142" s="278">
        <v>31074.38</v>
      </c>
      <c r="H142" s="280">
        <f t="shared" si="4"/>
        <v>2.9776150944805314E-4</v>
      </c>
      <c r="I142" s="275"/>
      <c r="J142" s="275" t="s">
        <v>1717</v>
      </c>
      <c r="K142" s="275" t="s">
        <v>621</v>
      </c>
      <c r="L142" s="275">
        <v>188.42</v>
      </c>
      <c r="M142" s="280">
        <f t="shared" si="5"/>
        <v>1.2085728097974971E-2</v>
      </c>
    </row>
    <row r="143" spans="1:13">
      <c r="A143" s="275"/>
      <c r="B143" s="275"/>
      <c r="C143" s="275"/>
      <c r="D143" s="275"/>
      <c r="E143" s="275" t="s">
        <v>479</v>
      </c>
      <c r="F143" s="275" t="s">
        <v>622</v>
      </c>
      <c r="G143" s="278">
        <v>31101.38</v>
      </c>
      <c r="H143" s="280">
        <f t="shared" si="4"/>
        <v>8.688829833451222E-4</v>
      </c>
      <c r="I143" s="275"/>
      <c r="J143" s="275" t="s">
        <v>1717</v>
      </c>
      <c r="K143" s="275" t="s">
        <v>622</v>
      </c>
      <c r="L143" s="275">
        <v>190.8</v>
      </c>
      <c r="M143" s="280">
        <f t="shared" si="5"/>
        <v>1.263135548243299E-2</v>
      </c>
    </row>
    <row r="144" spans="1:13">
      <c r="A144" s="275"/>
      <c r="B144" s="275"/>
      <c r="C144" s="275"/>
      <c r="D144" s="275"/>
      <c r="E144" s="275" t="s">
        <v>479</v>
      </c>
      <c r="F144" s="275" t="s">
        <v>623</v>
      </c>
      <c r="G144" s="278">
        <v>31193.73</v>
      </c>
      <c r="H144" s="280">
        <f t="shared" si="4"/>
        <v>2.9693216185262051E-3</v>
      </c>
      <c r="I144" s="275"/>
      <c r="J144" s="275" t="s">
        <v>1717</v>
      </c>
      <c r="K144" s="275" t="s">
        <v>623</v>
      </c>
      <c r="L144" s="275">
        <v>200.19</v>
      </c>
      <c r="M144" s="280">
        <f t="shared" si="5"/>
        <v>4.9213836477987348E-2</v>
      </c>
    </row>
    <row r="145" spans="1:13">
      <c r="A145" s="275"/>
      <c r="B145" s="275"/>
      <c r="C145" s="275"/>
      <c r="D145" s="275"/>
      <c r="E145" s="275" t="s">
        <v>479</v>
      </c>
      <c r="F145" s="275" t="s">
        <v>624</v>
      </c>
      <c r="G145" s="278">
        <v>31298.6</v>
      </c>
      <c r="H145" s="280">
        <f t="shared" si="4"/>
        <v>3.3618935600198815E-3</v>
      </c>
      <c r="I145" s="275"/>
      <c r="J145" s="275" t="s">
        <v>1717</v>
      </c>
      <c r="K145" s="275" t="s">
        <v>624</v>
      </c>
      <c r="L145" s="275">
        <v>201.32</v>
      </c>
      <c r="M145" s="280">
        <f t="shared" si="5"/>
        <v>5.6446375942854066E-3</v>
      </c>
    </row>
    <row r="146" spans="1:13">
      <c r="A146" s="275"/>
      <c r="B146" s="275"/>
      <c r="C146" s="275"/>
      <c r="D146" s="275"/>
      <c r="E146" s="275" t="s">
        <v>479</v>
      </c>
      <c r="F146" s="275" t="s">
        <v>625</v>
      </c>
      <c r="G146" s="278">
        <v>31878.15</v>
      </c>
      <c r="H146" s="280">
        <f t="shared" si="4"/>
        <v>1.8516802668490057E-2</v>
      </c>
      <c r="I146" s="275"/>
      <c r="J146" s="275" t="s">
        <v>1717</v>
      </c>
      <c r="K146" s="275" t="s">
        <v>625</v>
      </c>
      <c r="L146" s="275">
        <v>205.89</v>
      </c>
      <c r="M146" s="280">
        <f t="shared" si="5"/>
        <v>2.2700178819789356E-2</v>
      </c>
    </row>
    <row r="147" spans="1:13">
      <c r="A147" s="275"/>
      <c r="B147" s="275"/>
      <c r="C147" s="275"/>
      <c r="D147" s="275"/>
      <c r="E147" s="275" t="s">
        <v>479</v>
      </c>
      <c r="F147" s="275" t="s">
        <v>626</v>
      </c>
      <c r="G147" s="278">
        <v>31960.61</v>
      </c>
      <c r="H147" s="280">
        <f t="shared" si="4"/>
        <v>2.58672476288615E-3</v>
      </c>
      <c r="I147" s="275"/>
      <c r="J147" s="275" t="s">
        <v>1717</v>
      </c>
      <c r="K147" s="275" t="s">
        <v>626</v>
      </c>
      <c r="L147" s="275">
        <v>208.02</v>
      </c>
      <c r="M147" s="280">
        <f t="shared" si="5"/>
        <v>1.034533003059898E-2</v>
      </c>
    </row>
    <row r="148" spans="1:13">
      <c r="A148" s="275"/>
      <c r="B148" s="275"/>
      <c r="C148" s="275"/>
      <c r="D148" s="275"/>
      <c r="E148" s="275" t="s">
        <v>479</v>
      </c>
      <c r="F148" s="275" t="s">
        <v>627</v>
      </c>
      <c r="G148" s="278">
        <v>32084.06</v>
      </c>
      <c r="H148" s="280">
        <f t="shared" si="4"/>
        <v>3.8625670786634151E-3</v>
      </c>
      <c r="I148" s="275"/>
      <c r="J148" s="275" t="s">
        <v>1717</v>
      </c>
      <c r="K148" s="275" t="s">
        <v>627</v>
      </c>
      <c r="L148" s="275">
        <v>205.49</v>
      </c>
      <c r="M148" s="280">
        <f t="shared" si="5"/>
        <v>-1.2162292087299303E-2</v>
      </c>
    </row>
    <row r="149" spans="1:13">
      <c r="A149" s="275"/>
      <c r="B149" s="275"/>
      <c r="C149" s="275"/>
      <c r="D149" s="275"/>
      <c r="E149" s="275" t="s">
        <v>479</v>
      </c>
      <c r="F149" s="275" t="s">
        <v>628</v>
      </c>
      <c r="G149" s="278">
        <v>32478.98</v>
      </c>
      <c r="H149" s="280">
        <f t="shared" si="4"/>
        <v>1.2308916016239785E-2</v>
      </c>
      <c r="I149" s="275"/>
      <c r="J149" s="275" t="s">
        <v>1717</v>
      </c>
      <c r="K149" s="275" t="s">
        <v>628</v>
      </c>
      <c r="L149" s="275">
        <v>204.02</v>
      </c>
      <c r="M149" s="280">
        <f t="shared" si="5"/>
        <v>-7.1536327801839444E-3</v>
      </c>
    </row>
    <row r="150" spans="1:13">
      <c r="A150" s="275"/>
      <c r="B150" s="275"/>
      <c r="C150" s="275"/>
      <c r="D150" s="275"/>
      <c r="E150" s="275" t="s">
        <v>479</v>
      </c>
      <c r="F150" s="275" t="s">
        <v>629</v>
      </c>
      <c r="G150" s="278">
        <v>32706.22</v>
      </c>
      <c r="H150" s="280">
        <f t="shared" si="4"/>
        <v>6.9965251371810816E-3</v>
      </c>
      <c r="I150" s="275"/>
      <c r="J150" s="275" t="s">
        <v>1717</v>
      </c>
      <c r="K150" s="275" t="s">
        <v>629</v>
      </c>
      <c r="L150" s="275">
        <v>201.54</v>
      </c>
      <c r="M150" s="280">
        <f t="shared" si="5"/>
        <v>-1.2155671012645907E-2</v>
      </c>
    </row>
    <row r="151" spans="1:13">
      <c r="A151" s="275"/>
      <c r="B151" s="275"/>
      <c r="C151" s="275"/>
      <c r="D151" s="275"/>
      <c r="E151" s="275" t="s">
        <v>479</v>
      </c>
      <c r="F151" s="275" t="s">
        <v>630</v>
      </c>
      <c r="G151" s="278">
        <v>32444.2</v>
      </c>
      <c r="H151" s="280">
        <f t="shared" si="4"/>
        <v>-8.0113201709032852E-3</v>
      </c>
      <c r="I151" s="275"/>
      <c r="J151" s="275" t="s">
        <v>1717</v>
      </c>
      <c r="K151" s="275" t="s">
        <v>630</v>
      </c>
      <c r="L151" s="275">
        <v>198.11</v>
      </c>
      <c r="M151" s="280">
        <f t="shared" si="5"/>
        <v>-1.7018954053785743E-2</v>
      </c>
    </row>
    <row r="152" spans="1:13">
      <c r="A152" s="275"/>
      <c r="B152" s="275"/>
      <c r="C152" s="275"/>
      <c r="D152" s="275"/>
      <c r="E152" s="275" t="s">
        <v>479</v>
      </c>
      <c r="F152" s="275" t="s">
        <v>631</v>
      </c>
      <c r="G152" s="278">
        <v>32144.59</v>
      </c>
      <c r="H152" s="280">
        <f t="shared" si="4"/>
        <v>-9.2346243704576041E-3</v>
      </c>
      <c r="I152" s="275"/>
      <c r="J152" s="275" t="s">
        <v>1717</v>
      </c>
      <c r="K152" s="275" t="s">
        <v>631</v>
      </c>
      <c r="L152" s="275">
        <v>197.66</v>
      </c>
      <c r="M152" s="280">
        <f t="shared" si="5"/>
        <v>-2.2714653475342842E-3</v>
      </c>
    </row>
    <row r="153" spans="1:13">
      <c r="A153" s="275"/>
      <c r="B153" s="275"/>
      <c r="C153" s="275"/>
      <c r="D153" s="275"/>
      <c r="E153" s="275" t="s">
        <v>479</v>
      </c>
      <c r="F153" s="275" t="s">
        <v>632</v>
      </c>
      <c r="G153" s="278">
        <v>31820.54</v>
      </c>
      <c r="H153" s="280">
        <f t="shared" si="4"/>
        <v>-1.0081012076993337E-2</v>
      </c>
      <c r="I153" s="275"/>
      <c r="J153" s="275" t="s">
        <v>1717</v>
      </c>
      <c r="K153" s="275" t="s">
        <v>632</v>
      </c>
      <c r="L153" s="275">
        <v>195.19</v>
      </c>
      <c r="M153" s="280">
        <f t="shared" si="5"/>
        <v>-1.2496205605585344E-2</v>
      </c>
    </row>
    <row r="154" spans="1:13">
      <c r="A154" s="275"/>
      <c r="B154" s="275"/>
      <c r="C154" s="275"/>
      <c r="D154" s="275"/>
      <c r="E154" s="275" t="s">
        <v>479</v>
      </c>
      <c r="F154" s="275" t="s">
        <v>633</v>
      </c>
      <c r="G154" s="278">
        <v>31464.16</v>
      </c>
      <c r="H154" s="280">
        <f t="shared" si="4"/>
        <v>-1.119968422911745E-2</v>
      </c>
      <c r="I154" s="275"/>
      <c r="J154" s="275" t="s">
        <v>1717</v>
      </c>
      <c r="K154" s="275" t="s">
        <v>633</v>
      </c>
      <c r="L154" s="275">
        <v>191.58</v>
      </c>
      <c r="M154" s="280">
        <f t="shared" si="5"/>
        <v>-1.8494799938521364E-2</v>
      </c>
    </row>
    <row r="155" spans="1:13">
      <c r="A155" s="275"/>
      <c r="B155" s="275"/>
      <c r="C155" s="275"/>
      <c r="D155" s="275"/>
      <c r="E155" s="275" t="s">
        <v>479</v>
      </c>
      <c r="F155" s="275" t="s">
        <v>634</v>
      </c>
      <c r="G155" s="278">
        <v>31928.15</v>
      </c>
      <c r="H155" s="280">
        <f t="shared" si="4"/>
        <v>1.4746619645971848E-2</v>
      </c>
      <c r="I155" s="275"/>
      <c r="J155" s="275" t="s">
        <v>1717</v>
      </c>
      <c r="K155" s="275" t="s">
        <v>634</v>
      </c>
      <c r="L155" s="275">
        <v>190.1</v>
      </c>
      <c r="M155" s="280">
        <f t="shared" si="5"/>
        <v>-7.7252322789436167E-3</v>
      </c>
    </row>
    <row r="156" spans="1:13">
      <c r="A156" s="275"/>
      <c r="B156" s="275"/>
      <c r="C156" s="275"/>
      <c r="D156" s="275"/>
      <c r="E156" s="275" t="s">
        <v>479</v>
      </c>
      <c r="F156" s="275" t="s">
        <v>635</v>
      </c>
      <c r="G156" s="278">
        <v>31673.16</v>
      </c>
      <c r="H156" s="280">
        <f t="shared" si="4"/>
        <v>-7.9863693950323333E-3</v>
      </c>
      <c r="I156" s="275"/>
      <c r="J156" s="275" t="s">
        <v>1717</v>
      </c>
      <c r="K156" s="275" t="s">
        <v>635</v>
      </c>
      <c r="L156" s="275">
        <v>193.87</v>
      </c>
      <c r="M156" s="280">
        <f t="shared" si="5"/>
        <v>1.9831667543398265E-2</v>
      </c>
    </row>
    <row r="157" spans="1:13">
      <c r="A157" s="275"/>
      <c r="B157" s="275"/>
      <c r="C157" s="275"/>
      <c r="D157" s="275"/>
      <c r="E157" s="275" t="s">
        <v>479</v>
      </c>
      <c r="F157" s="275" t="s">
        <v>636</v>
      </c>
      <c r="G157" s="278">
        <v>31469.7</v>
      </c>
      <c r="H157" s="280">
        <f t="shared" si="4"/>
        <v>-6.4237354277248979E-3</v>
      </c>
      <c r="I157" s="275"/>
      <c r="J157" s="275" t="s">
        <v>1717</v>
      </c>
      <c r="K157" s="275" t="s">
        <v>636</v>
      </c>
      <c r="L157" s="275">
        <v>191.16</v>
      </c>
      <c r="M157" s="280">
        <f t="shared" si="5"/>
        <v>-1.3978439160262071E-2</v>
      </c>
    </row>
    <row r="158" spans="1:13">
      <c r="A158" s="275"/>
      <c r="B158" s="275"/>
      <c r="C158" s="275"/>
      <c r="D158" s="275"/>
      <c r="E158" s="275" t="s">
        <v>479</v>
      </c>
      <c r="F158" s="275" t="s">
        <v>637</v>
      </c>
      <c r="G158" s="278">
        <v>31282.44</v>
      </c>
      <c r="H158" s="280">
        <f t="shared" si="4"/>
        <v>-5.950485705297541E-3</v>
      </c>
      <c r="I158" s="275"/>
      <c r="J158" s="275" t="s">
        <v>1717</v>
      </c>
      <c r="K158" s="275" t="s">
        <v>637</v>
      </c>
      <c r="L158" s="275">
        <v>191.99</v>
      </c>
      <c r="M158" s="280">
        <f t="shared" si="5"/>
        <v>4.3419125340029953E-3</v>
      </c>
    </row>
    <row r="159" spans="1:13">
      <c r="A159" s="275"/>
      <c r="B159" s="275"/>
      <c r="C159" s="275"/>
      <c r="D159" s="275"/>
      <c r="E159" s="275" t="s">
        <v>479</v>
      </c>
      <c r="F159" s="275" t="s">
        <v>638</v>
      </c>
      <c r="G159" s="278">
        <v>31011.77</v>
      </c>
      <c r="H159" s="280">
        <f t="shared" si="4"/>
        <v>-8.6524580563408175E-3</v>
      </c>
      <c r="I159" s="275"/>
      <c r="J159" s="275" t="s">
        <v>1717</v>
      </c>
      <c r="K159" s="275" t="s">
        <v>638</v>
      </c>
      <c r="L159" s="275">
        <v>189.21</v>
      </c>
      <c r="M159" s="280">
        <f t="shared" si="5"/>
        <v>-1.4479920829209859E-2</v>
      </c>
    </row>
    <row r="160" spans="1:13">
      <c r="A160" s="275"/>
      <c r="B160" s="275"/>
      <c r="C160" s="275"/>
      <c r="D160" s="275"/>
      <c r="E160" s="275" t="s">
        <v>479</v>
      </c>
      <c r="F160" s="275" t="s">
        <v>639</v>
      </c>
      <c r="G160" s="278">
        <v>30677.68</v>
      </c>
      <c r="H160" s="280">
        <f t="shared" si="4"/>
        <v>-1.0773006506884326E-2</v>
      </c>
      <c r="I160" s="275"/>
      <c r="J160" s="275" t="s">
        <v>1717</v>
      </c>
      <c r="K160" s="275" t="s">
        <v>639</v>
      </c>
      <c r="L160" s="275">
        <v>181.88</v>
      </c>
      <c r="M160" s="280">
        <f t="shared" si="5"/>
        <v>-3.8740024311611498E-2</v>
      </c>
    </row>
    <row r="161" spans="1:13">
      <c r="A161" s="275"/>
      <c r="B161" s="275"/>
      <c r="C161" s="275"/>
      <c r="D161" s="275"/>
      <c r="E161" s="275" t="s">
        <v>479</v>
      </c>
      <c r="F161" s="275" t="s">
        <v>640</v>
      </c>
      <c r="G161" s="278">
        <v>30564.5</v>
      </c>
      <c r="H161" s="280">
        <f t="shared" si="4"/>
        <v>-3.6893272242229623E-3</v>
      </c>
      <c r="I161" s="275"/>
      <c r="J161" s="275" t="s">
        <v>1717</v>
      </c>
      <c r="K161" s="275" t="s">
        <v>640</v>
      </c>
      <c r="L161" s="275">
        <v>176.92</v>
      </c>
      <c r="M161" s="280">
        <f t="shared" si="5"/>
        <v>-2.7270727952496195E-2</v>
      </c>
    </row>
    <row r="162" spans="1:13">
      <c r="A162" s="275"/>
      <c r="B162" s="275"/>
      <c r="C162" s="275"/>
      <c r="D162" s="275"/>
      <c r="E162" s="275" t="s">
        <v>479</v>
      </c>
      <c r="F162" s="275" t="s">
        <v>641</v>
      </c>
      <c r="G162" s="278">
        <v>30786.6</v>
      </c>
      <c r="H162" s="280">
        <f t="shared" si="4"/>
        <v>7.2666001406860425E-3</v>
      </c>
      <c r="I162" s="275"/>
      <c r="J162" s="275" t="s">
        <v>1717</v>
      </c>
      <c r="K162" s="275" t="s">
        <v>641</v>
      </c>
      <c r="L162" s="275">
        <v>181.03</v>
      </c>
      <c r="M162" s="280">
        <f t="shared" si="5"/>
        <v>2.3230838797196552E-2</v>
      </c>
    </row>
    <row r="163" spans="1:13">
      <c r="A163" s="275"/>
      <c r="B163" s="275"/>
      <c r="C163" s="275"/>
      <c r="D163" s="275"/>
      <c r="E163" s="275" t="s">
        <v>479</v>
      </c>
      <c r="F163" s="275" t="s">
        <v>642</v>
      </c>
      <c r="G163" s="278">
        <v>30802.53</v>
      </c>
      <c r="H163" s="280">
        <f t="shared" si="4"/>
        <v>5.1743290912280966E-4</v>
      </c>
      <c r="I163" s="275"/>
      <c r="J163" s="275" t="s">
        <v>1717</v>
      </c>
      <c r="K163" s="275" t="s">
        <v>642</v>
      </c>
      <c r="L163" s="275">
        <v>182.96</v>
      </c>
      <c r="M163" s="280">
        <f t="shared" si="5"/>
        <v>1.0661216372976892E-2</v>
      </c>
    </row>
    <row r="164" spans="1:13">
      <c r="A164" s="275"/>
      <c r="B164" s="275"/>
      <c r="C164" s="275"/>
      <c r="D164" s="275"/>
      <c r="E164" s="275" t="s">
        <v>479</v>
      </c>
      <c r="F164" s="275" t="s">
        <v>643</v>
      </c>
      <c r="G164" s="278">
        <v>31294.080000000002</v>
      </c>
      <c r="H164" s="280">
        <f t="shared" si="4"/>
        <v>1.5958104740097744E-2</v>
      </c>
      <c r="I164" s="275"/>
      <c r="J164" s="275" t="s">
        <v>1717</v>
      </c>
      <c r="K164" s="275" t="s">
        <v>643</v>
      </c>
      <c r="L164" s="275">
        <v>184.62</v>
      </c>
      <c r="M164" s="280">
        <f t="shared" si="5"/>
        <v>9.0730214254481668E-3</v>
      </c>
    </row>
    <row r="165" spans="1:13">
      <c r="A165" s="275"/>
      <c r="B165" s="275"/>
      <c r="C165" s="275"/>
      <c r="D165" s="275"/>
      <c r="E165" s="275" t="s">
        <v>479</v>
      </c>
      <c r="F165" s="275" t="s">
        <v>644</v>
      </c>
      <c r="G165" s="278">
        <v>31369.51</v>
      </c>
      <c r="H165" s="280">
        <f t="shared" si="4"/>
        <v>2.41036004253829E-3</v>
      </c>
      <c r="I165" s="275"/>
      <c r="J165" s="275" t="s">
        <v>1717</v>
      </c>
      <c r="K165" s="275" t="s">
        <v>644</v>
      </c>
      <c r="L165" s="275">
        <v>183.08</v>
      </c>
      <c r="M165" s="280">
        <f t="shared" si="5"/>
        <v>-8.3414581302133674E-3</v>
      </c>
    </row>
    <row r="166" spans="1:13">
      <c r="A166" s="275"/>
      <c r="B166" s="275"/>
      <c r="C166" s="275"/>
      <c r="D166" s="275"/>
      <c r="E166" s="275" t="s">
        <v>479</v>
      </c>
      <c r="F166" s="275" t="s">
        <v>645</v>
      </c>
      <c r="G166" s="278">
        <v>31509.11</v>
      </c>
      <c r="H166" s="280">
        <f t="shared" si="4"/>
        <v>4.4501810834789001E-3</v>
      </c>
      <c r="I166" s="275"/>
      <c r="J166" s="275" t="s">
        <v>1717</v>
      </c>
      <c r="K166" s="275" t="s">
        <v>645</v>
      </c>
      <c r="L166" s="275">
        <v>187.18</v>
      </c>
      <c r="M166" s="280">
        <f t="shared" si="5"/>
        <v>2.2394581603670492E-2</v>
      </c>
    </row>
    <row r="167" spans="1:13">
      <c r="A167" s="275"/>
      <c r="B167" s="275"/>
      <c r="C167" s="275"/>
      <c r="D167" s="275"/>
      <c r="E167" s="275" t="s">
        <v>479</v>
      </c>
      <c r="F167" s="275" t="s">
        <v>646</v>
      </c>
      <c r="G167" s="278">
        <v>31772.9</v>
      </c>
      <c r="H167" s="280">
        <f t="shared" si="4"/>
        <v>8.3718645179124661E-3</v>
      </c>
      <c r="I167" s="275"/>
      <c r="J167" s="275" t="s">
        <v>1717</v>
      </c>
      <c r="K167" s="275" t="s">
        <v>646</v>
      </c>
      <c r="L167" s="275">
        <v>193.77</v>
      </c>
      <c r="M167" s="280">
        <f t="shared" si="5"/>
        <v>3.5206752858211364E-2</v>
      </c>
    </row>
    <row r="168" spans="1:13">
      <c r="A168" s="275"/>
      <c r="B168" s="275"/>
      <c r="C168" s="275"/>
      <c r="D168" s="275"/>
      <c r="E168" s="275" t="s">
        <v>479</v>
      </c>
      <c r="F168" s="275" t="s">
        <v>647</v>
      </c>
      <c r="G168" s="278">
        <v>32146.58</v>
      </c>
      <c r="H168" s="280">
        <f t="shared" si="4"/>
        <v>1.1760966106335912E-2</v>
      </c>
      <c r="I168" s="275"/>
      <c r="J168" s="275" t="s">
        <v>1717</v>
      </c>
      <c r="K168" s="275" t="s">
        <v>647</v>
      </c>
      <c r="L168" s="275">
        <v>195.98</v>
      </c>
      <c r="M168" s="280">
        <f t="shared" si="5"/>
        <v>1.1405274294266292E-2</v>
      </c>
    </row>
    <row r="169" spans="1:13">
      <c r="A169" s="275"/>
      <c r="B169" s="275"/>
      <c r="C169" s="275"/>
      <c r="D169" s="275"/>
      <c r="E169" s="275" t="s">
        <v>479</v>
      </c>
      <c r="F169" s="275" t="s">
        <v>648</v>
      </c>
      <c r="G169" s="278">
        <v>32441.74</v>
      </c>
      <c r="H169" s="280">
        <f t="shared" si="4"/>
        <v>9.1816921115714274E-3</v>
      </c>
      <c r="I169" s="275"/>
      <c r="J169" s="275" t="s">
        <v>1717</v>
      </c>
      <c r="K169" s="275" t="s">
        <v>648</v>
      </c>
      <c r="L169" s="275">
        <v>194.52</v>
      </c>
      <c r="M169" s="280">
        <f t="shared" si="5"/>
        <v>-7.449739769364117E-3</v>
      </c>
    </row>
    <row r="170" spans="1:13">
      <c r="A170" s="275"/>
      <c r="B170" s="275"/>
      <c r="C170" s="275"/>
      <c r="D170" s="275"/>
      <c r="E170" s="275" t="s">
        <v>479</v>
      </c>
      <c r="F170" s="275" t="s">
        <v>649</v>
      </c>
      <c r="G170" s="278">
        <v>33022.6</v>
      </c>
      <c r="H170" s="280">
        <f t="shared" si="4"/>
        <v>1.7904711646169316E-2</v>
      </c>
      <c r="I170" s="275"/>
      <c r="J170" s="275" t="s">
        <v>1717</v>
      </c>
      <c r="K170" s="275" t="s">
        <v>649</v>
      </c>
      <c r="L170" s="275">
        <v>199.23</v>
      </c>
      <c r="M170" s="280">
        <f t="shared" si="5"/>
        <v>2.4213448488587187E-2</v>
      </c>
    </row>
    <row r="171" spans="1:13">
      <c r="A171" s="275"/>
      <c r="B171" s="275"/>
      <c r="C171" s="275"/>
      <c r="D171" s="275"/>
      <c r="E171" s="275" t="s">
        <v>479</v>
      </c>
      <c r="F171" s="275" t="s">
        <v>650</v>
      </c>
      <c r="G171" s="278">
        <v>33032.85</v>
      </c>
      <c r="H171" s="280">
        <f t="shared" si="4"/>
        <v>3.1039348809603121E-4</v>
      </c>
      <c r="I171" s="275"/>
      <c r="J171" s="275" t="s">
        <v>1717</v>
      </c>
      <c r="K171" s="275" t="s">
        <v>650</v>
      </c>
      <c r="L171" s="275">
        <v>198.35</v>
      </c>
      <c r="M171" s="280">
        <f t="shared" si="5"/>
        <v>-4.4170054710635726E-3</v>
      </c>
    </row>
    <row r="172" spans="1:13">
      <c r="A172" s="275"/>
      <c r="B172" s="275"/>
      <c r="C172" s="275"/>
      <c r="D172" s="275"/>
      <c r="E172" s="275" t="s">
        <v>479</v>
      </c>
      <c r="F172" s="275" t="s">
        <v>651</v>
      </c>
      <c r="G172" s="278">
        <v>32957.980000000003</v>
      </c>
      <c r="H172" s="280">
        <f t="shared" si="4"/>
        <v>-2.266531649554772E-3</v>
      </c>
      <c r="I172" s="275"/>
      <c r="J172" s="275" t="s">
        <v>1717</v>
      </c>
      <c r="K172" s="275" t="s">
        <v>651</v>
      </c>
      <c r="L172" s="275">
        <v>196.83</v>
      </c>
      <c r="M172" s="280">
        <f t="shared" si="5"/>
        <v>-7.6632215780185623E-3</v>
      </c>
    </row>
    <row r="173" spans="1:13">
      <c r="A173" s="275"/>
      <c r="B173" s="275"/>
      <c r="C173" s="275"/>
      <c r="D173" s="275"/>
      <c r="E173" s="275" t="s">
        <v>479</v>
      </c>
      <c r="F173" s="275" t="s">
        <v>652</v>
      </c>
      <c r="G173" s="278">
        <v>32710.560000000001</v>
      </c>
      <c r="H173" s="280">
        <f t="shared" si="4"/>
        <v>-7.5071348426087358E-3</v>
      </c>
      <c r="I173" s="275"/>
      <c r="J173" s="275" t="s">
        <v>1717</v>
      </c>
      <c r="K173" s="275" t="s">
        <v>652</v>
      </c>
      <c r="L173" s="275">
        <v>196.15</v>
      </c>
      <c r="M173" s="280">
        <f t="shared" si="5"/>
        <v>-3.4547579129198128E-3</v>
      </c>
    </row>
    <row r="174" spans="1:13">
      <c r="A174" s="275"/>
      <c r="B174" s="275"/>
      <c r="C174" s="275"/>
      <c r="D174" s="275"/>
      <c r="E174" s="275" t="s">
        <v>479</v>
      </c>
      <c r="F174" s="275" t="s">
        <v>653</v>
      </c>
      <c r="G174" s="278">
        <v>32669.16</v>
      </c>
      <c r="H174" s="280">
        <f t="shared" si="4"/>
        <v>-1.2656463233891885E-3</v>
      </c>
      <c r="I174" s="275"/>
      <c r="J174" s="275" t="s">
        <v>1717</v>
      </c>
      <c r="K174" s="275" t="s">
        <v>653</v>
      </c>
      <c r="L174" s="275">
        <v>193.85</v>
      </c>
      <c r="M174" s="280">
        <f t="shared" si="5"/>
        <v>-1.1725720112159119E-2</v>
      </c>
    </row>
    <row r="175" spans="1:13">
      <c r="A175" s="275"/>
      <c r="B175" s="275"/>
      <c r="C175" s="275"/>
      <c r="D175" s="275"/>
      <c r="E175" s="275" t="s">
        <v>479</v>
      </c>
      <c r="F175" s="275" t="s">
        <v>654</v>
      </c>
      <c r="G175" s="278">
        <v>32738.560000000001</v>
      </c>
      <c r="H175" s="280">
        <f t="shared" si="4"/>
        <v>2.1243276533587474E-3</v>
      </c>
      <c r="I175" s="275"/>
      <c r="J175" s="275" t="s">
        <v>1717</v>
      </c>
      <c r="K175" s="275" t="s">
        <v>654</v>
      </c>
      <c r="L175" s="275">
        <v>192.38</v>
      </c>
      <c r="M175" s="280">
        <f t="shared" si="5"/>
        <v>-7.583182873355682E-3</v>
      </c>
    </row>
    <row r="176" spans="1:13">
      <c r="A176" s="275"/>
      <c r="B176" s="275"/>
      <c r="C176" s="275"/>
      <c r="D176" s="275"/>
      <c r="E176" s="275" t="s">
        <v>479</v>
      </c>
      <c r="F176" s="275" t="s">
        <v>655</v>
      </c>
      <c r="G176" s="278">
        <v>32623.02</v>
      </c>
      <c r="H176" s="280">
        <f t="shared" si="4"/>
        <v>-3.5291717167768182E-3</v>
      </c>
      <c r="I176" s="275"/>
      <c r="J176" s="275" t="s">
        <v>1717</v>
      </c>
      <c r="K176" s="275" t="s">
        <v>655</v>
      </c>
      <c r="L176" s="275">
        <v>192.68</v>
      </c>
      <c r="M176" s="280">
        <f t="shared" si="5"/>
        <v>1.5594136604637249E-3</v>
      </c>
    </row>
    <row r="177" spans="1:13">
      <c r="A177" s="275"/>
      <c r="B177" s="275"/>
      <c r="C177" s="275"/>
      <c r="D177" s="275"/>
      <c r="E177" s="275" t="s">
        <v>479</v>
      </c>
      <c r="F177" s="275" t="s">
        <v>656</v>
      </c>
      <c r="G177" s="278">
        <v>32891.08</v>
      </c>
      <c r="H177" s="280">
        <f t="shared" si="4"/>
        <v>8.2168971480874944E-3</v>
      </c>
      <c r="I177" s="275"/>
      <c r="J177" s="275" t="s">
        <v>1717</v>
      </c>
      <c r="K177" s="275" t="s">
        <v>656</v>
      </c>
      <c r="L177" s="275">
        <v>195.46</v>
      </c>
      <c r="M177" s="280">
        <f t="shared" si="5"/>
        <v>1.4428067261781197E-2</v>
      </c>
    </row>
    <row r="178" spans="1:13">
      <c r="A178" s="275"/>
      <c r="B178" s="275"/>
      <c r="C178" s="275"/>
      <c r="D178" s="275"/>
      <c r="E178" s="275" t="s">
        <v>479</v>
      </c>
      <c r="F178" s="275" t="s">
        <v>657</v>
      </c>
      <c r="G178" s="278">
        <v>32957.75</v>
      </c>
      <c r="H178" s="280">
        <f t="shared" si="4"/>
        <v>2.0269933367952114E-3</v>
      </c>
      <c r="I178" s="275"/>
      <c r="J178" s="275" t="s">
        <v>1717</v>
      </c>
      <c r="K178" s="275" t="s">
        <v>657</v>
      </c>
      <c r="L178" s="275">
        <v>195.06</v>
      </c>
      <c r="M178" s="280">
        <f t="shared" si="5"/>
        <v>-2.0464545175483766E-3</v>
      </c>
    </row>
    <row r="179" spans="1:13">
      <c r="A179" s="275"/>
      <c r="B179" s="275"/>
      <c r="C179" s="275"/>
      <c r="D179" s="275"/>
      <c r="E179" s="275" t="s">
        <v>479</v>
      </c>
      <c r="F179" s="275" t="s">
        <v>658</v>
      </c>
      <c r="G179" s="278">
        <v>33080.400000000001</v>
      </c>
      <c r="H179" s="280">
        <f t="shared" si="4"/>
        <v>3.7214312263428619E-3</v>
      </c>
      <c r="I179" s="275"/>
      <c r="J179" s="275" t="s">
        <v>1717</v>
      </c>
      <c r="K179" s="275" t="s">
        <v>658</v>
      </c>
      <c r="L179" s="275">
        <v>196.92</v>
      </c>
      <c r="M179" s="280">
        <f t="shared" si="5"/>
        <v>9.5355275299906957E-3</v>
      </c>
    </row>
    <row r="180" spans="1:13">
      <c r="A180" s="275"/>
      <c r="B180" s="275"/>
      <c r="C180" s="275"/>
      <c r="D180" s="275"/>
      <c r="E180" s="275" t="s">
        <v>479</v>
      </c>
      <c r="F180" s="275" t="s">
        <v>659</v>
      </c>
      <c r="G180" s="278">
        <v>33022.870000000003</v>
      </c>
      <c r="H180" s="280">
        <f t="shared" si="4"/>
        <v>-1.7390962624393548E-3</v>
      </c>
      <c r="I180" s="275"/>
      <c r="J180" s="275" t="s">
        <v>1717</v>
      </c>
      <c r="K180" s="275" t="s">
        <v>659</v>
      </c>
      <c r="L180" s="275">
        <v>196.92</v>
      </c>
      <c r="M180" s="280">
        <f t="shared" si="5"/>
        <v>0</v>
      </c>
    </row>
    <row r="181" spans="1:13">
      <c r="A181" s="275"/>
      <c r="B181" s="275"/>
      <c r="C181" s="275"/>
      <c r="D181" s="275"/>
      <c r="E181" s="275" t="s">
        <v>479</v>
      </c>
      <c r="F181" s="275" t="s">
        <v>660</v>
      </c>
      <c r="G181" s="278">
        <v>32928.300000000003</v>
      </c>
      <c r="H181" s="280">
        <f t="shared" si="4"/>
        <v>-2.8637728943607778E-3</v>
      </c>
      <c r="I181" s="275"/>
      <c r="J181" s="275" t="s">
        <v>1717</v>
      </c>
      <c r="K181" s="275" t="s">
        <v>660</v>
      </c>
      <c r="L181" s="275">
        <v>195.19</v>
      </c>
      <c r="M181" s="280">
        <f t="shared" si="5"/>
        <v>-8.7852935202112018E-3</v>
      </c>
    </row>
    <row r="182" spans="1:13">
      <c r="A182" s="275"/>
      <c r="B182" s="275"/>
      <c r="C182" s="275"/>
      <c r="D182" s="275"/>
      <c r="E182" s="275" t="s">
        <v>479</v>
      </c>
      <c r="F182" s="275" t="s">
        <v>661</v>
      </c>
      <c r="G182" s="278">
        <v>32801.879999999997</v>
      </c>
      <c r="H182" s="280">
        <f t="shared" si="4"/>
        <v>-3.839250735689529E-3</v>
      </c>
      <c r="I182" s="275"/>
      <c r="J182" s="275" t="s">
        <v>1717</v>
      </c>
      <c r="K182" s="275" t="s">
        <v>661</v>
      </c>
      <c r="L182" s="275">
        <v>193.14</v>
      </c>
      <c r="M182" s="280">
        <f t="shared" si="5"/>
        <v>-1.0502587222706139E-2</v>
      </c>
    </row>
    <row r="183" spans="1:13">
      <c r="A183" s="275"/>
      <c r="B183" s="275"/>
      <c r="C183" s="275"/>
      <c r="D183" s="275"/>
      <c r="E183" s="275" t="s">
        <v>479</v>
      </c>
      <c r="F183" s="275" t="s">
        <v>662</v>
      </c>
      <c r="G183" s="278">
        <v>32876.550000000003</v>
      </c>
      <c r="H183" s="280">
        <f t="shared" si="4"/>
        <v>2.2763939140075366E-3</v>
      </c>
      <c r="I183" s="275"/>
      <c r="J183" s="275" t="s">
        <v>1717</v>
      </c>
      <c r="K183" s="275" t="s">
        <v>662</v>
      </c>
      <c r="L183" s="275">
        <v>196.12</v>
      </c>
      <c r="M183" s="280">
        <f t="shared" si="5"/>
        <v>1.5429222325774145E-2</v>
      </c>
    </row>
    <row r="184" spans="1:13">
      <c r="A184" s="275"/>
      <c r="B184" s="275"/>
      <c r="C184" s="275"/>
      <c r="D184" s="275"/>
      <c r="E184" s="275" t="s">
        <v>479</v>
      </c>
      <c r="F184" s="275" t="s">
        <v>663</v>
      </c>
      <c r="G184" s="278">
        <v>32904.32</v>
      </c>
      <c r="H184" s="280">
        <f t="shared" si="4"/>
        <v>8.4467500391606769E-4</v>
      </c>
      <c r="I184" s="275"/>
      <c r="J184" s="275" t="s">
        <v>1717</v>
      </c>
      <c r="K184" s="275" t="s">
        <v>663</v>
      </c>
      <c r="L184" s="275">
        <v>194.65</v>
      </c>
      <c r="M184" s="280">
        <f t="shared" si="5"/>
        <v>-7.4954109728737452E-3</v>
      </c>
    </row>
    <row r="185" spans="1:13">
      <c r="A185" s="275"/>
      <c r="B185" s="275"/>
      <c r="C185" s="275"/>
      <c r="D185" s="275"/>
      <c r="E185" s="275" t="s">
        <v>479</v>
      </c>
      <c r="F185" s="275" t="s">
        <v>664</v>
      </c>
      <c r="G185" s="278">
        <v>32879.67</v>
      </c>
      <c r="H185" s="280">
        <f t="shared" si="4"/>
        <v>-7.4914175403112588E-4</v>
      </c>
      <c r="I185" s="275"/>
      <c r="J185" s="275" t="s">
        <v>1717</v>
      </c>
      <c r="K185" s="275" t="s">
        <v>664</v>
      </c>
      <c r="L185" s="275">
        <v>196.15</v>
      </c>
      <c r="M185" s="280">
        <f t="shared" si="5"/>
        <v>7.7061392242486508E-3</v>
      </c>
    </row>
    <row r="186" spans="1:13">
      <c r="A186" s="275"/>
      <c r="B186" s="275"/>
      <c r="C186" s="275"/>
      <c r="D186" s="275"/>
      <c r="E186" s="275" t="s">
        <v>479</v>
      </c>
      <c r="F186" s="275" t="s">
        <v>665</v>
      </c>
      <c r="G186" s="278">
        <v>32922.400000000001</v>
      </c>
      <c r="H186" s="280">
        <f t="shared" si="4"/>
        <v>1.2995872525485568E-3</v>
      </c>
      <c r="I186" s="275"/>
      <c r="J186" s="275" t="s">
        <v>1717</v>
      </c>
      <c r="K186" s="275" t="s">
        <v>665</v>
      </c>
      <c r="L186" s="275">
        <v>192.64</v>
      </c>
      <c r="M186" s="280">
        <f t="shared" si="5"/>
        <v>-1.7894468518990667E-2</v>
      </c>
    </row>
    <row r="187" spans="1:13">
      <c r="A187" s="275"/>
      <c r="B187" s="275"/>
      <c r="C187" s="275"/>
      <c r="D187" s="275"/>
      <c r="E187" s="275" t="s">
        <v>479</v>
      </c>
      <c r="F187" s="275" t="s">
        <v>666</v>
      </c>
      <c r="G187" s="278">
        <v>33139</v>
      </c>
      <c r="H187" s="280">
        <f t="shared" si="4"/>
        <v>6.5791072339804677E-3</v>
      </c>
      <c r="I187" s="275"/>
      <c r="J187" s="275" t="s">
        <v>1717</v>
      </c>
      <c r="K187" s="275" t="s">
        <v>666</v>
      </c>
      <c r="L187" s="275">
        <v>200.03</v>
      </c>
      <c r="M187" s="280">
        <f t="shared" si="5"/>
        <v>3.8361710963455226E-2</v>
      </c>
    </row>
    <row r="188" spans="1:13">
      <c r="A188" s="275"/>
      <c r="B188" s="275"/>
      <c r="C188" s="275"/>
      <c r="D188" s="275"/>
      <c r="E188" s="275" t="s">
        <v>479</v>
      </c>
      <c r="F188" s="275" t="s">
        <v>667</v>
      </c>
      <c r="G188" s="278">
        <v>33449.620000000003</v>
      </c>
      <c r="H188" s="280">
        <f t="shared" si="4"/>
        <v>9.3732460243218744E-3</v>
      </c>
      <c r="I188" s="275"/>
      <c r="J188" s="275" t="s">
        <v>1717</v>
      </c>
      <c r="K188" s="275" t="s">
        <v>667</v>
      </c>
      <c r="L188" s="275">
        <v>208.78</v>
      </c>
      <c r="M188" s="280">
        <f t="shared" si="5"/>
        <v>4.3743438484227369E-2</v>
      </c>
    </row>
    <row r="189" spans="1:13">
      <c r="A189" s="275"/>
      <c r="B189" s="275"/>
      <c r="C189" s="275"/>
      <c r="D189" s="275"/>
      <c r="E189" s="275" t="s">
        <v>479</v>
      </c>
      <c r="F189" s="275" t="s">
        <v>668</v>
      </c>
      <c r="G189" s="278">
        <v>33808.42</v>
      </c>
      <c r="H189" s="280">
        <f t="shared" si="4"/>
        <v>1.0726579255608751E-2</v>
      </c>
      <c r="I189" s="275"/>
      <c r="J189" s="275" t="s">
        <v>1717</v>
      </c>
      <c r="K189" s="275" t="s">
        <v>668</v>
      </c>
      <c r="L189" s="275">
        <v>215.48</v>
      </c>
      <c r="M189" s="280">
        <f t="shared" si="5"/>
        <v>3.2091196474758062E-2</v>
      </c>
    </row>
    <row r="190" spans="1:13">
      <c r="A190" s="275"/>
      <c r="B190" s="275"/>
      <c r="C190" s="275"/>
      <c r="D190" s="275"/>
      <c r="E190" s="275" t="s">
        <v>479</v>
      </c>
      <c r="F190" s="275" t="s">
        <v>669</v>
      </c>
      <c r="G190" s="278">
        <v>33766.49</v>
      </c>
      <c r="H190" s="280">
        <f t="shared" si="4"/>
        <v>-1.240223589271557E-3</v>
      </c>
      <c r="I190" s="275"/>
      <c r="J190" s="275" t="s">
        <v>1717</v>
      </c>
      <c r="K190" s="275" t="s">
        <v>669</v>
      </c>
      <c r="L190" s="275">
        <v>214.45</v>
      </c>
      <c r="M190" s="280">
        <f t="shared" si="5"/>
        <v>-4.7800259884908164E-3</v>
      </c>
    </row>
    <row r="191" spans="1:13">
      <c r="A191" s="275"/>
      <c r="B191" s="275"/>
      <c r="C191" s="275"/>
      <c r="D191" s="275"/>
      <c r="E191" s="275" t="s">
        <v>479</v>
      </c>
      <c r="F191" s="275" t="s">
        <v>670</v>
      </c>
      <c r="G191" s="278">
        <v>33946.370000000003</v>
      </c>
      <c r="H191" s="280">
        <f t="shared" si="4"/>
        <v>5.3271749595532334E-3</v>
      </c>
      <c r="I191" s="275"/>
      <c r="J191" s="275" t="s">
        <v>1717</v>
      </c>
      <c r="K191" s="275" t="s">
        <v>670</v>
      </c>
      <c r="L191" s="275">
        <v>211.74</v>
      </c>
      <c r="M191" s="280">
        <f t="shared" si="5"/>
        <v>-1.2636978316623826E-2</v>
      </c>
    </row>
    <row r="192" spans="1:13">
      <c r="A192" s="275"/>
      <c r="B192" s="275"/>
      <c r="C192" s="275"/>
      <c r="D192" s="275"/>
      <c r="E192" s="275" t="s">
        <v>479</v>
      </c>
      <c r="F192" s="275" t="s">
        <v>671</v>
      </c>
      <c r="G192" s="278">
        <v>33896.03</v>
      </c>
      <c r="H192" s="280">
        <f t="shared" si="4"/>
        <v>-1.4829273350877804E-3</v>
      </c>
      <c r="I192" s="275"/>
      <c r="J192" s="275" t="s">
        <v>1717</v>
      </c>
      <c r="K192" s="275" t="s">
        <v>671</v>
      </c>
      <c r="L192" s="275">
        <v>211.82</v>
      </c>
      <c r="M192" s="280">
        <f t="shared" si="5"/>
        <v>3.7782185699435192E-4</v>
      </c>
    </row>
    <row r="193" spans="1:13">
      <c r="A193" s="275"/>
      <c r="B193" s="275"/>
      <c r="C193" s="275"/>
      <c r="D193" s="275"/>
      <c r="E193" s="275" t="s">
        <v>479</v>
      </c>
      <c r="F193" s="275" t="s">
        <v>672</v>
      </c>
      <c r="G193" s="278">
        <v>33967.54</v>
      </c>
      <c r="H193" s="280">
        <f t="shared" si="4"/>
        <v>2.1096865916156566E-3</v>
      </c>
      <c r="I193" s="275"/>
      <c r="J193" s="275" t="s">
        <v>1717</v>
      </c>
      <c r="K193" s="275" t="s">
        <v>672</v>
      </c>
      <c r="L193" s="275">
        <v>210.33</v>
      </c>
      <c r="M193" s="280">
        <f t="shared" si="5"/>
        <v>-7.0342743839107765E-3</v>
      </c>
    </row>
    <row r="194" spans="1:13">
      <c r="A194" s="275"/>
      <c r="B194" s="275"/>
      <c r="C194" s="275"/>
      <c r="D194" s="275"/>
      <c r="E194" s="275" t="s">
        <v>479</v>
      </c>
      <c r="F194" s="275" t="s">
        <v>673</v>
      </c>
      <c r="G194" s="278">
        <v>33566.22</v>
      </c>
      <c r="H194" s="280">
        <f t="shared" si="4"/>
        <v>-1.1814809079491765E-2</v>
      </c>
      <c r="I194" s="275"/>
      <c r="J194" s="275" t="s">
        <v>1717</v>
      </c>
      <c r="K194" s="275" t="s">
        <v>673</v>
      </c>
      <c r="L194" s="275">
        <v>205.72</v>
      </c>
      <c r="M194" s="280">
        <f t="shared" si="5"/>
        <v>-2.1917938477630454E-2</v>
      </c>
    </row>
    <row r="195" spans="1:13">
      <c r="A195" s="275"/>
      <c r="B195" s="275"/>
      <c r="C195" s="275"/>
      <c r="D195" s="275"/>
      <c r="E195" s="275" t="s">
        <v>479</v>
      </c>
      <c r="F195" s="275" t="s">
        <v>674</v>
      </c>
      <c r="G195" s="278">
        <v>33616.9</v>
      </c>
      <c r="H195" s="280">
        <f t="shared" si="4"/>
        <v>1.5098512730954004E-3</v>
      </c>
      <c r="I195" s="275"/>
      <c r="J195" s="275" t="s">
        <v>1717</v>
      </c>
      <c r="K195" s="275" t="s">
        <v>674</v>
      </c>
      <c r="L195" s="275">
        <v>204.76</v>
      </c>
      <c r="M195" s="280">
        <f t="shared" si="5"/>
        <v>-4.6665370406377988E-3</v>
      </c>
    </row>
    <row r="196" spans="1:13">
      <c r="A196" s="275"/>
      <c r="B196" s="275"/>
      <c r="C196" s="275"/>
      <c r="D196" s="275"/>
      <c r="E196" s="275" t="s">
        <v>479</v>
      </c>
      <c r="F196" s="275" t="s">
        <v>675</v>
      </c>
      <c r="G196" s="278">
        <v>33646.1</v>
      </c>
      <c r="H196" s="280">
        <f t="shared" ref="H196:H259" si="6">(G196-G195)/G195</f>
        <v>8.6861072853228844E-4</v>
      </c>
      <c r="I196" s="275"/>
      <c r="J196" s="275" t="s">
        <v>1717</v>
      </c>
      <c r="K196" s="275" t="s">
        <v>675</v>
      </c>
      <c r="L196" s="275">
        <v>203.92</v>
      </c>
      <c r="M196" s="280">
        <f t="shared" ref="M196:M259" si="7">(L196-L195)/L195</f>
        <v>-4.102363742918556E-3</v>
      </c>
    </row>
    <row r="197" spans="1:13">
      <c r="A197" s="275"/>
      <c r="B197" s="275"/>
      <c r="C197" s="275"/>
      <c r="D197" s="275"/>
      <c r="E197" s="275" t="s">
        <v>479</v>
      </c>
      <c r="F197" s="275" t="s">
        <v>676</v>
      </c>
      <c r="G197" s="278">
        <v>33767.589999999997</v>
      </c>
      <c r="H197" s="280">
        <f t="shared" si="6"/>
        <v>3.6108196789523292E-3</v>
      </c>
      <c r="I197" s="275"/>
      <c r="J197" s="275" t="s">
        <v>1717</v>
      </c>
      <c r="K197" s="275" t="s">
        <v>676</v>
      </c>
      <c r="L197" s="275">
        <v>204.62</v>
      </c>
      <c r="M197" s="280">
        <f t="shared" si="7"/>
        <v>3.4327187132209549E-3</v>
      </c>
    </row>
    <row r="198" spans="1:13">
      <c r="A198" s="275"/>
      <c r="B198" s="275"/>
      <c r="C198" s="275"/>
      <c r="D198" s="275"/>
      <c r="E198" s="275" t="s">
        <v>479</v>
      </c>
      <c r="F198" s="275" t="s">
        <v>677</v>
      </c>
      <c r="G198" s="278">
        <v>33767.120000000003</v>
      </c>
      <c r="H198" s="280">
        <f t="shared" si="6"/>
        <v>-1.3918671720246787E-5</v>
      </c>
      <c r="I198" s="275"/>
      <c r="J198" s="275" t="s">
        <v>1717</v>
      </c>
      <c r="K198" s="275" t="s">
        <v>677</v>
      </c>
      <c r="L198" s="275">
        <v>204.77</v>
      </c>
      <c r="M198" s="280">
        <f t="shared" si="7"/>
        <v>7.3306617143976971E-4</v>
      </c>
    </row>
    <row r="199" spans="1:13">
      <c r="A199" s="275"/>
      <c r="B199" s="275"/>
      <c r="C199" s="275"/>
      <c r="D199" s="275"/>
      <c r="E199" s="275" t="s">
        <v>479</v>
      </c>
      <c r="F199" s="275" t="s">
        <v>678</v>
      </c>
      <c r="G199" s="278">
        <v>33759.97</v>
      </c>
      <c r="H199" s="280">
        <f t="shared" si="6"/>
        <v>-2.1174444252282856E-4</v>
      </c>
      <c r="I199" s="275"/>
      <c r="J199" s="275" t="s">
        <v>1717</v>
      </c>
      <c r="K199" s="275" t="s">
        <v>678</v>
      </c>
      <c r="L199" s="275">
        <v>203.85</v>
      </c>
      <c r="M199" s="280">
        <f t="shared" si="7"/>
        <v>-4.4928456316844067E-3</v>
      </c>
    </row>
    <row r="200" spans="1:13">
      <c r="A200" s="275"/>
      <c r="B200" s="275"/>
      <c r="C200" s="275"/>
      <c r="D200" s="275"/>
      <c r="E200" s="275" t="s">
        <v>479</v>
      </c>
      <c r="F200" s="275" t="s">
        <v>679</v>
      </c>
      <c r="G200" s="278">
        <v>33729.620000000003</v>
      </c>
      <c r="H200" s="280">
        <f t="shared" si="6"/>
        <v>-8.9899368986401775E-4</v>
      </c>
      <c r="I200" s="275"/>
      <c r="J200" s="275" t="s">
        <v>1717</v>
      </c>
      <c r="K200" s="275" t="s">
        <v>679</v>
      </c>
      <c r="L200" s="275">
        <v>203.58</v>
      </c>
      <c r="M200" s="280">
        <f t="shared" si="7"/>
        <v>-1.324503311258189E-3</v>
      </c>
    </row>
    <row r="201" spans="1:13">
      <c r="A201" s="275"/>
      <c r="B201" s="275"/>
      <c r="C201" s="275"/>
      <c r="D201" s="275"/>
      <c r="E201" s="275" t="s">
        <v>479</v>
      </c>
      <c r="F201" s="275" t="s">
        <v>680</v>
      </c>
      <c r="G201" s="278">
        <v>33619.839999999997</v>
      </c>
      <c r="H201" s="280">
        <f t="shared" si="6"/>
        <v>-3.2547061010472726E-3</v>
      </c>
      <c r="I201" s="275"/>
      <c r="J201" s="275" t="s">
        <v>1717</v>
      </c>
      <c r="K201" s="275" t="s">
        <v>680</v>
      </c>
      <c r="L201" s="275">
        <v>201.56</v>
      </c>
      <c r="M201" s="280">
        <f t="shared" si="7"/>
        <v>-9.92238923273411E-3</v>
      </c>
    </row>
    <row r="202" spans="1:13">
      <c r="A202" s="275"/>
      <c r="B202" s="275"/>
      <c r="C202" s="275"/>
      <c r="D202" s="275"/>
      <c r="E202" s="275" t="s">
        <v>479</v>
      </c>
      <c r="F202" s="275" t="s">
        <v>681</v>
      </c>
      <c r="G202" s="278">
        <v>33572.129999999997</v>
      </c>
      <c r="H202" s="280">
        <f t="shared" si="6"/>
        <v>-1.4191025299346795E-3</v>
      </c>
      <c r="I202" s="275"/>
      <c r="J202" s="275" t="s">
        <v>1717</v>
      </c>
      <c r="K202" s="275" t="s">
        <v>681</v>
      </c>
      <c r="L202" s="275">
        <v>199.57</v>
      </c>
      <c r="M202" s="280">
        <f t="shared" si="7"/>
        <v>-9.8729906727525758E-3</v>
      </c>
    </row>
    <row r="203" spans="1:13">
      <c r="A203" s="275"/>
      <c r="B203" s="275"/>
      <c r="C203" s="275"/>
      <c r="D203" s="275"/>
      <c r="E203" s="275" t="s">
        <v>479</v>
      </c>
      <c r="F203" s="275" t="s">
        <v>682</v>
      </c>
      <c r="G203" s="278">
        <v>33739.54</v>
      </c>
      <c r="H203" s="280">
        <f t="shared" si="6"/>
        <v>4.9865766634408807E-3</v>
      </c>
      <c r="I203" s="275"/>
      <c r="J203" s="275" t="s">
        <v>1717</v>
      </c>
      <c r="K203" s="275" t="s">
        <v>682</v>
      </c>
      <c r="L203" s="275">
        <v>196.78</v>
      </c>
      <c r="M203" s="280">
        <f t="shared" si="7"/>
        <v>-1.3980057122814011E-2</v>
      </c>
    </row>
    <row r="204" spans="1:13">
      <c r="A204" s="275"/>
      <c r="B204" s="275"/>
      <c r="C204" s="275"/>
      <c r="D204" s="275"/>
      <c r="E204" s="275" t="s">
        <v>479</v>
      </c>
      <c r="F204" s="275" t="s">
        <v>683</v>
      </c>
      <c r="G204" s="278">
        <v>33684.559999999998</v>
      </c>
      <c r="H204" s="280">
        <f t="shared" si="6"/>
        <v>-1.6295420743733674E-3</v>
      </c>
      <c r="I204" s="275"/>
      <c r="J204" s="275" t="s">
        <v>1717</v>
      </c>
      <c r="K204" s="275" t="s">
        <v>683</v>
      </c>
      <c r="L204" s="275">
        <v>196.92</v>
      </c>
      <c r="M204" s="280">
        <f t="shared" si="7"/>
        <v>7.1145441609912774E-4</v>
      </c>
    </row>
    <row r="205" spans="1:13">
      <c r="A205" s="275"/>
      <c r="B205" s="275"/>
      <c r="C205" s="275"/>
      <c r="D205" s="275"/>
      <c r="E205" s="275" t="s">
        <v>479</v>
      </c>
      <c r="F205" s="275" t="s">
        <v>684</v>
      </c>
      <c r="G205" s="278">
        <v>33847.74</v>
      </c>
      <c r="H205" s="280">
        <f t="shared" si="6"/>
        <v>4.844355989806615E-3</v>
      </c>
      <c r="I205" s="275"/>
      <c r="J205" s="275" t="s">
        <v>1717</v>
      </c>
      <c r="K205" s="275" t="s">
        <v>684</v>
      </c>
      <c r="L205" s="275">
        <v>205.38</v>
      </c>
      <c r="M205" s="280">
        <f t="shared" si="7"/>
        <v>4.2961608775137154E-2</v>
      </c>
    </row>
    <row r="206" spans="1:13">
      <c r="A206" s="275"/>
      <c r="B206" s="275"/>
      <c r="C206" s="275"/>
      <c r="D206" s="275"/>
      <c r="E206" s="275" t="s">
        <v>479</v>
      </c>
      <c r="F206" s="275" t="s">
        <v>685</v>
      </c>
      <c r="G206" s="278">
        <v>34269.279999999999</v>
      </c>
      <c r="H206" s="280">
        <f t="shared" si="6"/>
        <v>1.245400726902301E-2</v>
      </c>
      <c r="I206" s="275"/>
      <c r="J206" s="275" t="s">
        <v>1717</v>
      </c>
      <c r="K206" s="275" t="s">
        <v>685</v>
      </c>
      <c r="L206" s="275">
        <v>204.85</v>
      </c>
      <c r="M206" s="280">
        <f t="shared" si="7"/>
        <v>-2.5805823351835676E-3</v>
      </c>
    </row>
    <row r="207" spans="1:13">
      <c r="A207" s="275"/>
      <c r="B207" s="275"/>
      <c r="C207" s="275"/>
      <c r="D207" s="275"/>
      <c r="E207" s="275" t="s">
        <v>479</v>
      </c>
      <c r="F207" s="275" t="s">
        <v>686</v>
      </c>
      <c r="G207" s="278">
        <v>34503.64</v>
      </c>
      <c r="H207" s="280">
        <f t="shared" si="6"/>
        <v>6.8387780542807025E-3</v>
      </c>
      <c r="I207" s="275"/>
      <c r="J207" s="275" t="s">
        <v>1717</v>
      </c>
      <c r="K207" s="275" t="s">
        <v>686</v>
      </c>
      <c r="L207" s="275">
        <v>199.89</v>
      </c>
      <c r="M207" s="280">
        <f t="shared" si="7"/>
        <v>-2.4212838662435968E-2</v>
      </c>
    </row>
    <row r="208" spans="1:13">
      <c r="A208" s="275"/>
      <c r="B208" s="275"/>
      <c r="C208" s="275"/>
      <c r="D208" s="275"/>
      <c r="E208" s="275" t="s">
        <v>479</v>
      </c>
      <c r="F208" s="275" t="s">
        <v>687</v>
      </c>
      <c r="G208" s="278">
        <v>34719.29</v>
      </c>
      <c r="H208" s="280">
        <f t="shared" si="6"/>
        <v>6.2500652105111649E-3</v>
      </c>
      <c r="I208" s="275"/>
      <c r="J208" s="275" t="s">
        <v>1717</v>
      </c>
      <c r="K208" s="275" t="s">
        <v>687</v>
      </c>
      <c r="L208" s="275">
        <v>200.02</v>
      </c>
      <c r="M208" s="280">
        <f t="shared" si="7"/>
        <v>6.5035769673332279E-4</v>
      </c>
    </row>
    <row r="209" spans="1:13">
      <c r="A209" s="275"/>
      <c r="B209" s="275"/>
      <c r="C209" s="275"/>
      <c r="D209" s="275"/>
      <c r="E209" s="275" t="s">
        <v>479</v>
      </c>
      <c r="F209" s="275" t="s">
        <v>688</v>
      </c>
      <c r="G209" s="278">
        <v>34567.519999999997</v>
      </c>
      <c r="H209" s="280">
        <f t="shared" si="6"/>
        <v>-4.371345151355459E-3</v>
      </c>
      <c r="I209" s="275"/>
      <c r="J209" s="275" t="s">
        <v>1717</v>
      </c>
      <c r="K209" s="275" t="s">
        <v>688</v>
      </c>
      <c r="L209" s="275">
        <v>199.91</v>
      </c>
      <c r="M209" s="280">
        <f t="shared" si="7"/>
        <v>-5.4994500549951819E-4</v>
      </c>
    </row>
    <row r="210" spans="1:13">
      <c r="A210" s="275"/>
      <c r="B210" s="275"/>
      <c r="C210" s="275"/>
      <c r="D210" s="275"/>
      <c r="E210" s="275" t="s">
        <v>479</v>
      </c>
      <c r="F210" s="275" t="s">
        <v>689</v>
      </c>
      <c r="G210" s="278">
        <v>34897.300000000003</v>
      </c>
      <c r="H210" s="280">
        <f t="shared" si="6"/>
        <v>9.5401695001552361E-3</v>
      </c>
      <c r="I210" s="275"/>
      <c r="J210" s="275" t="s">
        <v>1717</v>
      </c>
      <c r="K210" s="275" t="s">
        <v>689</v>
      </c>
      <c r="L210" s="275">
        <v>199.28</v>
      </c>
      <c r="M210" s="280">
        <f t="shared" si="7"/>
        <v>-3.1514181381621501E-3</v>
      </c>
    </row>
    <row r="211" spans="1:13">
      <c r="A211" s="275"/>
      <c r="B211" s="275"/>
      <c r="C211" s="275"/>
      <c r="D211" s="275"/>
      <c r="E211" s="275" t="s">
        <v>479</v>
      </c>
      <c r="F211" s="275" t="s">
        <v>690</v>
      </c>
      <c r="G211" s="278">
        <v>35317.56</v>
      </c>
      <c r="H211" s="280">
        <f t="shared" si="6"/>
        <v>1.2042765486154938E-2</v>
      </c>
      <c r="I211" s="275"/>
      <c r="J211" s="275" t="s">
        <v>1717</v>
      </c>
      <c r="K211" s="275" t="s">
        <v>690</v>
      </c>
      <c r="L211" s="275">
        <v>198.15</v>
      </c>
      <c r="M211" s="280">
        <f t="shared" si="7"/>
        <v>-5.6704134885587889E-3</v>
      </c>
    </row>
    <row r="212" spans="1:13">
      <c r="A212" s="275"/>
      <c r="B212" s="275"/>
      <c r="C212" s="275"/>
      <c r="D212" s="275"/>
      <c r="E212" s="275" t="s">
        <v>479</v>
      </c>
      <c r="F212" s="275" t="s">
        <v>691</v>
      </c>
      <c r="G212" s="278">
        <v>35941.47</v>
      </c>
      <c r="H212" s="280">
        <f t="shared" si="6"/>
        <v>1.7665716431146533E-2</v>
      </c>
      <c r="I212" s="275"/>
      <c r="J212" s="275" t="s">
        <v>1717</v>
      </c>
      <c r="K212" s="275" t="s">
        <v>691</v>
      </c>
      <c r="L212" s="275">
        <v>195.7</v>
      </c>
      <c r="M212" s="280">
        <f t="shared" si="7"/>
        <v>-1.2364370426444699E-2</v>
      </c>
    </row>
    <row r="213" spans="1:13">
      <c r="A213" s="275"/>
      <c r="B213" s="275"/>
      <c r="C213" s="275"/>
      <c r="D213" s="275"/>
      <c r="E213" s="275" t="s">
        <v>479</v>
      </c>
      <c r="F213" s="275" t="s">
        <v>692</v>
      </c>
      <c r="G213" s="278">
        <v>35973.68</v>
      </c>
      <c r="H213" s="280">
        <f t="shared" si="6"/>
        <v>8.9617926033629472E-4</v>
      </c>
      <c r="I213" s="275"/>
      <c r="J213" s="275" t="s">
        <v>1717</v>
      </c>
      <c r="K213" s="275" t="s">
        <v>692</v>
      </c>
      <c r="L213" s="275">
        <v>192.88</v>
      </c>
      <c r="M213" s="280">
        <f t="shared" si="7"/>
        <v>-1.4409810935104718E-2</v>
      </c>
    </row>
    <row r="214" spans="1:13">
      <c r="A214" s="275"/>
      <c r="B214" s="275"/>
      <c r="C214" s="275"/>
      <c r="D214" s="275"/>
      <c r="E214" s="275" t="s">
        <v>479</v>
      </c>
      <c r="F214" s="275" t="s">
        <v>693</v>
      </c>
      <c r="G214" s="278">
        <v>36234.99</v>
      </c>
      <c r="H214" s="280">
        <f t="shared" si="6"/>
        <v>7.2639218450822286E-3</v>
      </c>
      <c r="I214" s="275"/>
      <c r="J214" s="275" t="s">
        <v>1717</v>
      </c>
      <c r="K214" s="275" t="s">
        <v>693</v>
      </c>
      <c r="L214" s="275">
        <v>190.18</v>
      </c>
      <c r="M214" s="280">
        <f t="shared" si="7"/>
        <v>-1.3998340937370327E-2</v>
      </c>
    </row>
    <row r="215" spans="1:13">
      <c r="A215" s="275"/>
      <c r="B215" s="275"/>
      <c r="C215" s="275"/>
      <c r="D215" s="275"/>
      <c r="E215" s="275" t="s">
        <v>479</v>
      </c>
      <c r="F215" s="275" t="s">
        <v>694</v>
      </c>
      <c r="G215" s="278">
        <v>36265.120000000003</v>
      </c>
      <c r="H215" s="280">
        <f t="shared" si="6"/>
        <v>8.3151671906090384E-4</v>
      </c>
      <c r="I215" s="275"/>
      <c r="J215" s="275" t="s">
        <v>1717</v>
      </c>
      <c r="K215" s="275" t="s">
        <v>694</v>
      </c>
      <c r="L215" s="275">
        <v>192.28</v>
      </c>
      <c r="M215" s="280">
        <f t="shared" si="7"/>
        <v>1.1042170575244476E-2</v>
      </c>
    </row>
    <row r="216" spans="1:13">
      <c r="A216" s="275"/>
      <c r="B216" s="275"/>
      <c r="C216" s="275"/>
      <c r="D216" s="275"/>
      <c r="E216" s="275" t="s">
        <v>479</v>
      </c>
      <c r="F216" s="275" t="s">
        <v>695</v>
      </c>
      <c r="G216" s="278">
        <v>36266.230000000003</v>
      </c>
      <c r="H216" s="280">
        <f t="shared" si="6"/>
        <v>3.0607922984966878E-5</v>
      </c>
      <c r="I216" s="275"/>
      <c r="J216" s="275" t="s">
        <v>1717</v>
      </c>
      <c r="K216" s="275" t="s">
        <v>695</v>
      </c>
      <c r="L216" s="275">
        <v>191.41</v>
      </c>
      <c r="M216" s="280">
        <f t="shared" si="7"/>
        <v>-4.5246515498231984E-3</v>
      </c>
    </row>
    <row r="217" spans="1:13">
      <c r="A217" s="275"/>
      <c r="B217" s="275"/>
      <c r="C217" s="275"/>
      <c r="D217" s="275"/>
      <c r="E217" s="275" t="s">
        <v>479</v>
      </c>
      <c r="F217" s="275" t="s">
        <v>696</v>
      </c>
      <c r="G217" s="278">
        <v>36048.76</v>
      </c>
      <c r="H217" s="280">
        <f t="shared" si="6"/>
        <v>-5.9964876415332154E-3</v>
      </c>
      <c r="I217" s="275"/>
      <c r="J217" s="275" t="s">
        <v>1717</v>
      </c>
      <c r="K217" s="275" t="s">
        <v>696</v>
      </c>
      <c r="L217" s="275">
        <v>190.71</v>
      </c>
      <c r="M217" s="280">
        <f t="shared" si="7"/>
        <v>-3.6570712084007559E-3</v>
      </c>
    </row>
    <row r="218" spans="1:13">
      <c r="A218" s="275"/>
      <c r="B218" s="275"/>
      <c r="C218" s="275"/>
      <c r="D218" s="275"/>
      <c r="E218" s="275" t="s">
        <v>479</v>
      </c>
      <c r="F218" s="275" t="s">
        <v>697</v>
      </c>
      <c r="G218" s="278">
        <v>36122.49</v>
      </c>
      <c r="H218" s="280">
        <f t="shared" si="6"/>
        <v>2.0452853302026456E-3</v>
      </c>
      <c r="I218" s="275"/>
      <c r="J218" s="275" t="s">
        <v>1717</v>
      </c>
      <c r="K218" s="275" t="s">
        <v>697</v>
      </c>
      <c r="L218" s="275">
        <v>189.86</v>
      </c>
      <c r="M218" s="280">
        <f t="shared" si="7"/>
        <v>-4.4570289969062676E-3</v>
      </c>
    </row>
    <row r="219" spans="1:13">
      <c r="A219" s="275"/>
      <c r="B219" s="275"/>
      <c r="C219" s="275"/>
      <c r="D219" s="275"/>
      <c r="E219" s="275" t="s">
        <v>479</v>
      </c>
      <c r="F219" s="275" t="s">
        <v>698</v>
      </c>
      <c r="G219" s="278">
        <v>36125.370000000003</v>
      </c>
      <c r="H219" s="280">
        <f t="shared" si="6"/>
        <v>7.9728723020053624E-5</v>
      </c>
      <c r="I219" s="275"/>
      <c r="J219" s="275" t="s">
        <v>1717</v>
      </c>
      <c r="K219" s="275" t="s">
        <v>698</v>
      </c>
      <c r="L219" s="275">
        <v>189.48</v>
      </c>
      <c r="M219" s="280">
        <f t="shared" si="7"/>
        <v>-2.0014747708839349E-3</v>
      </c>
    </row>
    <row r="220" spans="1:13">
      <c r="A220" s="275"/>
      <c r="B220" s="275"/>
      <c r="C220" s="275"/>
      <c r="D220" s="275"/>
      <c r="E220" s="275" t="s">
        <v>479</v>
      </c>
      <c r="F220" s="275" t="s">
        <v>699</v>
      </c>
      <c r="G220" s="278">
        <v>36137.120000000003</v>
      </c>
      <c r="H220" s="280">
        <f t="shared" si="6"/>
        <v>3.2525618422731722E-4</v>
      </c>
      <c r="I220" s="275"/>
      <c r="J220" s="275" t="s">
        <v>1717</v>
      </c>
      <c r="K220" s="275" t="s">
        <v>699</v>
      </c>
      <c r="L220" s="275">
        <v>186.09</v>
      </c>
      <c r="M220" s="280">
        <f t="shared" si="7"/>
        <v>-1.7891070297656672E-2</v>
      </c>
    </row>
    <row r="221" spans="1:13">
      <c r="A221" s="275"/>
      <c r="B221" s="275"/>
      <c r="C221" s="275"/>
      <c r="D221" s="275"/>
      <c r="E221" s="275" t="s">
        <v>479</v>
      </c>
      <c r="F221" s="275" t="s">
        <v>700</v>
      </c>
      <c r="G221" s="278">
        <v>36318.21</v>
      </c>
      <c r="H221" s="280">
        <f t="shared" si="6"/>
        <v>5.0111907091654369E-3</v>
      </c>
      <c r="I221" s="275"/>
      <c r="J221" s="275" t="s">
        <v>1717</v>
      </c>
      <c r="K221" s="275" t="s">
        <v>700</v>
      </c>
      <c r="L221" s="275">
        <v>186.79</v>
      </c>
      <c r="M221" s="280">
        <f t="shared" si="7"/>
        <v>3.7616207211563684E-3</v>
      </c>
    </row>
    <row r="222" spans="1:13">
      <c r="A222" s="275"/>
      <c r="B222" s="275"/>
      <c r="C222" s="275"/>
      <c r="D222" s="275"/>
      <c r="E222" s="275" t="s">
        <v>479</v>
      </c>
      <c r="F222" s="275" t="s">
        <v>701</v>
      </c>
      <c r="G222" s="278">
        <v>36685.050000000003</v>
      </c>
      <c r="H222" s="280">
        <f t="shared" si="6"/>
        <v>1.0100718069530513E-2</v>
      </c>
      <c r="I222" s="275"/>
      <c r="J222" s="275" t="s">
        <v>1717</v>
      </c>
      <c r="K222" s="275" t="s">
        <v>701</v>
      </c>
      <c r="L222" s="275">
        <v>187.6</v>
      </c>
      <c r="M222" s="280">
        <f t="shared" si="7"/>
        <v>4.3364205792601439E-3</v>
      </c>
    </row>
    <row r="223" spans="1:13">
      <c r="A223" s="275"/>
      <c r="B223" s="275"/>
      <c r="C223" s="275"/>
      <c r="D223" s="275"/>
      <c r="E223" s="275" t="s">
        <v>479</v>
      </c>
      <c r="F223" s="275" t="s">
        <v>702</v>
      </c>
      <c r="G223" s="278">
        <v>36693.5</v>
      </c>
      <c r="H223" s="280">
        <f t="shared" si="6"/>
        <v>2.3033906182483296E-4</v>
      </c>
      <c r="I223" s="275"/>
      <c r="J223" s="275" t="s">
        <v>1717</v>
      </c>
      <c r="K223" s="275" t="s">
        <v>702</v>
      </c>
      <c r="L223" s="275">
        <v>187.54</v>
      </c>
      <c r="M223" s="280">
        <f t="shared" si="7"/>
        <v>-3.1982942430704836E-4</v>
      </c>
    </row>
    <row r="224" spans="1:13">
      <c r="A224" s="275"/>
      <c r="B224" s="275"/>
      <c r="C224" s="275"/>
      <c r="D224" s="275"/>
      <c r="E224" s="275" t="s">
        <v>479</v>
      </c>
      <c r="F224" s="275" t="s">
        <v>703</v>
      </c>
      <c r="G224" s="278">
        <v>36723.35</v>
      </c>
      <c r="H224" s="280">
        <f t="shared" si="6"/>
        <v>8.1349557823588768E-4</v>
      </c>
      <c r="I224" s="275"/>
      <c r="J224" s="275" t="s">
        <v>1717</v>
      </c>
      <c r="K224" s="275" t="s">
        <v>703</v>
      </c>
      <c r="L224" s="275">
        <v>187.9</v>
      </c>
      <c r="M224" s="280">
        <f t="shared" si="7"/>
        <v>1.9195904873627687E-3</v>
      </c>
    </row>
    <row r="225" spans="1:13">
      <c r="A225" s="275"/>
      <c r="B225" s="275"/>
      <c r="C225" s="275"/>
      <c r="D225" s="275"/>
      <c r="E225" s="275" t="s">
        <v>479</v>
      </c>
      <c r="F225" s="275" t="s">
        <v>704</v>
      </c>
      <c r="G225" s="278">
        <v>36582.35</v>
      </c>
      <c r="H225" s="280">
        <f t="shared" si="6"/>
        <v>-3.8395189981306173E-3</v>
      </c>
      <c r="I225" s="275"/>
      <c r="J225" s="275" t="s">
        <v>1717</v>
      </c>
      <c r="K225" s="275" t="s">
        <v>704</v>
      </c>
      <c r="L225" s="275">
        <v>187.08</v>
      </c>
      <c r="M225" s="280">
        <f t="shared" si="7"/>
        <v>-4.3640234167109798E-3</v>
      </c>
    </row>
    <row r="226" spans="1:13">
      <c r="A226" s="275"/>
      <c r="B226" s="275"/>
      <c r="C226" s="275"/>
      <c r="D226" s="275"/>
      <c r="E226" s="275" t="s">
        <v>479</v>
      </c>
      <c r="F226" s="275" t="s">
        <v>705</v>
      </c>
      <c r="G226" s="278">
        <v>36499.43</v>
      </c>
      <c r="H226" s="280">
        <f t="shared" si="6"/>
        <v>-2.2666668489038635E-3</v>
      </c>
      <c r="I226" s="275"/>
      <c r="J226" s="275" t="s">
        <v>1717</v>
      </c>
      <c r="K226" s="275" t="s">
        <v>705</v>
      </c>
      <c r="L226" s="275">
        <v>186.11</v>
      </c>
      <c r="M226" s="280">
        <f t="shared" si="7"/>
        <v>-5.184947615993152E-3</v>
      </c>
    </row>
    <row r="227" spans="1:13">
      <c r="A227" s="275"/>
      <c r="B227" s="275"/>
      <c r="C227" s="275"/>
      <c r="D227" s="275"/>
      <c r="E227" s="275" t="s">
        <v>479</v>
      </c>
      <c r="F227" s="275" t="s">
        <v>706</v>
      </c>
      <c r="G227" s="278">
        <v>36540.97</v>
      </c>
      <c r="H227" s="280">
        <f t="shared" si="6"/>
        <v>1.1380999648487901E-3</v>
      </c>
      <c r="I227" s="275"/>
      <c r="J227" s="275" t="s">
        <v>1717</v>
      </c>
      <c r="K227" s="275" t="s">
        <v>706</v>
      </c>
      <c r="L227" s="275">
        <v>186.46</v>
      </c>
      <c r="M227" s="280">
        <f t="shared" si="7"/>
        <v>1.8806082424372376E-3</v>
      </c>
    </row>
    <row r="228" spans="1:13">
      <c r="A228" s="275"/>
      <c r="B228" s="275"/>
      <c r="C228" s="275"/>
      <c r="D228" s="275"/>
      <c r="E228" s="275" t="s">
        <v>479</v>
      </c>
      <c r="F228" s="275" t="s">
        <v>707</v>
      </c>
      <c r="G228" s="278">
        <v>36694.26</v>
      </c>
      <c r="H228" s="280">
        <f t="shared" si="6"/>
        <v>4.1950172641832132E-3</v>
      </c>
      <c r="I228" s="275"/>
      <c r="J228" s="275" t="s">
        <v>1717</v>
      </c>
      <c r="K228" s="275" t="s">
        <v>707</v>
      </c>
      <c r="L228" s="275">
        <v>187</v>
      </c>
      <c r="M228" s="280">
        <f t="shared" si="7"/>
        <v>2.8960634988737101E-3</v>
      </c>
    </row>
    <row r="229" spans="1:13">
      <c r="A229" s="275"/>
      <c r="B229" s="275"/>
      <c r="C229" s="275"/>
      <c r="D229" s="275"/>
      <c r="E229" s="275" t="s">
        <v>479</v>
      </c>
      <c r="F229" s="275" t="s">
        <v>708</v>
      </c>
      <c r="G229" s="278">
        <v>36234.69</v>
      </c>
      <c r="H229" s="280">
        <f t="shared" si="6"/>
        <v>-1.2524302166060841E-2</v>
      </c>
      <c r="I229" s="275"/>
      <c r="J229" s="275" t="s">
        <v>1717</v>
      </c>
      <c r="K229" s="275" t="s">
        <v>708</v>
      </c>
      <c r="L229" s="275">
        <v>196.08</v>
      </c>
      <c r="M229" s="280">
        <f t="shared" si="7"/>
        <v>4.8556149732620388E-2</v>
      </c>
    </row>
    <row r="230" spans="1:13">
      <c r="A230" s="275"/>
      <c r="B230" s="275"/>
      <c r="C230" s="275"/>
      <c r="D230" s="275"/>
      <c r="E230" s="275" t="s">
        <v>479</v>
      </c>
      <c r="F230" s="275" t="s">
        <v>709</v>
      </c>
      <c r="G230" s="278">
        <v>36061.56</v>
      </c>
      <c r="H230" s="280">
        <f t="shared" si="6"/>
        <v>-4.7780179711763683E-3</v>
      </c>
      <c r="I230" s="275"/>
      <c r="J230" s="275" t="s">
        <v>1717</v>
      </c>
      <c r="K230" s="275" t="s">
        <v>709</v>
      </c>
      <c r="L230" s="275">
        <v>195.52</v>
      </c>
      <c r="M230" s="280">
        <f t="shared" si="7"/>
        <v>-2.8559771521827941E-3</v>
      </c>
    </row>
    <row r="231" spans="1:13">
      <c r="A231" s="275"/>
      <c r="B231" s="275"/>
      <c r="C231" s="275"/>
      <c r="D231" s="275"/>
      <c r="E231" s="275" t="s">
        <v>479</v>
      </c>
      <c r="F231" s="275" t="s">
        <v>710</v>
      </c>
      <c r="G231" s="278">
        <v>36496.160000000003</v>
      </c>
      <c r="H231" s="280">
        <f t="shared" si="6"/>
        <v>1.2051613962346771E-2</v>
      </c>
      <c r="I231" s="275"/>
      <c r="J231" s="275" t="s">
        <v>1717</v>
      </c>
      <c r="K231" s="275" t="s">
        <v>710</v>
      </c>
      <c r="L231" s="275">
        <v>197.4</v>
      </c>
      <c r="M231" s="280">
        <f t="shared" si="7"/>
        <v>9.6153846153845916E-3</v>
      </c>
    </row>
    <row r="232" spans="1:13">
      <c r="A232" s="275"/>
      <c r="B232" s="275"/>
      <c r="C232" s="275"/>
      <c r="D232" s="275"/>
      <c r="E232" s="275" t="s">
        <v>479</v>
      </c>
      <c r="F232" s="275" t="s">
        <v>711</v>
      </c>
      <c r="G232" s="278">
        <v>36839.14</v>
      </c>
      <c r="H232" s="280">
        <f t="shared" si="6"/>
        <v>9.3977010184083994E-3</v>
      </c>
      <c r="I232" s="275"/>
      <c r="J232" s="275" t="s">
        <v>1717</v>
      </c>
      <c r="K232" s="275" t="s">
        <v>711</v>
      </c>
      <c r="L232" s="275">
        <v>201</v>
      </c>
      <c r="M232" s="280">
        <f t="shared" si="7"/>
        <v>1.8237082066869272E-2</v>
      </c>
    </row>
    <row r="233" spans="1:13">
      <c r="A233" s="275"/>
      <c r="B233" s="275"/>
      <c r="C233" s="275"/>
      <c r="D233" s="275"/>
      <c r="E233" s="275" t="s">
        <v>479</v>
      </c>
      <c r="F233" s="275" t="s">
        <v>712</v>
      </c>
      <c r="G233" s="278">
        <v>37223</v>
      </c>
      <c r="H233" s="280">
        <f t="shared" si="6"/>
        <v>1.0419895795613051E-2</v>
      </c>
      <c r="I233" s="275"/>
      <c r="J233" s="275" t="s">
        <v>1717</v>
      </c>
      <c r="K233" s="275" t="s">
        <v>712</v>
      </c>
      <c r="L233" s="275">
        <v>204.76</v>
      </c>
      <c r="M233" s="280">
        <f t="shared" si="7"/>
        <v>1.8706467661691498E-2</v>
      </c>
    </row>
    <row r="234" spans="1:13">
      <c r="A234" s="275"/>
      <c r="B234" s="275"/>
      <c r="C234" s="275"/>
      <c r="D234" s="275"/>
      <c r="E234" s="275" t="s">
        <v>479</v>
      </c>
      <c r="F234" s="275" t="s">
        <v>713</v>
      </c>
      <c r="G234" s="278">
        <v>37352.269999999997</v>
      </c>
      <c r="H234" s="280">
        <f t="shared" si="6"/>
        <v>3.4728528060606828E-3</v>
      </c>
      <c r="I234" s="275"/>
      <c r="J234" s="275" t="s">
        <v>1717</v>
      </c>
      <c r="K234" s="275" t="s">
        <v>713</v>
      </c>
      <c r="L234" s="275">
        <v>211.25</v>
      </c>
      <c r="M234" s="280">
        <f t="shared" si="7"/>
        <v>3.1695643680406373E-2</v>
      </c>
    </row>
    <row r="235" spans="1:13">
      <c r="A235" s="275"/>
      <c r="B235" s="275"/>
      <c r="C235" s="275"/>
      <c r="D235" s="275"/>
      <c r="E235" s="275" t="s">
        <v>479</v>
      </c>
      <c r="F235" s="275" t="s">
        <v>714</v>
      </c>
      <c r="G235" s="278">
        <v>37392.29</v>
      </c>
      <c r="H235" s="280">
        <f t="shared" si="6"/>
        <v>1.0714208266326003E-3</v>
      </c>
      <c r="I235" s="275"/>
      <c r="J235" s="275" t="s">
        <v>1717</v>
      </c>
      <c r="K235" s="275" t="s">
        <v>714</v>
      </c>
      <c r="L235" s="275">
        <v>208.47</v>
      </c>
      <c r="M235" s="280">
        <f t="shared" si="7"/>
        <v>-1.3159763313609473E-2</v>
      </c>
    </row>
    <row r="236" spans="1:13">
      <c r="A236" s="275"/>
      <c r="B236" s="275"/>
      <c r="C236" s="275"/>
      <c r="D236" s="275"/>
      <c r="E236" s="275" t="s">
        <v>479</v>
      </c>
      <c r="F236" s="275" t="s">
        <v>715</v>
      </c>
      <c r="G236" s="278">
        <v>37426.39</v>
      </c>
      <c r="H236" s="280">
        <f t="shared" si="6"/>
        <v>9.1195270468854791E-4</v>
      </c>
      <c r="I236" s="275"/>
      <c r="J236" s="275" t="s">
        <v>1717</v>
      </c>
      <c r="K236" s="275" t="s">
        <v>715</v>
      </c>
      <c r="L236" s="275">
        <v>206.15</v>
      </c>
      <c r="M236" s="280">
        <f t="shared" si="7"/>
        <v>-1.1128699573080027E-2</v>
      </c>
    </row>
    <row r="237" spans="1:13">
      <c r="A237" s="275"/>
      <c r="B237" s="275"/>
      <c r="C237" s="275"/>
      <c r="D237" s="275"/>
      <c r="E237" s="275" t="s">
        <v>479</v>
      </c>
      <c r="F237" s="275" t="s">
        <v>716</v>
      </c>
      <c r="G237" s="278">
        <v>37414.26</v>
      </c>
      <c r="H237" s="280">
        <f t="shared" si="6"/>
        <v>-3.2410285897190141E-4</v>
      </c>
      <c r="I237" s="275"/>
      <c r="J237" s="275" t="s">
        <v>1717</v>
      </c>
      <c r="K237" s="275" t="s">
        <v>716</v>
      </c>
      <c r="L237" s="275">
        <v>203.92</v>
      </c>
      <c r="M237" s="280">
        <f t="shared" si="7"/>
        <v>-1.0817365995634334E-2</v>
      </c>
    </row>
    <row r="238" spans="1:13">
      <c r="A238" s="275"/>
      <c r="B238" s="275"/>
      <c r="C238" s="275"/>
      <c r="D238" s="275"/>
      <c r="E238" s="275" t="s">
        <v>479</v>
      </c>
      <c r="F238" s="275" t="s">
        <v>717</v>
      </c>
      <c r="G238" s="278">
        <v>36940.879999999997</v>
      </c>
      <c r="H238" s="280">
        <f t="shared" si="6"/>
        <v>-1.2652395102829901E-2</v>
      </c>
      <c r="I238" s="275"/>
      <c r="J238" s="275" t="s">
        <v>1717</v>
      </c>
      <c r="K238" s="275" t="s">
        <v>717</v>
      </c>
      <c r="L238" s="275">
        <v>198.64</v>
      </c>
      <c r="M238" s="280">
        <f t="shared" si="7"/>
        <v>-2.5892506865437433E-2</v>
      </c>
    </row>
    <row r="239" spans="1:13">
      <c r="A239" s="275"/>
      <c r="B239" s="275"/>
      <c r="C239" s="275"/>
      <c r="D239" s="275"/>
      <c r="E239" s="275" t="s">
        <v>479</v>
      </c>
      <c r="F239" s="275" t="s">
        <v>718</v>
      </c>
      <c r="G239" s="278">
        <v>36979.96</v>
      </c>
      <c r="H239" s="280">
        <f t="shared" si="6"/>
        <v>1.0579065793776907E-3</v>
      </c>
      <c r="I239" s="275"/>
      <c r="J239" s="275" t="s">
        <v>1717</v>
      </c>
      <c r="K239" s="275" t="s">
        <v>718</v>
      </c>
      <c r="L239" s="275">
        <v>194.33</v>
      </c>
      <c r="M239" s="280">
        <f t="shared" si="7"/>
        <v>-2.1697543294401805E-2</v>
      </c>
    </row>
    <row r="240" spans="1:13">
      <c r="A240" s="275"/>
      <c r="B240" s="275"/>
      <c r="C240" s="275"/>
      <c r="D240" s="275"/>
      <c r="E240" s="275" t="s">
        <v>479</v>
      </c>
      <c r="F240" s="275" t="s">
        <v>719</v>
      </c>
      <c r="G240" s="278">
        <v>37517.75</v>
      </c>
      <c r="H240" s="280">
        <f t="shared" si="6"/>
        <v>1.454274152811417E-2</v>
      </c>
      <c r="I240" s="275"/>
      <c r="J240" s="275" t="s">
        <v>1717</v>
      </c>
      <c r="K240" s="275" t="s">
        <v>719</v>
      </c>
      <c r="L240" s="275">
        <v>196.15</v>
      </c>
      <c r="M240" s="280">
        <f t="shared" si="7"/>
        <v>9.36551227293775E-3</v>
      </c>
    </row>
    <row r="241" spans="1:13">
      <c r="A241" s="275"/>
      <c r="B241" s="275"/>
      <c r="C241" s="275"/>
      <c r="D241" s="275"/>
      <c r="E241" s="275" t="s">
        <v>479</v>
      </c>
      <c r="F241" s="275" t="s">
        <v>720</v>
      </c>
      <c r="G241" s="278">
        <v>38559.870000000003</v>
      </c>
      <c r="H241" s="280">
        <f t="shared" si="6"/>
        <v>2.7776719019664095E-2</v>
      </c>
      <c r="I241" s="275"/>
      <c r="J241" s="275" t="s">
        <v>1717</v>
      </c>
      <c r="K241" s="275" t="s">
        <v>720</v>
      </c>
      <c r="L241" s="275">
        <v>205.96</v>
      </c>
      <c r="M241" s="280">
        <f t="shared" si="7"/>
        <v>5.0012745347948008E-2</v>
      </c>
    </row>
    <row r="242" spans="1:13">
      <c r="A242" s="275"/>
      <c r="B242" s="275"/>
      <c r="C242" s="275"/>
      <c r="D242" s="275"/>
      <c r="E242" s="275" t="s">
        <v>479</v>
      </c>
      <c r="F242" s="275" t="s">
        <v>721</v>
      </c>
      <c r="G242" s="278">
        <v>38751.599999999999</v>
      </c>
      <c r="H242" s="280">
        <f t="shared" si="6"/>
        <v>4.9722678006952799E-3</v>
      </c>
      <c r="I242" s="275"/>
      <c r="J242" s="275" t="s">
        <v>1717</v>
      </c>
      <c r="K242" s="275" t="s">
        <v>721</v>
      </c>
      <c r="L242" s="275">
        <v>205.88</v>
      </c>
      <c r="M242" s="280">
        <f t="shared" si="7"/>
        <v>-3.8842493688100844E-4</v>
      </c>
    </row>
    <row r="243" spans="1:13">
      <c r="A243" s="275"/>
      <c r="B243" s="275"/>
      <c r="C243" s="275"/>
      <c r="D243" s="275"/>
      <c r="E243" s="275" t="s">
        <v>479</v>
      </c>
      <c r="F243" s="275" t="s">
        <v>722</v>
      </c>
      <c r="G243" s="278">
        <v>38776.94</v>
      </c>
      <c r="H243" s="280">
        <f t="shared" si="6"/>
        <v>6.5390848377883191E-4</v>
      </c>
      <c r="I243" s="275"/>
      <c r="J243" s="275" t="s">
        <v>1717</v>
      </c>
      <c r="K243" s="275" t="s">
        <v>722</v>
      </c>
      <c r="L243" s="275">
        <v>204.16</v>
      </c>
      <c r="M243" s="280">
        <f t="shared" si="7"/>
        <v>-8.3543811929279142E-3</v>
      </c>
    </row>
    <row r="244" spans="1:13">
      <c r="A244" s="275"/>
      <c r="B244" s="275"/>
      <c r="C244" s="275"/>
      <c r="D244" s="275"/>
      <c r="E244" s="275" t="s">
        <v>479</v>
      </c>
      <c r="F244" s="275" t="s">
        <v>723</v>
      </c>
      <c r="G244" s="278">
        <v>38469.82</v>
      </c>
      <c r="H244" s="280">
        <f t="shared" si="6"/>
        <v>-7.9201711120063262E-3</v>
      </c>
      <c r="I244" s="275"/>
      <c r="J244" s="275" t="s">
        <v>1717</v>
      </c>
      <c r="K244" s="275" t="s">
        <v>723</v>
      </c>
      <c r="L244" s="275">
        <v>202.68</v>
      </c>
      <c r="M244" s="280">
        <f t="shared" si="7"/>
        <v>-7.2492163009403891E-3</v>
      </c>
    </row>
    <row r="245" spans="1:13">
      <c r="A245" s="275"/>
      <c r="B245" s="275"/>
      <c r="C245" s="275"/>
      <c r="D245" s="275"/>
      <c r="E245" s="275" t="s">
        <v>479</v>
      </c>
      <c r="F245" s="275" t="s">
        <v>724</v>
      </c>
      <c r="G245" s="278">
        <v>38415.31</v>
      </c>
      <c r="H245" s="280">
        <f t="shared" si="6"/>
        <v>-1.4169549012707113E-3</v>
      </c>
      <c r="I245" s="275"/>
      <c r="J245" s="275" t="s">
        <v>1717</v>
      </c>
      <c r="K245" s="275" t="s">
        <v>724</v>
      </c>
      <c r="L245" s="275">
        <v>203.88</v>
      </c>
      <c r="M245" s="280">
        <f t="shared" si="7"/>
        <v>5.9206631142687417E-3</v>
      </c>
    </row>
    <row r="246" spans="1:13">
      <c r="A246" s="275"/>
      <c r="B246" s="275"/>
      <c r="C246" s="275"/>
      <c r="D246" s="275"/>
      <c r="E246" s="275" t="s">
        <v>479</v>
      </c>
      <c r="F246" s="275" t="s">
        <v>725</v>
      </c>
      <c r="G246" s="278">
        <v>38149.26</v>
      </c>
      <c r="H246" s="280">
        <f t="shared" si="6"/>
        <v>-6.9256241847324845E-3</v>
      </c>
      <c r="I246" s="275"/>
      <c r="J246" s="275" t="s">
        <v>1717</v>
      </c>
      <c r="K246" s="275" t="s">
        <v>725</v>
      </c>
      <c r="L246" s="275">
        <v>199.31</v>
      </c>
      <c r="M246" s="280">
        <f t="shared" si="7"/>
        <v>-2.2415146164410406E-2</v>
      </c>
    </row>
    <row r="247" spans="1:13">
      <c r="A247" s="275"/>
      <c r="B247" s="275"/>
      <c r="C247" s="275"/>
      <c r="D247" s="275"/>
      <c r="E247" s="275" t="s">
        <v>479</v>
      </c>
      <c r="F247" s="275" t="s">
        <v>726</v>
      </c>
      <c r="G247" s="278">
        <v>38237.89</v>
      </c>
      <c r="H247" s="280">
        <f t="shared" si="6"/>
        <v>2.3232429672291775E-3</v>
      </c>
      <c r="I247" s="275"/>
      <c r="J247" s="275" t="s">
        <v>1717</v>
      </c>
      <c r="K247" s="275" t="s">
        <v>726</v>
      </c>
      <c r="L247" s="275">
        <v>199.81</v>
      </c>
      <c r="M247" s="280">
        <f t="shared" si="7"/>
        <v>2.5086548592644625E-3</v>
      </c>
    </row>
    <row r="248" spans="1:13">
      <c r="A248" s="275"/>
      <c r="B248" s="275"/>
      <c r="C248" s="275"/>
      <c r="D248" s="275"/>
      <c r="E248" s="275" t="s">
        <v>479</v>
      </c>
      <c r="F248" s="275" t="s">
        <v>727</v>
      </c>
      <c r="G248" s="278">
        <v>37389.879999999997</v>
      </c>
      <c r="H248" s="280">
        <f t="shared" si="6"/>
        <v>-2.2177217414454668E-2</v>
      </c>
      <c r="I248" s="275"/>
      <c r="J248" s="275" t="s">
        <v>1717</v>
      </c>
      <c r="K248" s="275" t="s">
        <v>727</v>
      </c>
      <c r="L248" s="275">
        <v>194.67</v>
      </c>
      <c r="M248" s="280">
        <f t="shared" si="7"/>
        <v>-2.5724438216305563E-2</v>
      </c>
    </row>
    <row r="249" spans="1:13">
      <c r="A249" s="275"/>
      <c r="B249" s="275"/>
      <c r="C249" s="275"/>
      <c r="D249" s="275"/>
      <c r="E249" s="275" t="s">
        <v>479</v>
      </c>
      <c r="F249" s="275" t="s">
        <v>728</v>
      </c>
      <c r="G249" s="278">
        <v>37039.57</v>
      </c>
      <c r="H249" s="280">
        <f t="shared" si="6"/>
        <v>-9.3691127117818424E-3</v>
      </c>
      <c r="I249" s="275"/>
      <c r="J249" s="275" t="s">
        <v>1717</v>
      </c>
      <c r="K249" s="275" t="s">
        <v>728</v>
      </c>
      <c r="L249" s="275">
        <v>196.85</v>
      </c>
      <c r="M249" s="280">
        <f t="shared" si="7"/>
        <v>1.1198438382904439E-2</v>
      </c>
    </row>
    <row r="250" spans="1:13">
      <c r="A250" s="275"/>
      <c r="B250" s="275"/>
      <c r="C250" s="275"/>
      <c r="D250" s="275"/>
      <c r="E250" s="275" t="s">
        <v>479</v>
      </c>
      <c r="F250" s="275" t="s">
        <v>729</v>
      </c>
      <c r="G250" s="278">
        <v>37076.629999999997</v>
      </c>
      <c r="H250" s="280">
        <f t="shared" si="6"/>
        <v>1.000551572277909E-3</v>
      </c>
      <c r="I250" s="275"/>
      <c r="J250" s="275" t="s">
        <v>1717</v>
      </c>
      <c r="K250" s="275" t="s">
        <v>729</v>
      </c>
      <c r="L250" s="275">
        <v>201.06</v>
      </c>
      <c r="M250" s="280">
        <f t="shared" si="7"/>
        <v>2.1386842773685587E-2</v>
      </c>
    </row>
    <row r="251" spans="1:13">
      <c r="A251" s="275"/>
      <c r="B251" s="275"/>
      <c r="C251" s="275"/>
      <c r="D251" s="275"/>
      <c r="E251" s="275" t="s">
        <v>479</v>
      </c>
      <c r="F251" s="275" t="s">
        <v>730</v>
      </c>
      <c r="G251" s="278">
        <v>37786.57</v>
      </c>
      <c r="H251" s="280">
        <f t="shared" si="6"/>
        <v>1.9147910691991218E-2</v>
      </c>
      <c r="I251" s="275"/>
      <c r="J251" s="275" t="s">
        <v>1717</v>
      </c>
      <c r="K251" s="275" t="s">
        <v>730</v>
      </c>
      <c r="L251" s="275">
        <v>201.82</v>
      </c>
      <c r="M251" s="280">
        <f t="shared" si="7"/>
        <v>3.7799661792499301E-3</v>
      </c>
    </row>
    <row r="252" spans="1:13">
      <c r="A252" s="275"/>
      <c r="B252" s="275"/>
      <c r="C252" s="275"/>
      <c r="D252" s="275"/>
      <c r="E252" s="275" t="s">
        <v>479</v>
      </c>
      <c r="F252" s="275" t="s">
        <v>731</v>
      </c>
      <c r="G252" s="278">
        <v>37783.54</v>
      </c>
      <c r="H252" s="280">
        <f t="shared" si="6"/>
        <v>-8.0187219956689266E-5</v>
      </c>
      <c r="I252" s="275"/>
      <c r="J252" s="275" t="s">
        <v>1717</v>
      </c>
      <c r="K252" s="275" t="s">
        <v>731</v>
      </c>
      <c r="L252" s="275">
        <v>201.48</v>
      </c>
      <c r="M252" s="280">
        <f t="shared" si="7"/>
        <v>-1.6846695074819314E-3</v>
      </c>
    </row>
    <row r="253" spans="1:13">
      <c r="A253" s="275"/>
      <c r="B253" s="275"/>
      <c r="C253" s="275"/>
      <c r="D253" s="275"/>
      <c r="E253" s="275" t="s">
        <v>479</v>
      </c>
      <c r="F253" s="275" t="s">
        <v>732</v>
      </c>
      <c r="G253" s="278">
        <v>37966.76</v>
      </c>
      <c r="H253" s="280">
        <f t="shared" si="6"/>
        <v>4.849201530613626E-3</v>
      </c>
      <c r="I253" s="275"/>
      <c r="J253" s="275" t="s">
        <v>1717</v>
      </c>
      <c r="K253" s="275" t="s">
        <v>732</v>
      </c>
      <c r="L253" s="275">
        <v>203.87</v>
      </c>
      <c r="M253" s="280">
        <f t="shared" si="7"/>
        <v>1.1862219575144009E-2</v>
      </c>
    </row>
    <row r="254" spans="1:13">
      <c r="A254" s="275"/>
      <c r="B254" s="275"/>
      <c r="C254" s="275"/>
      <c r="D254" s="275"/>
      <c r="E254" s="275" t="s">
        <v>479</v>
      </c>
      <c r="F254" s="275" t="s">
        <v>733</v>
      </c>
      <c r="G254" s="278">
        <v>38367.96</v>
      </c>
      <c r="H254" s="280">
        <f t="shared" si="6"/>
        <v>1.0567138201942886E-2</v>
      </c>
      <c r="I254" s="275"/>
      <c r="J254" s="275" t="s">
        <v>1717</v>
      </c>
      <c r="K254" s="275" t="s">
        <v>733</v>
      </c>
      <c r="L254" s="275">
        <v>207.86</v>
      </c>
      <c r="M254" s="280">
        <f t="shared" si="7"/>
        <v>1.9571295433364444E-2</v>
      </c>
    </row>
    <row r="255" spans="1:13">
      <c r="A255" s="275"/>
      <c r="B255" s="275"/>
      <c r="C255" s="275"/>
      <c r="D255" s="275"/>
      <c r="E255" s="275" t="s">
        <v>479</v>
      </c>
      <c r="F255" s="275" t="s">
        <v>734</v>
      </c>
      <c r="G255" s="278">
        <v>39031.620000000003</v>
      </c>
      <c r="H255" s="280">
        <f t="shared" si="6"/>
        <v>1.7297244888704103E-2</v>
      </c>
      <c r="I255" s="275"/>
      <c r="J255" s="275" t="s">
        <v>1717</v>
      </c>
      <c r="K255" s="275" t="s">
        <v>734</v>
      </c>
      <c r="L255" s="275">
        <v>214.22</v>
      </c>
      <c r="M255" s="280">
        <f t="shared" si="7"/>
        <v>3.0597517559896009E-2</v>
      </c>
    </row>
    <row r="256" spans="1:13">
      <c r="A256" s="275"/>
      <c r="B256" s="275"/>
      <c r="C256" s="275"/>
      <c r="D256" s="275"/>
      <c r="E256" s="275" t="s">
        <v>479</v>
      </c>
      <c r="F256" s="275" t="s">
        <v>735</v>
      </c>
      <c r="G256" s="278">
        <v>39049.46</v>
      </c>
      <c r="H256" s="280">
        <f t="shared" si="6"/>
        <v>4.5706532293552011E-4</v>
      </c>
      <c r="I256" s="275"/>
      <c r="J256" s="275" t="s">
        <v>1717</v>
      </c>
      <c r="K256" s="275" t="s">
        <v>735</v>
      </c>
      <c r="L256" s="275">
        <v>216.95</v>
      </c>
      <c r="M256" s="280">
        <f t="shared" si="7"/>
        <v>1.2743908131827046E-2</v>
      </c>
    </row>
    <row r="257" spans="1:13">
      <c r="A257" s="275"/>
      <c r="B257" s="275"/>
      <c r="C257" s="275"/>
      <c r="D257" s="275"/>
      <c r="E257" s="275" t="s">
        <v>479</v>
      </c>
      <c r="F257" s="275" t="s">
        <v>736</v>
      </c>
      <c r="G257" s="278">
        <v>39257</v>
      </c>
      <c r="H257" s="280">
        <f t="shared" si="6"/>
        <v>5.3147982071967415E-3</v>
      </c>
      <c r="I257" s="275"/>
      <c r="J257" s="275" t="s">
        <v>1717</v>
      </c>
      <c r="K257" s="275" t="s">
        <v>736</v>
      </c>
      <c r="L257" s="275">
        <v>216.78</v>
      </c>
      <c r="M257" s="280">
        <f t="shared" si="7"/>
        <v>-7.8359068909881308E-4</v>
      </c>
    </row>
    <row r="258" spans="1:13">
      <c r="A258" s="275"/>
      <c r="B258" s="275"/>
      <c r="C258" s="275"/>
      <c r="D258" s="275"/>
      <c r="E258" s="275" t="s">
        <v>479</v>
      </c>
      <c r="F258" s="275" t="s">
        <v>737</v>
      </c>
      <c r="G258" s="278">
        <v>39188.47</v>
      </c>
      <c r="H258" s="280">
        <f t="shared" si="6"/>
        <v>-1.7456759304072863E-3</v>
      </c>
      <c r="I258" s="275"/>
      <c r="J258" s="275" t="s">
        <v>1717</v>
      </c>
      <c r="K258" s="275" t="s">
        <v>737</v>
      </c>
      <c r="L258" s="275">
        <v>217.61</v>
      </c>
      <c r="M258" s="280">
        <f t="shared" si="7"/>
        <v>3.8287664913738005E-3</v>
      </c>
    </row>
    <row r="259" spans="1:13">
      <c r="A259" s="275"/>
      <c r="B259" s="275"/>
      <c r="C259" s="275"/>
      <c r="D259" s="275"/>
      <c r="E259" s="275" t="s">
        <v>479</v>
      </c>
      <c r="F259" s="275" t="s">
        <v>738</v>
      </c>
      <c r="G259" s="278">
        <v>39253.25</v>
      </c>
      <c r="H259" s="280">
        <f t="shared" si="6"/>
        <v>1.6530372326349775E-3</v>
      </c>
      <c r="I259" s="275"/>
      <c r="J259" s="275" t="s">
        <v>1717</v>
      </c>
      <c r="K259" s="275" t="s">
        <v>738</v>
      </c>
      <c r="L259" s="275">
        <v>214.61</v>
      </c>
      <c r="M259" s="280">
        <f t="shared" si="7"/>
        <v>-1.3786131152061025E-2</v>
      </c>
    </row>
    <row r="260" spans="1:13">
      <c r="A260" s="275"/>
      <c r="B260" s="275"/>
      <c r="C260" s="275"/>
      <c r="D260" s="275"/>
      <c r="E260" s="275" t="s">
        <v>479</v>
      </c>
      <c r="F260" s="275" t="s">
        <v>739</v>
      </c>
      <c r="G260" s="278">
        <v>39208.879999999997</v>
      </c>
      <c r="H260" s="280">
        <f t="shared" ref="H260:H323" si="8">(G260-G259)/G259</f>
        <v>-1.1303522638253551E-3</v>
      </c>
      <c r="I260" s="275"/>
      <c r="J260" s="275" t="s">
        <v>1717</v>
      </c>
      <c r="K260" s="275" t="s">
        <v>739</v>
      </c>
      <c r="L260" s="275">
        <v>212.03</v>
      </c>
      <c r="M260" s="280">
        <f t="shared" ref="M260:M323" si="9">(L260-L259)/L259</f>
        <v>-1.2021806998741962E-2</v>
      </c>
    </row>
    <row r="261" spans="1:13">
      <c r="A261" s="275"/>
      <c r="B261" s="275"/>
      <c r="C261" s="275"/>
      <c r="D261" s="275"/>
      <c r="E261" s="275" t="s">
        <v>479</v>
      </c>
      <c r="F261" s="275" t="s">
        <v>740</v>
      </c>
      <c r="G261" s="278">
        <v>39098.79</v>
      </c>
      <c r="H261" s="280">
        <f t="shared" si="8"/>
        <v>-2.8077823186991448E-3</v>
      </c>
      <c r="I261" s="275"/>
      <c r="J261" s="275" t="s">
        <v>1717</v>
      </c>
      <c r="K261" s="275" t="s">
        <v>740</v>
      </c>
      <c r="L261" s="275">
        <v>214.6</v>
      </c>
      <c r="M261" s="280">
        <f t="shared" si="9"/>
        <v>1.212092628401638E-2</v>
      </c>
    </row>
    <row r="262" spans="1:13">
      <c r="A262" s="275"/>
      <c r="B262" s="275"/>
      <c r="C262" s="275"/>
      <c r="D262" s="275"/>
      <c r="E262" s="275" t="s">
        <v>479</v>
      </c>
      <c r="F262" s="275" t="s">
        <v>741</v>
      </c>
      <c r="G262" s="278">
        <v>39306.79</v>
      </c>
      <c r="H262" s="280">
        <f t="shared" si="8"/>
        <v>5.3198577244973561E-3</v>
      </c>
      <c r="I262" s="275"/>
      <c r="J262" s="275" t="s">
        <v>1717</v>
      </c>
      <c r="K262" s="275" t="s">
        <v>741</v>
      </c>
      <c r="L262" s="275">
        <v>213.86</v>
      </c>
      <c r="M262" s="280">
        <f t="shared" si="9"/>
        <v>-3.4482758620688757E-3</v>
      </c>
    </row>
    <row r="263" spans="1:13">
      <c r="A263" s="275"/>
      <c r="B263" s="275"/>
      <c r="C263" s="275"/>
      <c r="D263" s="275"/>
      <c r="E263" s="275" t="s">
        <v>479</v>
      </c>
      <c r="F263" s="275" t="s">
        <v>742</v>
      </c>
      <c r="G263" s="278">
        <v>39151.78</v>
      </c>
      <c r="H263" s="280">
        <f t="shared" si="8"/>
        <v>-3.9435934605700955E-3</v>
      </c>
      <c r="I263" s="275"/>
      <c r="J263" s="275" t="s">
        <v>1717</v>
      </c>
      <c r="K263" s="275" t="s">
        <v>742</v>
      </c>
      <c r="L263" s="275">
        <v>213.04</v>
      </c>
      <c r="M263" s="280">
        <f t="shared" si="9"/>
        <v>-3.8342841111008207E-3</v>
      </c>
    </row>
    <row r="264" spans="1:13">
      <c r="A264" s="275"/>
      <c r="B264" s="275"/>
      <c r="C264" s="275"/>
      <c r="D264" s="275"/>
      <c r="E264" s="275" t="s">
        <v>479</v>
      </c>
      <c r="F264" s="275" t="s">
        <v>743</v>
      </c>
      <c r="G264" s="278">
        <v>39017.32</v>
      </c>
      <c r="H264" s="280">
        <f t="shared" si="8"/>
        <v>-3.4343266129917755E-3</v>
      </c>
      <c r="I264" s="275"/>
      <c r="J264" s="275" t="s">
        <v>1717</v>
      </c>
      <c r="K264" s="275" t="s">
        <v>743</v>
      </c>
      <c r="L264" s="275">
        <v>211.57</v>
      </c>
      <c r="M264" s="280">
        <f t="shared" si="9"/>
        <v>-6.9001126549004827E-3</v>
      </c>
    </row>
    <row r="265" spans="1:13">
      <c r="A265" s="275"/>
      <c r="B265" s="275"/>
      <c r="C265" s="275"/>
      <c r="D265" s="275"/>
      <c r="E265" s="275" t="s">
        <v>479</v>
      </c>
      <c r="F265" s="275" t="s">
        <v>744</v>
      </c>
      <c r="G265" s="278">
        <v>39147.33</v>
      </c>
      <c r="H265" s="280">
        <f t="shared" si="8"/>
        <v>3.3321099450193412E-3</v>
      </c>
      <c r="I265" s="275"/>
      <c r="J265" s="275" t="s">
        <v>1717</v>
      </c>
      <c r="K265" s="275" t="s">
        <v>744</v>
      </c>
      <c r="L265" s="275">
        <v>212.33</v>
      </c>
      <c r="M265" s="280">
        <f t="shared" si="9"/>
        <v>3.5921917095997511E-3</v>
      </c>
    </row>
    <row r="266" spans="1:13">
      <c r="A266" s="275"/>
      <c r="B266" s="275"/>
      <c r="C266" s="275"/>
      <c r="D266" s="275"/>
      <c r="E266" s="275" t="s">
        <v>479</v>
      </c>
      <c r="F266" s="275" t="s">
        <v>745</v>
      </c>
      <c r="G266" s="278">
        <v>39434.97</v>
      </c>
      <c r="H266" s="280">
        <f t="shared" si="8"/>
        <v>7.3476275393494113E-3</v>
      </c>
      <c r="I266" s="275"/>
      <c r="J266" s="275" t="s">
        <v>1717</v>
      </c>
      <c r="K266" s="275" t="s">
        <v>745</v>
      </c>
      <c r="L266" s="275">
        <v>212.36</v>
      </c>
      <c r="M266" s="280">
        <f t="shared" si="9"/>
        <v>1.4128950218999264E-4</v>
      </c>
    </row>
    <row r="267" spans="1:13">
      <c r="A267" s="275"/>
      <c r="B267" s="275"/>
      <c r="C267" s="275"/>
      <c r="D267" s="275"/>
      <c r="E267" s="275" t="s">
        <v>479</v>
      </c>
      <c r="F267" s="275" t="s">
        <v>746</v>
      </c>
      <c r="G267" s="278">
        <v>39468.980000000003</v>
      </c>
      <c r="H267" s="280">
        <f t="shared" si="8"/>
        <v>8.6243250597127464E-4</v>
      </c>
      <c r="I267" s="275"/>
      <c r="J267" s="275" t="s">
        <v>1717</v>
      </c>
      <c r="K267" s="275" t="s">
        <v>746</v>
      </c>
      <c r="L267" s="275">
        <v>212.31</v>
      </c>
      <c r="M267" s="280">
        <f t="shared" si="9"/>
        <v>-2.3544923714452517E-4</v>
      </c>
    </row>
    <row r="268" spans="1:13">
      <c r="A268" s="275"/>
      <c r="B268" s="275"/>
      <c r="C268" s="275"/>
      <c r="D268" s="275"/>
      <c r="E268" s="275" t="s">
        <v>479</v>
      </c>
      <c r="F268" s="275" t="s">
        <v>747</v>
      </c>
      <c r="G268" s="278">
        <v>39505.279999999999</v>
      </c>
      <c r="H268" s="280">
        <f t="shared" si="8"/>
        <v>9.1970960485919908E-4</v>
      </c>
      <c r="I268" s="275"/>
      <c r="J268" s="275" t="s">
        <v>1717</v>
      </c>
      <c r="K268" s="275" t="s">
        <v>747</v>
      </c>
      <c r="L268" s="275">
        <v>212.48</v>
      </c>
      <c r="M268" s="280">
        <f t="shared" si="9"/>
        <v>8.0071593424703262E-4</v>
      </c>
    </row>
    <row r="269" spans="1:13">
      <c r="A269" s="275"/>
      <c r="B269" s="275"/>
      <c r="C269" s="275"/>
      <c r="D269" s="275"/>
      <c r="E269" s="275" t="s">
        <v>479</v>
      </c>
      <c r="F269" s="275" t="s">
        <v>748</v>
      </c>
      <c r="G269" s="278">
        <v>39800.639999999999</v>
      </c>
      <c r="H269" s="280">
        <f t="shared" si="8"/>
        <v>7.4764689681986966E-3</v>
      </c>
      <c r="I269" s="275"/>
      <c r="J269" s="275" t="s">
        <v>1717</v>
      </c>
      <c r="K269" s="275" t="s">
        <v>748</v>
      </c>
      <c r="L269" s="275">
        <v>215.19</v>
      </c>
      <c r="M269" s="280">
        <f t="shared" si="9"/>
        <v>1.2754141566265099E-2</v>
      </c>
    </row>
    <row r="270" spans="1:13">
      <c r="A270" s="275"/>
      <c r="B270" s="275"/>
      <c r="C270" s="275"/>
      <c r="D270" s="275"/>
      <c r="E270" s="275" t="s">
        <v>479</v>
      </c>
      <c r="F270" s="275" t="s">
        <v>749</v>
      </c>
      <c r="G270" s="278">
        <v>39786.93</v>
      </c>
      <c r="H270" s="280">
        <f t="shared" si="8"/>
        <v>-3.4446682264403604E-4</v>
      </c>
      <c r="I270" s="275"/>
      <c r="J270" s="275" t="s">
        <v>1717</v>
      </c>
      <c r="K270" s="275" t="s">
        <v>749</v>
      </c>
      <c r="L270" s="275">
        <v>215.38</v>
      </c>
      <c r="M270" s="280">
        <f t="shared" si="9"/>
        <v>8.8294065709372061E-4</v>
      </c>
    </row>
    <row r="271" spans="1:13">
      <c r="A271" s="275"/>
      <c r="B271" s="275"/>
      <c r="C271" s="275"/>
      <c r="D271" s="275"/>
      <c r="E271" s="275" t="s">
        <v>479</v>
      </c>
      <c r="F271" s="275" t="s">
        <v>750</v>
      </c>
      <c r="G271" s="278">
        <v>39615.760000000002</v>
      </c>
      <c r="H271" s="280">
        <f t="shared" si="8"/>
        <v>-4.3021665657540873E-3</v>
      </c>
      <c r="I271" s="275"/>
      <c r="J271" s="275" t="s">
        <v>1717</v>
      </c>
      <c r="K271" s="275" t="s">
        <v>750</v>
      </c>
      <c r="L271" s="275">
        <v>212.22</v>
      </c>
      <c r="M271" s="280">
        <f t="shared" si="9"/>
        <v>-1.4671742965920683E-2</v>
      </c>
    </row>
    <row r="272" spans="1:13">
      <c r="A272" s="275"/>
      <c r="B272" s="275"/>
      <c r="C272" s="275"/>
      <c r="D272" s="275"/>
      <c r="E272" s="275" t="s">
        <v>479</v>
      </c>
      <c r="F272" s="275" t="s">
        <v>751</v>
      </c>
      <c r="G272" s="278">
        <v>39446.699999999997</v>
      </c>
      <c r="H272" s="280">
        <f t="shared" si="8"/>
        <v>-4.2674935429739312E-3</v>
      </c>
      <c r="I272" s="275"/>
      <c r="J272" s="275" t="s">
        <v>1717</v>
      </c>
      <c r="K272" s="275" t="s">
        <v>751</v>
      </c>
      <c r="L272" s="275">
        <v>207.17</v>
      </c>
      <c r="M272" s="280">
        <f t="shared" si="9"/>
        <v>-2.3796060691735045E-2</v>
      </c>
    </row>
    <row r="273" spans="1:13">
      <c r="A273" s="275"/>
      <c r="B273" s="275"/>
      <c r="C273" s="275"/>
      <c r="D273" s="275"/>
      <c r="E273" s="275" t="s">
        <v>479</v>
      </c>
      <c r="F273" s="275" t="s">
        <v>752</v>
      </c>
      <c r="G273" s="278">
        <v>39390.21</v>
      </c>
      <c r="H273" s="280">
        <f t="shared" si="8"/>
        <v>-1.4320589555019297E-3</v>
      </c>
      <c r="I273" s="275"/>
      <c r="J273" s="275" t="s">
        <v>1717</v>
      </c>
      <c r="K273" s="275" t="s">
        <v>752</v>
      </c>
      <c r="L273" s="275">
        <v>204.53</v>
      </c>
      <c r="M273" s="280">
        <f t="shared" si="9"/>
        <v>-1.2743157793116699E-2</v>
      </c>
    </row>
    <row r="274" spans="1:13">
      <c r="A274" s="275"/>
      <c r="B274" s="275"/>
      <c r="C274" s="275"/>
      <c r="D274" s="275"/>
      <c r="E274" s="275" t="s">
        <v>479</v>
      </c>
      <c r="F274" s="275" t="s">
        <v>753</v>
      </c>
      <c r="G274" s="278">
        <v>39476.17</v>
      </c>
      <c r="H274" s="280">
        <f t="shared" si="8"/>
        <v>2.182268132106915E-3</v>
      </c>
      <c r="I274" s="275"/>
      <c r="J274" s="275" t="s">
        <v>1717</v>
      </c>
      <c r="K274" s="275" t="s">
        <v>753</v>
      </c>
      <c r="L274" s="275">
        <v>204.04</v>
      </c>
      <c r="M274" s="280">
        <f t="shared" si="9"/>
        <v>-2.3957365667628665E-3</v>
      </c>
    </row>
    <row r="275" spans="1:13">
      <c r="A275" s="275"/>
      <c r="B275" s="275"/>
      <c r="C275" s="275"/>
      <c r="D275" s="275"/>
      <c r="E275" s="275" t="s">
        <v>479</v>
      </c>
      <c r="F275" s="275" t="s">
        <v>754</v>
      </c>
      <c r="G275" s="278">
        <v>39663.71</v>
      </c>
      <c r="H275" s="280">
        <f t="shared" si="8"/>
        <v>4.7507141650266699E-3</v>
      </c>
      <c r="I275" s="275"/>
      <c r="J275" s="275" t="s">
        <v>1717</v>
      </c>
      <c r="K275" s="275" t="s">
        <v>754</v>
      </c>
      <c r="L275" s="275">
        <v>201.18</v>
      </c>
      <c r="M275" s="280">
        <f t="shared" si="9"/>
        <v>-1.4016859439325551E-2</v>
      </c>
    </row>
    <row r="276" spans="1:13">
      <c r="A276" s="275"/>
      <c r="B276" s="275"/>
      <c r="C276" s="275"/>
      <c r="D276" s="275"/>
      <c r="E276" s="275" t="s">
        <v>479</v>
      </c>
      <c r="F276" s="275" t="s">
        <v>755</v>
      </c>
      <c r="G276" s="278">
        <v>39805.879999999997</v>
      </c>
      <c r="H276" s="280">
        <f t="shared" si="8"/>
        <v>3.5843848192717792E-3</v>
      </c>
      <c r="I276" s="275"/>
      <c r="J276" s="275" t="s">
        <v>1717</v>
      </c>
      <c r="K276" s="275" t="s">
        <v>755</v>
      </c>
      <c r="L276" s="275">
        <v>201.83</v>
      </c>
      <c r="M276" s="280">
        <f t="shared" si="9"/>
        <v>3.2309374689333216E-3</v>
      </c>
    </row>
    <row r="277" spans="1:13">
      <c r="A277" s="275"/>
      <c r="B277" s="275"/>
      <c r="C277" s="275"/>
      <c r="D277" s="275"/>
      <c r="E277" s="275" t="s">
        <v>479</v>
      </c>
      <c r="F277" s="275" t="s">
        <v>756</v>
      </c>
      <c r="G277" s="278">
        <v>39861.599999999999</v>
      </c>
      <c r="H277" s="280">
        <f t="shared" si="8"/>
        <v>1.3997931963820713E-3</v>
      </c>
      <c r="I277" s="275"/>
      <c r="J277" s="275" t="s">
        <v>1717</v>
      </c>
      <c r="K277" s="275" t="s">
        <v>756</v>
      </c>
      <c r="L277" s="275">
        <v>206.43</v>
      </c>
      <c r="M277" s="280">
        <f t="shared" si="9"/>
        <v>2.279145815785559E-2</v>
      </c>
    </row>
    <row r="278" spans="1:13">
      <c r="A278" s="275"/>
      <c r="B278" s="275"/>
      <c r="C278" s="275"/>
      <c r="D278" s="275"/>
      <c r="E278" s="275" t="s">
        <v>479</v>
      </c>
      <c r="F278" s="275" t="s">
        <v>757</v>
      </c>
      <c r="G278" s="278">
        <v>39907.64</v>
      </c>
      <c r="H278" s="280">
        <f t="shared" si="8"/>
        <v>1.1549962871535732E-3</v>
      </c>
      <c r="I278" s="275"/>
      <c r="J278" s="275" t="s">
        <v>1717</v>
      </c>
      <c r="K278" s="275" t="s">
        <v>757</v>
      </c>
      <c r="L278" s="275">
        <v>208.84</v>
      </c>
      <c r="M278" s="280">
        <f t="shared" si="9"/>
        <v>1.1674659690936378E-2</v>
      </c>
    </row>
    <row r="279" spans="1:13">
      <c r="A279" s="275"/>
      <c r="B279" s="275"/>
      <c r="C279" s="275"/>
      <c r="D279" s="275"/>
      <c r="E279" s="275" t="s">
        <v>479</v>
      </c>
      <c r="F279" s="275" t="s">
        <v>758</v>
      </c>
      <c r="G279" s="278">
        <v>40030.519999999997</v>
      </c>
      <c r="H279" s="280">
        <f t="shared" si="8"/>
        <v>3.0791096642146061E-3</v>
      </c>
      <c r="I279" s="275"/>
      <c r="J279" s="275" t="s">
        <v>1717</v>
      </c>
      <c r="K279" s="275" t="s">
        <v>758</v>
      </c>
      <c r="L279" s="275">
        <v>212.95</v>
      </c>
      <c r="M279" s="280">
        <f t="shared" si="9"/>
        <v>1.9680137904615903E-2</v>
      </c>
    </row>
    <row r="280" spans="1:13">
      <c r="A280" s="275"/>
      <c r="B280" s="275"/>
      <c r="C280" s="275"/>
      <c r="D280" s="275"/>
      <c r="E280" s="275" t="s">
        <v>479</v>
      </c>
      <c r="F280" s="275" t="s">
        <v>759</v>
      </c>
      <c r="G280" s="278">
        <v>40050.17</v>
      </c>
      <c r="H280" s="280">
        <f t="shared" si="8"/>
        <v>4.9087546202251323E-4</v>
      </c>
      <c r="I280" s="275"/>
      <c r="J280" s="275" t="s">
        <v>1717</v>
      </c>
      <c r="K280" s="275" t="s">
        <v>759</v>
      </c>
      <c r="L280" s="275">
        <v>217.65</v>
      </c>
      <c r="M280" s="280">
        <f t="shared" si="9"/>
        <v>2.2070908664005715E-2</v>
      </c>
    </row>
    <row r="281" spans="1:13">
      <c r="A281" s="275"/>
      <c r="B281" s="275"/>
      <c r="C281" s="275"/>
      <c r="D281" s="275"/>
      <c r="E281" s="275" t="s">
        <v>479</v>
      </c>
      <c r="F281" s="275" t="s">
        <v>760</v>
      </c>
      <c r="G281" s="278">
        <v>40057.519999999997</v>
      </c>
      <c r="H281" s="280">
        <f t="shared" si="8"/>
        <v>1.8351982026539574E-4</v>
      </c>
      <c r="I281" s="275"/>
      <c r="J281" s="275" t="s">
        <v>1717</v>
      </c>
      <c r="K281" s="275" t="s">
        <v>760</v>
      </c>
      <c r="L281" s="275">
        <v>217.22</v>
      </c>
      <c r="M281" s="280">
        <f t="shared" si="9"/>
        <v>-1.9756489777165488E-3</v>
      </c>
    </row>
    <row r="282" spans="1:13">
      <c r="A282" s="275"/>
      <c r="B282" s="275"/>
      <c r="C282" s="275"/>
      <c r="D282" s="275"/>
      <c r="E282" s="275" t="s">
        <v>479</v>
      </c>
      <c r="F282" s="275" t="s">
        <v>761</v>
      </c>
      <c r="G282" s="278">
        <v>39771.199999999997</v>
      </c>
      <c r="H282" s="280">
        <f t="shared" si="8"/>
        <v>-7.1477215763731689E-3</v>
      </c>
      <c r="I282" s="275"/>
      <c r="J282" s="275" t="s">
        <v>1717</v>
      </c>
      <c r="K282" s="275" t="s">
        <v>761</v>
      </c>
      <c r="L282" s="275">
        <v>213.84</v>
      </c>
      <c r="M282" s="280">
        <f t="shared" si="9"/>
        <v>-1.5560261486050986E-2</v>
      </c>
    </row>
    <row r="283" spans="1:13">
      <c r="A283" s="275"/>
      <c r="B283" s="275"/>
      <c r="C283" s="275"/>
      <c r="D283" s="275"/>
      <c r="E283" s="275" t="s">
        <v>479</v>
      </c>
      <c r="F283" s="275" t="s">
        <v>762</v>
      </c>
      <c r="G283" s="278">
        <v>39499.08</v>
      </c>
      <c r="H283" s="280">
        <f t="shared" si="8"/>
        <v>-6.8421370237758822E-3</v>
      </c>
      <c r="I283" s="275"/>
      <c r="J283" s="275" t="s">
        <v>1717</v>
      </c>
      <c r="K283" s="275" t="s">
        <v>762</v>
      </c>
      <c r="L283" s="275">
        <v>214.42</v>
      </c>
      <c r="M283" s="280">
        <f t="shared" si="9"/>
        <v>2.7123082678637491E-3</v>
      </c>
    </row>
    <row r="284" spans="1:13">
      <c r="A284" s="275"/>
      <c r="B284" s="275"/>
      <c r="C284" s="275"/>
      <c r="D284" s="275"/>
      <c r="E284" s="275" t="s">
        <v>479</v>
      </c>
      <c r="F284" s="275" t="s">
        <v>763</v>
      </c>
      <c r="G284" s="278">
        <v>39457.949999999997</v>
      </c>
      <c r="H284" s="280">
        <f t="shared" si="8"/>
        <v>-1.0412900756170689E-3</v>
      </c>
      <c r="I284" s="275"/>
      <c r="J284" s="275" t="s">
        <v>1717</v>
      </c>
      <c r="K284" s="275" t="s">
        <v>763</v>
      </c>
      <c r="L284" s="275">
        <v>214.15</v>
      </c>
      <c r="M284" s="280">
        <f t="shared" si="9"/>
        <v>-1.2592108945060248E-3</v>
      </c>
    </row>
    <row r="285" spans="1:13">
      <c r="A285" s="275"/>
      <c r="B285" s="275"/>
      <c r="C285" s="275"/>
      <c r="D285" s="275"/>
      <c r="E285" s="275" t="s">
        <v>479</v>
      </c>
      <c r="F285" s="275" t="s">
        <v>764</v>
      </c>
      <c r="G285" s="278">
        <v>39400.19</v>
      </c>
      <c r="H285" s="280">
        <f t="shared" si="8"/>
        <v>-1.4638368186891302E-3</v>
      </c>
      <c r="I285" s="275"/>
      <c r="J285" s="275" t="s">
        <v>1717</v>
      </c>
      <c r="K285" s="275" t="s">
        <v>764</v>
      </c>
      <c r="L285" s="275">
        <v>213.24</v>
      </c>
      <c r="M285" s="280">
        <f t="shared" si="9"/>
        <v>-4.2493579266868857E-3</v>
      </c>
    </row>
    <row r="286" spans="1:13">
      <c r="A286" s="275"/>
      <c r="B286" s="275"/>
      <c r="C286" s="275"/>
      <c r="D286" s="275"/>
      <c r="E286" s="275" t="s">
        <v>479</v>
      </c>
      <c r="F286" s="275" t="s">
        <v>765</v>
      </c>
      <c r="G286" s="278">
        <v>39506.58</v>
      </c>
      <c r="H286" s="280">
        <f t="shared" si="8"/>
        <v>2.7002407856408666E-3</v>
      </c>
      <c r="I286" s="275"/>
      <c r="J286" s="275" t="s">
        <v>1717</v>
      </c>
      <c r="K286" s="275" t="s">
        <v>765</v>
      </c>
      <c r="L286" s="275">
        <v>211.75</v>
      </c>
      <c r="M286" s="280">
        <f t="shared" si="9"/>
        <v>-6.9874320015006989E-3</v>
      </c>
    </row>
    <row r="287" spans="1:13">
      <c r="A287" s="275"/>
      <c r="B287" s="275"/>
      <c r="C287" s="275"/>
      <c r="D287" s="275"/>
      <c r="E287" s="275" t="s">
        <v>479</v>
      </c>
      <c r="F287" s="275" t="s">
        <v>766</v>
      </c>
      <c r="G287" s="278">
        <v>39792.1</v>
      </c>
      <c r="H287" s="280">
        <f t="shared" si="8"/>
        <v>7.2271505151799212E-3</v>
      </c>
      <c r="I287" s="275"/>
      <c r="J287" s="275" t="s">
        <v>1717</v>
      </c>
      <c r="K287" s="275" t="s">
        <v>766</v>
      </c>
      <c r="L287" s="275">
        <v>213.85</v>
      </c>
      <c r="M287" s="280">
        <f t="shared" si="9"/>
        <v>9.9173553719007993E-3</v>
      </c>
    </row>
    <row r="288" spans="1:13">
      <c r="A288" s="275"/>
      <c r="B288" s="275"/>
      <c r="C288" s="275"/>
      <c r="D288" s="275"/>
      <c r="E288" s="275" t="s">
        <v>479</v>
      </c>
      <c r="F288" s="275" t="s">
        <v>767</v>
      </c>
      <c r="G288" s="278">
        <v>39926.699999999997</v>
      </c>
      <c r="H288" s="280">
        <f t="shared" si="8"/>
        <v>3.3825809645632813E-3</v>
      </c>
      <c r="I288" s="275"/>
      <c r="J288" s="275" t="s">
        <v>1717</v>
      </c>
      <c r="K288" s="275" t="s">
        <v>767</v>
      </c>
      <c r="L288" s="275">
        <v>214.11</v>
      </c>
      <c r="M288" s="280">
        <f t="shared" si="9"/>
        <v>1.2158054711247106E-3</v>
      </c>
    </row>
    <row r="289" spans="1:13">
      <c r="A289" s="275"/>
      <c r="B289" s="275"/>
      <c r="C289" s="275"/>
      <c r="D289" s="275"/>
      <c r="E289" s="275" t="s">
        <v>479</v>
      </c>
      <c r="F289" s="275" t="s">
        <v>768</v>
      </c>
      <c r="G289" s="278">
        <v>40023.019999999997</v>
      </c>
      <c r="H289" s="280">
        <f t="shared" si="8"/>
        <v>2.4124207610446073E-3</v>
      </c>
      <c r="I289" s="275"/>
      <c r="J289" s="275" t="s">
        <v>1717</v>
      </c>
      <c r="K289" s="275" t="s">
        <v>768</v>
      </c>
      <c r="L289" s="275">
        <v>214.57</v>
      </c>
      <c r="M289" s="280">
        <f t="shared" si="9"/>
        <v>2.148428377936479E-3</v>
      </c>
    </row>
    <row r="290" spans="1:13">
      <c r="A290" s="275"/>
      <c r="B290" s="275"/>
      <c r="C290" s="275"/>
      <c r="D290" s="275"/>
      <c r="E290" s="275" t="s">
        <v>479</v>
      </c>
      <c r="F290" s="275" t="s">
        <v>769</v>
      </c>
      <c r="G290" s="278">
        <v>39991.79</v>
      </c>
      <c r="H290" s="280">
        <f t="shared" si="8"/>
        <v>-7.8030093681076356E-4</v>
      </c>
      <c r="I290" s="275"/>
      <c r="J290" s="275" t="s">
        <v>1717</v>
      </c>
      <c r="K290" s="275" t="s">
        <v>769</v>
      </c>
      <c r="L290" s="275">
        <v>213.92</v>
      </c>
      <c r="M290" s="280">
        <f t="shared" si="9"/>
        <v>-3.0293144428391932E-3</v>
      </c>
    </row>
    <row r="291" spans="1:13">
      <c r="A291" s="275"/>
      <c r="B291" s="275"/>
      <c r="C291" s="275"/>
      <c r="D291" s="275"/>
      <c r="E291" s="275" t="s">
        <v>479</v>
      </c>
      <c r="F291" s="275" t="s">
        <v>770</v>
      </c>
      <c r="G291" s="278">
        <v>39809.58</v>
      </c>
      <c r="H291" s="280">
        <f t="shared" si="8"/>
        <v>-4.5561851570034527E-3</v>
      </c>
      <c r="I291" s="275"/>
      <c r="J291" s="275" t="s">
        <v>1717</v>
      </c>
      <c r="K291" s="275" t="s">
        <v>770</v>
      </c>
      <c r="L291" s="275">
        <v>213.42</v>
      </c>
      <c r="M291" s="280">
        <f t="shared" si="9"/>
        <v>-2.3373223635003741E-3</v>
      </c>
    </row>
    <row r="292" spans="1:13">
      <c r="A292" s="275"/>
      <c r="B292" s="275"/>
      <c r="C292" s="275"/>
      <c r="D292" s="275"/>
      <c r="E292" s="275" t="s">
        <v>479</v>
      </c>
      <c r="F292" s="275" t="s">
        <v>771</v>
      </c>
      <c r="G292" s="278">
        <v>39738.67</v>
      </c>
      <c r="H292" s="280">
        <f t="shared" si="8"/>
        <v>-1.7812295432406845E-3</v>
      </c>
      <c r="I292" s="275"/>
      <c r="J292" s="275" t="s">
        <v>1717</v>
      </c>
      <c r="K292" s="275" t="s">
        <v>771</v>
      </c>
      <c r="L292" s="275">
        <v>211.44</v>
      </c>
      <c r="M292" s="280">
        <f t="shared" si="9"/>
        <v>-9.2774810233342223E-3</v>
      </c>
    </row>
    <row r="293" spans="1:13">
      <c r="A293" s="275"/>
      <c r="B293" s="275"/>
      <c r="C293" s="275"/>
      <c r="D293" s="275"/>
      <c r="E293" s="275" t="s">
        <v>479</v>
      </c>
      <c r="F293" s="275" t="s">
        <v>772</v>
      </c>
      <c r="G293" s="278">
        <v>39464.65</v>
      </c>
      <c r="H293" s="280">
        <f t="shared" si="8"/>
        <v>-6.8955503543524938E-3</v>
      </c>
      <c r="I293" s="275"/>
      <c r="J293" s="275" t="s">
        <v>1717</v>
      </c>
      <c r="K293" s="275" t="s">
        <v>772</v>
      </c>
      <c r="L293" s="275">
        <v>201.01</v>
      </c>
      <c r="M293" s="280">
        <f t="shared" si="9"/>
        <v>-4.9328414680287584E-2</v>
      </c>
    </row>
    <row r="294" spans="1:13">
      <c r="A294" s="275"/>
      <c r="B294" s="275"/>
      <c r="C294" s="275"/>
      <c r="D294" s="275"/>
      <c r="E294" s="275" t="s">
        <v>479</v>
      </c>
      <c r="F294" s="275" t="s">
        <v>773</v>
      </c>
      <c r="G294" s="278">
        <v>39278.11</v>
      </c>
      <c r="H294" s="280">
        <f t="shared" si="8"/>
        <v>-4.726761798216907E-3</v>
      </c>
      <c r="I294" s="275"/>
      <c r="J294" s="275" t="s">
        <v>1717</v>
      </c>
      <c r="K294" s="275" t="s">
        <v>773</v>
      </c>
      <c r="L294" s="275">
        <v>198.97</v>
      </c>
      <c r="M294" s="280">
        <f t="shared" si="9"/>
        <v>-1.0148748818466703E-2</v>
      </c>
    </row>
    <row r="295" spans="1:13">
      <c r="A295" s="275"/>
      <c r="B295" s="275"/>
      <c r="C295" s="275"/>
      <c r="D295" s="275"/>
      <c r="E295" s="275" t="s">
        <v>479</v>
      </c>
      <c r="F295" s="275" t="s">
        <v>774</v>
      </c>
      <c r="G295" s="278">
        <v>39688.97</v>
      </c>
      <c r="H295" s="280">
        <f t="shared" si="8"/>
        <v>1.0460279275148436E-2</v>
      </c>
      <c r="I295" s="275"/>
      <c r="J295" s="275" t="s">
        <v>1717</v>
      </c>
      <c r="K295" s="275" t="s">
        <v>774</v>
      </c>
      <c r="L295" s="275">
        <v>196.94</v>
      </c>
      <c r="M295" s="280">
        <f t="shared" si="9"/>
        <v>-1.0202543096949294E-2</v>
      </c>
    </row>
    <row r="296" spans="1:13">
      <c r="A296" s="275"/>
      <c r="B296" s="275"/>
      <c r="C296" s="275"/>
      <c r="D296" s="275"/>
      <c r="E296" s="275" t="s">
        <v>479</v>
      </c>
      <c r="F296" s="275" t="s">
        <v>775</v>
      </c>
      <c r="G296" s="278">
        <v>40084.870000000003</v>
      </c>
      <c r="H296" s="280">
        <f t="shared" si="8"/>
        <v>9.9750636007939087E-3</v>
      </c>
      <c r="I296" s="275"/>
      <c r="J296" s="275" t="s">
        <v>1717</v>
      </c>
      <c r="K296" s="275" t="s">
        <v>775</v>
      </c>
      <c r="L296" s="275">
        <v>197.98</v>
      </c>
      <c r="M296" s="280">
        <f t="shared" si="9"/>
        <v>5.2807961815781049E-3</v>
      </c>
    </row>
    <row r="297" spans="1:13">
      <c r="A297" s="275"/>
      <c r="B297" s="275"/>
      <c r="C297" s="275"/>
      <c r="D297" s="275"/>
      <c r="E297" s="275" t="s">
        <v>479</v>
      </c>
      <c r="F297" s="275" t="s">
        <v>776</v>
      </c>
      <c r="G297" s="278">
        <v>40136.93</v>
      </c>
      <c r="H297" s="280">
        <f t="shared" si="8"/>
        <v>1.2987443890923849E-3</v>
      </c>
      <c r="I297" s="275"/>
      <c r="J297" s="275" t="s">
        <v>1717</v>
      </c>
      <c r="K297" s="275" t="s">
        <v>776</v>
      </c>
      <c r="L297" s="275">
        <v>196.15</v>
      </c>
      <c r="M297" s="280">
        <f t="shared" si="9"/>
        <v>-9.2433579149408234E-3</v>
      </c>
    </row>
    <row r="298" spans="1:13">
      <c r="A298" s="275"/>
      <c r="B298" s="275"/>
      <c r="C298" s="275"/>
      <c r="D298" s="275"/>
      <c r="E298" s="275" t="s">
        <v>479</v>
      </c>
      <c r="F298" s="275" t="s">
        <v>777</v>
      </c>
      <c r="G298" s="278">
        <v>40340.230000000003</v>
      </c>
      <c r="H298" s="280">
        <f t="shared" si="8"/>
        <v>5.0651606886725747E-3</v>
      </c>
      <c r="I298" s="275"/>
      <c r="J298" s="275" t="s">
        <v>1717</v>
      </c>
      <c r="K298" s="275" t="s">
        <v>777</v>
      </c>
      <c r="L298" s="275">
        <v>194.32</v>
      </c>
      <c r="M298" s="280">
        <f t="shared" si="9"/>
        <v>-9.3295946979353173E-3</v>
      </c>
    </row>
    <row r="299" spans="1:13">
      <c r="A299" s="275"/>
      <c r="B299" s="275"/>
      <c r="C299" s="275"/>
      <c r="D299" s="275"/>
      <c r="E299" s="275" t="s">
        <v>479</v>
      </c>
      <c r="F299" s="275" t="s">
        <v>778</v>
      </c>
      <c r="G299" s="278">
        <v>40216.35</v>
      </c>
      <c r="H299" s="280">
        <f t="shared" si="8"/>
        <v>-3.0708798636002979E-3</v>
      </c>
      <c r="I299" s="275"/>
      <c r="J299" s="275" t="s">
        <v>1717</v>
      </c>
      <c r="K299" s="275" t="s">
        <v>778</v>
      </c>
      <c r="L299" s="275">
        <v>192.86</v>
      </c>
      <c r="M299" s="280">
        <f t="shared" si="9"/>
        <v>-7.5133799917660535E-3</v>
      </c>
    </row>
    <row r="300" spans="1:13">
      <c r="A300" s="275"/>
      <c r="B300" s="275"/>
      <c r="C300" s="275"/>
      <c r="D300" s="275"/>
      <c r="E300" s="275" t="s">
        <v>479</v>
      </c>
      <c r="F300" s="275" t="s">
        <v>779</v>
      </c>
      <c r="G300" s="278">
        <v>40363.68</v>
      </c>
      <c r="H300" s="280">
        <f t="shared" si="8"/>
        <v>3.6634353938137538E-3</v>
      </c>
      <c r="I300" s="275"/>
      <c r="J300" s="275" t="s">
        <v>1717</v>
      </c>
      <c r="K300" s="275" t="s">
        <v>779</v>
      </c>
      <c r="L300" s="275">
        <v>192.64</v>
      </c>
      <c r="M300" s="280">
        <f t="shared" si="9"/>
        <v>-1.140723841128421E-3</v>
      </c>
    </row>
    <row r="301" spans="1:13">
      <c r="A301" s="275"/>
      <c r="B301" s="275"/>
      <c r="C301" s="275"/>
      <c r="D301" s="275"/>
      <c r="E301" s="275" t="s">
        <v>479</v>
      </c>
      <c r="F301" s="275" t="s">
        <v>780</v>
      </c>
      <c r="G301" s="278">
        <v>40414.720000000001</v>
      </c>
      <c r="H301" s="280">
        <f t="shared" si="8"/>
        <v>1.2645031374741073E-3</v>
      </c>
      <c r="I301" s="275"/>
      <c r="J301" s="275" t="s">
        <v>1717</v>
      </c>
      <c r="K301" s="275" t="s">
        <v>780</v>
      </c>
      <c r="L301" s="275">
        <v>191.19</v>
      </c>
      <c r="M301" s="280">
        <f t="shared" si="9"/>
        <v>-7.5269933554816693E-3</v>
      </c>
    </row>
    <row r="302" spans="1:13">
      <c r="A302" s="275"/>
      <c r="B302" s="275"/>
      <c r="C302" s="275"/>
      <c r="D302" s="275"/>
      <c r="E302" s="275" t="s">
        <v>479</v>
      </c>
      <c r="F302" s="275" t="s">
        <v>781</v>
      </c>
      <c r="G302" s="278">
        <v>40340.46</v>
      </c>
      <c r="H302" s="280">
        <f t="shared" si="8"/>
        <v>-1.8374493253943622E-3</v>
      </c>
      <c r="I302" s="275"/>
      <c r="J302" s="275" t="s">
        <v>1717</v>
      </c>
      <c r="K302" s="275" t="s">
        <v>781</v>
      </c>
      <c r="L302" s="275">
        <v>192.52</v>
      </c>
      <c r="M302" s="280">
        <f t="shared" si="9"/>
        <v>6.9564307756682488E-3</v>
      </c>
    </row>
    <row r="303" spans="1:13">
      <c r="A303" s="275"/>
      <c r="B303" s="275"/>
      <c r="C303" s="275"/>
      <c r="D303" s="275"/>
      <c r="E303" s="275" t="s">
        <v>479</v>
      </c>
      <c r="F303" s="275" t="s">
        <v>782</v>
      </c>
      <c r="G303" s="278">
        <v>39771.42</v>
      </c>
      <c r="H303" s="280">
        <f t="shared" si="8"/>
        <v>-1.4105937314547254E-2</v>
      </c>
      <c r="I303" s="275"/>
      <c r="J303" s="275" t="s">
        <v>1717</v>
      </c>
      <c r="K303" s="275" t="s">
        <v>782</v>
      </c>
      <c r="L303" s="275">
        <v>192.25</v>
      </c>
      <c r="M303" s="280">
        <f t="shared" si="9"/>
        <v>-1.4024516933306161E-3</v>
      </c>
    </row>
    <row r="304" spans="1:13">
      <c r="A304" s="275"/>
      <c r="B304" s="275"/>
      <c r="C304" s="275"/>
      <c r="D304" s="275"/>
      <c r="E304" s="275" t="s">
        <v>479</v>
      </c>
      <c r="F304" s="275" t="s">
        <v>783</v>
      </c>
      <c r="G304" s="278">
        <v>40135.31</v>
      </c>
      <c r="H304" s="280">
        <f t="shared" si="8"/>
        <v>9.149535017859544E-3</v>
      </c>
      <c r="I304" s="275"/>
      <c r="J304" s="275" t="s">
        <v>1717</v>
      </c>
      <c r="K304" s="275" t="s">
        <v>783</v>
      </c>
      <c r="L304" s="275">
        <v>198.46</v>
      </c>
      <c r="M304" s="280">
        <f t="shared" si="9"/>
        <v>3.2301690507152189E-2</v>
      </c>
    </row>
    <row r="305" spans="1:13">
      <c r="A305" s="275"/>
      <c r="B305" s="275"/>
      <c r="C305" s="275"/>
      <c r="D305" s="275"/>
      <c r="E305" s="275" t="s">
        <v>479</v>
      </c>
      <c r="F305" s="275" t="s">
        <v>784</v>
      </c>
      <c r="G305" s="278">
        <v>39781.949999999997</v>
      </c>
      <c r="H305" s="280">
        <f t="shared" si="8"/>
        <v>-8.8042175331397871E-3</v>
      </c>
      <c r="I305" s="275"/>
      <c r="J305" s="275" t="s">
        <v>1717</v>
      </c>
      <c r="K305" s="275" t="s">
        <v>784</v>
      </c>
      <c r="L305" s="275">
        <v>195.75</v>
      </c>
      <c r="M305" s="280">
        <f t="shared" si="9"/>
        <v>-1.3655144613524175E-2</v>
      </c>
    </row>
    <row r="306" spans="1:13">
      <c r="A306" s="275"/>
      <c r="B306" s="275"/>
      <c r="C306" s="275"/>
      <c r="D306" s="275"/>
      <c r="E306" s="275" t="s">
        <v>479</v>
      </c>
      <c r="F306" s="275" t="s">
        <v>785</v>
      </c>
      <c r="G306" s="278">
        <v>40220.76</v>
      </c>
      <c r="H306" s="280">
        <f t="shared" si="8"/>
        <v>1.1030379355461584E-2</v>
      </c>
      <c r="I306" s="275"/>
      <c r="J306" s="275" t="s">
        <v>1717</v>
      </c>
      <c r="K306" s="275" t="s">
        <v>785</v>
      </c>
      <c r="L306" s="275">
        <v>197.69</v>
      </c>
      <c r="M306" s="280">
        <f t="shared" si="9"/>
        <v>9.9106002554278302E-3</v>
      </c>
    </row>
    <row r="307" spans="1:13">
      <c r="A307" s="275"/>
      <c r="B307" s="275"/>
      <c r="C307" s="275"/>
      <c r="D307" s="275"/>
      <c r="E307" s="275" t="s">
        <v>479</v>
      </c>
      <c r="F307" s="275" t="s">
        <v>786</v>
      </c>
      <c r="G307" s="278">
        <v>40294.379999999997</v>
      </c>
      <c r="H307" s="280">
        <f t="shared" si="8"/>
        <v>1.8303980332543526E-3</v>
      </c>
      <c r="I307" s="275"/>
      <c r="J307" s="275" t="s">
        <v>1717</v>
      </c>
      <c r="K307" s="275" t="s">
        <v>786</v>
      </c>
      <c r="L307" s="275">
        <v>200.82</v>
      </c>
      <c r="M307" s="280">
        <f t="shared" si="9"/>
        <v>1.5832869644392712E-2</v>
      </c>
    </row>
    <row r="308" spans="1:13">
      <c r="A308" s="275"/>
      <c r="B308" s="275"/>
      <c r="C308" s="275"/>
      <c r="D308" s="275"/>
      <c r="E308" s="275" t="s">
        <v>479</v>
      </c>
      <c r="F308" s="275" t="s">
        <v>787</v>
      </c>
      <c r="G308" s="278">
        <v>40355.019999999997</v>
      </c>
      <c r="H308" s="280">
        <f t="shared" si="8"/>
        <v>1.5049245080827505E-3</v>
      </c>
      <c r="I308" s="275"/>
      <c r="J308" s="275" t="s">
        <v>1717</v>
      </c>
      <c r="K308" s="275" t="s">
        <v>787</v>
      </c>
      <c r="L308" s="275">
        <v>201.59</v>
      </c>
      <c r="M308" s="280">
        <f t="shared" si="9"/>
        <v>3.8342794542376769E-3</v>
      </c>
    </row>
    <row r="309" spans="1:13">
      <c r="A309" s="275"/>
      <c r="B309" s="275"/>
      <c r="C309" s="275"/>
      <c r="D309" s="275"/>
      <c r="E309" s="275" t="s">
        <v>479</v>
      </c>
      <c r="F309" s="275" t="s">
        <v>788</v>
      </c>
      <c r="G309" s="278">
        <v>40295.519999999997</v>
      </c>
      <c r="H309" s="280">
        <f t="shared" si="8"/>
        <v>-1.474413839963405E-3</v>
      </c>
      <c r="I309" s="275"/>
      <c r="J309" s="275" t="s">
        <v>1717</v>
      </c>
      <c r="K309" s="275" t="s">
        <v>788</v>
      </c>
      <c r="L309" s="275">
        <v>203.18</v>
      </c>
      <c r="M309" s="280">
        <f t="shared" si="9"/>
        <v>7.8872959968252568E-3</v>
      </c>
    </row>
    <row r="310" spans="1:13">
      <c r="A310" s="275"/>
      <c r="B310" s="275"/>
      <c r="C310" s="275"/>
      <c r="D310" s="275"/>
      <c r="E310" s="275" t="s">
        <v>479</v>
      </c>
      <c r="F310" s="275" t="s">
        <v>789</v>
      </c>
      <c r="G310" s="278">
        <v>40541.81</v>
      </c>
      <c r="H310" s="280">
        <f t="shared" si="8"/>
        <v>6.1120938506315564E-3</v>
      </c>
      <c r="I310" s="275"/>
      <c r="J310" s="275" t="s">
        <v>1717</v>
      </c>
      <c r="K310" s="275" t="s">
        <v>789</v>
      </c>
      <c r="L310" s="275">
        <v>197.82</v>
      </c>
      <c r="M310" s="280">
        <f t="shared" si="9"/>
        <v>-2.6380549266660169E-2</v>
      </c>
    </row>
    <row r="311" spans="1:13">
      <c r="A311" s="275"/>
      <c r="B311" s="275"/>
      <c r="C311" s="275"/>
      <c r="D311" s="275"/>
      <c r="E311" s="275" t="s">
        <v>479</v>
      </c>
      <c r="F311" s="275" t="s">
        <v>790</v>
      </c>
      <c r="G311" s="278">
        <v>40986.31</v>
      </c>
      <c r="H311" s="280">
        <f t="shared" si="8"/>
        <v>1.0963990014259354E-2</v>
      </c>
      <c r="I311" s="275"/>
      <c r="J311" s="275" t="s">
        <v>1717</v>
      </c>
      <c r="K311" s="275" t="s">
        <v>790</v>
      </c>
      <c r="L311" s="275">
        <v>202.55</v>
      </c>
      <c r="M311" s="280">
        <f t="shared" si="9"/>
        <v>2.3910625821453941E-2</v>
      </c>
    </row>
    <row r="312" spans="1:13">
      <c r="A312" s="275"/>
      <c r="B312" s="275"/>
      <c r="C312" s="275"/>
      <c r="D312" s="275"/>
      <c r="E312" s="275" t="s">
        <v>479</v>
      </c>
      <c r="F312" s="275" t="s">
        <v>791</v>
      </c>
      <c r="G312" s="278">
        <v>41123.97</v>
      </c>
      <c r="H312" s="280">
        <f t="shared" si="8"/>
        <v>3.3586824478710939E-3</v>
      </c>
      <c r="I312" s="275"/>
      <c r="J312" s="275" t="s">
        <v>1717</v>
      </c>
      <c r="K312" s="275" t="s">
        <v>791</v>
      </c>
      <c r="L312" s="275">
        <v>202.02</v>
      </c>
      <c r="M312" s="280">
        <f t="shared" si="9"/>
        <v>-2.6166378671932909E-3</v>
      </c>
    </row>
    <row r="313" spans="1:13">
      <c r="A313" s="275"/>
      <c r="B313" s="275"/>
      <c r="C313" s="275"/>
      <c r="D313" s="275"/>
      <c r="E313" s="275" t="s">
        <v>479</v>
      </c>
      <c r="F313" s="275" t="s">
        <v>792</v>
      </c>
      <c r="G313" s="278">
        <v>41253.46</v>
      </c>
      <c r="H313" s="280">
        <f t="shared" si="8"/>
        <v>3.1487718719763183E-3</v>
      </c>
      <c r="I313" s="275"/>
      <c r="J313" s="275" t="s">
        <v>1717</v>
      </c>
      <c r="K313" s="275" t="s">
        <v>792</v>
      </c>
      <c r="L313" s="275">
        <v>201.15</v>
      </c>
      <c r="M313" s="280">
        <f t="shared" si="9"/>
        <v>-4.3065043065043289E-3</v>
      </c>
    </row>
    <row r="314" spans="1:13">
      <c r="A314" s="275"/>
      <c r="B314" s="275"/>
      <c r="C314" s="275"/>
      <c r="D314" s="275"/>
      <c r="E314" s="275" t="s">
        <v>479</v>
      </c>
      <c r="F314" s="275" t="s">
        <v>793</v>
      </c>
      <c r="G314" s="278">
        <v>41252.17</v>
      </c>
      <c r="H314" s="280">
        <f t="shared" si="8"/>
        <v>-3.1270104374296678E-5</v>
      </c>
      <c r="I314" s="275"/>
      <c r="J314" s="275" t="s">
        <v>1717</v>
      </c>
      <c r="K314" s="275" t="s">
        <v>793</v>
      </c>
      <c r="L314" s="275">
        <v>197.42</v>
      </c>
      <c r="M314" s="280">
        <f t="shared" si="9"/>
        <v>-1.8543375590355547E-2</v>
      </c>
    </row>
    <row r="315" spans="1:13">
      <c r="A315" s="275"/>
      <c r="B315" s="275"/>
      <c r="C315" s="275"/>
      <c r="D315" s="275"/>
      <c r="E315" s="275" t="s">
        <v>479</v>
      </c>
      <c r="F315" s="275" t="s">
        <v>794</v>
      </c>
      <c r="G315" s="278">
        <v>41200.480000000003</v>
      </c>
      <c r="H315" s="280">
        <f t="shared" si="8"/>
        <v>-1.253024992382099E-3</v>
      </c>
      <c r="I315" s="275"/>
      <c r="J315" s="275" t="s">
        <v>1717</v>
      </c>
      <c r="K315" s="275" t="s">
        <v>794</v>
      </c>
      <c r="L315" s="275">
        <v>196.15</v>
      </c>
      <c r="M315" s="280">
        <f t="shared" si="9"/>
        <v>-6.4329855131191466E-3</v>
      </c>
    </row>
    <row r="316" spans="1:13">
      <c r="A316" s="275"/>
      <c r="B316" s="275"/>
      <c r="C316" s="275"/>
      <c r="D316" s="275"/>
      <c r="E316" s="275" t="s">
        <v>479</v>
      </c>
      <c r="F316" s="275" t="s">
        <v>795</v>
      </c>
      <c r="G316" s="278">
        <v>41403.97</v>
      </c>
      <c r="H316" s="280">
        <f t="shared" si="8"/>
        <v>4.93902012792079E-3</v>
      </c>
      <c r="I316" s="275"/>
      <c r="J316" s="275" t="s">
        <v>1717</v>
      </c>
      <c r="K316" s="275" t="s">
        <v>795</v>
      </c>
      <c r="L316" s="275">
        <v>195.38</v>
      </c>
      <c r="M316" s="280">
        <f t="shared" si="9"/>
        <v>-3.9255671679837376E-3</v>
      </c>
    </row>
    <row r="317" spans="1:13">
      <c r="A317" s="275"/>
      <c r="B317" s="275"/>
      <c r="C317" s="275"/>
      <c r="D317" s="275"/>
      <c r="E317" s="275" t="s">
        <v>479</v>
      </c>
      <c r="F317" s="275" t="s">
        <v>796</v>
      </c>
      <c r="G317" s="278">
        <v>41412.04</v>
      </c>
      <c r="H317" s="280">
        <f t="shared" si="8"/>
        <v>1.9490884569763983E-4</v>
      </c>
      <c r="I317" s="275"/>
      <c r="J317" s="275" t="s">
        <v>1717</v>
      </c>
      <c r="K317" s="275" t="s">
        <v>796</v>
      </c>
      <c r="L317" s="275">
        <v>195.85</v>
      </c>
      <c r="M317" s="280">
        <f t="shared" si="9"/>
        <v>2.4055686354795725E-3</v>
      </c>
    </row>
    <row r="318" spans="1:13">
      <c r="A318" s="275"/>
      <c r="B318" s="275"/>
      <c r="C318" s="275"/>
      <c r="D318" s="275"/>
      <c r="E318" s="275" t="s">
        <v>479</v>
      </c>
      <c r="F318" s="275" t="s">
        <v>797</v>
      </c>
      <c r="G318" s="278">
        <v>41464.31</v>
      </c>
      <c r="H318" s="280">
        <f t="shared" si="8"/>
        <v>1.2621933138284615E-3</v>
      </c>
      <c r="I318" s="275"/>
      <c r="J318" s="275" t="s">
        <v>1717</v>
      </c>
      <c r="K318" s="275" t="s">
        <v>797</v>
      </c>
      <c r="L318" s="275">
        <v>193.32</v>
      </c>
      <c r="M318" s="280">
        <f t="shared" si="9"/>
        <v>-1.2918049527699777E-2</v>
      </c>
    </row>
    <row r="319" spans="1:13">
      <c r="A319" s="275"/>
      <c r="B319" s="275"/>
      <c r="C319" s="275"/>
      <c r="D319" s="275"/>
      <c r="E319" s="275" t="s">
        <v>479</v>
      </c>
      <c r="F319" s="275" t="s">
        <v>798</v>
      </c>
      <c r="G319" s="278">
        <v>41282.720000000001</v>
      </c>
      <c r="H319" s="280">
        <f t="shared" si="8"/>
        <v>-4.3794289595075024E-3</v>
      </c>
      <c r="I319" s="275"/>
      <c r="J319" s="275" t="s">
        <v>1717</v>
      </c>
      <c r="K319" s="275" t="s">
        <v>798</v>
      </c>
      <c r="L319" s="275">
        <v>193.56</v>
      </c>
      <c r="M319" s="280">
        <f t="shared" si="9"/>
        <v>1.2414649286158137E-3</v>
      </c>
    </row>
    <row r="320" spans="1:13">
      <c r="A320" s="275"/>
      <c r="B320" s="275"/>
      <c r="C320" s="275"/>
      <c r="D320" s="275"/>
      <c r="E320" s="275" t="s">
        <v>479</v>
      </c>
      <c r="F320" s="275" t="s">
        <v>799</v>
      </c>
      <c r="G320" s="278">
        <v>40954.22</v>
      </c>
      <c r="H320" s="280">
        <f t="shared" si="8"/>
        <v>-7.9573245173767612E-3</v>
      </c>
      <c r="I320" s="275"/>
      <c r="J320" s="275" t="s">
        <v>1717</v>
      </c>
      <c r="K320" s="275" t="s">
        <v>799</v>
      </c>
      <c r="L320" s="275">
        <v>187.91</v>
      </c>
      <c r="M320" s="280">
        <f t="shared" si="9"/>
        <v>-2.918991527175039E-2</v>
      </c>
    </row>
    <row r="321" spans="1:13">
      <c r="A321" s="275"/>
      <c r="B321" s="275"/>
      <c r="C321" s="275"/>
      <c r="D321" s="275"/>
      <c r="E321" s="275" t="s">
        <v>479</v>
      </c>
      <c r="F321" s="275" t="s">
        <v>800</v>
      </c>
      <c r="G321" s="278">
        <v>40924.14</v>
      </c>
      <c r="H321" s="280">
        <f t="shared" si="8"/>
        <v>-7.3447864469160305E-4</v>
      </c>
      <c r="I321" s="275"/>
      <c r="J321" s="275" t="s">
        <v>1717</v>
      </c>
      <c r="K321" s="275" t="s">
        <v>800</v>
      </c>
      <c r="L321" s="275">
        <v>185.02</v>
      </c>
      <c r="M321" s="280">
        <f t="shared" si="9"/>
        <v>-1.5379703049332056E-2</v>
      </c>
    </row>
    <row r="322" spans="1:13">
      <c r="A322" s="275"/>
      <c r="B322" s="275"/>
      <c r="C322" s="275"/>
      <c r="D322" s="275"/>
      <c r="E322" s="275" t="s">
        <v>479</v>
      </c>
      <c r="F322" s="275" t="s">
        <v>801</v>
      </c>
      <c r="G322" s="278">
        <v>41545.949999999997</v>
      </c>
      <c r="H322" s="280">
        <f t="shared" si="8"/>
        <v>1.5194210556409925E-2</v>
      </c>
      <c r="I322" s="275"/>
      <c r="J322" s="275" t="s">
        <v>1717</v>
      </c>
      <c r="K322" s="275" t="s">
        <v>801</v>
      </c>
      <c r="L322" s="275">
        <v>184.98</v>
      </c>
      <c r="M322" s="280">
        <f t="shared" si="9"/>
        <v>-2.1619284401697364E-4</v>
      </c>
    </row>
    <row r="323" spans="1:13">
      <c r="A323" s="275"/>
      <c r="B323" s="275"/>
      <c r="C323" s="275"/>
      <c r="D323" s="275"/>
      <c r="E323" s="275" t="s">
        <v>479</v>
      </c>
      <c r="F323" s="275" t="s">
        <v>802</v>
      </c>
      <c r="G323" s="278">
        <v>41291.43</v>
      </c>
      <c r="H323" s="280">
        <f t="shared" si="8"/>
        <v>-6.126228910399132E-3</v>
      </c>
      <c r="I323" s="275"/>
      <c r="J323" s="275" t="s">
        <v>1717</v>
      </c>
      <c r="K323" s="275" t="s">
        <v>802</v>
      </c>
      <c r="L323" s="275">
        <v>184.62</v>
      </c>
      <c r="M323" s="280">
        <f t="shared" si="9"/>
        <v>-1.9461563412259987E-3</v>
      </c>
    </row>
    <row r="324" spans="1:13">
      <c r="A324" s="275"/>
      <c r="B324" s="275"/>
      <c r="C324" s="275"/>
      <c r="D324" s="275"/>
      <c r="E324" s="275" t="s">
        <v>479</v>
      </c>
      <c r="F324" s="275" t="s">
        <v>803</v>
      </c>
      <c r="G324" s="278">
        <v>40852.03</v>
      </c>
      <c r="H324" s="280">
        <f t="shared" ref="H324:H387" si="10">(G324-G323)/G323</f>
        <v>-1.0641433343432316E-2</v>
      </c>
      <c r="I324" s="275"/>
      <c r="J324" s="275" t="s">
        <v>1717</v>
      </c>
      <c r="K324" s="275" t="s">
        <v>803</v>
      </c>
      <c r="L324" s="275">
        <v>182.18</v>
      </c>
      <c r="M324" s="280">
        <f t="shared" ref="M324:M387" si="11">(L324-L323)/L323</f>
        <v>-1.3216336258260198E-2</v>
      </c>
    </row>
    <row r="325" spans="1:13">
      <c r="A325" s="275"/>
      <c r="B325" s="275"/>
      <c r="C325" s="275"/>
      <c r="D325" s="275"/>
      <c r="E325" s="275" t="s">
        <v>479</v>
      </c>
      <c r="F325" s="275" t="s">
        <v>804</v>
      </c>
      <c r="G325" s="278">
        <v>40764.76</v>
      </c>
      <c r="H325" s="280">
        <f t="shared" si="10"/>
        <v>-2.1362463505484744E-3</v>
      </c>
      <c r="I325" s="275"/>
      <c r="J325" s="275" t="s">
        <v>1717</v>
      </c>
      <c r="K325" s="275" t="s">
        <v>804</v>
      </c>
      <c r="L325" s="275">
        <v>185.64</v>
      </c>
      <c r="M325" s="280">
        <f t="shared" si="11"/>
        <v>1.8992205511032933E-2</v>
      </c>
    </row>
    <row r="326" spans="1:13">
      <c r="A326" s="275"/>
      <c r="B326" s="275"/>
      <c r="C326" s="275"/>
      <c r="D326" s="275"/>
      <c r="E326" s="275" t="s">
        <v>479</v>
      </c>
      <c r="F326" s="275" t="s">
        <v>805</v>
      </c>
      <c r="G326" s="278">
        <v>40526.81</v>
      </c>
      <c r="H326" s="280">
        <f t="shared" si="10"/>
        <v>-5.8371495379834042E-3</v>
      </c>
      <c r="I326" s="275"/>
      <c r="J326" s="275" t="s">
        <v>1717</v>
      </c>
      <c r="K326" s="275" t="s">
        <v>805</v>
      </c>
      <c r="L326" s="275">
        <v>182.69</v>
      </c>
      <c r="M326" s="280">
        <f t="shared" si="11"/>
        <v>-1.5890971773324655E-2</v>
      </c>
    </row>
    <row r="327" spans="1:13">
      <c r="A327" s="275"/>
      <c r="B327" s="275"/>
      <c r="C327" s="275"/>
      <c r="D327" s="275"/>
      <c r="E327" s="275" t="s">
        <v>479</v>
      </c>
      <c r="F327" s="275" t="s">
        <v>806</v>
      </c>
      <c r="G327" s="278">
        <v>39987.31</v>
      </c>
      <c r="H327" s="280">
        <f t="shared" si="10"/>
        <v>-1.331217532295288E-2</v>
      </c>
      <c r="I327" s="275"/>
      <c r="J327" s="275" t="s">
        <v>1717</v>
      </c>
      <c r="K327" s="275" t="s">
        <v>806</v>
      </c>
      <c r="L327" s="275">
        <v>183.4</v>
      </c>
      <c r="M327" s="280">
        <f t="shared" si="11"/>
        <v>3.8863648803985329E-3</v>
      </c>
    </row>
    <row r="328" spans="1:13">
      <c r="A328" s="275"/>
      <c r="B328" s="275"/>
      <c r="C328" s="275"/>
      <c r="D328" s="275"/>
      <c r="E328" s="275" t="s">
        <v>479</v>
      </c>
      <c r="F328" s="275" t="s">
        <v>807</v>
      </c>
      <c r="G328" s="278">
        <v>39872.879999999997</v>
      </c>
      <c r="H328" s="280">
        <f t="shared" si="10"/>
        <v>-2.8616578609563957E-3</v>
      </c>
      <c r="I328" s="275"/>
      <c r="J328" s="275" t="s">
        <v>1717</v>
      </c>
      <c r="K328" s="275" t="s">
        <v>807</v>
      </c>
      <c r="L328" s="275">
        <v>180.33</v>
      </c>
      <c r="M328" s="280">
        <f t="shared" si="11"/>
        <v>-1.6739367502726244E-2</v>
      </c>
    </row>
    <row r="329" spans="1:13">
      <c r="A329" s="275"/>
      <c r="B329" s="275"/>
      <c r="C329" s="275"/>
      <c r="D329" s="275"/>
      <c r="E329" s="275" t="s">
        <v>479</v>
      </c>
      <c r="F329" s="275" t="s">
        <v>808</v>
      </c>
      <c r="G329" s="278">
        <v>39893.839999999997</v>
      </c>
      <c r="H329" s="280">
        <f t="shared" si="10"/>
        <v>5.2567058110673543E-4</v>
      </c>
      <c r="I329" s="275"/>
      <c r="J329" s="275" t="s">
        <v>1717</v>
      </c>
      <c r="K329" s="275" t="s">
        <v>808</v>
      </c>
      <c r="L329" s="275">
        <v>180.86</v>
      </c>
      <c r="M329" s="280">
        <f t="shared" si="11"/>
        <v>2.9390561747906678E-3</v>
      </c>
    </row>
    <row r="330" spans="1:13">
      <c r="A330" s="275"/>
      <c r="B330" s="275"/>
      <c r="C330" s="275"/>
      <c r="D330" s="275"/>
      <c r="E330" s="275" t="s">
        <v>479</v>
      </c>
      <c r="F330" s="275" t="s">
        <v>809</v>
      </c>
      <c r="G330" s="278">
        <v>41299.870000000003</v>
      </c>
      <c r="H330" s="280">
        <f t="shared" si="10"/>
        <v>3.5244288341257854E-2</v>
      </c>
      <c r="I330" s="275"/>
      <c r="J330" s="275" t="s">
        <v>1717</v>
      </c>
      <c r="K330" s="275" t="s">
        <v>809</v>
      </c>
      <c r="L330" s="275">
        <v>189.86</v>
      </c>
      <c r="M330" s="280">
        <f t="shared" si="11"/>
        <v>4.9762247041910866E-2</v>
      </c>
    </row>
    <row r="331" spans="1:13">
      <c r="A331" s="275"/>
      <c r="B331" s="275"/>
      <c r="C331" s="275"/>
      <c r="D331" s="275"/>
      <c r="E331" s="275" t="s">
        <v>479</v>
      </c>
      <c r="F331" s="275" t="s">
        <v>810</v>
      </c>
      <c r="G331" s="278">
        <v>41742.75</v>
      </c>
      <c r="H331" s="280">
        <f t="shared" si="10"/>
        <v>1.0723520437231336E-2</v>
      </c>
      <c r="I331" s="275"/>
      <c r="J331" s="275" t="s">
        <v>1717</v>
      </c>
      <c r="K331" s="275" t="s">
        <v>810</v>
      </c>
      <c r="L331" s="275">
        <v>191.78</v>
      </c>
      <c r="M331" s="280">
        <f t="shared" si="11"/>
        <v>1.0112714631833917E-2</v>
      </c>
    </row>
    <row r="332" spans="1:13">
      <c r="A332" s="275"/>
      <c r="B332" s="275"/>
      <c r="C332" s="275"/>
      <c r="D332" s="275"/>
      <c r="E332" s="275" t="s">
        <v>479</v>
      </c>
      <c r="F332" s="275" t="s">
        <v>811</v>
      </c>
      <c r="G332" s="278">
        <v>41974.46</v>
      </c>
      <c r="H332" s="280">
        <f t="shared" si="10"/>
        <v>5.5509040492061285E-3</v>
      </c>
      <c r="I332" s="275"/>
      <c r="J332" s="275" t="s">
        <v>1717</v>
      </c>
      <c r="K332" s="275" t="s">
        <v>811</v>
      </c>
      <c r="L332" s="275">
        <v>191.27</v>
      </c>
      <c r="M332" s="280">
        <f t="shared" si="11"/>
        <v>-2.6592971112732867E-3</v>
      </c>
    </row>
    <row r="333" spans="1:13">
      <c r="A333" s="275"/>
      <c r="B333" s="275"/>
      <c r="C333" s="275"/>
      <c r="D333" s="275"/>
      <c r="E333" s="275" t="s">
        <v>479</v>
      </c>
      <c r="F333" s="275" t="s">
        <v>812</v>
      </c>
      <c r="G333" s="278">
        <v>41841.56</v>
      </c>
      <c r="H333" s="280">
        <f t="shared" si="10"/>
        <v>-3.1662110721615349E-3</v>
      </c>
      <c r="I333" s="275"/>
      <c r="J333" s="275" t="s">
        <v>1717</v>
      </c>
      <c r="K333" s="275" t="s">
        <v>812</v>
      </c>
      <c r="L333" s="275">
        <v>189.31</v>
      </c>
      <c r="M333" s="280">
        <f t="shared" si="11"/>
        <v>-1.02472944005856E-2</v>
      </c>
    </row>
    <row r="334" spans="1:13">
      <c r="A334" s="275"/>
      <c r="B334" s="275"/>
      <c r="C334" s="275"/>
      <c r="D334" s="275"/>
      <c r="E334" s="275" t="s">
        <v>479</v>
      </c>
      <c r="F334" s="275" t="s">
        <v>813</v>
      </c>
      <c r="G334" s="278">
        <v>42133.54</v>
      </c>
      <c r="H334" s="280">
        <f t="shared" si="10"/>
        <v>6.9782293012020397E-3</v>
      </c>
      <c r="I334" s="275"/>
      <c r="J334" s="275" t="s">
        <v>1717</v>
      </c>
      <c r="K334" s="275" t="s">
        <v>813</v>
      </c>
      <c r="L334" s="275">
        <v>190.63</v>
      </c>
      <c r="M334" s="280">
        <f t="shared" si="11"/>
        <v>6.9726902963393013E-3</v>
      </c>
    </row>
    <row r="335" spans="1:13">
      <c r="A335" s="275"/>
      <c r="B335" s="275"/>
      <c r="C335" s="275"/>
      <c r="D335" s="275"/>
      <c r="E335" s="275" t="s">
        <v>479</v>
      </c>
      <c r="F335" s="275" t="s">
        <v>814</v>
      </c>
      <c r="G335" s="278">
        <v>42113.91</v>
      </c>
      <c r="H335" s="280">
        <f t="shared" si="10"/>
        <v>-4.6589961346702369E-4</v>
      </c>
      <c r="I335" s="275"/>
      <c r="J335" s="275" t="s">
        <v>1717</v>
      </c>
      <c r="K335" s="275" t="s">
        <v>814</v>
      </c>
      <c r="L335" s="275">
        <v>192.3</v>
      </c>
      <c r="M335" s="280">
        <f t="shared" si="11"/>
        <v>8.7604259560405805E-3</v>
      </c>
    </row>
    <row r="336" spans="1:13">
      <c r="A336" s="275"/>
      <c r="B336" s="275"/>
      <c r="C336" s="275"/>
      <c r="D336" s="275"/>
      <c r="E336" s="275" t="s">
        <v>479</v>
      </c>
      <c r="F336" s="275" t="s">
        <v>815</v>
      </c>
      <c r="G336" s="278">
        <v>42203.63</v>
      </c>
      <c r="H336" s="280">
        <f t="shared" si="10"/>
        <v>2.1304124931642273E-3</v>
      </c>
      <c r="I336" s="275"/>
      <c r="J336" s="275" t="s">
        <v>1717</v>
      </c>
      <c r="K336" s="275" t="s">
        <v>815</v>
      </c>
      <c r="L336" s="275">
        <v>195.98</v>
      </c>
      <c r="M336" s="280">
        <f t="shared" si="11"/>
        <v>1.9136765470618711E-2</v>
      </c>
    </row>
    <row r="337" spans="1:13">
      <c r="A337" s="275"/>
      <c r="B337" s="275"/>
      <c r="C337" s="275"/>
      <c r="D337" s="275"/>
      <c r="E337" s="275" t="s">
        <v>479</v>
      </c>
      <c r="F337" s="275" t="s">
        <v>816</v>
      </c>
      <c r="G337" s="278">
        <v>42703.99</v>
      </c>
      <c r="H337" s="280">
        <f t="shared" si="10"/>
        <v>1.1855852209869166E-2</v>
      </c>
      <c r="I337" s="275"/>
      <c r="J337" s="275" t="s">
        <v>1717</v>
      </c>
      <c r="K337" s="275" t="s">
        <v>816</v>
      </c>
      <c r="L337" s="275">
        <v>200.11</v>
      </c>
      <c r="M337" s="280">
        <f t="shared" si="11"/>
        <v>2.107357893662631E-2</v>
      </c>
    </row>
    <row r="338" spans="1:13">
      <c r="A338" s="275"/>
      <c r="B338" s="275"/>
      <c r="C338" s="275"/>
      <c r="D338" s="275"/>
      <c r="E338" s="275" t="s">
        <v>479</v>
      </c>
      <c r="F338" s="275" t="s">
        <v>817</v>
      </c>
      <c r="G338" s="278">
        <v>42849.120000000003</v>
      </c>
      <c r="H338" s="280">
        <f t="shared" si="10"/>
        <v>3.3985114739864979E-3</v>
      </c>
      <c r="I338" s="275"/>
      <c r="J338" s="275" t="s">
        <v>1717</v>
      </c>
      <c r="K338" s="275" t="s">
        <v>817</v>
      </c>
      <c r="L338" s="275">
        <v>208.09</v>
      </c>
      <c r="M338" s="280">
        <f t="shared" si="11"/>
        <v>3.9878067063115231E-2</v>
      </c>
    </row>
    <row r="339" spans="1:13">
      <c r="A339" s="275"/>
      <c r="B339" s="275"/>
      <c r="C339" s="275"/>
      <c r="D339" s="275"/>
      <c r="E339" s="275" t="s">
        <v>479</v>
      </c>
      <c r="F339" s="275" t="s">
        <v>818</v>
      </c>
      <c r="G339" s="278">
        <v>42525.93</v>
      </c>
      <c r="H339" s="280">
        <f t="shared" si="10"/>
        <v>-7.542511958238636E-3</v>
      </c>
      <c r="I339" s="275"/>
      <c r="J339" s="275" t="s">
        <v>1717</v>
      </c>
      <c r="K339" s="275" t="s">
        <v>818</v>
      </c>
      <c r="L339" s="275">
        <v>205.55</v>
      </c>
      <c r="M339" s="280">
        <f t="shared" si="11"/>
        <v>-1.2206256908068586E-2</v>
      </c>
    </row>
    <row r="340" spans="1:13">
      <c r="A340" s="275"/>
      <c r="B340" s="275"/>
      <c r="C340" s="275"/>
      <c r="D340" s="275"/>
      <c r="E340" s="275" t="s">
        <v>479</v>
      </c>
      <c r="F340" s="275" t="s">
        <v>819</v>
      </c>
      <c r="G340" s="278">
        <v>42292.67</v>
      </c>
      <c r="H340" s="280">
        <f t="shared" si="10"/>
        <v>-5.4851240172760956E-3</v>
      </c>
      <c r="I340" s="275"/>
      <c r="J340" s="275" t="s">
        <v>1717</v>
      </c>
      <c r="K340" s="275" t="s">
        <v>819</v>
      </c>
      <c r="L340" s="275">
        <v>203.3</v>
      </c>
      <c r="M340" s="280">
        <f t="shared" si="11"/>
        <v>-1.0946241790318657E-2</v>
      </c>
    </row>
    <row r="341" spans="1:13">
      <c r="A341" s="275"/>
      <c r="B341" s="275"/>
      <c r="C341" s="275"/>
      <c r="D341" s="275"/>
      <c r="E341" s="275" t="s">
        <v>479</v>
      </c>
      <c r="F341" s="275" t="s">
        <v>820</v>
      </c>
      <c r="G341" s="278">
        <v>42404.47</v>
      </c>
      <c r="H341" s="280">
        <f t="shared" si="10"/>
        <v>2.6434840836486065E-3</v>
      </c>
      <c r="I341" s="275"/>
      <c r="J341" s="275" t="s">
        <v>1717</v>
      </c>
      <c r="K341" s="275" t="s">
        <v>820</v>
      </c>
      <c r="L341" s="275">
        <v>205.49</v>
      </c>
      <c r="M341" s="280">
        <f t="shared" si="11"/>
        <v>1.0772257747171657E-2</v>
      </c>
    </row>
    <row r="342" spans="1:13">
      <c r="A342" s="275"/>
      <c r="B342" s="275"/>
      <c r="C342" s="275"/>
      <c r="D342" s="275"/>
      <c r="E342" s="275" t="s">
        <v>479</v>
      </c>
      <c r="F342" s="275" t="s">
        <v>821</v>
      </c>
      <c r="G342" s="278">
        <v>42411.8</v>
      </c>
      <c r="H342" s="280">
        <f t="shared" si="10"/>
        <v>1.7285913489784794E-4</v>
      </c>
      <c r="I342" s="275"/>
      <c r="J342" s="275" t="s">
        <v>1717</v>
      </c>
      <c r="K342" s="275" t="s">
        <v>821</v>
      </c>
      <c r="L342" s="275">
        <v>205.54</v>
      </c>
      <c r="M342" s="280">
        <f t="shared" si="11"/>
        <v>2.4332084286331668E-4</v>
      </c>
    </row>
    <row r="343" spans="1:13">
      <c r="A343" s="275"/>
      <c r="B343" s="275"/>
      <c r="C343" s="275"/>
      <c r="D343" s="275"/>
      <c r="E343" s="275" t="s">
        <v>479</v>
      </c>
      <c r="F343" s="275" t="s">
        <v>822</v>
      </c>
      <c r="G343" s="278">
        <v>42324.94</v>
      </c>
      <c r="H343" s="280">
        <f t="shared" si="10"/>
        <v>-2.0480149392386217E-3</v>
      </c>
      <c r="I343" s="275"/>
      <c r="J343" s="275" t="s">
        <v>1717</v>
      </c>
      <c r="K343" s="275" t="s">
        <v>822</v>
      </c>
      <c r="L343" s="275">
        <v>207.75</v>
      </c>
      <c r="M343" s="280">
        <f t="shared" si="11"/>
        <v>1.0752165028704914E-2</v>
      </c>
    </row>
    <row r="344" spans="1:13">
      <c r="A344" s="275"/>
      <c r="B344" s="275"/>
      <c r="C344" s="275"/>
      <c r="D344" s="275"/>
      <c r="E344" s="275" t="s">
        <v>479</v>
      </c>
      <c r="F344" s="275" t="s">
        <v>823</v>
      </c>
      <c r="G344" s="278">
        <v>42439.040000000001</v>
      </c>
      <c r="H344" s="280">
        <f t="shared" si="10"/>
        <v>2.6958100826604487E-3</v>
      </c>
      <c r="I344" s="275"/>
      <c r="J344" s="275" t="s">
        <v>1717</v>
      </c>
      <c r="K344" s="275" t="s">
        <v>823</v>
      </c>
      <c r="L344" s="275">
        <v>206.82</v>
      </c>
      <c r="M344" s="280">
        <f t="shared" si="11"/>
        <v>-4.476534296028914E-3</v>
      </c>
    </row>
    <row r="345" spans="1:13">
      <c r="A345" s="275"/>
      <c r="B345" s="275"/>
      <c r="C345" s="275"/>
      <c r="D345" s="275"/>
      <c r="E345" s="275" t="s">
        <v>479</v>
      </c>
      <c r="F345" s="275" t="s">
        <v>824</v>
      </c>
      <c r="G345" s="278">
        <v>42631.58</v>
      </c>
      <c r="H345" s="280">
        <f t="shared" si="10"/>
        <v>4.5368604002352757E-3</v>
      </c>
      <c r="I345" s="275"/>
      <c r="J345" s="275" t="s">
        <v>1717</v>
      </c>
      <c r="K345" s="275" t="s">
        <v>824</v>
      </c>
      <c r="L345" s="275">
        <v>207.68</v>
      </c>
      <c r="M345" s="280">
        <f t="shared" si="11"/>
        <v>4.1582052025916916E-3</v>
      </c>
    </row>
    <row r="346" spans="1:13">
      <c r="A346" s="275"/>
      <c r="B346" s="275"/>
      <c r="C346" s="275"/>
      <c r="D346" s="275"/>
      <c r="E346" s="275" t="s">
        <v>479</v>
      </c>
      <c r="F346" s="275" t="s">
        <v>825</v>
      </c>
      <c r="G346" s="278">
        <v>42901.02</v>
      </c>
      <c r="H346" s="280">
        <f t="shared" si="10"/>
        <v>6.3201973748098252E-3</v>
      </c>
      <c r="I346" s="275"/>
      <c r="J346" s="275" t="s">
        <v>1717</v>
      </c>
      <c r="K346" s="275" t="s">
        <v>825</v>
      </c>
      <c r="L346" s="275">
        <v>206.28</v>
      </c>
      <c r="M346" s="280">
        <f t="shared" si="11"/>
        <v>-6.7411402157165137E-3</v>
      </c>
    </row>
    <row r="347" spans="1:13">
      <c r="A347" s="275"/>
      <c r="B347" s="275"/>
      <c r="C347" s="275"/>
      <c r="D347" s="275"/>
      <c r="E347" s="275" t="s">
        <v>479</v>
      </c>
      <c r="F347" s="275" t="s">
        <v>826</v>
      </c>
      <c r="G347" s="278">
        <v>42949.73</v>
      </c>
      <c r="H347" s="280">
        <f t="shared" si="10"/>
        <v>1.1354042398061027E-3</v>
      </c>
      <c r="I347" s="275"/>
      <c r="J347" s="275" t="s">
        <v>1717</v>
      </c>
      <c r="K347" s="275" t="s">
        <v>826</v>
      </c>
      <c r="L347" s="275">
        <v>207.46</v>
      </c>
      <c r="M347" s="280">
        <f t="shared" si="11"/>
        <v>5.7203800659298368E-3</v>
      </c>
    </row>
    <row r="348" spans="1:13">
      <c r="A348" s="275"/>
      <c r="B348" s="275"/>
      <c r="C348" s="275"/>
      <c r="D348" s="275"/>
      <c r="E348" s="275" t="s">
        <v>479</v>
      </c>
      <c r="F348" s="275" t="s">
        <v>827</v>
      </c>
      <c r="G348" s="278">
        <v>42999.66</v>
      </c>
      <c r="H348" s="280">
        <f t="shared" si="10"/>
        <v>1.1625218598580315E-3</v>
      </c>
      <c r="I348" s="275"/>
      <c r="J348" s="275" t="s">
        <v>1717</v>
      </c>
      <c r="K348" s="275" t="s">
        <v>827</v>
      </c>
      <c r="L348" s="275">
        <v>210.74</v>
      </c>
      <c r="M348" s="280">
        <f t="shared" si="11"/>
        <v>1.5810276679841903E-2</v>
      </c>
    </row>
    <row r="349" spans="1:13">
      <c r="A349" s="275"/>
      <c r="B349" s="275"/>
      <c r="C349" s="275"/>
      <c r="D349" s="275"/>
      <c r="E349" s="275" t="s">
        <v>479</v>
      </c>
      <c r="F349" s="275" t="s">
        <v>828</v>
      </c>
      <c r="G349" s="278">
        <v>43060.71</v>
      </c>
      <c r="H349" s="280">
        <f t="shared" si="10"/>
        <v>1.4197786680172735E-3</v>
      </c>
      <c r="I349" s="275"/>
      <c r="J349" s="275" t="s">
        <v>1717</v>
      </c>
      <c r="K349" s="275" t="s">
        <v>828</v>
      </c>
      <c r="L349" s="275">
        <v>210.58</v>
      </c>
      <c r="M349" s="280">
        <f t="shared" si="11"/>
        <v>-7.59229382177074E-4</v>
      </c>
    </row>
    <row r="350" spans="1:13">
      <c r="A350" s="275"/>
      <c r="B350" s="275"/>
      <c r="C350" s="275"/>
      <c r="D350" s="275"/>
      <c r="E350" s="275" t="s">
        <v>479</v>
      </c>
      <c r="F350" s="275" t="s">
        <v>829</v>
      </c>
      <c r="G350" s="278">
        <v>42811.27</v>
      </c>
      <c r="H350" s="280">
        <f t="shared" si="10"/>
        <v>-5.7927516754833425E-3</v>
      </c>
      <c r="I350" s="275"/>
      <c r="J350" s="275" t="s">
        <v>1717</v>
      </c>
      <c r="K350" s="275" t="s">
        <v>829</v>
      </c>
      <c r="L350" s="275">
        <v>207.52</v>
      </c>
      <c r="M350" s="280">
        <f t="shared" si="11"/>
        <v>-1.4531294519897436E-2</v>
      </c>
    </row>
    <row r="351" spans="1:13">
      <c r="A351" s="275"/>
      <c r="B351" s="275"/>
      <c r="C351" s="275"/>
      <c r="D351" s="275"/>
      <c r="E351" s="275" t="s">
        <v>479</v>
      </c>
      <c r="F351" s="275" t="s">
        <v>830</v>
      </c>
      <c r="G351" s="278">
        <v>42622.37</v>
      </c>
      <c r="H351" s="280">
        <f t="shared" si="10"/>
        <v>-4.4123895413519425E-3</v>
      </c>
      <c r="I351" s="275"/>
      <c r="J351" s="275" t="s">
        <v>1717</v>
      </c>
      <c r="K351" s="275" t="s">
        <v>830</v>
      </c>
      <c r="L351" s="275">
        <v>207.31</v>
      </c>
      <c r="M351" s="280">
        <f t="shared" si="11"/>
        <v>-1.011950655358558E-3</v>
      </c>
    </row>
    <row r="352" spans="1:13">
      <c r="A352" s="275"/>
      <c r="B352" s="275"/>
      <c r="C352" s="275"/>
      <c r="D352" s="275"/>
      <c r="E352" s="275" t="s">
        <v>479</v>
      </c>
      <c r="F352" s="275" t="s">
        <v>831</v>
      </c>
      <c r="G352" s="278">
        <v>42907.360000000001</v>
      </c>
      <c r="H352" s="280">
        <f t="shared" si="10"/>
        <v>6.6863949611435953E-3</v>
      </c>
      <c r="I352" s="275"/>
      <c r="J352" s="275" t="s">
        <v>1717</v>
      </c>
      <c r="K352" s="275" t="s">
        <v>831</v>
      </c>
      <c r="L352" s="275">
        <v>207.2</v>
      </c>
      <c r="M352" s="280">
        <f t="shared" si="11"/>
        <v>-5.3060633833396185E-4</v>
      </c>
    </row>
    <row r="353" spans="1:13">
      <c r="A353" s="275"/>
      <c r="B353" s="275"/>
      <c r="C353" s="275"/>
      <c r="D353" s="275"/>
      <c r="E353" s="275" t="s">
        <v>479</v>
      </c>
      <c r="F353" s="275" t="s">
        <v>832</v>
      </c>
      <c r="G353" s="278">
        <v>43270.9</v>
      </c>
      <c r="H353" s="280">
        <f t="shared" si="10"/>
        <v>8.4726722874583962E-3</v>
      </c>
      <c r="I353" s="275"/>
      <c r="J353" s="275" t="s">
        <v>1717</v>
      </c>
      <c r="K353" s="275" t="s">
        <v>832</v>
      </c>
      <c r="L353" s="275">
        <v>206.42</v>
      </c>
      <c r="M353" s="280">
        <f t="shared" si="11"/>
        <v>-3.7644787644787701E-3</v>
      </c>
    </row>
    <row r="354" spans="1:13">
      <c r="A354" s="275"/>
      <c r="B354" s="275"/>
      <c r="C354" s="275"/>
      <c r="D354" s="275"/>
      <c r="E354" s="275" t="s">
        <v>479</v>
      </c>
      <c r="F354" s="275" t="s">
        <v>833</v>
      </c>
      <c r="G354" s="278">
        <v>43739.97</v>
      </c>
      <c r="H354" s="280">
        <f t="shared" si="10"/>
        <v>1.0840310693791894E-2</v>
      </c>
      <c r="I354" s="275"/>
      <c r="J354" s="275" t="s">
        <v>1717</v>
      </c>
      <c r="K354" s="275" t="s">
        <v>833</v>
      </c>
      <c r="L354" s="275">
        <v>206.66</v>
      </c>
      <c r="M354" s="280">
        <f t="shared" si="11"/>
        <v>1.1626780350741648E-3</v>
      </c>
    </row>
    <row r="355" spans="1:13">
      <c r="A355" s="275"/>
      <c r="B355" s="275"/>
      <c r="C355" s="275"/>
      <c r="D355" s="275"/>
      <c r="E355" s="275" t="s">
        <v>479</v>
      </c>
      <c r="F355" s="275" t="s">
        <v>834</v>
      </c>
      <c r="G355" s="278">
        <v>44199.4</v>
      </c>
      <c r="H355" s="280">
        <f t="shared" si="10"/>
        <v>1.0503665183126561E-2</v>
      </c>
      <c r="I355" s="275"/>
      <c r="J355" s="275" t="s">
        <v>1717</v>
      </c>
      <c r="K355" s="275" t="s">
        <v>834</v>
      </c>
      <c r="L355" s="275">
        <v>213.45</v>
      </c>
      <c r="M355" s="280">
        <f t="shared" si="11"/>
        <v>3.2855898577373428E-2</v>
      </c>
    </row>
    <row r="356" spans="1:13">
      <c r="A356" s="275"/>
      <c r="B356" s="275"/>
      <c r="C356" s="275"/>
      <c r="D356" s="275"/>
      <c r="E356" s="275" t="s">
        <v>479</v>
      </c>
      <c r="F356" s="275" t="s">
        <v>835</v>
      </c>
      <c r="G356" s="278">
        <v>44494.99</v>
      </c>
      <c r="H356" s="280">
        <f t="shared" si="10"/>
        <v>6.6876473436290199E-3</v>
      </c>
      <c r="I356" s="275"/>
      <c r="J356" s="275" t="s">
        <v>1717</v>
      </c>
      <c r="K356" s="275" t="s">
        <v>835</v>
      </c>
      <c r="L356" s="275">
        <v>214.58</v>
      </c>
      <c r="M356" s="280">
        <f t="shared" si="11"/>
        <v>5.2939798547670365E-3</v>
      </c>
    </row>
    <row r="357" spans="1:13">
      <c r="A357" s="275"/>
      <c r="B357" s="275"/>
      <c r="C357" s="275"/>
      <c r="D357" s="275"/>
      <c r="E357" s="275" t="s">
        <v>479</v>
      </c>
      <c r="F357" s="275" t="s">
        <v>836</v>
      </c>
      <c r="G357" s="278">
        <v>44741.98</v>
      </c>
      <c r="H357" s="280">
        <f t="shared" si="10"/>
        <v>5.5509620296578391E-3</v>
      </c>
      <c r="I357" s="275"/>
      <c r="J357" s="275" t="s">
        <v>1717</v>
      </c>
      <c r="K357" s="275" t="s">
        <v>836</v>
      </c>
      <c r="L357" s="275">
        <v>210.47</v>
      </c>
      <c r="M357" s="280">
        <f t="shared" si="11"/>
        <v>-1.9153695591387888E-2</v>
      </c>
    </row>
    <row r="358" spans="1:13">
      <c r="A358" s="275"/>
      <c r="B358" s="275"/>
      <c r="C358" s="275"/>
      <c r="D358" s="275"/>
      <c r="E358" s="275" t="s">
        <v>479</v>
      </c>
      <c r="F358" s="275" t="s">
        <v>837</v>
      </c>
      <c r="G358" s="278">
        <v>45387.23</v>
      </c>
      <c r="H358" s="280">
        <f t="shared" si="10"/>
        <v>1.4421579018183816E-2</v>
      </c>
      <c r="I358" s="275"/>
      <c r="J358" s="275" t="s">
        <v>1717</v>
      </c>
      <c r="K358" s="275" t="s">
        <v>837</v>
      </c>
      <c r="L358" s="275">
        <v>211.42</v>
      </c>
      <c r="M358" s="280">
        <f t="shared" si="11"/>
        <v>4.5137074167339222E-3</v>
      </c>
    </row>
    <row r="359" spans="1:13">
      <c r="A359" s="275"/>
      <c r="B359" s="275"/>
      <c r="C359" s="275"/>
      <c r="D359" s="275"/>
      <c r="E359" s="275" t="s">
        <v>479</v>
      </c>
      <c r="F359" s="275" t="s">
        <v>838</v>
      </c>
      <c r="G359" s="278">
        <v>45857.89</v>
      </c>
      <c r="H359" s="280">
        <f t="shared" si="10"/>
        <v>1.036987716588997E-2</v>
      </c>
      <c r="I359" s="275"/>
      <c r="J359" s="275" t="s">
        <v>1717</v>
      </c>
      <c r="K359" s="275" t="s">
        <v>838</v>
      </c>
      <c r="L359" s="275">
        <v>210.31</v>
      </c>
      <c r="M359" s="280">
        <f t="shared" si="11"/>
        <v>-5.2502128464666786E-3</v>
      </c>
    </row>
    <row r="360" spans="1:13">
      <c r="A360" s="275"/>
      <c r="B360" s="275"/>
      <c r="C360" s="275"/>
      <c r="D360" s="275"/>
      <c r="E360" s="275" t="s">
        <v>479</v>
      </c>
      <c r="F360" s="275" t="s">
        <v>839</v>
      </c>
      <c r="G360" s="278">
        <v>46185.27</v>
      </c>
      <c r="H360" s="280">
        <f t="shared" si="10"/>
        <v>7.1390114111224345E-3</v>
      </c>
      <c r="I360" s="275"/>
      <c r="J360" s="275" t="s">
        <v>1717</v>
      </c>
      <c r="K360" s="275" t="s">
        <v>839</v>
      </c>
      <c r="L360" s="275">
        <v>208.05</v>
      </c>
      <c r="M360" s="280">
        <f t="shared" si="11"/>
        <v>-1.0746041557700495E-2</v>
      </c>
    </row>
    <row r="361" spans="1:13">
      <c r="A361" s="275"/>
      <c r="B361" s="275"/>
      <c r="C361" s="275"/>
      <c r="D361" s="275"/>
      <c r="E361" s="275" t="s">
        <v>479</v>
      </c>
      <c r="F361" s="275" t="s">
        <v>840</v>
      </c>
      <c r="G361" s="278">
        <v>46358.35</v>
      </c>
      <c r="H361" s="280">
        <f t="shared" si="10"/>
        <v>3.7475151709625548E-3</v>
      </c>
      <c r="I361" s="275"/>
      <c r="J361" s="275" t="s">
        <v>1717</v>
      </c>
      <c r="K361" s="275" t="s">
        <v>840</v>
      </c>
      <c r="L361" s="275">
        <v>212.14</v>
      </c>
      <c r="M361" s="280">
        <f t="shared" si="11"/>
        <v>1.9658735880797765E-2</v>
      </c>
    </row>
    <row r="362" spans="1:13">
      <c r="A362" s="275"/>
      <c r="B362" s="275"/>
      <c r="C362" s="275"/>
      <c r="D362" s="275"/>
      <c r="E362" s="275" t="s">
        <v>479</v>
      </c>
      <c r="F362" s="275" t="s">
        <v>841</v>
      </c>
      <c r="G362" s="278">
        <v>46584.53</v>
      </c>
      <c r="H362" s="280">
        <f t="shared" si="10"/>
        <v>4.8789484526520098E-3</v>
      </c>
      <c r="I362" s="275"/>
      <c r="J362" s="275" t="s">
        <v>1717</v>
      </c>
      <c r="K362" s="275" t="s">
        <v>841</v>
      </c>
      <c r="L362" s="275">
        <v>218.44</v>
      </c>
      <c r="M362" s="280">
        <f t="shared" si="11"/>
        <v>2.9697369661544317E-2</v>
      </c>
    </row>
    <row r="363" spans="1:13">
      <c r="A363" s="275"/>
      <c r="B363" s="275"/>
      <c r="C363" s="275"/>
      <c r="D363" s="275"/>
      <c r="E363" s="275" t="s">
        <v>479</v>
      </c>
      <c r="F363" s="275" t="s">
        <v>842</v>
      </c>
      <c r="G363" s="278">
        <v>46938.59</v>
      </c>
      <c r="H363" s="280">
        <f t="shared" si="10"/>
        <v>7.6003772067679484E-3</v>
      </c>
      <c r="I363" s="275"/>
      <c r="J363" s="275" t="s">
        <v>1717</v>
      </c>
      <c r="K363" s="275" t="s">
        <v>842</v>
      </c>
      <c r="L363" s="275">
        <v>217.82</v>
      </c>
      <c r="M363" s="280">
        <f t="shared" si="11"/>
        <v>-2.8383080021974205E-3</v>
      </c>
    </row>
    <row r="364" spans="1:13">
      <c r="A364" s="275"/>
      <c r="B364" s="275"/>
      <c r="C364" s="275"/>
      <c r="D364" s="275"/>
      <c r="E364" s="275" t="s">
        <v>479</v>
      </c>
      <c r="F364" s="275" t="s">
        <v>843</v>
      </c>
      <c r="G364" s="278">
        <v>47210.06</v>
      </c>
      <c r="H364" s="280">
        <f t="shared" si="10"/>
        <v>5.7835141618016476E-3</v>
      </c>
      <c r="I364" s="275"/>
      <c r="J364" s="275" t="s">
        <v>1717</v>
      </c>
      <c r="K364" s="275" t="s">
        <v>843</v>
      </c>
      <c r="L364" s="275">
        <v>215.52</v>
      </c>
      <c r="M364" s="280">
        <f t="shared" si="11"/>
        <v>-1.0559177302359668E-2</v>
      </c>
    </row>
    <row r="365" spans="1:13">
      <c r="A365" s="275"/>
      <c r="B365" s="275"/>
      <c r="C365" s="275"/>
      <c r="D365" s="275"/>
      <c r="E365" s="275" t="s">
        <v>479</v>
      </c>
      <c r="F365" s="275" t="s">
        <v>844</v>
      </c>
      <c r="G365" s="278">
        <v>46993.31</v>
      </c>
      <c r="H365" s="280">
        <f t="shared" si="10"/>
        <v>-4.5911824725492828E-3</v>
      </c>
      <c r="I365" s="275"/>
      <c r="J365" s="275" t="s">
        <v>1717</v>
      </c>
      <c r="K365" s="275" t="s">
        <v>844</v>
      </c>
      <c r="L365" s="275">
        <v>215.39</v>
      </c>
      <c r="M365" s="280">
        <f t="shared" si="11"/>
        <v>-6.0319227913893777E-4</v>
      </c>
    </row>
    <row r="366" spans="1:13">
      <c r="A366" s="275"/>
      <c r="B366" s="275"/>
      <c r="C366" s="275"/>
      <c r="D366" s="275"/>
      <c r="E366" s="275" t="s">
        <v>479</v>
      </c>
      <c r="F366" s="275" t="s">
        <v>845</v>
      </c>
      <c r="G366" s="278">
        <v>46699.78</v>
      </c>
      <c r="H366" s="280">
        <f t="shared" si="10"/>
        <v>-6.246208236874543E-3</v>
      </c>
      <c r="I366" s="275"/>
      <c r="J366" s="275" t="s">
        <v>1717</v>
      </c>
      <c r="K366" s="275" t="s">
        <v>845</v>
      </c>
      <c r="L366" s="275">
        <v>213.09</v>
      </c>
      <c r="M366" s="280">
        <f t="shared" si="11"/>
        <v>-1.0678304470959576E-2</v>
      </c>
    </row>
    <row r="367" spans="1:13">
      <c r="A367" s="275"/>
      <c r="B367" s="275"/>
      <c r="C367" s="275"/>
      <c r="D367" s="275"/>
      <c r="E367" s="275" t="s">
        <v>479</v>
      </c>
      <c r="F367" s="275" t="s">
        <v>846</v>
      </c>
      <c r="G367" s="278">
        <v>46633.99</v>
      </c>
      <c r="H367" s="280">
        <f t="shared" si="10"/>
        <v>-1.4087860799344425E-3</v>
      </c>
      <c r="I367" s="275"/>
      <c r="J367" s="275" t="s">
        <v>1717</v>
      </c>
      <c r="K367" s="275" t="s">
        <v>846</v>
      </c>
      <c r="L367" s="275">
        <v>213.08</v>
      </c>
      <c r="M367" s="280">
        <f t="shared" si="11"/>
        <v>-4.6928527852038597E-5</v>
      </c>
    </row>
    <row r="368" spans="1:13">
      <c r="A368" s="275"/>
      <c r="B368" s="275"/>
      <c r="C368" s="275"/>
      <c r="D368" s="275"/>
      <c r="E368" s="275" t="s">
        <v>479</v>
      </c>
      <c r="F368" s="275" t="s">
        <v>847</v>
      </c>
      <c r="G368" s="278">
        <v>46689.73</v>
      </c>
      <c r="H368" s="280">
        <f t="shared" si="10"/>
        <v>1.1952655134163995E-3</v>
      </c>
      <c r="I368" s="275"/>
      <c r="J368" s="275" t="s">
        <v>1717</v>
      </c>
      <c r="K368" s="275" t="s">
        <v>847</v>
      </c>
      <c r="L368" s="275">
        <v>212.31</v>
      </c>
      <c r="M368" s="280">
        <f t="shared" si="11"/>
        <v>-3.6136662286465654E-3</v>
      </c>
    </row>
    <row r="369" spans="1:13">
      <c r="A369" s="275"/>
      <c r="B369" s="275"/>
      <c r="C369" s="275"/>
      <c r="D369" s="275"/>
      <c r="E369" s="275" t="s">
        <v>479</v>
      </c>
      <c r="F369" s="275" t="s">
        <v>848</v>
      </c>
      <c r="G369" s="278">
        <v>46920.47</v>
      </c>
      <c r="H369" s="280">
        <f t="shared" si="10"/>
        <v>4.9419861712628865E-3</v>
      </c>
      <c r="I369" s="275"/>
      <c r="J369" s="275" t="s">
        <v>1717</v>
      </c>
      <c r="K369" s="275" t="s">
        <v>848</v>
      </c>
      <c r="L369" s="275">
        <v>218.55</v>
      </c>
      <c r="M369" s="280">
        <f t="shared" si="11"/>
        <v>2.9390984880599165E-2</v>
      </c>
    </row>
    <row r="370" spans="1:13">
      <c r="A370" s="275"/>
      <c r="B370" s="275"/>
      <c r="C370" s="275"/>
      <c r="D370" s="275"/>
      <c r="E370" s="275" t="s">
        <v>479</v>
      </c>
      <c r="F370" s="275" t="s">
        <v>849</v>
      </c>
      <c r="G370" s="278">
        <v>47424.63</v>
      </c>
      <c r="H370" s="280">
        <f t="shared" si="10"/>
        <v>1.0744990406106252E-2</v>
      </c>
      <c r="I370" s="275"/>
      <c r="J370" s="275" t="s">
        <v>1717</v>
      </c>
      <c r="K370" s="275" t="s">
        <v>849</v>
      </c>
      <c r="L370" s="275">
        <v>217.69</v>
      </c>
      <c r="M370" s="280">
        <f t="shared" si="11"/>
        <v>-3.9350263097689938E-3</v>
      </c>
    </row>
    <row r="371" spans="1:13">
      <c r="A371" s="275"/>
      <c r="B371" s="275"/>
      <c r="C371" s="275"/>
      <c r="D371" s="275"/>
      <c r="E371" s="275" t="s">
        <v>479</v>
      </c>
      <c r="F371" s="275" t="s">
        <v>850</v>
      </c>
      <c r="G371" s="278">
        <v>47666.66</v>
      </c>
      <c r="H371" s="280">
        <f t="shared" si="10"/>
        <v>5.1034662790201239E-3</v>
      </c>
      <c r="I371" s="275"/>
      <c r="J371" s="275" t="s">
        <v>1717</v>
      </c>
      <c r="K371" s="275" t="s">
        <v>850</v>
      </c>
      <c r="L371" s="275">
        <v>216.55</v>
      </c>
      <c r="M371" s="280">
        <f t="shared" si="11"/>
        <v>-5.2368046304377162E-3</v>
      </c>
    </row>
    <row r="372" spans="1:13">
      <c r="A372" s="275"/>
      <c r="B372" s="275"/>
      <c r="C372" s="275"/>
      <c r="D372" s="275"/>
      <c r="E372" s="275" t="s">
        <v>479</v>
      </c>
      <c r="F372" s="275" t="s">
        <v>851</v>
      </c>
      <c r="G372" s="278">
        <v>47806.97</v>
      </c>
      <c r="H372" s="280">
        <f t="shared" si="10"/>
        <v>2.943566845254055E-3</v>
      </c>
      <c r="I372" s="275"/>
      <c r="J372" s="275" t="s">
        <v>1717</v>
      </c>
      <c r="K372" s="275" t="s">
        <v>851</v>
      </c>
      <c r="L372" s="275">
        <v>224.34</v>
      </c>
      <c r="M372" s="280">
        <f t="shared" si="11"/>
        <v>3.5973216347263873E-2</v>
      </c>
    </row>
    <row r="373" spans="1:13">
      <c r="A373" s="275"/>
      <c r="B373" s="275"/>
      <c r="C373" s="275"/>
      <c r="D373" s="275"/>
      <c r="E373" s="275" t="s">
        <v>479</v>
      </c>
      <c r="F373" s="275" t="s">
        <v>852</v>
      </c>
      <c r="G373" s="278">
        <v>48240.28</v>
      </c>
      <c r="H373" s="280">
        <f t="shared" si="10"/>
        <v>9.0637411239406652E-3</v>
      </c>
      <c r="I373" s="275"/>
      <c r="J373" s="275" t="s">
        <v>1717</v>
      </c>
      <c r="K373" s="275" t="s">
        <v>852</v>
      </c>
      <c r="L373" s="275">
        <v>226.92</v>
      </c>
      <c r="M373" s="280">
        <f t="shared" si="11"/>
        <v>1.1500401176785165E-2</v>
      </c>
    </row>
    <row r="374" spans="1:13">
      <c r="A374" s="275"/>
      <c r="B374" s="275"/>
      <c r="C374" s="275"/>
      <c r="D374" s="275"/>
      <c r="E374" s="275" t="s">
        <v>479</v>
      </c>
      <c r="F374" s="275" t="s">
        <v>853</v>
      </c>
      <c r="G374" s="278">
        <v>48827.55</v>
      </c>
      <c r="H374" s="280">
        <f t="shared" si="10"/>
        <v>1.2173851395555832E-2</v>
      </c>
      <c r="I374" s="275"/>
      <c r="J374" s="275" t="s">
        <v>1717</v>
      </c>
      <c r="K374" s="275" t="s">
        <v>853</v>
      </c>
      <c r="L374" s="275">
        <v>229.89</v>
      </c>
      <c r="M374" s="280">
        <f t="shared" si="11"/>
        <v>1.308831306187202E-2</v>
      </c>
    </row>
    <row r="375" spans="1:13">
      <c r="A375" s="275"/>
      <c r="B375" s="275"/>
      <c r="C375" s="275"/>
      <c r="D375" s="275"/>
      <c r="E375" s="275" t="s">
        <v>479</v>
      </c>
      <c r="F375" s="275" t="s">
        <v>854</v>
      </c>
      <c r="G375" s="278">
        <v>48704.99</v>
      </c>
      <c r="H375" s="280">
        <f t="shared" si="10"/>
        <v>-2.5100583584473303E-3</v>
      </c>
      <c r="I375" s="275"/>
      <c r="J375" s="275" t="s">
        <v>1717</v>
      </c>
      <c r="K375" s="275" t="s">
        <v>854</v>
      </c>
      <c r="L375" s="275">
        <v>232.46</v>
      </c>
      <c r="M375" s="280">
        <f t="shared" si="11"/>
        <v>1.1179259645917707E-2</v>
      </c>
    </row>
    <row r="376" spans="1:13">
      <c r="A376" s="275"/>
      <c r="B376" s="275"/>
      <c r="C376" s="275"/>
      <c r="D376" s="275"/>
      <c r="E376" s="275" t="s">
        <v>479</v>
      </c>
      <c r="F376" s="275" t="s">
        <v>855</v>
      </c>
      <c r="G376" s="278">
        <v>48713.63</v>
      </c>
      <c r="H376" s="280">
        <f t="shared" si="10"/>
        <v>1.7739455443886587E-4</v>
      </c>
      <c r="I376" s="275"/>
      <c r="J376" s="275" t="s">
        <v>1717</v>
      </c>
      <c r="K376" s="275" t="s">
        <v>855</v>
      </c>
      <c r="L376" s="275">
        <v>231.92</v>
      </c>
      <c r="M376" s="280">
        <f t="shared" si="11"/>
        <v>-2.3229802976857112E-3</v>
      </c>
    </row>
    <row r="377" spans="1:13">
      <c r="A377" s="275"/>
      <c r="B377" s="275"/>
      <c r="C377" s="275"/>
      <c r="D377" s="275"/>
      <c r="E377" s="275" t="s">
        <v>479</v>
      </c>
      <c r="F377" s="275" t="s">
        <v>856</v>
      </c>
      <c r="G377" s="278">
        <v>49038.23</v>
      </c>
      <c r="H377" s="280">
        <f t="shared" si="10"/>
        <v>6.6634328010457405E-3</v>
      </c>
      <c r="I377" s="275"/>
      <c r="J377" s="275" t="s">
        <v>1717</v>
      </c>
      <c r="K377" s="275" t="s">
        <v>856</v>
      </c>
      <c r="L377" s="275">
        <v>231.78</v>
      </c>
      <c r="M377" s="280">
        <f t="shared" si="11"/>
        <v>-6.0365643325278699E-4</v>
      </c>
    </row>
    <row r="378" spans="1:13">
      <c r="A378" s="275"/>
      <c r="B378" s="275"/>
      <c r="C378" s="275"/>
      <c r="D378" s="275"/>
      <c r="E378" s="275" t="s">
        <v>479</v>
      </c>
      <c r="F378" s="275" t="s">
        <v>857</v>
      </c>
      <c r="G378" s="278">
        <v>49039.41</v>
      </c>
      <c r="H378" s="280">
        <f t="shared" si="10"/>
        <v>2.4062858712483933E-5</v>
      </c>
      <c r="I378" s="275"/>
      <c r="J378" s="275" t="s">
        <v>1717</v>
      </c>
      <c r="K378" s="275" t="s">
        <v>857</v>
      </c>
      <c r="L378" s="275">
        <v>230.88</v>
      </c>
      <c r="M378" s="280">
        <f t="shared" si="11"/>
        <v>-3.8829924928812051E-3</v>
      </c>
    </row>
    <row r="379" spans="1:13">
      <c r="A379" s="275"/>
      <c r="B379" s="275"/>
      <c r="C379" s="275"/>
      <c r="D379" s="275"/>
      <c r="E379" s="275" t="s">
        <v>479</v>
      </c>
      <c r="F379" s="275" t="s">
        <v>858</v>
      </c>
      <c r="G379" s="278">
        <v>48865.79</v>
      </c>
      <c r="H379" s="280">
        <f t="shared" si="10"/>
        <v>-3.5404177986644333E-3</v>
      </c>
      <c r="I379" s="275"/>
      <c r="J379" s="275" t="s">
        <v>1717</v>
      </c>
      <c r="K379" s="275" t="s">
        <v>858</v>
      </c>
      <c r="L379" s="275">
        <v>231.22</v>
      </c>
      <c r="M379" s="280">
        <f t="shared" si="11"/>
        <v>1.4726264726264875E-3</v>
      </c>
    </row>
    <row r="380" spans="1:13">
      <c r="A380" s="275"/>
      <c r="B380" s="275"/>
      <c r="C380" s="275"/>
      <c r="D380" s="275"/>
      <c r="E380" s="275" t="s">
        <v>479</v>
      </c>
      <c r="F380" s="275" t="s">
        <v>859</v>
      </c>
      <c r="G380" s="278">
        <v>49371.6</v>
      </c>
      <c r="H380" s="280">
        <f t="shared" si="10"/>
        <v>1.0351004250621911E-2</v>
      </c>
      <c r="I380" s="275"/>
      <c r="J380" s="275" t="s">
        <v>1717</v>
      </c>
      <c r="K380" s="275" t="s">
        <v>859</v>
      </c>
      <c r="L380" s="275">
        <v>228.23</v>
      </c>
      <c r="M380" s="280">
        <f t="shared" si="11"/>
        <v>-1.2931407317706121E-2</v>
      </c>
    </row>
    <row r="381" spans="1:13">
      <c r="A381" s="275"/>
      <c r="B381" s="275"/>
      <c r="C381" s="275"/>
      <c r="D381" s="275"/>
      <c r="E381" s="275" t="s">
        <v>479</v>
      </c>
      <c r="F381" s="275" t="s">
        <v>860</v>
      </c>
      <c r="G381" s="278">
        <v>49517.02</v>
      </c>
      <c r="H381" s="280">
        <f t="shared" si="10"/>
        <v>2.9454180135948249E-3</v>
      </c>
      <c r="I381" s="275"/>
      <c r="J381" s="275" t="s">
        <v>1717</v>
      </c>
      <c r="K381" s="275" t="s">
        <v>860</v>
      </c>
      <c r="L381" s="275">
        <v>229.23</v>
      </c>
      <c r="M381" s="280">
        <f t="shared" si="11"/>
        <v>4.3815449327432856E-3</v>
      </c>
    </row>
    <row r="382" spans="1:13">
      <c r="A382" s="275"/>
      <c r="B382" s="275"/>
      <c r="C382" s="275"/>
      <c r="D382" s="275"/>
      <c r="E382" s="275" t="s">
        <v>479</v>
      </c>
      <c r="F382" s="275" t="s">
        <v>861</v>
      </c>
      <c r="G382" s="278">
        <v>49210.5</v>
      </c>
      <c r="H382" s="280">
        <f t="shared" si="10"/>
        <v>-6.1901948057455159E-3</v>
      </c>
      <c r="I382" s="275"/>
      <c r="J382" s="275" t="s">
        <v>1717</v>
      </c>
      <c r="K382" s="275" t="s">
        <v>861</v>
      </c>
      <c r="L382" s="275">
        <v>226.53</v>
      </c>
      <c r="M382" s="280">
        <f t="shared" si="11"/>
        <v>-1.1778563015312082E-2</v>
      </c>
    </row>
    <row r="383" spans="1:13">
      <c r="A383" s="275"/>
      <c r="B383" s="275"/>
      <c r="C383" s="275"/>
      <c r="D383" s="275"/>
      <c r="E383" s="275" t="s">
        <v>479</v>
      </c>
      <c r="F383" s="275" t="s">
        <v>862</v>
      </c>
      <c r="G383" s="278">
        <v>48888.54</v>
      </c>
      <c r="H383" s="280">
        <f t="shared" si="10"/>
        <v>-6.5425061724631757E-3</v>
      </c>
      <c r="I383" s="275"/>
      <c r="J383" s="275" t="s">
        <v>1717</v>
      </c>
      <c r="K383" s="275" t="s">
        <v>862</v>
      </c>
      <c r="L383" s="275">
        <v>226.06</v>
      </c>
      <c r="M383" s="280">
        <f t="shared" si="11"/>
        <v>-2.0747803822893165E-3</v>
      </c>
    </row>
    <row r="384" spans="1:13">
      <c r="A384" s="275"/>
      <c r="B384" s="275"/>
      <c r="C384" s="275"/>
      <c r="D384" s="275"/>
      <c r="E384" s="275" t="s">
        <v>479</v>
      </c>
      <c r="F384" s="275" t="s">
        <v>863</v>
      </c>
      <c r="G384" s="278">
        <v>48678.65</v>
      </c>
      <c r="H384" s="280">
        <f t="shared" si="10"/>
        <v>-4.2932351835419796E-3</v>
      </c>
      <c r="I384" s="275"/>
      <c r="J384" s="275" t="s">
        <v>1717</v>
      </c>
      <c r="K384" s="275" t="s">
        <v>863</v>
      </c>
      <c r="L384" s="275">
        <v>224.03</v>
      </c>
      <c r="M384" s="280">
        <f t="shared" si="11"/>
        <v>-8.9799168362381717E-3</v>
      </c>
    </row>
    <row r="385" spans="1:13">
      <c r="A385" s="275"/>
      <c r="B385" s="275"/>
      <c r="C385" s="275"/>
      <c r="D385" s="275"/>
      <c r="E385" s="275" t="s">
        <v>479</v>
      </c>
      <c r="F385" s="275" t="s">
        <v>864</v>
      </c>
      <c r="G385" s="278">
        <v>48642.21</v>
      </c>
      <c r="H385" s="280">
        <f t="shared" si="10"/>
        <v>-7.4858279759201058E-4</v>
      </c>
      <c r="I385" s="275"/>
      <c r="J385" s="275" t="s">
        <v>1717</v>
      </c>
      <c r="K385" s="275" t="s">
        <v>864</v>
      </c>
      <c r="L385" s="275">
        <v>223.08</v>
      </c>
      <c r="M385" s="280">
        <f t="shared" si="11"/>
        <v>-4.2405035039949496E-3</v>
      </c>
    </row>
    <row r="386" spans="1:13">
      <c r="A386" s="275"/>
      <c r="B386" s="275"/>
      <c r="C386" s="275"/>
      <c r="D386" s="275"/>
      <c r="E386" s="275" t="s">
        <v>479</v>
      </c>
      <c r="F386" s="275" t="s">
        <v>865</v>
      </c>
      <c r="G386" s="278">
        <v>49013.82</v>
      </c>
      <c r="H386" s="280">
        <f t="shared" si="10"/>
        <v>7.6396611091478078E-3</v>
      </c>
      <c r="I386" s="275"/>
      <c r="J386" s="275" t="s">
        <v>1717</v>
      </c>
      <c r="K386" s="275" t="s">
        <v>865</v>
      </c>
      <c r="L386" s="275">
        <v>225.84</v>
      </c>
      <c r="M386" s="280">
        <f t="shared" si="11"/>
        <v>1.2372243141473869E-2</v>
      </c>
    </row>
    <row r="387" spans="1:13">
      <c r="A387" s="275"/>
      <c r="B387" s="275"/>
      <c r="C387" s="275"/>
      <c r="D387" s="275"/>
      <c r="E387" s="275" t="s">
        <v>479</v>
      </c>
      <c r="F387" s="275" t="s">
        <v>866</v>
      </c>
      <c r="G387" s="278">
        <v>49364.83</v>
      </c>
      <c r="H387" s="280">
        <f t="shared" si="10"/>
        <v>7.161449566673278E-3</v>
      </c>
      <c r="I387" s="275"/>
      <c r="J387" s="275" t="s">
        <v>1717</v>
      </c>
      <c r="K387" s="275" t="s">
        <v>866</v>
      </c>
      <c r="L387" s="275">
        <v>229.05</v>
      </c>
      <c r="M387" s="280">
        <f t="shared" si="11"/>
        <v>1.421360255047825E-2</v>
      </c>
    </row>
    <row r="388" spans="1:13">
      <c r="A388" s="275"/>
      <c r="B388" s="275"/>
      <c r="C388" s="275"/>
      <c r="D388" s="275"/>
      <c r="E388" s="275" t="s">
        <v>479</v>
      </c>
      <c r="F388" s="275" t="s">
        <v>867</v>
      </c>
      <c r="G388" s="278">
        <v>49876.18</v>
      </c>
      <c r="H388" s="280">
        <f t="shared" ref="H388:H451" si="12">(G388-G387)/G387</f>
        <v>1.0358589303356225E-2</v>
      </c>
      <c r="I388" s="275"/>
      <c r="J388" s="275" t="s">
        <v>1717</v>
      </c>
      <c r="K388" s="275" t="s">
        <v>867</v>
      </c>
      <c r="L388" s="275">
        <v>229.92</v>
      </c>
      <c r="M388" s="280">
        <f t="shared" ref="M388:M451" si="13">(L388-L387)/L387</f>
        <v>3.7982973149966212E-3</v>
      </c>
    </row>
    <row r="389" spans="1:13">
      <c r="A389" s="275"/>
      <c r="B389" s="275"/>
      <c r="C389" s="275"/>
      <c r="D389" s="275"/>
      <c r="E389" s="275" t="s">
        <v>479</v>
      </c>
      <c r="F389" s="275" t="s">
        <v>868</v>
      </c>
      <c r="G389" s="278">
        <v>49968.92</v>
      </c>
      <c r="H389" s="280">
        <f t="shared" si="12"/>
        <v>1.8594046296247621E-3</v>
      </c>
      <c r="I389" s="275"/>
      <c r="J389" s="275" t="s">
        <v>1717</v>
      </c>
      <c r="K389" s="275" t="s">
        <v>868</v>
      </c>
      <c r="L389" s="275">
        <v>229.35</v>
      </c>
      <c r="M389" s="280">
        <f t="shared" si="13"/>
        <v>-2.4791231732776324E-3</v>
      </c>
    </row>
    <row r="390" spans="1:13">
      <c r="A390" s="275"/>
      <c r="B390" s="275"/>
      <c r="C390" s="275"/>
      <c r="D390" s="275"/>
      <c r="E390" s="275" t="s">
        <v>479</v>
      </c>
      <c r="F390" s="275" t="s">
        <v>869</v>
      </c>
      <c r="G390" s="278">
        <v>49756.77</v>
      </c>
      <c r="H390" s="280">
        <f t="shared" si="12"/>
        <v>-4.2456390892579117E-3</v>
      </c>
      <c r="I390" s="275"/>
      <c r="J390" s="275" t="s">
        <v>1717</v>
      </c>
      <c r="K390" s="275" t="s">
        <v>869</v>
      </c>
      <c r="L390" s="275">
        <v>228.23</v>
      </c>
      <c r="M390" s="280">
        <f t="shared" si="13"/>
        <v>-4.8833660344451907E-3</v>
      </c>
    </row>
    <row r="391" spans="1:13">
      <c r="A391" s="275"/>
      <c r="B391" s="275"/>
      <c r="C391" s="275"/>
      <c r="D391" s="275"/>
      <c r="E391" s="275" t="s">
        <v>479</v>
      </c>
      <c r="F391" s="275" t="s">
        <v>870</v>
      </c>
      <c r="G391" s="278">
        <v>50192.36</v>
      </c>
      <c r="H391" s="280">
        <f t="shared" si="12"/>
        <v>8.7543865890009308E-3</v>
      </c>
      <c r="I391" s="275"/>
      <c r="J391" s="275" t="s">
        <v>1717</v>
      </c>
      <c r="K391" s="275" t="s">
        <v>870</v>
      </c>
      <c r="L391" s="275">
        <v>224.69</v>
      </c>
      <c r="M391" s="280">
        <f t="shared" si="13"/>
        <v>-1.5510669061911196E-2</v>
      </c>
    </row>
    <row r="392" spans="1:13">
      <c r="A392" s="275"/>
      <c r="B392" s="275"/>
      <c r="C392" s="275"/>
      <c r="D392" s="275"/>
      <c r="E392" s="275" t="s">
        <v>479</v>
      </c>
      <c r="F392" s="275" t="s">
        <v>871</v>
      </c>
      <c r="G392" s="278">
        <v>49963.77</v>
      </c>
      <c r="H392" s="280">
        <f t="shared" si="12"/>
        <v>-4.5542787786827278E-3</v>
      </c>
      <c r="I392" s="275"/>
      <c r="J392" s="275" t="s">
        <v>1717</v>
      </c>
      <c r="K392" s="275" t="s">
        <v>871</v>
      </c>
      <c r="L392" s="275">
        <v>222.81</v>
      </c>
      <c r="M392" s="280">
        <f t="shared" si="13"/>
        <v>-8.3670835373180624E-3</v>
      </c>
    </row>
    <row r="393" spans="1:13">
      <c r="A393" s="275"/>
      <c r="B393" s="275"/>
      <c r="C393" s="275"/>
      <c r="D393" s="275"/>
      <c r="E393" s="275" t="s">
        <v>479</v>
      </c>
      <c r="F393" s="275" t="s">
        <v>872</v>
      </c>
      <c r="G393" s="278">
        <v>48972.24</v>
      </c>
      <c r="H393" s="280">
        <f t="shared" si="12"/>
        <v>-1.9844979672270505E-2</v>
      </c>
      <c r="I393" s="275"/>
      <c r="J393" s="275" t="s">
        <v>1717</v>
      </c>
      <c r="K393" s="275" t="s">
        <v>872</v>
      </c>
      <c r="L393" s="275">
        <v>219.64</v>
      </c>
      <c r="M393" s="280">
        <f t="shared" si="13"/>
        <v>-1.4227368610026551E-2</v>
      </c>
    </row>
    <row r="394" spans="1:13">
      <c r="A394" s="275"/>
      <c r="B394" s="275"/>
      <c r="C394" s="275"/>
      <c r="D394" s="275"/>
      <c r="E394" s="275" t="s">
        <v>479</v>
      </c>
      <c r="F394" s="275" t="s">
        <v>873</v>
      </c>
      <c r="G394" s="278">
        <v>48757.67</v>
      </c>
      <c r="H394" s="280">
        <f t="shared" si="12"/>
        <v>-4.3814618240864559E-3</v>
      </c>
      <c r="I394" s="275"/>
      <c r="J394" s="275" t="s">
        <v>1717</v>
      </c>
      <c r="K394" s="275" t="s">
        <v>873</v>
      </c>
      <c r="L394" s="275">
        <v>215.37</v>
      </c>
      <c r="M394" s="280">
        <f t="shared" si="13"/>
        <v>-1.944090329630296E-2</v>
      </c>
    </row>
    <row r="395" spans="1:13">
      <c r="A395" s="275"/>
      <c r="B395" s="275"/>
      <c r="C395" s="275"/>
      <c r="D395" s="275"/>
      <c r="E395" s="275" t="s">
        <v>479</v>
      </c>
      <c r="F395" s="275" t="s">
        <v>874</v>
      </c>
      <c r="G395" s="278">
        <v>49455.86</v>
      </c>
      <c r="H395" s="280">
        <f t="shared" si="12"/>
        <v>1.4319593204515358E-2</v>
      </c>
      <c r="I395" s="275"/>
      <c r="J395" s="275" t="s">
        <v>1717</v>
      </c>
      <c r="K395" s="275" t="s">
        <v>874</v>
      </c>
      <c r="L395" s="275">
        <v>215.63</v>
      </c>
      <c r="M395" s="280">
        <f t="shared" si="13"/>
        <v>1.2072247759668984E-3</v>
      </c>
    </row>
    <row r="396" spans="1:13">
      <c r="A396" s="275"/>
      <c r="B396" s="275"/>
      <c r="C396" s="275"/>
      <c r="D396" s="275"/>
      <c r="E396" s="275" t="s">
        <v>479</v>
      </c>
      <c r="F396" s="275" t="s">
        <v>875</v>
      </c>
      <c r="G396" s="278">
        <v>49665.97</v>
      </c>
      <c r="H396" s="280">
        <f t="shared" si="12"/>
        <v>4.2484348669702757E-3</v>
      </c>
      <c r="I396" s="275"/>
      <c r="J396" s="275" t="s">
        <v>1717</v>
      </c>
      <c r="K396" s="275" t="s">
        <v>875</v>
      </c>
      <c r="L396" s="275">
        <v>216.38</v>
      </c>
      <c r="M396" s="280">
        <f t="shared" si="13"/>
        <v>3.4781802161109308E-3</v>
      </c>
    </row>
    <row r="397" spans="1:13">
      <c r="A397" s="275"/>
      <c r="B397" s="275"/>
      <c r="C397" s="275"/>
      <c r="D397" s="275"/>
      <c r="E397" s="275" t="s">
        <v>479</v>
      </c>
      <c r="F397" s="275" t="s">
        <v>876</v>
      </c>
      <c r="G397" s="278">
        <v>49555.83</v>
      </c>
      <c r="H397" s="280">
        <f t="shared" si="12"/>
        <v>-2.2176149987607092E-3</v>
      </c>
      <c r="I397" s="275"/>
      <c r="J397" s="275" t="s">
        <v>1717</v>
      </c>
      <c r="K397" s="275" t="s">
        <v>876</v>
      </c>
      <c r="L397" s="275">
        <v>213.16</v>
      </c>
      <c r="M397" s="280">
        <f t="shared" si="13"/>
        <v>-1.4881227470191325E-2</v>
      </c>
    </row>
    <row r="398" spans="1:13">
      <c r="A398" s="275"/>
      <c r="B398" s="275"/>
      <c r="C398" s="275"/>
      <c r="D398" s="275"/>
      <c r="E398" s="275" t="s">
        <v>479</v>
      </c>
      <c r="F398" s="275" t="s">
        <v>877</v>
      </c>
      <c r="G398" s="278">
        <v>49630.04</v>
      </c>
      <c r="H398" s="280">
        <f t="shared" si="12"/>
        <v>1.4975029174165609E-3</v>
      </c>
      <c r="I398" s="275"/>
      <c r="J398" s="275" t="s">
        <v>1717</v>
      </c>
      <c r="K398" s="275" t="s">
        <v>877</v>
      </c>
      <c r="L398" s="275">
        <v>210.68</v>
      </c>
      <c r="M398" s="280">
        <f t="shared" si="13"/>
        <v>-1.163445299305681E-2</v>
      </c>
    </row>
    <row r="399" spans="1:13">
      <c r="A399" s="275"/>
      <c r="B399" s="275"/>
      <c r="C399" s="275"/>
      <c r="D399" s="275"/>
      <c r="E399" s="275" t="s">
        <v>479</v>
      </c>
      <c r="F399" s="275" t="s">
        <v>878</v>
      </c>
      <c r="G399" s="278">
        <v>49859.39</v>
      </c>
      <c r="H399" s="280">
        <f t="shared" si="12"/>
        <v>4.6211931322239219E-3</v>
      </c>
      <c r="I399" s="275"/>
      <c r="J399" s="275" t="s">
        <v>1717</v>
      </c>
      <c r="K399" s="275" t="s">
        <v>878</v>
      </c>
      <c r="L399" s="275">
        <v>209.02</v>
      </c>
      <c r="M399" s="280">
        <f t="shared" si="13"/>
        <v>-7.879248148851322E-3</v>
      </c>
    </row>
    <row r="400" spans="1:13">
      <c r="A400" s="275"/>
      <c r="B400" s="275"/>
      <c r="C400" s="275"/>
      <c r="D400" s="275"/>
      <c r="E400" s="275" t="s">
        <v>479</v>
      </c>
      <c r="F400" s="275" t="s">
        <v>879</v>
      </c>
      <c r="G400" s="278">
        <v>49874.96</v>
      </c>
      <c r="H400" s="280">
        <f t="shared" si="12"/>
        <v>3.1227818872231911E-4</v>
      </c>
      <c r="I400" s="275"/>
      <c r="J400" s="275" t="s">
        <v>1717</v>
      </c>
      <c r="K400" s="275" t="s">
        <v>879</v>
      </c>
      <c r="L400" s="275">
        <v>208.38</v>
      </c>
      <c r="M400" s="280">
        <f t="shared" si="13"/>
        <v>-3.0619079513922818E-3</v>
      </c>
    </row>
    <row r="401" spans="1:13">
      <c r="A401" s="275"/>
      <c r="B401" s="275"/>
      <c r="C401" s="275"/>
      <c r="D401" s="275"/>
      <c r="E401" s="275" t="s">
        <v>479</v>
      </c>
      <c r="F401" s="275" t="s">
        <v>880</v>
      </c>
      <c r="G401" s="278">
        <v>49908.15</v>
      </c>
      <c r="H401" s="280">
        <f t="shared" si="12"/>
        <v>6.6546419285353473E-4</v>
      </c>
      <c r="I401" s="275"/>
      <c r="J401" s="275" t="s">
        <v>1717</v>
      </c>
      <c r="K401" s="275" t="s">
        <v>880</v>
      </c>
      <c r="L401" s="275">
        <v>212.95</v>
      </c>
      <c r="M401" s="280">
        <f t="shared" si="13"/>
        <v>2.1931087436414212E-2</v>
      </c>
    </row>
    <row r="402" spans="1:13">
      <c r="A402" s="275"/>
      <c r="B402" s="275"/>
      <c r="C402" s="275"/>
      <c r="D402" s="275"/>
      <c r="E402" s="275" t="s">
        <v>479</v>
      </c>
      <c r="F402" s="275" t="s">
        <v>881</v>
      </c>
      <c r="G402" s="278">
        <v>49925.08</v>
      </c>
      <c r="H402" s="280">
        <f t="shared" si="12"/>
        <v>3.3922315293194178E-4</v>
      </c>
      <c r="I402" s="275"/>
      <c r="J402" s="275" t="s">
        <v>1717</v>
      </c>
      <c r="K402" s="275" t="s">
        <v>881</v>
      </c>
      <c r="L402" s="275">
        <v>211.6</v>
      </c>
      <c r="M402" s="280">
        <f t="shared" si="13"/>
        <v>-6.3395163183845712E-3</v>
      </c>
    </row>
    <row r="403" spans="1:13">
      <c r="A403" s="275"/>
      <c r="B403" s="275"/>
      <c r="C403" s="275"/>
      <c r="D403" s="275"/>
      <c r="E403" s="275" t="s">
        <v>479</v>
      </c>
      <c r="F403" s="275" t="s">
        <v>882</v>
      </c>
      <c r="G403" s="278">
        <v>49965.63</v>
      </c>
      <c r="H403" s="280">
        <f t="shared" si="12"/>
        <v>8.1221702599165854E-4</v>
      </c>
      <c r="I403" s="275"/>
      <c r="J403" s="275" t="s">
        <v>1717</v>
      </c>
      <c r="K403" s="275" t="s">
        <v>882</v>
      </c>
      <c r="L403" s="275">
        <v>212.14</v>
      </c>
      <c r="M403" s="280">
        <f t="shared" si="13"/>
        <v>2.5519848771266163E-3</v>
      </c>
    </row>
    <row r="404" spans="1:13">
      <c r="A404" s="275"/>
      <c r="B404" s="275"/>
      <c r="C404" s="275"/>
      <c r="D404" s="275"/>
      <c r="E404" s="275" t="s">
        <v>479</v>
      </c>
      <c r="F404" s="275" t="s">
        <v>883</v>
      </c>
      <c r="G404" s="278">
        <v>49767.91</v>
      </c>
      <c r="H404" s="280">
        <f t="shared" si="12"/>
        <v>-3.9571201243733724E-3</v>
      </c>
      <c r="I404" s="275"/>
      <c r="J404" s="275" t="s">
        <v>1717</v>
      </c>
      <c r="K404" s="275" t="s">
        <v>883</v>
      </c>
      <c r="L404" s="275">
        <v>212.29</v>
      </c>
      <c r="M404" s="280">
        <f t="shared" si="13"/>
        <v>7.0708023003679496E-4</v>
      </c>
    </row>
    <row r="405" spans="1:13">
      <c r="A405" s="275"/>
      <c r="B405" s="275"/>
      <c r="C405" s="275"/>
      <c r="D405" s="275"/>
      <c r="E405" s="275" t="s">
        <v>479</v>
      </c>
      <c r="F405" s="275" t="s">
        <v>884</v>
      </c>
      <c r="G405" s="278">
        <v>49214.15</v>
      </c>
      <c r="H405" s="280">
        <f t="shared" si="12"/>
        <v>-1.1126848605858716E-2</v>
      </c>
      <c r="I405" s="275"/>
      <c r="J405" s="275" t="s">
        <v>1717</v>
      </c>
      <c r="K405" s="275" t="s">
        <v>884</v>
      </c>
      <c r="L405" s="275">
        <v>206.52</v>
      </c>
      <c r="M405" s="280">
        <f t="shared" si="13"/>
        <v>-2.7179801215318582E-2</v>
      </c>
    </row>
    <row r="406" spans="1:13">
      <c r="A406" s="275"/>
      <c r="B406" s="275"/>
      <c r="C406" s="275"/>
      <c r="D406" s="275"/>
      <c r="E406" s="275" t="s">
        <v>479</v>
      </c>
      <c r="F406" s="275" t="s">
        <v>885</v>
      </c>
      <c r="G406" s="278">
        <v>49588.3</v>
      </c>
      <c r="H406" s="280">
        <f t="shared" si="12"/>
        <v>7.602488308748631E-3</v>
      </c>
      <c r="I406" s="275"/>
      <c r="J406" s="275" t="s">
        <v>1717</v>
      </c>
      <c r="K406" s="275" t="s">
        <v>885</v>
      </c>
      <c r="L406" s="275">
        <v>206.15</v>
      </c>
      <c r="M406" s="280">
        <f t="shared" si="13"/>
        <v>-1.7915940344761017E-3</v>
      </c>
    </row>
    <row r="407" spans="1:13">
      <c r="A407" s="275"/>
      <c r="B407" s="275"/>
      <c r="C407" s="275"/>
      <c r="D407" s="275"/>
      <c r="E407" s="275" t="s">
        <v>479</v>
      </c>
      <c r="F407" s="275" t="s">
        <v>886</v>
      </c>
      <c r="G407" s="278">
        <v>49375.71</v>
      </c>
      <c r="H407" s="280">
        <f t="shared" si="12"/>
        <v>-4.2870999812456524E-3</v>
      </c>
      <c r="I407" s="275"/>
      <c r="J407" s="275" t="s">
        <v>1717</v>
      </c>
      <c r="K407" s="275" t="s">
        <v>886</v>
      </c>
      <c r="L407" s="275">
        <v>207.68</v>
      </c>
      <c r="M407" s="280">
        <f t="shared" si="13"/>
        <v>7.4217802570943538E-3</v>
      </c>
    </row>
    <row r="408" spans="1:13">
      <c r="A408" s="275"/>
      <c r="B408" s="275"/>
      <c r="C408" s="275"/>
      <c r="D408" s="275"/>
      <c r="E408" s="275" t="s">
        <v>479</v>
      </c>
      <c r="F408" s="275" t="s">
        <v>887</v>
      </c>
      <c r="G408" s="278">
        <v>48929.120000000003</v>
      </c>
      <c r="H408" s="280">
        <f t="shared" si="12"/>
        <v>-9.0447306985559604E-3</v>
      </c>
      <c r="I408" s="275"/>
      <c r="J408" s="275" t="s">
        <v>1717</v>
      </c>
      <c r="K408" s="275" t="s">
        <v>887</v>
      </c>
      <c r="L408" s="275">
        <v>208.68</v>
      </c>
      <c r="M408" s="280">
        <f t="shared" si="13"/>
        <v>4.8151001540832046E-3</v>
      </c>
    </row>
    <row r="409" spans="1:13">
      <c r="A409" s="275"/>
      <c r="B409" s="275"/>
      <c r="C409" s="275"/>
      <c r="D409" s="275"/>
      <c r="E409" s="275" t="s">
        <v>479</v>
      </c>
      <c r="F409" s="275" t="s">
        <v>888</v>
      </c>
      <c r="G409" s="278">
        <v>49015.09</v>
      </c>
      <c r="H409" s="280">
        <f t="shared" si="12"/>
        <v>1.7570313956186802E-3</v>
      </c>
      <c r="I409" s="275"/>
      <c r="J409" s="275" t="s">
        <v>1717</v>
      </c>
      <c r="K409" s="275" t="s">
        <v>888</v>
      </c>
      <c r="L409" s="275">
        <v>207.54</v>
      </c>
      <c r="M409" s="280">
        <f t="shared" si="13"/>
        <v>-5.4629097182289374E-3</v>
      </c>
    </row>
    <row r="410" spans="1:13">
      <c r="A410" s="275"/>
      <c r="B410" s="275"/>
      <c r="C410" s="275"/>
      <c r="D410" s="275"/>
      <c r="E410" s="275" t="s">
        <v>479</v>
      </c>
      <c r="F410" s="275" t="s">
        <v>889</v>
      </c>
      <c r="G410" s="278">
        <v>48981.65</v>
      </c>
      <c r="H410" s="280">
        <f t="shared" si="12"/>
        <v>-6.8223887786383853E-4</v>
      </c>
      <c r="I410" s="275"/>
      <c r="J410" s="275" t="s">
        <v>1717</v>
      </c>
      <c r="K410" s="275" t="s">
        <v>889</v>
      </c>
      <c r="L410" s="275">
        <v>208.09</v>
      </c>
      <c r="M410" s="280">
        <f t="shared" si="13"/>
        <v>2.6500915486171888E-3</v>
      </c>
    </row>
    <row r="411" spans="1:13">
      <c r="A411" s="275"/>
      <c r="B411" s="275"/>
      <c r="C411" s="275"/>
      <c r="D411" s="275"/>
      <c r="E411" s="275" t="s">
        <v>479</v>
      </c>
      <c r="F411" s="275" t="s">
        <v>890</v>
      </c>
      <c r="G411" s="278">
        <v>49062.26</v>
      </c>
      <c r="H411" s="280">
        <f t="shared" si="12"/>
        <v>1.6457183455437002E-3</v>
      </c>
      <c r="I411" s="275"/>
      <c r="J411" s="275" t="s">
        <v>1717</v>
      </c>
      <c r="K411" s="275" t="s">
        <v>890</v>
      </c>
      <c r="L411" s="275">
        <v>209.01</v>
      </c>
      <c r="M411" s="280">
        <f t="shared" si="13"/>
        <v>4.4211639194578663E-3</v>
      </c>
    </row>
    <row r="412" spans="1:13">
      <c r="A412" s="275"/>
      <c r="B412" s="275"/>
      <c r="C412" s="275"/>
      <c r="D412" s="275"/>
      <c r="E412" s="275" t="s">
        <v>479</v>
      </c>
      <c r="F412" s="275" t="s">
        <v>891</v>
      </c>
      <c r="G412" s="278">
        <v>49007.99</v>
      </c>
      <c r="H412" s="280">
        <f t="shared" si="12"/>
        <v>-1.106145538342589E-3</v>
      </c>
      <c r="I412" s="275"/>
      <c r="J412" s="275" t="s">
        <v>1717</v>
      </c>
      <c r="K412" s="275" t="s">
        <v>891</v>
      </c>
      <c r="L412" s="275">
        <v>208.08</v>
      </c>
      <c r="M412" s="280">
        <f t="shared" si="13"/>
        <v>-4.449547868522934E-3</v>
      </c>
    </row>
    <row r="413" spans="1:13">
      <c r="A413" s="275"/>
      <c r="B413" s="275"/>
      <c r="C413" s="275"/>
      <c r="D413" s="275"/>
      <c r="E413" s="275" t="s">
        <v>479</v>
      </c>
      <c r="F413" s="275" t="s">
        <v>892</v>
      </c>
      <c r="G413" s="278">
        <v>48520.75</v>
      </c>
      <c r="H413" s="280">
        <f t="shared" si="12"/>
        <v>-9.9420523061647288E-3</v>
      </c>
      <c r="I413" s="275"/>
      <c r="J413" s="275" t="s">
        <v>1717</v>
      </c>
      <c r="K413" s="275" t="s">
        <v>892</v>
      </c>
      <c r="L413" s="275">
        <v>207.84</v>
      </c>
      <c r="M413" s="280">
        <f t="shared" si="13"/>
        <v>-1.1534025374856261E-3</v>
      </c>
    </row>
    <row r="414" spans="1:13">
      <c r="A414" s="275"/>
      <c r="B414" s="275"/>
      <c r="C414" s="275"/>
      <c r="D414" s="275"/>
      <c r="E414" s="275" t="s">
        <v>479</v>
      </c>
      <c r="F414" s="275" t="s">
        <v>893</v>
      </c>
      <c r="G414" s="278">
        <v>48534.23</v>
      </c>
      <c r="H414" s="280">
        <f t="shared" si="12"/>
        <v>2.7781928350248506E-4</v>
      </c>
      <c r="I414" s="275"/>
      <c r="J414" s="275" t="s">
        <v>1717</v>
      </c>
      <c r="K414" s="275" t="s">
        <v>893</v>
      </c>
      <c r="L414" s="275">
        <v>208.64</v>
      </c>
      <c r="M414" s="280">
        <f t="shared" si="13"/>
        <v>3.8491147036180855E-3</v>
      </c>
    </row>
    <row r="415" spans="1:13">
      <c r="A415" s="275"/>
      <c r="B415" s="275"/>
      <c r="C415" s="275"/>
      <c r="D415" s="275"/>
      <c r="E415" s="275" t="s">
        <v>479</v>
      </c>
      <c r="F415" s="275" t="s">
        <v>894</v>
      </c>
      <c r="G415" s="278">
        <v>48992.160000000003</v>
      </c>
      <c r="H415" s="280">
        <f t="shared" si="12"/>
        <v>9.4351965612723288E-3</v>
      </c>
      <c r="I415" s="275"/>
      <c r="J415" s="275" t="s">
        <v>1717</v>
      </c>
      <c r="K415" s="275" t="s">
        <v>894</v>
      </c>
      <c r="L415" s="275">
        <v>211.65</v>
      </c>
      <c r="M415" s="280">
        <f t="shared" si="13"/>
        <v>1.4426763803681075E-2</v>
      </c>
    </row>
    <row r="416" spans="1:13">
      <c r="A416" s="275"/>
      <c r="B416" s="275"/>
      <c r="C416" s="275"/>
      <c r="D416" s="275"/>
      <c r="E416" s="275" t="s">
        <v>479</v>
      </c>
      <c r="F416" s="275" t="s">
        <v>895</v>
      </c>
      <c r="G416" s="278">
        <v>49696.08</v>
      </c>
      <c r="H416" s="280">
        <f t="shared" si="12"/>
        <v>1.43680131678211E-2</v>
      </c>
      <c r="I416" s="275"/>
      <c r="J416" s="275" t="s">
        <v>1717</v>
      </c>
      <c r="K416" s="275" t="s">
        <v>895</v>
      </c>
      <c r="L416" s="275">
        <v>213.04</v>
      </c>
      <c r="M416" s="280">
        <f t="shared" si="13"/>
        <v>6.5674462556106136E-3</v>
      </c>
    </row>
    <row r="417" spans="1:13">
      <c r="A417" s="275"/>
      <c r="B417" s="275"/>
      <c r="C417" s="275"/>
      <c r="D417" s="275"/>
      <c r="E417" s="275" t="s">
        <v>479</v>
      </c>
      <c r="F417" s="275" t="s">
        <v>896</v>
      </c>
      <c r="G417" s="278">
        <v>49623.81</v>
      </c>
      <c r="H417" s="280">
        <f t="shared" si="12"/>
        <v>-1.454239449067292E-3</v>
      </c>
      <c r="I417" s="275"/>
      <c r="J417" s="275" t="s">
        <v>1717</v>
      </c>
      <c r="K417" s="275" t="s">
        <v>896</v>
      </c>
      <c r="L417" s="275">
        <v>214.59</v>
      </c>
      <c r="M417" s="280">
        <f t="shared" si="13"/>
        <v>7.2756289898611125E-3</v>
      </c>
    </row>
    <row r="418" spans="1:13">
      <c r="A418" s="275"/>
      <c r="B418" s="275"/>
      <c r="C418" s="275"/>
      <c r="D418" s="275"/>
      <c r="E418" s="275" t="s">
        <v>479</v>
      </c>
      <c r="F418" s="275" t="s">
        <v>897</v>
      </c>
      <c r="G418" s="278">
        <v>49434.89</v>
      </c>
      <c r="H418" s="280">
        <f t="shared" si="12"/>
        <v>-3.8070434333840604E-3</v>
      </c>
      <c r="I418" s="275"/>
      <c r="J418" s="275" t="s">
        <v>1717</v>
      </c>
      <c r="K418" s="275" t="s">
        <v>897</v>
      </c>
      <c r="L418" s="275">
        <v>215.15</v>
      </c>
      <c r="M418" s="280">
        <f t="shared" si="13"/>
        <v>2.6096276620532284E-3</v>
      </c>
    </row>
    <row r="419" spans="1:13">
      <c r="A419" s="275"/>
      <c r="B419" s="275"/>
      <c r="C419" s="275"/>
      <c r="D419" s="275"/>
      <c r="E419" s="275" t="s">
        <v>479</v>
      </c>
      <c r="F419" s="275" t="s">
        <v>898</v>
      </c>
      <c r="G419" s="278">
        <v>49452.71</v>
      </c>
      <c r="H419" s="280">
        <f t="shared" si="12"/>
        <v>3.6047415094884826E-4</v>
      </c>
      <c r="I419" s="275"/>
      <c r="J419" s="275" t="s">
        <v>1717</v>
      </c>
      <c r="K419" s="275" t="s">
        <v>898</v>
      </c>
      <c r="L419" s="275">
        <v>206.88</v>
      </c>
      <c r="M419" s="280">
        <f t="shared" si="13"/>
        <v>-3.8438298861259636E-2</v>
      </c>
    </row>
    <row r="420" spans="1:13">
      <c r="A420" s="275"/>
      <c r="B420" s="275"/>
      <c r="C420" s="275"/>
      <c r="D420" s="275"/>
      <c r="E420" s="275" t="s">
        <v>479</v>
      </c>
      <c r="F420" s="275" t="s">
        <v>899</v>
      </c>
      <c r="G420" s="278">
        <v>49754.720000000001</v>
      </c>
      <c r="H420" s="280">
        <f t="shared" si="12"/>
        <v>6.1070465096857594E-3</v>
      </c>
      <c r="I420" s="275"/>
      <c r="J420" s="275" t="s">
        <v>1717</v>
      </c>
      <c r="K420" s="275" t="s">
        <v>899</v>
      </c>
      <c r="L420" s="275">
        <v>207.71</v>
      </c>
      <c r="M420" s="280">
        <f t="shared" si="13"/>
        <v>4.0119876256767811E-3</v>
      </c>
    </row>
    <row r="421" spans="1:13">
      <c r="A421" s="275"/>
      <c r="B421" s="275"/>
      <c r="C421" s="275"/>
      <c r="D421" s="275"/>
      <c r="E421" s="275" t="s">
        <v>479</v>
      </c>
      <c r="F421" s="275" t="s">
        <v>900</v>
      </c>
      <c r="G421" s="278">
        <v>49392.44</v>
      </c>
      <c r="H421" s="280">
        <f t="shared" si="12"/>
        <v>-7.2813192396620624E-3</v>
      </c>
      <c r="I421" s="275"/>
      <c r="J421" s="275" t="s">
        <v>1717</v>
      </c>
      <c r="K421" s="275" t="s">
        <v>900</v>
      </c>
      <c r="L421" s="275">
        <v>207.6</v>
      </c>
      <c r="M421" s="280">
        <f t="shared" si="13"/>
        <v>-5.2958451687455416E-4</v>
      </c>
    </row>
    <row r="422" spans="1:13">
      <c r="A422" s="275"/>
      <c r="B422" s="275"/>
      <c r="C422" s="275"/>
      <c r="D422" s="275"/>
      <c r="E422" s="275" t="s">
        <v>479</v>
      </c>
      <c r="F422" s="275" t="s">
        <v>901</v>
      </c>
      <c r="G422" s="278">
        <v>49191.75</v>
      </c>
      <c r="H422" s="280">
        <f t="shared" si="12"/>
        <v>-4.0631724207186833E-3</v>
      </c>
      <c r="I422" s="275"/>
      <c r="J422" s="275" t="s">
        <v>1717</v>
      </c>
      <c r="K422" s="275" t="s">
        <v>901</v>
      </c>
      <c r="L422" s="275">
        <v>207.77</v>
      </c>
      <c r="M422" s="280">
        <f t="shared" si="13"/>
        <v>8.1888246628138693E-4</v>
      </c>
    </row>
    <row r="423" spans="1:13">
      <c r="A423" s="275"/>
      <c r="B423" s="275"/>
      <c r="C423" s="275"/>
      <c r="D423" s="275"/>
      <c r="E423" s="275" t="s">
        <v>479</v>
      </c>
      <c r="F423" s="275" t="s">
        <v>902</v>
      </c>
      <c r="G423" s="278">
        <v>48655.72</v>
      </c>
      <c r="H423" s="280">
        <f t="shared" si="12"/>
        <v>-1.0896745897431965E-2</v>
      </c>
      <c r="I423" s="275"/>
      <c r="J423" s="275" t="s">
        <v>1717</v>
      </c>
      <c r="K423" s="275" t="s">
        <v>902</v>
      </c>
      <c r="L423" s="275">
        <v>206.65</v>
      </c>
      <c r="M423" s="280">
        <f t="shared" si="13"/>
        <v>-5.3905761178226139E-3</v>
      </c>
    </row>
    <row r="424" spans="1:13">
      <c r="A424" s="275"/>
      <c r="B424" s="275"/>
      <c r="C424" s="275"/>
      <c r="D424" s="275"/>
      <c r="E424" s="275" t="s">
        <v>479</v>
      </c>
      <c r="F424" s="275" t="s">
        <v>903</v>
      </c>
      <c r="G424" s="278">
        <v>48539.06</v>
      </c>
      <c r="H424" s="280">
        <f t="shared" si="12"/>
        <v>-2.3976625975322837E-3</v>
      </c>
      <c r="I424" s="275"/>
      <c r="J424" s="275" t="s">
        <v>1717</v>
      </c>
      <c r="K424" s="275" t="s">
        <v>903</v>
      </c>
      <c r="L424" s="275">
        <v>204.25</v>
      </c>
      <c r="M424" s="280">
        <f t="shared" si="13"/>
        <v>-1.161383982579243E-2</v>
      </c>
    </row>
    <row r="425" spans="1:13">
      <c r="A425" s="275"/>
      <c r="B425" s="275"/>
      <c r="C425" s="275"/>
      <c r="D425" s="275"/>
      <c r="E425" s="275" t="s">
        <v>479</v>
      </c>
      <c r="F425" s="275" t="s">
        <v>904</v>
      </c>
      <c r="G425" s="278">
        <v>48305.83</v>
      </c>
      <c r="H425" s="280">
        <f t="shared" si="12"/>
        <v>-4.8049962236597892E-3</v>
      </c>
      <c r="I425" s="275"/>
      <c r="J425" s="275" t="s">
        <v>1717</v>
      </c>
      <c r="K425" s="275" t="s">
        <v>904</v>
      </c>
      <c r="L425" s="275">
        <v>203.85</v>
      </c>
      <c r="M425" s="280">
        <f t="shared" si="13"/>
        <v>-1.9583843329253644E-3</v>
      </c>
    </row>
    <row r="426" spans="1:13">
      <c r="A426" s="275"/>
      <c r="B426" s="275"/>
      <c r="C426" s="275"/>
      <c r="D426" s="275"/>
      <c r="E426" s="275" t="s">
        <v>479</v>
      </c>
      <c r="F426" s="275" t="s">
        <v>905</v>
      </c>
      <c r="G426" s="278">
        <v>48289.66</v>
      </c>
      <c r="H426" s="280">
        <f t="shared" si="12"/>
        <v>-3.3474220399480256E-4</v>
      </c>
      <c r="I426" s="275"/>
      <c r="J426" s="275" t="s">
        <v>1717</v>
      </c>
      <c r="K426" s="275" t="s">
        <v>905</v>
      </c>
      <c r="L426" s="275">
        <v>202.87</v>
      </c>
      <c r="M426" s="280">
        <f t="shared" si="13"/>
        <v>-4.8074564630855524E-3</v>
      </c>
    </row>
    <row r="427" spans="1:13">
      <c r="A427" s="275"/>
      <c r="B427" s="275"/>
      <c r="C427" s="275"/>
      <c r="D427" s="275"/>
      <c r="E427" s="275" t="s">
        <v>479</v>
      </c>
      <c r="F427" s="275" t="s">
        <v>906</v>
      </c>
      <c r="G427" s="278">
        <v>48409.35</v>
      </c>
      <c r="H427" s="280">
        <f t="shared" si="12"/>
        <v>2.4785844423007956E-3</v>
      </c>
      <c r="I427" s="275"/>
      <c r="J427" s="275" t="s">
        <v>1717</v>
      </c>
      <c r="K427" s="275" t="s">
        <v>906</v>
      </c>
      <c r="L427" s="275">
        <v>207.38</v>
      </c>
      <c r="M427" s="280">
        <f t="shared" si="13"/>
        <v>2.2230985360082767E-2</v>
      </c>
    </row>
    <row r="428" spans="1:13">
      <c r="A428" s="275"/>
      <c r="B428" s="275"/>
      <c r="C428" s="275"/>
      <c r="D428" s="275"/>
      <c r="E428" s="275" t="s">
        <v>479</v>
      </c>
      <c r="F428" s="275" t="s">
        <v>907</v>
      </c>
      <c r="G428" s="278">
        <v>48697.65</v>
      </c>
      <c r="H428" s="280">
        <f t="shared" si="12"/>
        <v>5.955461083447783E-3</v>
      </c>
      <c r="I428" s="275"/>
      <c r="J428" s="275" t="s">
        <v>1717</v>
      </c>
      <c r="K428" s="275" t="s">
        <v>907</v>
      </c>
      <c r="L428" s="275">
        <v>206.94</v>
      </c>
      <c r="M428" s="280">
        <f t="shared" si="13"/>
        <v>-2.1217089401099321E-3</v>
      </c>
    </row>
    <row r="429" spans="1:13">
      <c r="A429" s="275"/>
      <c r="B429" s="275"/>
      <c r="C429" s="275"/>
      <c r="D429" s="275"/>
      <c r="E429" s="275" t="s">
        <v>479</v>
      </c>
      <c r="F429" s="275" t="s">
        <v>908</v>
      </c>
      <c r="G429" s="278">
        <v>49020.21</v>
      </c>
      <c r="H429" s="280">
        <f t="shared" si="12"/>
        <v>6.6237282497204212E-3</v>
      </c>
      <c r="I429" s="275"/>
      <c r="J429" s="275" t="s">
        <v>1717</v>
      </c>
      <c r="K429" s="275" t="s">
        <v>908</v>
      </c>
      <c r="L429" s="275">
        <v>209.22</v>
      </c>
      <c r="M429" s="280">
        <f t="shared" si="13"/>
        <v>1.1017686285879971E-2</v>
      </c>
    </row>
    <row r="430" spans="1:13">
      <c r="A430" s="275"/>
      <c r="B430" s="275"/>
      <c r="C430" s="275"/>
      <c r="D430" s="275"/>
      <c r="E430" s="275" t="s">
        <v>479</v>
      </c>
      <c r="F430" s="275" t="s">
        <v>909</v>
      </c>
      <c r="G430" s="278">
        <v>49016.79</v>
      </c>
      <c r="H430" s="280">
        <f t="shared" si="12"/>
        <v>-6.9767142980380002E-5</v>
      </c>
      <c r="I430" s="275"/>
      <c r="J430" s="275" t="s">
        <v>1717</v>
      </c>
      <c r="K430" s="275" t="s">
        <v>909</v>
      </c>
      <c r="L430" s="275">
        <v>209.09</v>
      </c>
      <c r="M430" s="280">
        <f t="shared" si="13"/>
        <v>-6.2135551094539459E-4</v>
      </c>
    </row>
    <row r="431" spans="1:13">
      <c r="A431" s="275"/>
      <c r="B431" s="275"/>
      <c r="C431" s="275"/>
      <c r="D431" s="275"/>
      <c r="E431" s="275" t="s">
        <v>479</v>
      </c>
      <c r="F431" s="275" t="s">
        <v>910</v>
      </c>
      <c r="G431" s="278">
        <v>48971.05</v>
      </c>
      <c r="H431" s="280">
        <f t="shared" si="12"/>
        <v>-9.3314964117393164E-4</v>
      </c>
      <c r="I431" s="275"/>
      <c r="J431" s="275" t="s">
        <v>1717</v>
      </c>
      <c r="K431" s="275" t="s">
        <v>910</v>
      </c>
      <c r="L431" s="275">
        <v>208.92</v>
      </c>
      <c r="M431" s="280">
        <f t="shared" si="13"/>
        <v>-8.1304701324795981E-4</v>
      </c>
    </row>
    <row r="432" spans="1:13">
      <c r="A432" s="275"/>
      <c r="B432" s="275"/>
      <c r="C432" s="275"/>
      <c r="D432" s="275"/>
      <c r="E432" s="275" t="s">
        <v>479</v>
      </c>
      <c r="F432" s="275" t="s">
        <v>911</v>
      </c>
      <c r="G432" s="278">
        <v>48680.160000000003</v>
      </c>
      <c r="H432" s="280">
        <f t="shared" si="12"/>
        <v>-5.9400400849072953E-3</v>
      </c>
      <c r="I432" s="275"/>
      <c r="J432" s="275" t="s">
        <v>1717</v>
      </c>
      <c r="K432" s="275" t="s">
        <v>911</v>
      </c>
      <c r="L432" s="275">
        <v>205.58</v>
      </c>
      <c r="M432" s="280">
        <f t="shared" si="13"/>
        <v>-1.5986980662454409E-2</v>
      </c>
    </row>
    <row r="433" spans="1:13">
      <c r="A433" s="275"/>
      <c r="B433" s="275"/>
      <c r="C433" s="275"/>
      <c r="D433" s="275"/>
      <c r="E433" s="275" t="s">
        <v>479</v>
      </c>
      <c r="F433" s="275" t="s">
        <v>912</v>
      </c>
      <c r="G433" s="278">
        <v>48523.41</v>
      </c>
      <c r="H433" s="280">
        <f t="shared" si="12"/>
        <v>-3.2199976335328395E-3</v>
      </c>
      <c r="I433" s="275"/>
      <c r="J433" s="275" t="s">
        <v>1717</v>
      </c>
      <c r="K433" s="275" t="s">
        <v>912</v>
      </c>
      <c r="L433" s="275">
        <v>205.73</v>
      </c>
      <c r="M433" s="280">
        <f t="shared" si="13"/>
        <v>7.2964296137745526E-4</v>
      </c>
    </row>
    <row r="434" spans="1:13">
      <c r="A434" s="275"/>
      <c r="B434" s="275"/>
      <c r="C434" s="275"/>
      <c r="D434" s="275"/>
      <c r="E434" s="275" t="s">
        <v>479</v>
      </c>
      <c r="F434" s="275" t="s">
        <v>913</v>
      </c>
      <c r="G434" s="278">
        <v>48375.63</v>
      </c>
      <c r="H434" s="280">
        <f t="shared" si="12"/>
        <v>-3.0455402866370294E-3</v>
      </c>
      <c r="I434" s="275"/>
      <c r="J434" s="275" t="s">
        <v>1717</v>
      </c>
      <c r="K434" s="275" t="s">
        <v>913</v>
      </c>
      <c r="L434" s="275">
        <v>205.26</v>
      </c>
      <c r="M434" s="280">
        <f t="shared" si="13"/>
        <v>-2.2845477081611769E-3</v>
      </c>
    </row>
    <row r="435" spans="1:13">
      <c r="A435" s="275"/>
      <c r="B435" s="275"/>
      <c r="C435" s="275"/>
      <c r="D435" s="275"/>
      <c r="E435" s="275" t="s">
        <v>479</v>
      </c>
      <c r="F435" s="275" t="s">
        <v>914</v>
      </c>
      <c r="G435" s="278">
        <v>47949.33</v>
      </c>
      <c r="H435" s="280">
        <f t="shared" si="12"/>
        <v>-8.8122883360897963E-3</v>
      </c>
      <c r="I435" s="275"/>
      <c r="J435" s="275" t="s">
        <v>1717</v>
      </c>
      <c r="K435" s="275" t="s">
        <v>914</v>
      </c>
      <c r="L435" s="275">
        <v>204.01</v>
      </c>
      <c r="M435" s="280">
        <f t="shared" si="13"/>
        <v>-6.0898372795478908E-3</v>
      </c>
    </row>
    <row r="436" spans="1:13">
      <c r="A436" s="275"/>
      <c r="B436" s="275"/>
      <c r="C436" s="275"/>
      <c r="D436" s="275"/>
      <c r="E436" s="275" t="s">
        <v>479</v>
      </c>
      <c r="F436" s="275" t="s">
        <v>915</v>
      </c>
      <c r="G436" s="278">
        <v>48155.93</v>
      </c>
      <c r="H436" s="280">
        <f t="shared" si="12"/>
        <v>4.3087150539955106E-3</v>
      </c>
      <c r="I436" s="275"/>
      <c r="J436" s="275" t="s">
        <v>1717</v>
      </c>
      <c r="K436" s="275" t="s">
        <v>915</v>
      </c>
      <c r="L436" s="275">
        <v>202.61</v>
      </c>
      <c r="M436" s="280">
        <f t="shared" si="13"/>
        <v>-6.8624087054555034E-3</v>
      </c>
    </row>
    <row r="437" spans="1:13">
      <c r="A437" s="275"/>
      <c r="B437" s="275"/>
      <c r="C437" s="275"/>
      <c r="D437" s="275"/>
      <c r="E437" s="275" t="s">
        <v>479</v>
      </c>
      <c r="F437" s="275" t="s">
        <v>916</v>
      </c>
      <c r="G437" s="278">
        <v>48227.75</v>
      </c>
      <c r="H437" s="280">
        <f t="shared" si="12"/>
        <v>1.4914051083635953E-3</v>
      </c>
      <c r="I437" s="275"/>
      <c r="J437" s="275" t="s">
        <v>1717</v>
      </c>
      <c r="K437" s="275" t="s">
        <v>916</v>
      </c>
      <c r="L437" s="275">
        <v>205.14</v>
      </c>
      <c r="M437" s="280">
        <f t="shared" si="13"/>
        <v>1.2487044074823418E-2</v>
      </c>
    </row>
    <row r="438" spans="1:13">
      <c r="A438" s="275"/>
      <c r="B438" s="275"/>
      <c r="C438" s="275"/>
      <c r="D438" s="275"/>
      <c r="E438" s="275" t="s">
        <v>479</v>
      </c>
      <c r="F438" s="275" t="s">
        <v>917</v>
      </c>
      <c r="G438" s="278">
        <v>48088.37</v>
      </c>
      <c r="H438" s="280">
        <f t="shared" si="12"/>
        <v>-2.8900373747478866E-3</v>
      </c>
      <c r="I438" s="275"/>
      <c r="J438" s="275" t="s">
        <v>1717</v>
      </c>
      <c r="K438" s="275" t="s">
        <v>917</v>
      </c>
      <c r="L438" s="275">
        <v>207.99</v>
      </c>
      <c r="M438" s="280">
        <f t="shared" si="13"/>
        <v>1.3892951155308681E-2</v>
      </c>
    </row>
    <row r="439" spans="1:13">
      <c r="A439" s="275"/>
      <c r="B439" s="275"/>
      <c r="C439" s="275"/>
      <c r="D439" s="275"/>
      <c r="E439" s="275" t="s">
        <v>479</v>
      </c>
      <c r="F439" s="275" t="s">
        <v>918</v>
      </c>
      <c r="G439" s="278">
        <v>47577.31</v>
      </c>
      <c r="H439" s="280">
        <f t="shared" si="12"/>
        <v>-1.0627517630562336E-2</v>
      </c>
      <c r="I439" s="275"/>
      <c r="J439" s="275" t="s">
        <v>1717</v>
      </c>
      <c r="K439" s="275" t="s">
        <v>918</v>
      </c>
      <c r="L439" s="275">
        <v>206.65</v>
      </c>
      <c r="M439" s="280">
        <f t="shared" si="13"/>
        <v>-6.442617433530474E-3</v>
      </c>
    </row>
    <row r="440" spans="1:13">
      <c r="A440" s="275"/>
      <c r="B440" s="275"/>
      <c r="C440" s="275"/>
      <c r="D440" s="275"/>
      <c r="E440" s="275" t="s">
        <v>479</v>
      </c>
      <c r="F440" s="275" t="s">
        <v>919</v>
      </c>
      <c r="G440" s="278">
        <v>47356.6</v>
      </c>
      <c r="H440" s="280">
        <f t="shared" si="12"/>
        <v>-4.6389760160883229E-3</v>
      </c>
      <c r="I440" s="275"/>
      <c r="J440" s="275" t="s">
        <v>1717</v>
      </c>
      <c r="K440" s="275" t="s">
        <v>919</v>
      </c>
      <c r="L440" s="275">
        <v>206.11</v>
      </c>
      <c r="M440" s="280">
        <f t="shared" si="13"/>
        <v>-2.6131139608032519E-3</v>
      </c>
    </row>
    <row r="441" spans="1:13">
      <c r="A441" s="275"/>
      <c r="B441" s="275"/>
      <c r="C441" s="275"/>
      <c r="D441" s="275"/>
      <c r="E441" s="275" t="s">
        <v>479</v>
      </c>
      <c r="F441" s="275" t="s">
        <v>920</v>
      </c>
      <c r="G441" s="278">
        <v>47889.37</v>
      </c>
      <c r="H441" s="280">
        <f t="shared" si="12"/>
        <v>1.1250174210141862E-2</v>
      </c>
      <c r="I441" s="275"/>
      <c r="J441" s="275" t="s">
        <v>1717</v>
      </c>
      <c r="K441" s="275" t="s">
        <v>920</v>
      </c>
      <c r="L441" s="275">
        <v>207.64</v>
      </c>
      <c r="M441" s="280">
        <f t="shared" si="13"/>
        <v>7.4232206103535614E-3</v>
      </c>
    </row>
    <row r="442" spans="1:13">
      <c r="A442" s="275"/>
      <c r="B442" s="275"/>
      <c r="C442" s="275"/>
      <c r="D442" s="275"/>
      <c r="E442" s="275" t="s">
        <v>479</v>
      </c>
      <c r="F442" s="275" t="s">
        <v>921</v>
      </c>
      <c r="G442" s="278">
        <v>47942.95</v>
      </c>
      <c r="H442" s="280">
        <f t="shared" si="12"/>
        <v>1.1188286669879864E-3</v>
      </c>
      <c r="I442" s="275"/>
      <c r="J442" s="275" t="s">
        <v>1717</v>
      </c>
      <c r="K442" s="275" t="s">
        <v>921</v>
      </c>
      <c r="L442" s="275">
        <v>207.46</v>
      </c>
      <c r="M442" s="280">
        <f t="shared" si="13"/>
        <v>-8.6688499325745724E-4</v>
      </c>
    </row>
    <row r="443" spans="1:13">
      <c r="A443" s="275"/>
      <c r="B443" s="275"/>
      <c r="C443" s="275"/>
      <c r="D443" s="275"/>
      <c r="E443" s="275" t="s">
        <v>479</v>
      </c>
      <c r="F443" s="275" t="s">
        <v>922</v>
      </c>
      <c r="G443" s="278">
        <v>48250.07</v>
      </c>
      <c r="H443" s="280">
        <f t="shared" si="12"/>
        <v>6.4059470683385696E-3</v>
      </c>
      <c r="I443" s="275"/>
      <c r="J443" s="275" t="s">
        <v>1717</v>
      </c>
      <c r="K443" s="275" t="s">
        <v>922</v>
      </c>
      <c r="L443" s="275">
        <v>206.33</v>
      </c>
      <c r="M443" s="280">
        <f t="shared" si="13"/>
        <v>-5.4468331244577044E-3</v>
      </c>
    </row>
    <row r="444" spans="1:13">
      <c r="A444" s="275"/>
      <c r="B444" s="275"/>
      <c r="C444" s="275"/>
      <c r="D444" s="275"/>
      <c r="E444" s="275" t="s">
        <v>479</v>
      </c>
      <c r="F444" s="275" t="s">
        <v>923</v>
      </c>
      <c r="G444" s="278">
        <v>48457.26</v>
      </c>
      <c r="H444" s="280">
        <f t="shared" si="12"/>
        <v>4.2940870344851797E-3</v>
      </c>
      <c r="I444" s="275"/>
      <c r="J444" s="275" t="s">
        <v>1717</v>
      </c>
      <c r="K444" s="275" t="s">
        <v>923</v>
      </c>
      <c r="L444" s="275">
        <v>204.72</v>
      </c>
      <c r="M444" s="280">
        <f t="shared" si="13"/>
        <v>-7.803033974700788E-3</v>
      </c>
    </row>
    <row r="445" spans="1:13">
      <c r="A445" s="275"/>
      <c r="B445" s="275"/>
      <c r="C445" s="275"/>
      <c r="D445" s="275"/>
      <c r="E445" s="275" t="s">
        <v>479</v>
      </c>
      <c r="F445" s="275" t="s">
        <v>924</v>
      </c>
      <c r="G445" s="278">
        <v>47950.58</v>
      </c>
      <c r="H445" s="280">
        <f t="shared" si="12"/>
        <v>-1.0456224722569957E-2</v>
      </c>
      <c r="I445" s="275"/>
      <c r="J445" s="275" t="s">
        <v>1717</v>
      </c>
      <c r="K445" s="275" t="s">
        <v>924</v>
      </c>
      <c r="L445" s="275">
        <v>203.65</v>
      </c>
      <c r="M445" s="280">
        <f t="shared" si="13"/>
        <v>-5.2266510355607329E-3</v>
      </c>
    </row>
    <row r="446" spans="1:13">
      <c r="A446" s="275"/>
      <c r="B446" s="275"/>
      <c r="C446" s="275"/>
      <c r="D446" s="275"/>
      <c r="E446" s="275" t="s">
        <v>479</v>
      </c>
      <c r="F446" s="275" t="s">
        <v>925</v>
      </c>
      <c r="G446" s="278">
        <v>47577.06</v>
      </c>
      <c r="H446" s="280">
        <f t="shared" si="12"/>
        <v>-7.7896867983662356E-3</v>
      </c>
      <c r="I446" s="275"/>
      <c r="J446" s="275" t="s">
        <v>1717</v>
      </c>
      <c r="K446" s="275" t="s">
        <v>925</v>
      </c>
      <c r="L446" s="275">
        <v>203.62</v>
      </c>
      <c r="M446" s="280">
        <f t="shared" si="13"/>
        <v>-1.4731156395777627E-4</v>
      </c>
    </row>
    <row r="447" spans="1:13">
      <c r="A447" s="275"/>
      <c r="B447" s="275"/>
      <c r="C447" s="275"/>
      <c r="D447" s="275"/>
      <c r="E447" s="275" t="s">
        <v>479</v>
      </c>
      <c r="F447" s="275" t="s">
        <v>926</v>
      </c>
      <c r="G447" s="278">
        <v>47125.120000000003</v>
      </c>
      <c r="H447" s="280">
        <f t="shared" si="12"/>
        <v>-9.4991157503215851E-3</v>
      </c>
      <c r="I447" s="275"/>
      <c r="J447" s="275" t="s">
        <v>1717</v>
      </c>
      <c r="K447" s="275" t="s">
        <v>926</v>
      </c>
      <c r="L447" s="275">
        <v>200.14</v>
      </c>
      <c r="M447" s="280">
        <f t="shared" si="13"/>
        <v>-1.7090659070818279E-2</v>
      </c>
    </row>
    <row r="448" spans="1:13">
      <c r="A448" s="275"/>
      <c r="B448" s="275"/>
      <c r="C448" s="275"/>
      <c r="D448" s="275"/>
      <c r="E448" s="275" t="s">
        <v>479</v>
      </c>
      <c r="F448" s="275" t="s">
        <v>927</v>
      </c>
      <c r="G448" s="278">
        <v>46874.37</v>
      </c>
      <c r="H448" s="280">
        <f t="shared" si="12"/>
        <v>-5.32094135781511E-3</v>
      </c>
      <c r="I448" s="275"/>
      <c r="J448" s="275" t="s">
        <v>1717</v>
      </c>
      <c r="K448" s="275" t="s">
        <v>927</v>
      </c>
      <c r="L448" s="275">
        <v>197.13</v>
      </c>
      <c r="M448" s="280">
        <f t="shared" si="13"/>
        <v>-1.5039472369341417E-2</v>
      </c>
    </row>
    <row r="449" spans="1:13">
      <c r="A449" s="275"/>
      <c r="B449" s="275"/>
      <c r="C449" s="275"/>
      <c r="D449" s="275"/>
      <c r="E449" s="275" t="s">
        <v>479</v>
      </c>
      <c r="F449" s="275" t="s">
        <v>928</v>
      </c>
      <c r="G449" s="278">
        <v>47603.48</v>
      </c>
      <c r="H449" s="280">
        <f t="shared" si="12"/>
        <v>1.5554555719895554E-2</v>
      </c>
      <c r="I449" s="275"/>
      <c r="J449" s="275" t="s">
        <v>1717</v>
      </c>
      <c r="K449" s="275" t="s">
        <v>928</v>
      </c>
      <c r="L449" s="275">
        <v>198.07</v>
      </c>
      <c r="M449" s="280">
        <f t="shared" si="13"/>
        <v>4.7684269263937387E-3</v>
      </c>
    </row>
    <row r="450" spans="1:13">
      <c r="A450" s="275"/>
      <c r="B450" s="275"/>
      <c r="C450" s="275"/>
      <c r="D450" s="275"/>
      <c r="E450" s="275" t="s">
        <v>479</v>
      </c>
      <c r="F450" s="275" t="s">
        <v>929</v>
      </c>
      <c r="G450" s="278">
        <v>48743.56</v>
      </c>
      <c r="H450" s="280">
        <f t="shared" si="12"/>
        <v>2.3949509573669706E-2</v>
      </c>
      <c r="I450" s="275"/>
      <c r="J450" s="275" t="s">
        <v>1717</v>
      </c>
      <c r="K450" s="275" t="s">
        <v>929</v>
      </c>
      <c r="L450" s="275">
        <v>202.47</v>
      </c>
      <c r="M450" s="280">
        <f t="shared" si="13"/>
        <v>2.2214368657545343E-2</v>
      </c>
    </row>
    <row r="451" spans="1:13">
      <c r="A451" s="275"/>
      <c r="B451" s="275"/>
      <c r="C451" s="275"/>
      <c r="D451" s="275"/>
      <c r="E451" s="275" t="s">
        <v>479</v>
      </c>
      <c r="F451" s="275" t="s">
        <v>930</v>
      </c>
      <c r="G451" s="278">
        <v>49708.65</v>
      </c>
      <c r="H451" s="280">
        <f t="shared" si="12"/>
        <v>1.979933349143977E-2</v>
      </c>
      <c r="I451" s="275"/>
      <c r="J451" s="275" t="s">
        <v>1717</v>
      </c>
      <c r="K451" s="275" t="s">
        <v>930</v>
      </c>
      <c r="L451" s="275">
        <v>212.29</v>
      </c>
      <c r="M451" s="280">
        <f t="shared" si="13"/>
        <v>4.8501012495678342E-2</v>
      </c>
    </row>
    <row r="452" spans="1:13">
      <c r="A452" s="275"/>
      <c r="B452" s="275"/>
      <c r="C452" s="275"/>
      <c r="D452" s="275"/>
      <c r="E452" s="275" t="s">
        <v>479</v>
      </c>
      <c r="F452" s="275" t="s">
        <v>931</v>
      </c>
      <c r="G452" s="278">
        <v>50111.67</v>
      </c>
      <c r="H452" s="280">
        <f t="shared" ref="H452:H515" si="14">(G452-G451)/G451</f>
        <v>8.1076432371427667E-3</v>
      </c>
      <c r="I452" s="275"/>
      <c r="J452" s="275" t="s">
        <v>1717</v>
      </c>
      <c r="K452" s="275" t="s">
        <v>931</v>
      </c>
      <c r="L452" s="275">
        <v>214.97</v>
      </c>
      <c r="M452" s="280">
        <f t="shared" ref="M452:M515" si="15">(L452-L451)/L451</f>
        <v>1.2624240425832619E-2</v>
      </c>
    </row>
    <row r="453" spans="1:13">
      <c r="A453" s="275"/>
      <c r="B453" s="275"/>
      <c r="C453" s="275"/>
      <c r="D453" s="275"/>
      <c r="E453" s="275" t="s">
        <v>479</v>
      </c>
      <c r="F453" s="275" t="s">
        <v>932</v>
      </c>
      <c r="G453" s="278">
        <v>49785.17</v>
      </c>
      <c r="H453" s="280">
        <f t="shared" si="14"/>
        <v>-6.5154483975489149E-3</v>
      </c>
      <c r="I453" s="275"/>
      <c r="J453" s="275" t="s">
        <v>1717</v>
      </c>
      <c r="K453" s="275" t="s">
        <v>932</v>
      </c>
      <c r="L453" s="275">
        <v>213.78</v>
      </c>
      <c r="M453" s="280">
        <f t="shared" si="15"/>
        <v>-5.5356561380657662E-3</v>
      </c>
    </row>
    <row r="454" spans="1:13">
      <c r="A454" s="275"/>
      <c r="B454" s="275"/>
      <c r="C454" s="275"/>
      <c r="D454" s="275"/>
      <c r="E454" s="275" t="s">
        <v>479</v>
      </c>
      <c r="F454" s="275" t="s">
        <v>933</v>
      </c>
      <c r="G454" s="278">
        <v>49827.51</v>
      </c>
      <c r="H454" s="280">
        <f t="shared" si="14"/>
        <v>8.5045406091821692E-4</v>
      </c>
      <c r="I454" s="275"/>
      <c r="J454" s="275" t="s">
        <v>1717</v>
      </c>
      <c r="K454" s="275" t="s">
        <v>933</v>
      </c>
      <c r="L454" s="275">
        <v>205.28</v>
      </c>
      <c r="M454" s="280">
        <f t="shared" si="15"/>
        <v>-3.976050145008888E-2</v>
      </c>
    </row>
    <row r="455" spans="1:13">
      <c r="A455" s="275"/>
      <c r="B455" s="275"/>
      <c r="C455" s="275"/>
      <c r="D455" s="275"/>
      <c r="E455" s="275" t="s">
        <v>479</v>
      </c>
      <c r="F455" s="275" t="s">
        <v>934</v>
      </c>
      <c r="G455" s="278">
        <v>49481.7</v>
      </c>
      <c r="H455" s="280">
        <f t="shared" si="14"/>
        <v>-6.9401421022243521E-3</v>
      </c>
      <c r="I455" s="275"/>
      <c r="J455" s="275" t="s">
        <v>1717</v>
      </c>
      <c r="K455" s="275" t="s">
        <v>934</v>
      </c>
      <c r="L455" s="275">
        <v>203.85</v>
      </c>
      <c r="M455" s="280">
        <f t="shared" si="15"/>
        <v>-6.9660950896337044E-3</v>
      </c>
    </row>
    <row r="456" spans="1:13">
      <c r="A456" s="275"/>
      <c r="B456" s="275"/>
      <c r="C456" s="275"/>
      <c r="D456" s="275"/>
      <c r="E456" s="275" t="s">
        <v>479</v>
      </c>
      <c r="F456" s="275" t="s">
        <v>935</v>
      </c>
      <c r="G456" s="278">
        <v>49300.9</v>
      </c>
      <c r="H456" s="280">
        <f t="shared" si="14"/>
        <v>-3.6538760794393816E-3</v>
      </c>
      <c r="I456" s="275"/>
      <c r="J456" s="275" t="s">
        <v>1717</v>
      </c>
      <c r="K456" s="275" t="s">
        <v>935</v>
      </c>
      <c r="L456" s="275">
        <v>202.16</v>
      </c>
      <c r="M456" s="280">
        <f t="shared" si="15"/>
        <v>-8.290409614912916E-3</v>
      </c>
    </row>
    <row r="457" spans="1:13">
      <c r="A457" s="275"/>
      <c r="B457" s="275"/>
      <c r="C457" s="275"/>
      <c r="D457" s="275"/>
      <c r="E457" s="275" t="s">
        <v>479</v>
      </c>
      <c r="F457" s="275" t="s">
        <v>936</v>
      </c>
      <c r="G457" s="278">
        <v>48689.42</v>
      </c>
      <c r="H457" s="280">
        <f t="shared" si="14"/>
        <v>-1.2403019011823379E-2</v>
      </c>
      <c r="I457" s="275"/>
      <c r="J457" s="275" t="s">
        <v>1717</v>
      </c>
      <c r="K457" s="275" t="s">
        <v>936</v>
      </c>
      <c r="L457" s="275">
        <v>198.45</v>
      </c>
      <c r="M457" s="280">
        <f t="shared" si="15"/>
        <v>-1.835180055401666E-2</v>
      </c>
    </row>
    <row r="458" spans="1:13">
      <c r="A458" s="275"/>
      <c r="B458" s="275"/>
      <c r="C458" s="275"/>
      <c r="D458" s="275"/>
      <c r="E458" s="275" t="s">
        <v>479</v>
      </c>
      <c r="F458" s="275" t="s">
        <v>937</v>
      </c>
      <c r="G458" s="278">
        <v>48605.14</v>
      </c>
      <c r="H458" s="280">
        <f t="shared" si="14"/>
        <v>-1.7309715334460512E-3</v>
      </c>
      <c r="I458" s="275"/>
      <c r="J458" s="275" t="s">
        <v>1717</v>
      </c>
      <c r="K458" s="275" t="s">
        <v>937</v>
      </c>
      <c r="L458" s="275">
        <v>192.85</v>
      </c>
      <c r="M458" s="280">
        <f t="shared" si="15"/>
        <v>-2.8218694885361526E-2</v>
      </c>
    </row>
    <row r="459" spans="1:13">
      <c r="A459" s="275"/>
      <c r="B459" s="275"/>
      <c r="C459" s="275"/>
      <c r="D459" s="275"/>
      <c r="E459" s="275" t="s">
        <v>479</v>
      </c>
      <c r="F459" s="275" t="s">
        <v>938</v>
      </c>
      <c r="G459" s="278">
        <v>49283.64</v>
      </c>
      <c r="H459" s="280">
        <f t="shared" si="14"/>
        <v>1.3959428982202295E-2</v>
      </c>
      <c r="I459" s="275"/>
      <c r="J459" s="275" t="s">
        <v>1717</v>
      </c>
      <c r="K459" s="275" t="s">
        <v>938</v>
      </c>
      <c r="L459" s="275">
        <v>194.33</v>
      </c>
      <c r="M459" s="280">
        <f t="shared" si="15"/>
        <v>7.6743583095671159E-3</v>
      </c>
    </row>
    <row r="460" spans="1:13">
      <c r="A460" s="275"/>
      <c r="B460" s="275"/>
      <c r="C460" s="275"/>
      <c r="D460" s="275"/>
      <c r="E460" s="275" t="s">
        <v>479</v>
      </c>
      <c r="F460" s="275" t="s">
        <v>939</v>
      </c>
      <c r="G460" s="278">
        <v>49851.13</v>
      </c>
      <c r="H460" s="280">
        <f t="shared" si="14"/>
        <v>1.151477447688519E-2</v>
      </c>
      <c r="I460" s="275"/>
      <c r="J460" s="275" t="s">
        <v>1717</v>
      </c>
      <c r="K460" s="275" t="s">
        <v>939</v>
      </c>
      <c r="L460" s="275">
        <v>196.95</v>
      </c>
      <c r="M460" s="280">
        <f t="shared" si="15"/>
        <v>1.3482220964338888E-2</v>
      </c>
    </row>
    <row r="461" spans="1:13">
      <c r="A461" s="275"/>
      <c r="B461" s="275"/>
      <c r="C461" s="275"/>
      <c r="D461" s="275"/>
      <c r="E461" s="275" t="s">
        <v>479</v>
      </c>
      <c r="F461" s="275" t="s">
        <v>940</v>
      </c>
      <c r="G461" s="278">
        <v>50935.91</v>
      </c>
      <c r="H461" s="280">
        <f t="shared" si="14"/>
        <v>2.176038938335011E-2</v>
      </c>
      <c r="I461" s="275"/>
      <c r="J461" s="275" t="s">
        <v>1717</v>
      </c>
      <c r="K461" s="275" t="s">
        <v>940</v>
      </c>
      <c r="L461" s="275">
        <v>198.65</v>
      </c>
      <c r="M461" s="280">
        <f t="shared" si="15"/>
        <v>8.6316323940087182E-3</v>
      </c>
    </row>
    <row r="462" spans="1:13">
      <c r="A462" s="275"/>
      <c r="B462" s="275"/>
      <c r="C462" s="275"/>
      <c r="D462" s="275"/>
      <c r="E462" s="275" t="s">
        <v>479</v>
      </c>
      <c r="F462" s="275" t="s">
        <v>941</v>
      </c>
      <c r="G462" s="278">
        <v>51073.14</v>
      </c>
      <c r="H462" s="280">
        <f t="shared" si="14"/>
        <v>2.6941699873428374E-3</v>
      </c>
      <c r="I462" s="275"/>
      <c r="J462" s="275" t="s">
        <v>1717</v>
      </c>
      <c r="K462" s="275" t="s">
        <v>941</v>
      </c>
      <c r="L462" s="275">
        <v>198.56</v>
      </c>
      <c r="M462" s="280">
        <f t="shared" si="15"/>
        <v>-4.5305814246163304E-4</v>
      </c>
    </row>
    <row r="463" spans="1:13">
      <c r="A463" s="275"/>
      <c r="B463" s="275"/>
      <c r="C463" s="275"/>
      <c r="D463" s="275"/>
      <c r="E463" s="275" t="s">
        <v>479</v>
      </c>
      <c r="F463" s="275" t="s">
        <v>942</v>
      </c>
      <c r="G463" s="278">
        <v>51103.53</v>
      </c>
      <c r="H463" s="280">
        <f t="shared" si="14"/>
        <v>5.9502901133549684E-4</v>
      </c>
      <c r="I463" s="275"/>
      <c r="J463" s="275" t="s">
        <v>1717</v>
      </c>
      <c r="K463" s="275" t="s">
        <v>942</v>
      </c>
      <c r="L463" s="275">
        <v>199.28</v>
      </c>
      <c r="M463" s="280">
        <f t="shared" si="15"/>
        <v>3.6261079774375445E-3</v>
      </c>
    </row>
    <row r="464" spans="1:13">
      <c r="A464" s="275"/>
      <c r="B464" s="275"/>
      <c r="C464" s="275"/>
      <c r="D464" s="275"/>
      <c r="E464" s="275" t="s">
        <v>479</v>
      </c>
      <c r="F464" s="275" t="s">
        <v>943</v>
      </c>
      <c r="G464" s="278">
        <v>51426.01</v>
      </c>
      <c r="H464" s="280">
        <f t="shared" si="14"/>
        <v>6.3103272905023038E-3</v>
      </c>
      <c r="I464" s="275"/>
      <c r="J464" s="275" t="s">
        <v>1717</v>
      </c>
      <c r="K464" s="275" t="s">
        <v>943</v>
      </c>
      <c r="L464" s="275">
        <v>199.98</v>
      </c>
      <c r="M464" s="280">
        <f t="shared" si="15"/>
        <v>3.5126455238859325E-3</v>
      </c>
    </row>
    <row r="465" spans="1:13">
      <c r="A465" s="275"/>
      <c r="B465" s="275"/>
      <c r="C465" s="275"/>
      <c r="D465" s="275"/>
      <c r="E465" s="275" t="s">
        <v>479</v>
      </c>
      <c r="F465" s="275" t="s">
        <v>944</v>
      </c>
      <c r="G465" s="278">
        <v>51750.91</v>
      </c>
      <c r="H465" s="280">
        <f t="shared" si="14"/>
        <v>6.3178146622691793E-3</v>
      </c>
      <c r="I465" s="275"/>
      <c r="J465" s="275" t="s">
        <v>1717</v>
      </c>
      <c r="K465" s="275" t="s">
        <v>944</v>
      </c>
      <c r="L465" s="275">
        <v>198.31</v>
      </c>
      <c r="M465" s="280">
        <f t="shared" si="15"/>
        <v>-8.350835083508288E-3</v>
      </c>
    </row>
    <row r="466" spans="1:13">
      <c r="A466" s="275"/>
      <c r="B466" s="275"/>
      <c r="C466" s="275"/>
      <c r="D466" s="275"/>
      <c r="E466" s="275" t="s">
        <v>479</v>
      </c>
      <c r="F466" s="275" t="s">
        <v>945</v>
      </c>
      <c r="G466" s="278">
        <v>52387.87</v>
      </c>
      <c r="H466" s="280">
        <f t="shared" si="14"/>
        <v>1.2308189363240164E-2</v>
      </c>
      <c r="I466" s="275"/>
      <c r="J466" s="275" t="s">
        <v>1717</v>
      </c>
      <c r="K466" s="275" t="s">
        <v>945</v>
      </c>
      <c r="L466" s="275">
        <v>198.34</v>
      </c>
      <c r="M466" s="280">
        <f t="shared" si="15"/>
        <v>1.5127830164893922E-4</v>
      </c>
    </row>
    <row r="467" spans="1:13">
      <c r="A467" s="275"/>
      <c r="B467" s="275"/>
      <c r="C467" s="275"/>
      <c r="D467" s="275"/>
      <c r="E467" s="275" t="s">
        <v>479</v>
      </c>
      <c r="F467" s="275" t="s">
        <v>946</v>
      </c>
      <c r="G467" s="278">
        <v>51813.19</v>
      </c>
      <c r="H467" s="280">
        <f t="shared" si="14"/>
        <v>-1.0969714935919332E-2</v>
      </c>
      <c r="I467" s="275"/>
      <c r="J467" s="275" t="s">
        <v>1717</v>
      </c>
      <c r="K467" s="275" t="s">
        <v>946</v>
      </c>
      <c r="L467" s="275">
        <v>195.37</v>
      </c>
      <c r="M467" s="280">
        <f t="shared" si="15"/>
        <v>-1.4974286578602393E-2</v>
      </c>
    </row>
    <row r="468" spans="1:13">
      <c r="A468" s="275"/>
      <c r="B468" s="275"/>
      <c r="C468" s="275"/>
      <c r="D468" s="275"/>
      <c r="E468" s="275" t="s">
        <v>479</v>
      </c>
      <c r="F468" s="275" t="s">
        <v>947</v>
      </c>
      <c r="G468" s="278">
        <v>51511.41</v>
      </c>
      <c r="H468" s="280">
        <f t="shared" si="14"/>
        <v>-5.8243856438871802E-3</v>
      </c>
      <c r="I468" s="275"/>
      <c r="J468" s="275" t="s">
        <v>1717</v>
      </c>
      <c r="K468" s="275" t="s">
        <v>947</v>
      </c>
      <c r="L468" s="275">
        <v>191.52</v>
      </c>
      <c r="M468" s="280">
        <f t="shared" si="15"/>
        <v>-1.9706198495162995E-2</v>
      </c>
    </row>
    <row r="469" spans="1:13">
      <c r="A469" s="275"/>
      <c r="B469" s="275"/>
      <c r="C469" s="275"/>
      <c r="D469" s="275"/>
      <c r="E469" s="275" t="s">
        <v>479</v>
      </c>
      <c r="F469" s="275" t="s">
        <v>948</v>
      </c>
      <c r="G469" s="278">
        <v>50956.6</v>
      </c>
      <c r="H469" s="280">
        <f t="shared" si="14"/>
        <v>-1.0770623440515508E-2</v>
      </c>
      <c r="I469" s="275"/>
      <c r="J469" s="275" t="s">
        <v>1717</v>
      </c>
      <c r="K469" s="275" t="s">
        <v>948</v>
      </c>
      <c r="L469" s="275">
        <v>192.18</v>
      </c>
      <c r="M469" s="280">
        <f t="shared" si="15"/>
        <v>3.4461152882205334E-3</v>
      </c>
    </row>
    <row r="470" spans="1:13">
      <c r="A470" s="275"/>
      <c r="B470" s="275"/>
      <c r="C470" s="275"/>
      <c r="D470" s="275"/>
      <c r="E470" s="275" t="s">
        <v>479</v>
      </c>
      <c r="F470" s="275" t="s">
        <v>949</v>
      </c>
      <c r="G470" s="278">
        <v>50742.03</v>
      </c>
      <c r="H470" s="280">
        <f t="shared" si="14"/>
        <v>-4.2108382427398948E-3</v>
      </c>
      <c r="I470" s="275"/>
      <c r="J470" s="275" t="s">
        <v>1717</v>
      </c>
      <c r="K470" s="275" t="s">
        <v>949</v>
      </c>
      <c r="L470" s="275">
        <v>191.26</v>
      </c>
      <c r="M470" s="280">
        <f t="shared" si="15"/>
        <v>-4.7871786866480167E-3</v>
      </c>
    </row>
    <row r="471" spans="1:13">
      <c r="A471" s="275"/>
      <c r="B471" s="275"/>
      <c r="C471" s="275"/>
      <c r="D471" s="275"/>
      <c r="E471" s="275" t="s">
        <v>479</v>
      </c>
      <c r="F471" s="275" t="s">
        <v>950</v>
      </c>
      <c r="G471" s="278">
        <v>51373.51</v>
      </c>
      <c r="H471" s="280">
        <f t="shared" si="14"/>
        <v>1.2444910067650096E-2</v>
      </c>
      <c r="I471" s="275"/>
      <c r="J471" s="275" t="s">
        <v>1717</v>
      </c>
      <c r="K471" s="275" t="s">
        <v>950</v>
      </c>
      <c r="L471" s="275">
        <v>190.68</v>
      </c>
      <c r="M471" s="280">
        <f t="shared" si="15"/>
        <v>-3.0325211753632966E-3</v>
      </c>
    </row>
    <row r="472" spans="1:13">
      <c r="A472" s="275"/>
      <c r="B472" s="275"/>
      <c r="C472" s="275"/>
      <c r="D472" s="275"/>
      <c r="E472" s="275" t="s">
        <v>479</v>
      </c>
      <c r="F472" s="275" t="s">
        <v>951</v>
      </c>
      <c r="G472" s="278">
        <v>52146.97</v>
      </c>
      <c r="H472" s="280">
        <f t="shared" si="14"/>
        <v>1.5055619131338292E-2</v>
      </c>
      <c r="I472" s="275"/>
      <c r="J472" s="275" t="s">
        <v>1717</v>
      </c>
      <c r="K472" s="275" t="s">
        <v>951</v>
      </c>
      <c r="L472" s="275">
        <v>189.51</v>
      </c>
      <c r="M472" s="280">
        <f t="shared" si="15"/>
        <v>-6.1359345500315498E-3</v>
      </c>
    </row>
    <row r="473" spans="1:13">
      <c r="A473" s="275"/>
      <c r="B473" s="275"/>
      <c r="C473" s="275"/>
      <c r="D473" s="275"/>
      <c r="E473" s="275" t="s">
        <v>479</v>
      </c>
      <c r="F473" s="275" t="s">
        <v>952</v>
      </c>
      <c r="G473" s="278">
        <v>52876.46</v>
      </c>
      <c r="H473" s="280">
        <f t="shared" si="14"/>
        <v>1.398911576262241E-2</v>
      </c>
      <c r="I473" s="275"/>
      <c r="J473" s="275" t="s">
        <v>1717</v>
      </c>
      <c r="K473" s="275" t="s">
        <v>952</v>
      </c>
      <c r="L473" s="275">
        <v>189.48</v>
      </c>
      <c r="M473" s="280">
        <f t="shared" si="15"/>
        <v>-1.5830299192655343E-4</v>
      </c>
    </row>
    <row r="474" spans="1:13">
      <c r="A474" s="275"/>
      <c r="B474" s="275"/>
      <c r="C474" s="275"/>
      <c r="D474" s="275"/>
      <c r="E474" s="275" t="s">
        <v>479</v>
      </c>
      <c r="F474" s="275" t="s">
        <v>953</v>
      </c>
      <c r="G474" s="278">
        <v>52869.01</v>
      </c>
      <c r="H474" s="280">
        <f t="shared" si="14"/>
        <v>-1.4089445473462273E-4</v>
      </c>
      <c r="I474" s="275"/>
      <c r="J474" s="275" t="s">
        <v>1717</v>
      </c>
      <c r="K474" s="275" t="s">
        <v>953</v>
      </c>
      <c r="L474" s="275">
        <v>188.47</v>
      </c>
      <c r="M474" s="280">
        <f t="shared" si="15"/>
        <v>-5.3303778762929651E-3</v>
      </c>
    </row>
    <row r="475" spans="1:13">
      <c r="A475" s="275"/>
      <c r="B475" s="275"/>
      <c r="C475" s="275"/>
      <c r="D475" s="275"/>
      <c r="E475" s="275" t="s">
        <v>479</v>
      </c>
      <c r="F475" s="275" t="s">
        <v>954</v>
      </c>
      <c r="G475" s="278">
        <v>52636.87</v>
      </c>
      <c r="H475" s="280">
        <f t="shared" si="14"/>
        <v>-4.3908520322207545E-3</v>
      </c>
      <c r="I475" s="275"/>
      <c r="J475" s="275" t="s">
        <v>1717</v>
      </c>
      <c r="K475" s="275" t="s">
        <v>954</v>
      </c>
      <c r="L475" s="275">
        <v>188.75</v>
      </c>
      <c r="M475" s="280">
        <f t="shared" si="15"/>
        <v>1.4856475831697413E-3</v>
      </c>
    </row>
    <row r="476" spans="1:13">
      <c r="A476" s="275"/>
      <c r="B476" s="275"/>
      <c r="C476" s="275"/>
      <c r="D476" s="275"/>
      <c r="E476" s="275" t="s">
        <v>479</v>
      </c>
      <c r="F476" s="275" t="s">
        <v>955</v>
      </c>
      <c r="G476" s="278">
        <v>52138.9</v>
      </c>
      <c r="H476" s="280">
        <f t="shared" si="14"/>
        <v>-9.4604789380523784E-3</v>
      </c>
      <c r="I476" s="275"/>
      <c r="J476" s="275" t="s">
        <v>1717</v>
      </c>
      <c r="K476" s="275" t="s">
        <v>955</v>
      </c>
      <c r="L476" s="275">
        <v>187.54</v>
      </c>
      <c r="M476" s="280">
        <f t="shared" si="15"/>
        <v>-6.410596026490108E-3</v>
      </c>
    </row>
    <row r="477" spans="1:13">
      <c r="A477" s="275"/>
      <c r="B477" s="275"/>
      <c r="C477" s="275"/>
      <c r="D477" s="275"/>
      <c r="E477" s="275" t="s">
        <v>479</v>
      </c>
      <c r="F477" s="275" t="s">
        <v>956</v>
      </c>
      <c r="G477" s="278">
        <v>51453.16</v>
      </c>
      <c r="H477" s="280">
        <f t="shared" si="14"/>
        <v>-1.3152176206249037E-2</v>
      </c>
      <c r="I477" s="275"/>
      <c r="J477" s="275" t="s">
        <v>1717</v>
      </c>
      <c r="K477" s="275" t="s">
        <v>956</v>
      </c>
      <c r="L477" s="275">
        <v>188.3</v>
      </c>
      <c r="M477" s="280">
        <f t="shared" si="15"/>
        <v>4.0524688066546832E-3</v>
      </c>
    </row>
    <row r="478" spans="1:13">
      <c r="A478" s="275"/>
      <c r="B478" s="275"/>
      <c r="C478" s="275"/>
      <c r="D478" s="275"/>
      <c r="E478" s="275" t="s">
        <v>479</v>
      </c>
      <c r="F478" s="275" t="s">
        <v>957</v>
      </c>
      <c r="G478" s="278">
        <v>50591.57</v>
      </c>
      <c r="H478" s="280">
        <f t="shared" si="14"/>
        <v>-1.6745132854814042E-2</v>
      </c>
      <c r="I478" s="275"/>
      <c r="J478" s="275" t="s">
        <v>1717</v>
      </c>
      <c r="K478" s="275" t="s">
        <v>957</v>
      </c>
      <c r="L478" s="275">
        <v>181.12</v>
      </c>
      <c r="M478" s="280">
        <f t="shared" si="15"/>
        <v>-3.8130642591609171E-2</v>
      </c>
    </row>
    <row r="479" spans="1:13">
      <c r="A479" s="275"/>
      <c r="B479" s="275"/>
      <c r="C479" s="275"/>
      <c r="D479" s="275"/>
      <c r="E479" s="275" t="s">
        <v>479</v>
      </c>
      <c r="F479" s="275" t="s">
        <v>958</v>
      </c>
      <c r="G479" s="278">
        <v>48780.81</v>
      </c>
      <c r="H479" s="280">
        <f t="shared" si="14"/>
        <v>-3.5791733682113483E-2</v>
      </c>
      <c r="I479" s="275"/>
      <c r="J479" s="275" t="s">
        <v>1717</v>
      </c>
      <c r="K479" s="275" t="s">
        <v>958</v>
      </c>
      <c r="L479" s="275">
        <v>178.2</v>
      </c>
      <c r="M479" s="280">
        <f t="shared" si="15"/>
        <v>-1.6121908127208567E-2</v>
      </c>
    </row>
    <row r="480" spans="1:13">
      <c r="A480" s="275"/>
      <c r="B480" s="275"/>
      <c r="C480" s="275"/>
      <c r="D480" s="275"/>
      <c r="E480" s="275" t="s">
        <v>479</v>
      </c>
      <c r="F480" s="275" t="s">
        <v>959</v>
      </c>
      <c r="G480" s="278">
        <v>48555.3</v>
      </c>
      <c r="H480" s="280">
        <f t="shared" si="14"/>
        <v>-4.6229244655837977E-3</v>
      </c>
      <c r="I480" s="275"/>
      <c r="J480" s="275" t="s">
        <v>1717</v>
      </c>
      <c r="K480" s="275" t="s">
        <v>959</v>
      </c>
      <c r="L480" s="275">
        <v>180.82</v>
      </c>
      <c r="M480" s="280">
        <f t="shared" si="15"/>
        <v>1.4702581369248062E-2</v>
      </c>
    </row>
    <row r="481" spans="1:13">
      <c r="A481" s="275"/>
      <c r="B481" s="275"/>
      <c r="C481" s="275"/>
      <c r="D481" s="275"/>
      <c r="E481" s="275" t="s">
        <v>479</v>
      </c>
      <c r="F481" s="275" t="s">
        <v>960</v>
      </c>
      <c r="G481" s="278">
        <v>50120.93</v>
      </c>
      <c r="H481" s="280">
        <f t="shared" si="14"/>
        <v>3.2244265816501951E-2</v>
      </c>
      <c r="I481" s="275"/>
      <c r="J481" s="275" t="s">
        <v>1717</v>
      </c>
      <c r="K481" s="275" t="s">
        <v>960</v>
      </c>
      <c r="L481" s="275">
        <v>186.8</v>
      </c>
      <c r="M481" s="280">
        <f t="shared" si="15"/>
        <v>3.3071562880212471E-2</v>
      </c>
    </row>
    <row r="482" spans="1:13">
      <c r="A482" s="275"/>
      <c r="B482" s="275"/>
      <c r="C482" s="275"/>
      <c r="D482" s="275"/>
      <c r="E482" s="275" t="s">
        <v>479</v>
      </c>
      <c r="F482" s="275" t="s">
        <v>961</v>
      </c>
      <c r="G482" s="278">
        <v>50144.63</v>
      </c>
      <c r="H482" s="280">
        <f t="shared" si="14"/>
        <v>4.7285634963272009E-4</v>
      </c>
      <c r="I482" s="275"/>
      <c r="J482" s="275" t="s">
        <v>1717</v>
      </c>
      <c r="K482" s="275" t="s">
        <v>961</v>
      </c>
      <c r="L482" s="275">
        <v>189.76</v>
      </c>
      <c r="M482" s="280">
        <f t="shared" si="15"/>
        <v>1.5845824411134794E-2</v>
      </c>
    </row>
    <row r="483" spans="1:13">
      <c r="A483" s="275"/>
      <c r="B483" s="275"/>
      <c r="C483" s="275"/>
      <c r="D483" s="275"/>
      <c r="E483" s="275" t="s">
        <v>479</v>
      </c>
      <c r="F483" s="275" t="s">
        <v>962</v>
      </c>
      <c r="G483" s="278">
        <v>50162.81</v>
      </c>
      <c r="H483" s="280">
        <f t="shared" si="14"/>
        <v>3.6255128415545775E-4</v>
      </c>
      <c r="I483" s="275"/>
      <c r="J483" s="275" t="s">
        <v>1717</v>
      </c>
      <c r="K483" s="275" t="s">
        <v>962</v>
      </c>
      <c r="L483" s="275">
        <v>190.71</v>
      </c>
      <c r="M483" s="280">
        <f t="shared" si="15"/>
        <v>5.0063237774031254E-3</v>
      </c>
    </row>
    <row r="484" spans="1:13">
      <c r="A484" s="275"/>
      <c r="B484" s="275"/>
      <c r="C484" s="275"/>
      <c r="D484" s="275"/>
      <c r="E484" s="275" t="s">
        <v>479</v>
      </c>
      <c r="F484" s="275" t="s">
        <v>963</v>
      </c>
      <c r="G484" s="278">
        <v>49958.33</v>
      </c>
      <c r="H484" s="280">
        <f t="shared" si="14"/>
        <v>-4.0763266651129776E-3</v>
      </c>
      <c r="I484" s="275"/>
      <c r="J484" s="275" t="s">
        <v>1717</v>
      </c>
      <c r="K484" s="275" t="s">
        <v>963</v>
      </c>
      <c r="L484" s="275">
        <v>188.9</v>
      </c>
      <c r="M484" s="280">
        <f t="shared" si="15"/>
        <v>-9.4908499816475384E-3</v>
      </c>
    </row>
    <row r="485" spans="1:13">
      <c r="A485" s="275"/>
      <c r="B485" s="275"/>
      <c r="C485" s="275"/>
      <c r="D485" s="275"/>
      <c r="E485" s="275" t="s">
        <v>479</v>
      </c>
      <c r="F485" s="275" t="s">
        <v>964</v>
      </c>
      <c r="G485" s="278">
        <v>49526.92</v>
      </c>
      <c r="H485" s="280">
        <f t="shared" si="14"/>
        <v>-8.6353967396428886E-3</v>
      </c>
      <c r="I485" s="275"/>
      <c r="J485" s="275" t="s">
        <v>1717</v>
      </c>
      <c r="K485" s="275" t="s">
        <v>964</v>
      </c>
      <c r="L485" s="275">
        <v>186.98</v>
      </c>
      <c r="M485" s="280">
        <f t="shared" si="15"/>
        <v>-1.0164107993647517E-2</v>
      </c>
    </row>
    <row r="486" spans="1:13">
      <c r="A486" s="275"/>
      <c r="B486" s="275"/>
      <c r="C486" s="275"/>
      <c r="D486" s="275"/>
      <c r="E486" s="275" t="s">
        <v>479</v>
      </c>
      <c r="F486" s="275" t="s">
        <v>965</v>
      </c>
      <c r="G486" s="278">
        <v>47671.8</v>
      </c>
      <c r="H486" s="280">
        <f t="shared" si="14"/>
        <v>-3.7456801270904699E-2</v>
      </c>
      <c r="I486" s="275"/>
      <c r="J486" s="275" t="s">
        <v>1717</v>
      </c>
      <c r="K486" s="275" t="s">
        <v>965</v>
      </c>
      <c r="L486" s="275">
        <v>180</v>
      </c>
      <c r="M486" s="280">
        <f t="shared" si="15"/>
        <v>-3.7330195742860145E-2</v>
      </c>
    </row>
    <row r="487" spans="1:13">
      <c r="A487" s="275"/>
      <c r="B487" s="275"/>
      <c r="C487" s="275"/>
      <c r="D487" s="275"/>
      <c r="E487" s="275" t="s">
        <v>479</v>
      </c>
      <c r="F487" s="275" t="s">
        <v>966</v>
      </c>
      <c r="G487" s="278">
        <v>48071.040000000001</v>
      </c>
      <c r="H487" s="280">
        <f t="shared" si="14"/>
        <v>8.3747624381709518E-3</v>
      </c>
      <c r="I487" s="275"/>
      <c r="J487" s="275" t="s">
        <v>1717</v>
      </c>
      <c r="K487" s="275" t="s">
        <v>966</v>
      </c>
      <c r="L487" s="275">
        <v>179.88</v>
      </c>
      <c r="M487" s="280">
        <f t="shared" si="15"/>
        <v>-6.6666666666669191E-4</v>
      </c>
    </row>
    <row r="488" spans="1:13">
      <c r="A488" s="275"/>
      <c r="B488" s="275"/>
      <c r="C488" s="275"/>
      <c r="D488" s="275"/>
      <c r="E488" s="275" t="s">
        <v>479</v>
      </c>
      <c r="F488" s="275" t="s">
        <v>967</v>
      </c>
      <c r="G488" s="278">
        <v>47608.639999999999</v>
      </c>
      <c r="H488" s="280">
        <f t="shared" si="14"/>
        <v>-9.6190970696702523E-3</v>
      </c>
      <c r="I488" s="275"/>
      <c r="J488" s="275" t="s">
        <v>1717</v>
      </c>
      <c r="K488" s="275" t="s">
        <v>967</v>
      </c>
      <c r="L488" s="275">
        <v>176.32</v>
      </c>
      <c r="M488" s="280">
        <f t="shared" si="15"/>
        <v>-1.9790971758950424E-2</v>
      </c>
    </row>
    <row r="489" spans="1:13">
      <c r="A489" s="275"/>
      <c r="B489" s="275"/>
      <c r="C489" s="275"/>
      <c r="D489" s="275"/>
      <c r="E489" s="275" t="s">
        <v>479</v>
      </c>
      <c r="F489" s="275" t="s">
        <v>968</v>
      </c>
      <c r="G489" s="278">
        <v>47442.73</v>
      </c>
      <c r="H489" s="280">
        <f t="shared" si="14"/>
        <v>-3.4848716535485201E-3</v>
      </c>
      <c r="I489" s="275"/>
      <c r="J489" s="275" t="s">
        <v>1717</v>
      </c>
      <c r="K489" s="275" t="s">
        <v>968</v>
      </c>
      <c r="L489" s="275">
        <v>181.54</v>
      </c>
      <c r="M489" s="280">
        <f t="shared" si="15"/>
        <v>2.9605263157894732E-2</v>
      </c>
    </row>
    <row r="490" spans="1:13">
      <c r="A490" s="275"/>
      <c r="B490" s="275"/>
      <c r="C490" s="275"/>
      <c r="D490" s="275"/>
      <c r="E490" s="275" t="s">
        <v>479</v>
      </c>
      <c r="F490" s="275" t="s">
        <v>969</v>
      </c>
      <c r="G490" s="278">
        <v>46858.559999999998</v>
      </c>
      <c r="H490" s="280">
        <f t="shared" si="14"/>
        <v>-1.2313161573965189E-2</v>
      </c>
      <c r="I490" s="275"/>
      <c r="J490" s="275" t="s">
        <v>1717</v>
      </c>
      <c r="K490" s="275" t="s">
        <v>969</v>
      </c>
      <c r="L490" s="275">
        <v>181.59</v>
      </c>
      <c r="M490" s="280">
        <f t="shared" si="15"/>
        <v>2.7542139473400555E-4</v>
      </c>
    </row>
    <row r="491" spans="1:13">
      <c r="A491" s="275"/>
      <c r="B491" s="275"/>
      <c r="C491" s="275"/>
      <c r="D491" s="275"/>
      <c r="E491" s="275" t="s">
        <v>479</v>
      </c>
      <c r="F491" s="275" t="s">
        <v>970</v>
      </c>
      <c r="G491" s="278">
        <v>46593.34</v>
      </c>
      <c r="H491" s="280">
        <f t="shared" si="14"/>
        <v>-5.6600117459862436E-3</v>
      </c>
      <c r="I491" s="275"/>
      <c r="J491" s="275" t="s">
        <v>1717</v>
      </c>
      <c r="K491" s="275" t="s">
        <v>970</v>
      </c>
      <c r="L491" s="275">
        <v>183.55</v>
      </c>
      <c r="M491" s="280">
        <f t="shared" si="15"/>
        <v>1.0793545900104675E-2</v>
      </c>
    </row>
    <row r="492" spans="1:13">
      <c r="A492" s="275"/>
      <c r="B492" s="275"/>
      <c r="C492" s="275"/>
      <c r="D492" s="275"/>
      <c r="E492" s="275" t="s">
        <v>479</v>
      </c>
      <c r="F492" s="275" t="s">
        <v>971</v>
      </c>
      <c r="G492" s="278">
        <v>44914.44</v>
      </c>
      <c r="H492" s="280">
        <f t="shared" si="14"/>
        <v>-3.6033046783080891E-2</v>
      </c>
      <c r="I492" s="275"/>
      <c r="J492" s="275" t="s">
        <v>1717</v>
      </c>
      <c r="K492" s="275" t="s">
        <v>971</v>
      </c>
      <c r="L492" s="275">
        <v>174.43</v>
      </c>
      <c r="M492" s="280">
        <f t="shared" si="15"/>
        <v>-4.9686733859983678E-2</v>
      </c>
    </row>
    <row r="493" spans="1:13">
      <c r="A493" s="275"/>
      <c r="B493" s="275"/>
      <c r="C493" s="275"/>
      <c r="D493" s="275"/>
      <c r="E493" s="275" t="s">
        <v>479</v>
      </c>
      <c r="F493" s="275" t="s">
        <v>972</v>
      </c>
      <c r="G493" s="278">
        <v>45474.46</v>
      </c>
      <c r="H493" s="280">
        <f t="shared" si="14"/>
        <v>1.2468595845790281E-2</v>
      </c>
      <c r="I493" s="275"/>
      <c r="J493" s="275" t="s">
        <v>1717</v>
      </c>
      <c r="K493" s="275" t="s">
        <v>972</v>
      </c>
      <c r="L493" s="275">
        <v>174.87</v>
      </c>
      <c r="M493" s="280">
        <f t="shared" si="15"/>
        <v>2.5225018632115902E-3</v>
      </c>
    </row>
    <row r="494" spans="1:13">
      <c r="A494" s="275"/>
      <c r="B494" s="275"/>
      <c r="C494" s="275"/>
      <c r="D494" s="275"/>
      <c r="E494" s="275" t="s">
        <v>479</v>
      </c>
      <c r="F494" s="275" t="s">
        <v>973</v>
      </c>
      <c r="G494" s="278">
        <v>46332.31</v>
      </c>
      <c r="H494" s="280">
        <f t="shared" si="14"/>
        <v>1.8864435113687961E-2</v>
      </c>
      <c r="I494" s="275"/>
      <c r="J494" s="275" t="s">
        <v>1717</v>
      </c>
      <c r="K494" s="275" t="s">
        <v>973</v>
      </c>
      <c r="L494" s="275">
        <v>177.64</v>
      </c>
      <c r="M494" s="280">
        <f t="shared" si="15"/>
        <v>1.5840338537198958E-2</v>
      </c>
    </row>
    <row r="495" spans="1:13">
      <c r="A495" s="275"/>
      <c r="B495" s="275"/>
      <c r="C495" s="275"/>
      <c r="D495" s="275"/>
      <c r="E495" s="275" t="s">
        <v>479</v>
      </c>
      <c r="F495" s="275" t="s">
        <v>974</v>
      </c>
      <c r="G495" s="278">
        <v>46711.85</v>
      </c>
      <c r="H495" s="280">
        <f t="shared" si="14"/>
        <v>8.1916917157810794E-3</v>
      </c>
      <c r="I495" s="275"/>
      <c r="J495" s="275" t="s">
        <v>1717</v>
      </c>
      <c r="K495" s="275" t="s">
        <v>974</v>
      </c>
      <c r="L495" s="275">
        <v>173.6</v>
      </c>
      <c r="M495" s="280">
        <f t="shared" si="15"/>
        <v>-2.274262553478942E-2</v>
      </c>
    </row>
    <row r="496" spans="1:13">
      <c r="A496" s="275"/>
      <c r="B496" s="275"/>
      <c r="C496" s="275"/>
      <c r="D496" s="275"/>
      <c r="E496" s="275" t="s">
        <v>479</v>
      </c>
      <c r="F496" s="275" t="s">
        <v>975</v>
      </c>
      <c r="G496" s="278">
        <v>46565.29</v>
      </c>
      <c r="H496" s="280">
        <f t="shared" si="14"/>
        <v>-3.1375336236950085E-3</v>
      </c>
      <c r="I496" s="275"/>
      <c r="J496" s="275" t="s">
        <v>1717</v>
      </c>
      <c r="K496" s="275" t="s">
        <v>975</v>
      </c>
      <c r="L496" s="275">
        <v>176.92</v>
      </c>
      <c r="M496" s="280">
        <f t="shared" si="15"/>
        <v>1.9124423963133602E-2</v>
      </c>
    </row>
    <row r="497" spans="1:13">
      <c r="A497" s="275"/>
      <c r="B497" s="275"/>
      <c r="C497" s="275"/>
      <c r="D497" s="275"/>
      <c r="E497" s="275" t="s">
        <v>479</v>
      </c>
      <c r="F497" s="275" t="s">
        <v>976</v>
      </c>
      <c r="G497" s="278">
        <v>44665.41</v>
      </c>
      <c r="H497" s="280">
        <f t="shared" si="14"/>
        <v>-4.0800347211409987E-2</v>
      </c>
      <c r="I497" s="275"/>
      <c r="J497" s="275" t="s">
        <v>1717</v>
      </c>
      <c r="K497" s="275" t="s">
        <v>976</v>
      </c>
      <c r="L497" s="275">
        <v>167.54</v>
      </c>
      <c r="M497" s="280">
        <f t="shared" si="15"/>
        <v>-5.3018313361971492E-2</v>
      </c>
    </row>
    <row r="498" spans="1:13">
      <c r="A498" s="275"/>
      <c r="B498" s="275"/>
      <c r="C498" s="275"/>
      <c r="D498" s="275"/>
      <c r="E498" s="275" t="s">
        <v>479</v>
      </c>
      <c r="F498" s="275" t="s">
        <v>977</v>
      </c>
      <c r="G498" s="278">
        <v>45394.06</v>
      </c>
      <c r="H498" s="280">
        <f t="shared" si="14"/>
        <v>1.6313518671383385E-2</v>
      </c>
      <c r="I498" s="275"/>
      <c r="J498" s="275" t="s">
        <v>1717</v>
      </c>
      <c r="K498" s="275" t="s">
        <v>977</v>
      </c>
      <c r="L498" s="275">
        <v>167.69</v>
      </c>
      <c r="M498" s="280">
        <f t="shared" si="15"/>
        <v>8.9530858302498326E-4</v>
      </c>
    </row>
    <row r="499" spans="1:13">
      <c r="A499" s="275"/>
      <c r="B499" s="275"/>
      <c r="C499" s="275"/>
      <c r="D499" s="275"/>
      <c r="E499" s="275" t="s">
        <v>479</v>
      </c>
      <c r="F499" s="275" t="s">
        <v>978</v>
      </c>
      <c r="G499" s="278">
        <v>45413.42</v>
      </c>
      <c r="H499" s="280">
        <f t="shared" si="14"/>
        <v>4.2648751841101201E-4</v>
      </c>
      <c r="I499" s="275"/>
      <c r="J499" s="275" t="s">
        <v>1717</v>
      </c>
      <c r="K499" s="275" t="s">
        <v>978</v>
      </c>
      <c r="L499" s="275">
        <v>166.92</v>
      </c>
      <c r="M499" s="280">
        <f t="shared" si="15"/>
        <v>-4.5918063092611977E-3</v>
      </c>
    </row>
    <row r="500" spans="1:13">
      <c r="A500" s="275"/>
      <c r="B500" s="275"/>
      <c r="C500" s="275"/>
      <c r="D500" s="275"/>
      <c r="E500" s="275" t="s">
        <v>479</v>
      </c>
      <c r="F500" s="275" t="s">
        <v>979</v>
      </c>
      <c r="G500" s="278">
        <v>44823.11</v>
      </c>
      <c r="H500" s="280">
        <f t="shared" si="14"/>
        <v>-1.2998580595779788E-2</v>
      </c>
      <c r="I500" s="275"/>
      <c r="J500" s="275" t="s">
        <v>1717</v>
      </c>
      <c r="K500" s="275" t="s">
        <v>979</v>
      </c>
      <c r="L500" s="275">
        <v>158.55000000000001</v>
      </c>
      <c r="M500" s="280">
        <f t="shared" si="15"/>
        <v>-5.0143781452192525E-2</v>
      </c>
    </row>
    <row r="501" spans="1:13">
      <c r="A501" s="275"/>
      <c r="B501" s="275"/>
      <c r="C501" s="275"/>
      <c r="D501" s="275"/>
      <c r="E501" s="275" t="s">
        <v>479</v>
      </c>
      <c r="F501" s="275" t="s">
        <v>980</v>
      </c>
      <c r="G501" s="278">
        <v>45222.15</v>
      </c>
      <c r="H501" s="280">
        <f t="shared" si="14"/>
        <v>8.9025504923687989E-3</v>
      </c>
      <c r="I501" s="275"/>
      <c r="J501" s="275" t="s">
        <v>1717</v>
      </c>
      <c r="K501" s="275" t="s">
        <v>980</v>
      </c>
      <c r="L501" s="275">
        <v>163.85</v>
      </c>
      <c r="M501" s="280">
        <f t="shared" si="15"/>
        <v>3.3427940712708812E-2</v>
      </c>
    </row>
    <row r="502" spans="1:13">
      <c r="A502" s="275"/>
      <c r="B502" s="275"/>
      <c r="C502" s="275"/>
      <c r="D502" s="275"/>
      <c r="E502" s="275" t="s">
        <v>479</v>
      </c>
      <c r="F502" s="275" t="s">
        <v>981</v>
      </c>
      <c r="G502" s="278">
        <v>46273.81</v>
      </c>
      <c r="H502" s="280">
        <f t="shared" si="14"/>
        <v>2.325541797548317E-2</v>
      </c>
      <c r="I502" s="275"/>
      <c r="J502" s="275" t="s">
        <v>1717</v>
      </c>
      <c r="K502" s="275" t="s">
        <v>981</v>
      </c>
      <c r="L502" s="275">
        <v>168.46</v>
      </c>
      <c r="M502" s="280">
        <f t="shared" si="15"/>
        <v>2.8135489777235359E-2</v>
      </c>
    </row>
    <row r="503" spans="1:13">
      <c r="A503" s="275"/>
      <c r="B503" s="275"/>
      <c r="C503" s="275"/>
      <c r="D503" s="275"/>
      <c r="E503" s="275" t="s">
        <v>479</v>
      </c>
      <c r="F503" s="275" t="s">
        <v>982</v>
      </c>
      <c r="G503" s="278">
        <v>44120.58</v>
      </c>
      <c r="H503" s="280">
        <f t="shared" si="14"/>
        <v>-4.6532368957732162E-2</v>
      </c>
      <c r="I503" s="275"/>
      <c r="J503" s="275" t="s">
        <v>1717</v>
      </c>
      <c r="K503" s="275" t="s">
        <v>982</v>
      </c>
      <c r="L503" s="275">
        <v>160.52000000000001</v>
      </c>
      <c r="M503" s="280">
        <f t="shared" si="15"/>
        <v>-4.7132850528315312E-2</v>
      </c>
    </row>
    <row r="504" spans="1:13">
      <c r="A504" s="275"/>
      <c r="B504" s="275"/>
      <c r="C504" s="275"/>
      <c r="D504" s="275"/>
      <c r="E504" s="275" t="s">
        <v>479</v>
      </c>
      <c r="F504" s="275" t="s">
        <v>983</v>
      </c>
      <c r="G504" s="278">
        <v>43792.19</v>
      </c>
      <c r="H504" s="280">
        <f t="shared" si="14"/>
        <v>-7.4430118552385165E-3</v>
      </c>
      <c r="I504" s="275"/>
      <c r="J504" s="275" t="s">
        <v>1717</v>
      </c>
      <c r="K504" s="275" t="s">
        <v>983</v>
      </c>
      <c r="L504" s="275">
        <v>157.69</v>
      </c>
      <c r="M504" s="280">
        <f t="shared" si="15"/>
        <v>-1.7630201844007053E-2</v>
      </c>
    </row>
    <row r="505" spans="1:13">
      <c r="A505" s="275"/>
      <c r="B505" s="275"/>
      <c r="C505" s="275"/>
      <c r="D505" s="275"/>
      <c r="E505" s="275" t="s">
        <v>479</v>
      </c>
      <c r="F505" s="275" t="s">
        <v>984</v>
      </c>
      <c r="G505" s="278">
        <v>43783.55</v>
      </c>
      <c r="H505" s="280">
        <f t="shared" si="14"/>
        <v>-1.9729545382405898E-4</v>
      </c>
      <c r="I505" s="275"/>
      <c r="J505" s="275" t="s">
        <v>1717</v>
      </c>
      <c r="K505" s="275" t="s">
        <v>984</v>
      </c>
      <c r="L505" s="275">
        <v>155.49</v>
      </c>
      <c r="M505" s="280">
        <f t="shared" si="15"/>
        <v>-1.3951423679370845E-2</v>
      </c>
    </row>
    <row r="506" spans="1:13">
      <c r="A506" s="275"/>
      <c r="B506" s="275"/>
      <c r="C506" s="275"/>
      <c r="D506" s="275"/>
      <c r="E506" s="275" t="s">
        <v>479</v>
      </c>
      <c r="F506" s="275" t="s">
        <v>985</v>
      </c>
      <c r="G506" s="278">
        <v>44337.440000000002</v>
      </c>
      <c r="H506" s="280">
        <f t="shared" si="14"/>
        <v>1.2650641622253092E-2</v>
      </c>
      <c r="I506" s="275"/>
      <c r="J506" s="275" t="s">
        <v>1717</v>
      </c>
      <c r="K506" s="275" t="s">
        <v>985</v>
      </c>
      <c r="L506" s="275">
        <v>156.91999999999999</v>
      </c>
      <c r="M506" s="280">
        <f t="shared" si="15"/>
        <v>9.1967329088685976E-3</v>
      </c>
    </row>
    <row r="507" spans="1:13">
      <c r="A507" s="275"/>
      <c r="B507" s="275"/>
      <c r="C507" s="275"/>
      <c r="D507" s="275"/>
      <c r="E507" s="275" t="s">
        <v>479</v>
      </c>
      <c r="F507" s="275" t="s">
        <v>986</v>
      </c>
      <c r="G507" s="278">
        <v>44523.21</v>
      </c>
      <c r="H507" s="280">
        <f t="shared" si="14"/>
        <v>4.1899126336567196E-3</v>
      </c>
      <c r="I507" s="275"/>
      <c r="J507" s="275" t="s">
        <v>1717</v>
      </c>
      <c r="K507" s="275" t="s">
        <v>986</v>
      </c>
      <c r="L507" s="275">
        <v>156.63999999999999</v>
      </c>
      <c r="M507" s="280">
        <f t="shared" si="15"/>
        <v>-1.7843487127198647E-3</v>
      </c>
    </row>
    <row r="508" spans="1:13">
      <c r="A508" s="275"/>
      <c r="B508" s="275"/>
      <c r="C508" s="275"/>
      <c r="D508" s="275"/>
      <c r="E508" s="275" t="s">
        <v>479</v>
      </c>
      <c r="F508" s="275" t="s">
        <v>987</v>
      </c>
      <c r="G508" s="278">
        <v>45636.36</v>
      </c>
      <c r="H508" s="280">
        <f t="shared" si="14"/>
        <v>2.5001566598634766E-2</v>
      </c>
      <c r="I508" s="275"/>
      <c r="J508" s="275" t="s">
        <v>1717</v>
      </c>
      <c r="K508" s="275" t="s">
        <v>987</v>
      </c>
      <c r="L508" s="275">
        <v>156.91999999999999</v>
      </c>
      <c r="M508" s="280">
        <f t="shared" si="15"/>
        <v>1.7875383043922445E-3</v>
      </c>
    </row>
    <row r="509" spans="1:13">
      <c r="A509" s="275"/>
      <c r="B509" s="275"/>
      <c r="C509" s="275"/>
      <c r="D509" s="275"/>
      <c r="E509" s="275" t="s">
        <v>479</v>
      </c>
      <c r="F509" s="275" t="s">
        <v>988</v>
      </c>
      <c r="G509" s="278">
        <v>45418.7</v>
      </c>
      <c r="H509" s="280">
        <f t="shared" si="14"/>
        <v>-4.7694426111110416E-3</v>
      </c>
      <c r="I509" s="275"/>
      <c r="J509" s="275" t="s">
        <v>1717</v>
      </c>
      <c r="K509" s="275" t="s">
        <v>988</v>
      </c>
      <c r="L509" s="275">
        <v>156.75</v>
      </c>
      <c r="M509" s="280">
        <f t="shared" si="15"/>
        <v>-1.0833545755798337E-3</v>
      </c>
    </row>
    <row r="510" spans="1:13">
      <c r="A510" s="275"/>
      <c r="B510" s="275"/>
      <c r="C510" s="275"/>
      <c r="D510" s="275"/>
      <c r="E510" s="275" t="s">
        <v>479</v>
      </c>
      <c r="F510" s="275" t="s">
        <v>989</v>
      </c>
      <c r="G510" s="278">
        <v>45059.93</v>
      </c>
      <c r="H510" s="280">
        <f t="shared" si="14"/>
        <v>-7.8991692848980003E-3</v>
      </c>
      <c r="I510" s="275"/>
      <c r="J510" s="275" t="s">
        <v>1717</v>
      </c>
      <c r="K510" s="275" t="s">
        <v>989</v>
      </c>
      <c r="L510" s="275">
        <v>153.65</v>
      </c>
      <c r="M510" s="280">
        <f t="shared" si="15"/>
        <v>-1.9776714513556583E-2</v>
      </c>
    </row>
    <row r="511" spans="1:13">
      <c r="A511" s="275"/>
      <c r="B511" s="275"/>
      <c r="C511" s="275"/>
      <c r="D511" s="275"/>
      <c r="E511" s="275" t="s">
        <v>479</v>
      </c>
      <c r="F511" s="275" t="s">
        <v>990</v>
      </c>
      <c r="G511" s="278">
        <v>45294.39</v>
      </c>
      <c r="H511" s="280">
        <f t="shared" si="14"/>
        <v>5.2032925927758683E-3</v>
      </c>
      <c r="I511" s="275"/>
      <c r="J511" s="275" t="s">
        <v>1717</v>
      </c>
      <c r="K511" s="275" t="s">
        <v>990</v>
      </c>
      <c r="L511" s="275">
        <v>153.24</v>
      </c>
      <c r="M511" s="280">
        <f t="shared" si="15"/>
        <v>-2.6684022128213251E-3</v>
      </c>
    </row>
    <row r="512" spans="1:13">
      <c r="A512" s="275"/>
      <c r="B512" s="275"/>
      <c r="C512" s="275"/>
      <c r="D512" s="275"/>
      <c r="E512" s="275" t="s">
        <v>479</v>
      </c>
      <c r="F512" s="275" t="s">
        <v>991</v>
      </c>
      <c r="G512" s="278">
        <v>45529.2</v>
      </c>
      <c r="H512" s="280">
        <f t="shared" si="14"/>
        <v>5.1840857112767759E-3</v>
      </c>
      <c r="I512" s="275"/>
      <c r="J512" s="275" t="s">
        <v>1717</v>
      </c>
      <c r="K512" s="275" t="s">
        <v>991</v>
      </c>
      <c r="L512" s="275">
        <v>153.85</v>
      </c>
      <c r="M512" s="280">
        <f t="shared" si="15"/>
        <v>3.9806838945444087E-3</v>
      </c>
    </row>
    <row r="513" spans="1:13">
      <c r="A513" s="275"/>
      <c r="B513" s="275"/>
      <c r="C513" s="275"/>
      <c r="D513" s="275"/>
      <c r="E513" s="275" t="s">
        <v>479</v>
      </c>
      <c r="F513" s="275" t="s">
        <v>992</v>
      </c>
      <c r="G513" s="278">
        <v>45917.9</v>
      </c>
      <c r="H513" s="280">
        <f t="shared" si="14"/>
        <v>8.5373782100279464E-3</v>
      </c>
      <c r="I513" s="275"/>
      <c r="J513" s="275" t="s">
        <v>1717</v>
      </c>
      <c r="K513" s="275" t="s">
        <v>992</v>
      </c>
      <c r="L513" s="275">
        <v>153.08000000000001</v>
      </c>
      <c r="M513" s="280">
        <f t="shared" si="15"/>
        <v>-5.0048748781279292E-3</v>
      </c>
    </row>
    <row r="514" spans="1:13">
      <c r="A514" s="275"/>
      <c r="B514" s="275"/>
      <c r="C514" s="275"/>
      <c r="D514" s="275"/>
      <c r="E514" s="275" t="s">
        <v>479</v>
      </c>
      <c r="F514" s="275" t="s">
        <v>993</v>
      </c>
      <c r="G514" s="278">
        <v>45908.39</v>
      </c>
      <c r="H514" s="280">
        <f t="shared" si="14"/>
        <v>-2.0710877457379446E-4</v>
      </c>
      <c r="I514" s="275"/>
      <c r="J514" s="275" t="s">
        <v>1717</v>
      </c>
      <c r="K514" s="275" t="s">
        <v>993</v>
      </c>
      <c r="L514" s="275">
        <v>152.69999999999999</v>
      </c>
      <c r="M514" s="280">
        <f t="shared" si="15"/>
        <v>-2.4823621635747571E-3</v>
      </c>
    </row>
    <row r="515" spans="1:13">
      <c r="A515" s="275"/>
      <c r="B515" s="275"/>
      <c r="C515" s="275"/>
      <c r="D515" s="275"/>
      <c r="E515" s="275" t="s">
        <v>479</v>
      </c>
      <c r="F515" s="275" t="s">
        <v>994</v>
      </c>
      <c r="G515" s="278">
        <v>45905.760000000002</v>
      </c>
      <c r="H515" s="280">
        <f t="shared" si="14"/>
        <v>-5.7288003347479199E-5</v>
      </c>
      <c r="I515" s="275"/>
      <c r="J515" s="275" t="s">
        <v>1717</v>
      </c>
      <c r="K515" s="275" t="s">
        <v>994</v>
      </c>
      <c r="L515" s="275">
        <v>152.31</v>
      </c>
      <c r="M515" s="280">
        <f t="shared" si="15"/>
        <v>-2.5540275049115023E-3</v>
      </c>
    </row>
    <row r="516" spans="1:13">
      <c r="A516" s="275"/>
      <c r="B516" s="275"/>
      <c r="C516" s="275"/>
      <c r="D516" s="275"/>
      <c r="E516" s="275" t="s">
        <v>479</v>
      </c>
      <c r="F516" s="275" t="s">
        <v>995</v>
      </c>
      <c r="G516" s="278">
        <v>45912.03</v>
      </c>
      <c r="H516" s="280">
        <f t="shared" ref="H516:H579" si="16">(G516-G515)/G515</f>
        <v>1.3658416721554765E-4</v>
      </c>
      <c r="I516" s="275"/>
      <c r="J516" s="275" t="s">
        <v>1717</v>
      </c>
      <c r="K516" s="275" t="s">
        <v>995</v>
      </c>
      <c r="L516" s="275">
        <v>150.77000000000001</v>
      </c>
      <c r="M516" s="280">
        <f t="shared" ref="M516:M579" si="17">(L516-L515)/L515</f>
        <v>-1.0110957914779017E-2</v>
      </c>
    </row>
    <row r="517" spans="1:13">
      <c r="A517" s="275"/>
      <c r="B517" s="275"/>
      <c r="C517" s="275"/>
      <c r="D517" s="275"/>
      <c r="E517" s="275" t="s">
        <v>479</v>
      </c>
      <c r="F517" s="275" t="s">
        <v>996</v>
      </c>
      <c r="G517" s="278">
        <v>46010.45</v>
      </c>
      <c r="H517" s="280">
        <f t="shared" si="16"/>
        <v>2.1436647432056099E-3</v>
      </c>
      <c r="I517" s="275"/>
      <c r="J517" s="275" t="s">
        <v>1717</v>
      </c>
      <c r="K517" s="275" t="s">
        <v>996</v>
      </c>
      <c r="L517" s="275">
        <v>151.54</v>
      </c>
      <c r="M517" s="280">
        <f t="shared" si="17"/>
        <v>5.1071168004243666E-3</v>
      </c>
    </row>
    <row r="518" spans="1:13">
      <c r="A518" s="275"/>
      <c r="B518" s="275"/>
      <c r="C518" s="275"/>
      <c r="D518" s="275"/>
      <c r="E518" s="275" t="s">
        <v>479</v>
      </c>
      <c r="F518" s="275" t="s">
        <v>997</v>
      </c>
      <c r="G518" s="278">
        <v>46533.43</v>
      </c>
      <c r="H518" s="280">
        <f t="shared" si="16"/>
        <v>1.1366548251538579E-2</v>
      </c>
      <c r="I518" s="275"/>
      <c r="J518" s="275" t="s">
        <v>1717</v>
      </c>
      <c r="K518" s="275" t="s">
        <v>997</v>
      </c>
      <c r="L518" s="275">
        <v>154.62</v>
      </c>
      <c r="M518" s="280">
        <f t="shared" si="17"/>
        <v>2.0324666754652321E-2</v>
      </c>
    </row>
    <row r="519" spans="1:13">
      <c r="A519" s="275"/>
      <c r="B519" s="275"/>
      <c r="C519" s="275"/>
      <c r="D519" s="275"/>
      <c r="E519" s="275" t="s">
        <v>479</v>
      </c>
      <c r="F519" s="275" t="s">
        <v>998</v>
      </c>
      <c r="G519" s="278">
        <v>46949.04</v>
      </c>
      <c r="H519" s="280">
        <f t="shared" si="16"/>
        <v>8.9314284375770405E-3</v>
      </c>
      <c r="I519" s="275"/>
      <c r="J519" s="275" t="s">
        <v>1717</v>
      </c>
      <c r="K519" s="275" t="s">
        <v>998</v>
      </c>
      <c r="L519" s="275">
        <v>153.62</v>
      </c>
      <c r="M519" s="280">
        <f t="shared" si="17"/>
        <v>-6.4674686327771307E-3</v>
      </c>
    </row>
    <row r="520" spans="1:13">
      <c r="A520" s="275"/>
      <c r="B520" s="275"/>
      <c r="C520" s="275"/>
      <c r="D520" s="275"/>
      <c r="E520" s="275" t="s">
        <v>479</v>
      </c>
      <c r="F520" s="275" t="s">
        <v>999</v>
      </c>
      <c r="G520" s="278">
        <v>47084.34</v>
      </c>
      <c r="H520" s="280">
        <f t="shared" si="16"/>
        <v>2.8818480633468892E-3</v>
      </c>
      <c r="I520" s="275"/>
      <c r="J520" s="275" t="s">
        <v>1717</v>
      </c>
      <c r="K520" s="275" t="s">
        <v>999</v>
      </c>
      <c r="L520" s="275">
        <v>153.15</v>
      </c>
      <c r="M520" s="280">
        <f t="shared" si="17"/>
        <v>-3.0594974612680567E-3</v>
      </c>
    </row>
    <row r="521" spans="1:13">
      <c r="A521" s="275"/>
      <c r="B521" s="275"/>
      <c r="C521" s="275"/>
      <c r="D521" s="275"/>
      <c r="E521" s="275" t="s">
        <v>479</v>
      </c>
      <c r="F521" s="275" t="s">
        <v>1000</v>
      </c>
      <c r="G521" s="278">
        <v>46877.37</v>
      </c>
      <c r="H521" s="280">
        <f t="shared" si="16"/>
        <v>-4.3957290258288401E-3</v>
      </c>
      <c r="I521" s="275"/>
      <c r="J521" s="275" t="s">
        <v>1717</v>
      </c>
      <c r="K521" s="275" t="s">
        <v>1000</v>
      </c>
      <c r="L521" s="275">
        <v>158.84</v>
      </c>
      <c r="M521" s="280">
        <f t="shared" si="17"/>
        <v>3.7153117858308833E-2</v>
      </c>
    </row>
    <row r="522" spans="1:13">
      <c r="A522" s="275"/>
      <c r="B522" s="275"/>
      <c r="C522" s="275"/>
      <c r="D522" s="275"/>
      <c r="E522" s="275" t="s">
        <v>479</v>
      </c>
      <c r="F522" s="275" t="s">
        <v>1001</v>
      </c>
      <c r="G522" s="278">
        <v>46465.66</v>
      </c>
      <c r="H522" s="280">
        <f t="shared" si="16"/>
        <v>-8.782702613222523E-3</v>
      </c>
      <c r="I522" s="275"/>
      <c r="J522" s="275" t="s">
        <v>1717</v>
      </c>
      <c r="K522" s="275" t="s">
        <v>1001</v>
      </c>
      <c r="L522" s="275">
        <v>161.62</v>
      </c>
      <c r="M522" s="280">
        <f t="shared" si="17"/>
        <v>1.7501888693024433E-2</v>
      </c>
    </row>
    <row r="523" spans="1:13">
      <c r="A523" s="275"/>
      <c r="B523" s="275"/>
      <c r="C523" s="275"/>
      <c r="D523" s="275"/>
      <c r="E523" s="275" t="s">
        <v>479</v>
      </c>
      <c r="F523" s="275" t="s">
        <v>1002</v>
      </c>
      <c r="G523" s="278">
        <v>45979.7</v>
      </c>
      <c r="H523" s="280">
        <f t="shared" si="16"/>
        <v>-1.0458476216629794E-2</v>
      </c>
      <c r="I523" s="275"/>
      <c r="J523" s="275" t="s">
        <v>1717</v>
      </c>
      <c r="K523" s="275" t="s">
        <v>1002</v>
      </c>
      <c r="L523" s="275">
        <v>161.54</v>
      </c>
      <c r="M523" s="280">
        <f t="shared" si="17"/>
        <v>-4.9498824402928162E-4</v>
      </c>
    </row>
    <row r="524" spans="1:13">
      <c r="A524" s="275"/>
      <c r="B524" s="275"/>
      <c r="C524" s="275"/>
      <c r="D524" s="275"/>
      <c r="E524" s="275" t="s">
        <v>479</v>
      </c>
      <c r="F524" s="275" t="s">
        <v>1003</v>
      </c>
      <c r="G524" s="278">
        <v>45998.81</v>
      </c>
      <c r="H524" s="280">
        <f t="shared" si="16"/>
        <v>4.1561819672595912E-4</v>
      </c>
      <c r="I524" s="275"/>
      <c r="J524" s="275" t="s">
        <v>1717</v>
      </c>
      <c r="K524" s="275" t="s">
        <v>1003</v>
      </c>
      <c r="L524" s="275">
        <v>163.44999999999999</v>
      </c>
      <c r="M524" s="280">
        <f t="shared" si="17"/>
        <v>1.1823696917172197E-2</v>
      </c>
    </row>
    <row r="525" spans="1:13">
      <c r="A525" s="275"/>
      <c r="B525" s="275"/>
      <c r="C525" s="275"/>
      <c r="D525" s="275"/>
      <c r="E525" s="275" t="s">
        <v>479</v>
      </c>
      <c r="F525" s="275" t="s">
        <v>1004</v>
      </c>
      <c r="G525" s="278">
        <v>45634.02</v>
      </c>
      <c r="H525" s="280">
        <f t="shared" si="16"/>
        <v>-7.9304225478876705E-3</v>
      </c>
      <c r="I525" s="275"/>
      <c r="J525" s="275" t="s">
        <v>1717</v>
      </c>
      <c r="K525" s="275" t="s">
        <v>1004</v>
      </c>
      <c r="L525" s="275">
        <v>162.31</v>
      </c>
      <c r="M525" s="280">
        <f t="shared" si="17"/>
        <v>-6.9746099724685619E-3</v>
      </c>
    </row>
    <row r="526" spans="1:13">
      <c r="A526" s="275"/>
      <c r="B526" s="275"/>
      <c r="C526" s="275"/>
      <c r="D526" s="275"/>
      <c r="E526" s="275" t="s">
        <v>479</v>
      </c>
      <c r="F526" s="275" t="s">
        <v>1005</v>
      </c>
      <c r="G526" s="278">
        <v>45288.49</v>
      </c>
      <c r="H526" s="280">
        <f t="shared" si="16"/>
        <v>-7.5717633467312076E-3</v>
      </c>
      <c r="I526" s="275"/>
      <c r="J526" s="275" t="s">
        <v>1717</v>
      </c>
      <c r="K526" s="275" t="s">
        <v>1005</v>
      </c>
      <c r="L526" s="275">
        <v>159.22999999999999</v>
      </c>
      <c r="M526" s="280">
        <f t="shared" si="17"/>
        <v>-1.8976033516111223E-2</v>
      </c>
    </row>
    <row r="527" spans="1:13">
      <c r="A527" s="275"/>
      <c r="B527" s="275"/>
      <c r="C527" s="275"/>
      <c r="D527" s="275"/>
      <c r="E527" s="275" t="s">
        <v>479</v>
      </c>
      <c r="F527" s="275" t="s">
        <v>1006</v>
      </c>
      <c r="G527" s="278">
        <v>43899.45</v>
      </c>
      <c r="H527" s="280">
        <f t="shared" si="16"/>
        <v>-3.0670927646296021E-2</v>
      </c>
      <c r="I527" s="275"/>
      <c r="J527" s="275" t="s">
        <v>1717</v>
      </c>
      <c r="K527" s="275" t="s">
        <v>1006</v>
      </c>
      <c r="L527" s="275">
        <v>154.44</v>
      </c>
      <c r="M527" s="280">
        <f t="shared" si="17"/>
        <v>-3.0082270928845019E-2</v>
      </c>
    </row>
    <row r="528" spans="1:13">
      <c r="A528" s="275"/>
      <c r="B528" s="275"/>
      <c r="C528" s="275"/>
      <c r="D528" s="275"/>
      <c r="E528" s="275" t="s">
        <v>479</v>
      </c>
      <c r="F528" s="275" t="s">
        <v>1007</v>
      </c>
      <c r="G528" s="278">
        <v>44186.96</v>
      </c>
      <c r="H528" s="280">
        <f t="shared" si="16"/>
        <v>6.5492847860281174E-3</v>
      </c>
      <c r="I528" s="275"/>
      <c r="J528" s="275" t="s">
        <v>1717</v>
      </c>
      <c r="K528" s="275" t="s">
        <v>1007</v>
      </c>
      <c r="L528" s="275">
        <v>153.08000000000001</v>
      </c>
      <c r="M528" s="280">
        <f t="shared" si="17"/>
        <v>-8.80600880600871E-3</v>
      </c>
    </row>
    <row r="529" spans="1:13">
      <c r="A529" s="275"/>
      <c r="B529" s="275"/>
      <c r="C529" s="275"/>
      <c r="D529" s="275"/>
      <c r="E529" s="275" t="s">
        <v>479</v>
      </c>
      <c r="F529" s="275" t="s">
        <v>1008</v>
      </c>
      <c r="G529" s="278">
        <v>43136.06</v>
      </c>
      <c r="H529" s="280">
        <f t="shared" si="16"/>
        <v>-2.378303463284194E-2</v>
      </c>
      <c r="I529" s="275"/>
      <c r="J529" s="275" t="s">
        <v>1717</v>
      </c>
      <c r="K529" s="275" t="s">
        <v>1008</v>
      </c>
      <c r="L529" s="275">
        <v>150.38999999999999</v>
      </c>
      <c r="M529" s="280">
        <f t="shared" si="17"/>
        <v>-1.7572511105304587E-2</v>
      </c>
    </row>
    <row r="530" spans="1:13">
      <c r="A530" s="275"/>
      <c r="B530" s="275"/>
      <c r="C530" s="275"/>
      <c r="D530" s="275"/>
      <c r="E530" s="275" t="s">
        <v>479</v>
      </c>
      <c r="F530" s="275" t="s">
        <v>1009</v>
      </c>
      <c r="G530" s="278">
        <v>43078.38</v>
      </c>
      <c r="H530" s="280">
        <f t="shared" si="16"/>
        <v>-1.3371643121787269E-3</v>
      </c>
      <c r="I530" s="275"/>
      <c r="J530" s="275" t="s">
        <v>1717</v>
      </c>
      <c r="K530" s="275" t="s">
        <v>1009</v>
      </c>
      <c r="L530" s="275">
        <v>149.37</v>
      </c>
      <c r="M530" s="280">
        <f t="shared" si="17"/>
        <v>-6.7823658487930179E-3</v>
      </c>
    </row>
    <row r="531" spans="1:13">
      <c r="A531" s="275"/>
      <c r="B531" s="275"/>
      <c r="C531" s="275"/>
      <c r="D531" s="275"/>
      <c r="E531" s="275" t="s">
        <v>479</v>
      </c>
      <c r="F531" s="275" t="s">
        <v>1010</v>
      </c>
      <c r="G531" s="278">
        <v>42153.38</v>
      </c>
      <c r="H531" s="280">
        <f t="shared" si="16"/>
        <v>-2.1472488055493268E-2</v>
      </c>
      <c r="I531" s="275"/>
      <c r="J531" s="275" t="s">
        <v>1717</v>
      </c>
      <c r="K531" s="275" t="s">
        <v>1010</v>
      </c>
      <c r="L531" s="275">
        <v>144.62</v>
      </c>
      <c r="M531" s="280">
        <f t="shared" si="17"/>
        <v>-3.1800227622681927E-2</v>
      </c>
    </row>
    <row r="532" spans="1:13">
      <c r="A532" s="275"/>
      <c r="B532" s="275"/>
      <c r="C532" s="275"/>
      <c r="D532" s="275"/>
      <c r="E532" s="275" t="s">
        <v>479</v>
      </c>
      <c r="F532" s="275" t="s">
        <v>1011</v>
      </c>
      <c r="G532" s="278">
        <v>41983.16</v>
      </c>
      <c r="H532" s="280">
        <f t="shared" si="16"/>
        <v>-4.038110348446409E-3</v>
      </c>
      <c r="I532" s="275"/>
      <c r="J532" s="275" t="s">
        <v>1717</v>
      </c>
      <c r="K532" s="275" t="s">
        <v>1011</v>
      </c>
      <c r="L532" s="275">
        <v>138.4</v>
      </c>
      <c r="M532" s="280">
        <f t="shared" si="17"/>
        <v>-4.3009265661734193E-2</v>
      </c>
    </row>
    <row r="533" spans="1:13">
      <c r="A533" s="275"/>
      <c r="B533" s="275"/>
      <c r="C533" s="275"/>
      <c r="D533" s="275"/>
      <c r="E533" s="275" t="s">
        <v>479</v>
      </c>
      <c r="F533" s="275" t="s">
        <v>1012</v>
      </c>
      <c r="G533" s="278">
        <v>42910.79</v>
      </c>
      <c r="H533" s="280">
        <f t="shared" si="16"/>
        <v>2.2095287729651539E-2</v>
      </c>
      <c r="I533" s="275"/>
      <c r="J533" s="275" t="s">
        <v>1717</v>
      </c>
      <c r="K533" s="275" t="s">
        <v>1012</v>
      </c>
      <c r="L533" s="275">
        <v>142.31</v>
      </c>
      <c r="M533" s="280">
        <f t="shared" si="17"/>
        <v>2.8251445086705178E-2</v>
      </c>
    </row>
    <row r="534" spans="1:13">
      <c r="A534" s="275"/>
      <c r="B534" s="275"/>
      <c r="C534" s="275"/>
      <c r="D534" s="275"/>
      <c r="E534" s="275" t="s">
        <v>479</v>
      </c>
      <c r="F534" s="275" t="s">
        <v>1013</v>
      </c>
      <c r="G534" s="278">
        <v>42268.62</v>
      </c>
      <c r="H534" s="280">
        <f t="shared" si="16"/>
        <v>-1.4965233685979639E-2</v>
      </c>
      <c r="I534" s="275"/>
      <c r="J534" s="275" t="s">
        <v>1717</v>
      </c>
      <c r="K534" s="275" t="s">
        <v>1013</v>
      </c>
      <c r="L534" s="275">
        <v>138.46</v>
      </c>
      <c r="M534" s="280">
        <f t="shared" si="17"/>
        <v>-2.705361534677812E-2</v>
      </c>
    </row>
    <row r="535" spans="1:13">
      <c r="A535" s="275"/>
      <c r="B535" s="275"/>
      <c r="C535" s="275"/>
      <c r="D535" s="275"/>
      <c r="E535" s="275" t="s">
        <v>479</v>
      </c>
      <c r="F535" s="275" t="s">
        <v>1014</v>
      </c>
      <c r="G535" s="278">
        <v>42641.75</v>
      </c>
      <c r="H535" s="280">
        <f t="shared" si="16"/>
        <v>8.8275888827219189E-3</v>
      </c>
      <c r="I535" s="275"/>
      <c r="J535" s="275" t="s">
        <v>1717</v>
      </c>
      <c r="K535" s="275" t="s">
        <v>1014</v>
      </c>
      <c r="L535" s="275">
        <v>140.77000000000001</v>
      </c>
      <c r="M535" s="280">
        <f t="shared" si="17"/>
        <v>1.6683518705763414E-2</v>
      </c>
    </row>
    <row r="536" spans="1:13">
      <c r="A536" s="275"/>
      <c r="B536" s="275"/>
      <c r="C536" s="275"/>
      <c r="D536" s="275"/>
      <c r="E536" s="275" t="s">
        <v>479</v>
      </c>
      <c r="F536" s="275" t="s">
        <v>1015</v>
      </c>
      <c r="G536" s="278">
        <v>41974.22</v>
      </c>
      <c r="H536" s="280">
        <f t="shared" si="16"/>
        <v>-1.5654376286151454E-2</v>
      </c>
      <c r="I536" s="275"/>
      <c r="J536" s="275" t="s">
        <v>1717</v>
      </c>
      <c r="K536" s="275" t="s">
        <v>1015</v>
      </c>
      <c r="L536" s="275">
        <v>137.31</v>
      </c>
      <c r="M536" s="280">
        <f t="shared" si="17"/>
        <v>-2.4579100660652182E-2</v>
      </c>
    </row>
    <row r="537" spans="1:13">
      <c r="A537" s="275"/>
      <c r="B537" s="275"/>
      <c r="C537" s="275"/>
      <c r="D537" s="275"/>
      <c r="E537" s="275" t="s">
        <v>479</v>
      </c>
      <c r="F537" s="275" t="s">
        <v>1016</v>
      </c>
      <c r="G537" s="278">
        <v>41233.08</v>
      </c>
      <c r="H537" s="280">
        <f t="shared" si="16"/>
        <v>-1.765702852846341E-2</v>
      </c>
      <c r="I537" s="275"/>
      <c r="J537" s="275" t="s">
        <v>1717</v>
      </c>
      <c r="K537" s="275" t="s">
        <v>1016</v>
      </c>
      <c r="L537" s="275">
        <v>135.38</v>
      </c>
      <c r="M537" s="280">
        <f t="shared" si="17"/>
        <v>-1.4055786177263177E-2</v>
      </c>
    </row>
    <row r="538" spans="1:13">
      <c r="A538" s="275"/>
      <c r="B538" s="275"/>
      <c r="C538" s="275"/>
      <c r="D538" s="275"/>
      <c r="E538" s="275" t="s">
        <v>479</v>
      </c>
      <c r="F538" s="275" t="s">
        <v>1017</v>
      </c>
      <c r="G538" s="278">
        <v>41323.65</v>
      </c>
      <c r="H538" s="280">
        <f t="shared" si="16"/>
        <v>2.1965373433175429E-3</v>
      </c>
      <c r="I538" s="275"/>
      <c r="J538" s="275" t="s">
        <v>1717</v>
      </c>
      <c r="K538" s="275" t="s">
        <v>1017</v>
      </c>
      <c r="L538" s="275">
        <v>142.15</v>
      </c>
      <c r="M538" s="280">
        <f t="shared" si="17"/>
        <v>5.0007386615452877E-2</v>
      </c>
    </row>
    <row r="539" spans="1:13">
      <c r="A539" s="275"/>
      <c r="B539" s="275"/>
      <c r="C539" s="275"/>
      <c r="D539" s="275"/>
      <c r="E539" s="275" t="s">
        <v>479</v>
      </c>
      <c r="F539" s="275" t="s">
        <v>1018</v>
      </c>
      <c r="G539" s="278">
        <v>41206.99</v>
      </c>
      <c r="H539" s="280">
        <f t="shared" si="16"/>
        <v>-2.8230807298000901E-3</v>
      </c>
      <c r="I539" s="275"/>
      <c r="J539" s="275" t="s">
        <v>1717</v>
      </c>
      <c r="K539" s="275" t="s">
        <v>1018</v>
      </c>
      <c r="L539" s="275">
        <v>140.03</v>
      </c>
      <c r="M539" s="280">
        <f t="shared" si="17"/>
        <v>-1.4913823425958527E-2</v>
      </c>
    </row>
    <row r="540" spans="1:13">
      <c r="A540" s="275"/>
      <c r="B540" s="275"/>
      <c r="C540" s="275"/>
      <c r="D540" s="275"/>
      <c r="E540" s="275" t="s">
        <v>479</v>
      </c>
      <c r="F540" s="275" t="s">
        <v>1019</v>
      </c>
      <c r="G540" s="278">
        <v>41779.199999999997</v>
      </c>
      <c r="H540" s="280">
        <f t="shared" si="16"/>
        <v>1.3886236291464122E-2</v>
      </c>
      <c r="I540" s="275"/>
      <c r="J540" s="275" t="s">
        <v>1717</v>
      </c>
      <c r="K540" s="275" t="s">
        <v>1019</v>
      </c>
      <c r="L540" s="275">
        <v>146.15</v>
      </c>
      <c r="M540" s="280">
        <f t="shared" si="17"/>
        <v>4.3704920374205557E-2</v>
      </c>
    </row>
    <row r="541" spans="1:13">
      <c r="A541" s="275"/>
      <c r="B541" s="275"/>
      <c r="C541" s="275"/>
      <c r="D541" s="275"/>
      <c r="E541" s="275" t="s">
        <v>479</v>
      </c>
      <c r="F541" s="275" t="s">
        <v>1020</v>
      </c>
      <c r="G541" s="278">
        <v>41389.99</v>
      </c>
      <c r="H541" s="280">
        <f t="shared" si="16"/>
        <v>-9.3158796721813531E-3</v>
      </c>
      <c r="I541" s="275"/>
      <c r="J541" s="275" t="s">
        <v>1717</v>
      </c>
      <c r="K541" s="275" t="s">
        <v>1020</v>
      </c>
      <c r="L541" s="275">
        <v>146.15</v>
      </c>
      <c r="M541" s="280">
        <f t="shared" si="17"/>
        <v>0</v>
      </c>
    </row>
    <row r="542" spans="1:13">
      <c r="A542" s="275"/>
      <c r="B542" s="275"/>
      <c r="C542" s="275"/>
      <c r="D542" s="275"/>
      <c r="E542" s="275" t="s">
        <v>479</v>
      </c>
      <c r="F542" s="275" t="s">
        <v>1021</v>
      </c>
      <c r="G542" s="278">
        <v>40958.65</v>
      </c>
      <c r="H542" s="280">
        <f t="shared" si="16"/>
        <v>-1.0421360333742446E-2</v>
      </c>
      <c r="I542" s="275"/>
      <c r="J542" s="275" t="s">
        <v>1717</v>
      </c>
      <c r="K542" s="275" t="s">
        <v>1021</v>
      </c>
      <c r="L542" s="275">
        <v>139.22999999999999</v>
      </c>
      <c r="M542" s="280">
        <f t="shared" si="17"/>
        <v>-4.7348614437222138E-2</v>
      </c>
    </row>
    <row r="543" spans="1:13">
      <c r="A543" s="275"/>
      <c r="B543" s="275"/>
      <c r="C543" s="275"/>
      <c r="D543" s="275"/>
      <c r="E543" s="275" t="s">
        <v>479</v>
      </c>
      <c r="F543" s="275" t="s">
        <v>1022</v>
      </c>
      <c r="G543" s="278">
        <v>41401.019999999997</v>
      </c>
      <c r="H543" s="280">
        <f t="shared" si="16"/>
        <v>1.0800404798497884E-2</v>
      </c>
      <c r="I543" s="275"/>
      <c r="J543" s="275" t="s">
        <v>1717</v>
      </c>
      <c r="K543" s="275" t="s">
        <v>1022</v>
      </c>
      <c r="L543" s="275">
        <v>140</v>
      </c>
      <c r="M543" s="280">
        <f t="shared" si="17"/>
        <v>5.5304172951232515E-3</v>
      </c>
    </row>
    <row r="544" spans="1:13">
      <c r="A544" s="275"/>
      <c r="B544" s="275"/>
      <c r="C544" s="275"/>
      <c r="D544" s="275"/>
      <c r="E544" s="275" t="s">
        <v>479</v>
      </c>
      <c r="F544" s="275" t="s">
        <v>1023</v>
      </c>
      <c r="G544" s="278">
        <v>41126.83</v>
      </c>
      <c r="H544" s="280">
        <f t="shared" si="16"/>
        <v>-6.6227836898703242E-3</v>
      </c>
      <c r="I544" s="275"/>
      <c r="J544" s="275" t="s">
        <v>1717</v>
      </c>
      <c r="K544" s="275" t="s">
        <v>1023</v>
      </c>
      <c r="L544" s="275">
        <v>136.15</v>
      </c>
      <c r="M544" s="280">
        <f t="shared" si="17"/>
        <v>-2.7499999999999959E-2</v>
      </c>
    </row>
    <row r="545" spans="1:13">
      <c r="A545" s="275"/>
      <c r="B545" s="275"/>
      <c r="C545" s="275"/>
      <c r="D545" s="275"/>
      <c r="E545" s="275" t="s">
        <v>479</v>
      </c>
      <c r="F545" s="275" t="s">
        <v>1024</v>
      </c>
      <c r="G545" s="278">
        <v>41279.300000000003</v>
      </c>
      <c r="H545" s="280">
        <f t="shared" si="16"/>
        <v>3.7073122338872498E-3</v>
      </c>
      <c r="I545" s="275"/>
      <c r="J545" s="275" t="s">
        <v>1717</v>
      </c>
      <c r="K545" s="275" t="s">
        <v>1024</v>
      </c>
      <c r="L545" s="275">
        <v>137</v>
      </c>
      <c r="M545" s="280">
        <f t="shared" si="17"/>
        <v>6.2431142122658413E-3</v>
      </c>
    </row>
    <row r="546" spans="1:13">
      <c r="A546" s="275"/>
      <c r="B546" s="275"/>
      <c r="C546" s="275"/>
      <c r="D546" s="275"/>
      <c r="E546" s="275" t="s">
        <v>479</v>
      </c>
      <c r="F546" s="275" t="s">
        <v>1025</v>
      </c>
      <c r="G546" s="278">
        <v>42310.12</v>
      </c>
      <c r="H546" s="280">
        <f t="shared" si="16"/>
        <v>2.4971838185240534E-2</v>
      </c>
      <c r="I546" s="275"/>
      <c r="J546" s="275" t="s">
        <v>1717</v>
      </c>
      <c r="K546" s="275" t="s">
        <v>1025</v>
      </c>
      <c r="L546" s="275">
        <v>138.46</v>
      </c>
      <c r="M546" s="280">
        <f t="shared" si="17"/>
        <v>1.0656934306569402E-2</v>
      </c>
    </row>
    <row r="547" spans="1:13">
      <c r="A547" s="275"/>
      <c r="B547" s="275"/>
      <c r="C547" s="275"/>
      <c r="D547" s="275"/>
      <c r="E547" s="275" t="s">
        <v>479</v>
      </c>
      <c r="F547" s="275" t="s">
        <v>1026</v>
      </c>
      <c r="G547" s="278">
        <v>42683.57</v>
      </c>
      <c r="H547" s="280">
        <f t="shared" si="16"/>
        <v>8.8264935197535973E-3</v>
      </c>
      <c r="I547" s="275"/>
      <c r="J547" s="275" t="s">
        <v>1717</v>
      </c>
      <c r="K547" s="275" t="s">
        <v>1026</v>
      </c>
      <c r="L547" s="275">
        <v>138.46</v>
      </c>
      <c r="M547" s="280">
        <f t="shared" si="17"/>
        <v>0</v>
      </c>
    </row>
    <row r="548" spans="1:13">
      <c r="A548" s="275"/>
      <c r="B548" s="275"/>
      <c r="C548" s="275"/>
      <c r="D548" s="275"/>
      <c r="E548" s="275" t="s">
        <v>479</v>
      </c>
      <c r="F548" s="275" t="s">
        <v>1027</v>
      </c>
      <c r="G548" s="278">
        <v>42787.19</v>
      </c>
      <c r="H548" s="280">
        <f t="shared" si="16"/>
        <v>2.4276319904825818E-3</v>
      </c>
      <c r="I548" s="275"/>
      <c r="J548" s="275" t="s">
        <v>1717</v>
      </c>
      <c r="K548" s="275" t="s">
        <v>1027</v>
      </c>
      <c r="L548" s="275">
        <v>135.97</v>
      </c>
      <c r="M548" s="280">
        <f t="shared" si="17"/>
        <v>-1.7983533150368401E-2</v>
      </c>
    </row>
    <row r="549" spans="1:13">
      <c r="A549" s="275"/>
      <c r="B549" s="275"/>
      <c r="C549" s="275"/>
      <c r="D549" s="275"/>
      <c r="E549" s="275" t="s">
        <v>479</v>
      </c>
      <c r="F549" s="275" t="s">
        <v>1028</v>
      </c>
      <c r="G549" s="278">
        <v>42841.41</v>
      </c>
      <c r="H549" s="280">
        <f t="shared" si="16"/>
        <v>1.2672017021917346E-3</v>
      </c>
      <c r="I549" s="275"/>
      <c r="J549" s="275" t="s">
        <v>1717</v>
      </c>
      <c r="K549" s="275" t="s">
        <v>1028</v>
      </c>
      <c r="L549" s="275">
        <v>129.18</v>
      </c>
      <c r="M549" s="280">
        <f t="shared" si="17"/>
        <v>-4.9937486210193366E-2</v>
      </c>
    </row>
    <row r="550" spans="1:13">
      <c r="A550" s="275"/>
      <c r="B550" s="275"/>
      <c r="C550" s="275"/>
      <c r="D550" s="275"/>
      <c r="E550" s="275" t="s">
        <v>479</v>
      </c>
      <c r="F550" s="275" t="s">
        <v>1029</v>
      </c>
      <c r="G550" s="278">
        <v>43253.26</v>
      </c>
      <c r="H550" s="280">
        <f t="shared" si="16"/>
        <v>9.6133623986698509E-3</v>
      </c>
      <c r="I550" s="275"/>
      <c r="J550" s="275" t="s">
        <v>1717</v>
      </c>
      <c r="K550" s="275" t="s">
        <v>1029</v>
      </c>
      <c r="L550" s="275">
        <v>122.72</v>
      </c>
      <c r="M550" s="280">
        <f t="shared" si="17"/>
        <v>-5.000774113639888E-2</v>
      </c>
    </row>
    <row r="551" spans="1:13">
      <c r="A551" s="275"/>
      <c r="B551" s="275"/>
      <c r="C551" s="275"/>
      <c r="D551" s="275"/>
      <c r="E551" s="275" t="s">
        <v>479</v>
      </c>
      <c r="F551" s="275" t="s">
        <v>1030</v>
      </c>
      <c r="G551" s="278">
        <v>43347.03</v>
      </c>
      <c r="H551" s="280">
        <f t="shared" si="16"/>
        <v>2.1679290763285076E-3</v>
      </c>
      <c r="I551" s="275"/>
      <c r="J551" s="275" t="s">
        <v>1717</v>
      </c>
      <c r="K551" s="275" t="s">
        <v>1030</v>
      </c>
      <c r="L551" s="275">
        <v>123.77</v>
      </c>
      <c r="M551" s="280">
        <f t="shared" si="17"/>
        <v>8.5560625814862876E-3</v>
      </c>
    </row>
    <row r="552" spans="1:13">
      <c r="A552" s="275"/>
      <c r="B552" s="275"/>
      <c r="C552" s="275"/>
      <c r="D552" s="275"/>
      <c r="E552" s="275" t="s">
        <v>479</v>
      </c>
      <c r="F552" s="275" t="s">
        <v>1031</v>
      </c>
      <c r="G552" s="278">
        <v>42775.040000000001</v>
      </c>
      <c r="H552" s="280">
        <f t="shared" si="16"/>
        <v>-1.3195598406626659E-2</v>
      </c>
      <c r="I552" s="275"/>
      <c r="J552" s="275" t="s">
        <v>1717</v>
      </c>
      <c r="K552" s="275" t="s">
        <v>1031</v>
      </c>
      <c r="L552" s="275">
        <v>120.62</v>
      </c>
      <c r="M552" s="280">
        <f t="shared" si="17"/>
        <v>-2.5450432253373123E-2</v>
      </c>
    </row>
    <row r="553" spans="1:13">
      <c r="A553" s="275"/>
      <c r="B553" s="275"/>
      <c r="C553" s="275"/>
      <c r="D553" s="275"/>
      <c r="E553" s="275" t="s">
        <v>479</v>
      </c>
      <c r="F553" s="275" t="s">
        <v>1032</v>
      </c>
      <c r="G553" s="278">
        <v>42750.19</v>
      </c>
      <c r="H553" s="280">
        <f t="shared" si="16"/>
        <v>-5.8094627147043103E-4</v>
      </c>
      <c r="I553" s="275"/>
      <c r="J553" s="275" t="s">
        <v>1717</v>
      </c>
      <c r="K553" s="275" t="s">
        <v>1032</v>
      </c>
      <c r="L553" s="275">
        <v>120.78</v>
      </c>
      <c r="M553" s="280">
        <f t="shared" si="17"/>
        <v>1.3264798540871877E-3</v>
      </c>
    </row>
    <row r="554" spans="1:13">
      <c r="A554" s="275"/>
      <c r="B554" s="275"/>
      <c r="C554" s="275"/>
      <c r="D554" s="275"/>
      <c r="E554" s="275" t="s">
        <v>479</v>
      </c>
      <c r="F554" s="275" t="s">
        <v>1033</v>
      </c>
      <c r="G554" s="278">
        <v>42743.65</v>
      </c>
      <c r="H554" s="280">
        <f t="shared" si="16"/>
        <v>-1.5298177622136586E-4</v>
      </c>
      <c r="I554" s="275"/>
      <c r="J554" s="275" t="s">
        <v>1717</v>
      </c>
      <c r="K554" s="275" t="s">
        <v>1033</v>
      </c>
      <c r="L554" s="275">
        <v>118.46</v>
      </c>
      <c r="M554" s="280">
        <f t="shared" si="17"/>
        <v>-1.920847822487173E-2</v>
      </c>
    </row>
    <row r="555" spans="1:13">
      <c r="A555" s="275"/>
      <c r="B555" s="275"/>
      <c r="C555" s="275"/>
      <c r="D555" s="275"/>
      <c r="E555" s="275" t="s">
        <v>479</v>
      </c>
      <c r="F555" s="275" t="s">
        <v>1034</v>
      </c>
      <c r="G555" s="278">
        <v>42666.23</v>
      </c>
      <c r="H555" s="280">
        <f t="shared" si="16"/>
        <v>-1.8112631934801603E-3</v>
      </c>
      <c r="I555" s="275"/>
      <c r="J555" s="275" t="s">
        <v>1717</v>
      </c>
      <c r="K555" s="275" t="s">
        <v>1034</v>
      </c>
      <c r="L555" s="275">
        <v>113.85</v>
      </c>
      <c r="M555" s="280">
        <f t="shared" si="17"/>
        <v>-3.8916089819348298E-2</v>
      </c>
    </row>
    <row r="556" spans="1:13">
      <c r="A556" s="275"/>
      <c r="B556" s="275"/>
      <c r="C556" s="275"/>
      <c r="D556" s="275"/>
      <c r="E556" s="275" t="s">
        <v>479</v>
      </c>
      <c r="F556" s="275" t="s">
        <v>1035</v>
      </c>
      <c r="G556" s="278">
        <v>42290.15</v>
      </c>
      <c r="H556" s="280">
        <f t="shared" si="16"/>
        <v>-8.8144652105424295E-3</v>
      </c>
      <c r="I556" s="275"/>
      <c r="J556" s="275" t="s">
        <v>1717</v>
      </c>
      <c r="K556" s="275" t="s">
        <v>1035</v>
      </c>
      <c r="L556" s="275">
        <v>114.62</v>
      </c>
      <c r="M556" s="280">
        <f t="shared" si="17"/>
        <v>6.7632850241546799E-3</v>
      </c>
    </row>
    <row r="557" spans="1:13">
      <c r="A557" s="275"/>
      <c r="B557" s="275"/>
      <c r="C557" s="275"/>
      <c r="D557" s="275"/>
      <c r="E557" s="275" t="s">
        <v>479</v>
      </c>
      <c r="F557" s="275" t="s">
        <v>1036</v>
      </c>
      <c r="G557" s="278">
        <v>42362.87</v>
      </c>
      <c r="H557" s="280">
        <f t="shared" si="16"/>
        <v>1.7195493513265183E-3</v>
      </c>
      <c r="I557" s="275"/>
      <c r="J557" s="275" t="s">
        <v>1717</v>
      </c>
      <c r="K557" s="275" t="s">
        <v>1036</v>
      </c>
      <c r="L557" s="275">
        <v>117.38</v>
      </c>
      <c r="M557" s="280">
        <f t="shared" si="17"/>
        <v>2.4079567265747608E-2</v>
      </c>
    </row>
    <row r="558" spans="1:13">
      <c r="A558" s="275"/>
      <c r="B558" s="275"/>
      <c r="C558" s="275"/>
      <c r="D558" s="275"/>
      <c r="E558" s="275" t="s">
        <v>479</v>
      </c>
      <c r="F558" s="275" t="s">
        <v>1037</v>
      </c>
      <c r="G558" s="278">
        <v>42409.27</v>
      </c>
      <c r="H558" s="280">
        <f t="shared" si="16"/>
        <v>1.0952987840529731E-3</v>
      </c>
      <c r="I558" s="275"/>
      <c r="J558" s="275" t="s">
        <v>1717</v>
      </c>
      <c r="K558" s="275" t="s">
        <v>1037</v>
      </c>
      <c r="L558" s="275">
        <v>115.38</v>
      </c>
      <c r="M558" s="280">
        <f t="shared" si="17"/>
        <v>-1.7038677798602828E-2</v>
      </c>
    </row>
    <row r="559" spans="1:13">
      <c r="A559" s="275"/>
      <c r="B559" s="275"/>
      <c r="C559" s="275"/>
      <c r="D559" s="275"/>
      <c r="E559" s="275" t="s">
        <v>479</v>
      </c>
      <c r="F559" s="275" t="s">
        <v>1038</v>
      </c>
      <c r="G559" s="278">
        <v>42018.9</v>
      </c>
      <c r="H559" s="280">
        <f t="shared" si="16"/>
        <v>-9.2048271521767613E-3</v>
      </c>
      <c r="I559" s="275"/>
      <c r="J559" s="275" t="s">
        <v>1717</v>
      </c>
      <c r="K559" s="275" t="s">
        <v>1038</v>
      </c>
      <c r="L559" s="275">
        <v>113.08</v>
      </c>
      <c r="M559" s="280">
        <f t="shared" si="17"/>
        <v>-1.9934130698561252E-2</v>
      </c>
    </row>
    <row r="560" spans="1:13">
      <c r="A560" s="275"/>
      <c r="B560" s="275"/>
      <c r="C560" s="275"/>
      <c r="D560" s="275"/>
      <c r="E560" s="275" t="s">
        <v>479</v>
      </c>
      <c r="F560" s="275" t="s">
        <v>1039</v>
      </c>
      <c r="G560" s="278">
        <v>41115.78</v>
      </c>
      <c r="H560" s="280">
        <f t="shared" si="16"/>
        <v>-2.1493185209512922E-2</v>
      </c>
      <c r="I560" s="275"/>
      <c r="J560" s="275" t="s">
        <v>1717</v>
      </c>
      <c r="K560" s="275" t="s">
        <v>1039</v>
      </c>
      <c r="L560" s="275">
        <v>107.57</v>
      </c>
      <c r="M560" s="280">
        <f t="shared" si="17"/>
        <v>-4.8726565263530287E-2</v>
      </c>
    </row>
    <row r="561" spans="1:13">
      <c r="A561" s="275"/>
      <c r="B561" s="275"/>
      <c r="C561" s="275"/>
      <c r="D561" s="275"/>
      <c r="E561" s="275" t="s">
        <v>479</v>
      </c>
      <c r="F561" s="275" t="s">
        <v>1040</v>
      </c>
      <c r="G561" s="278">
        <v>40461</v>
      </c>
      <c r="H561" s="280">
        <f t="shared" si="16"/>
        <v>-1.5925272486621896E-2</v>
      </c>
      <c r="I561" s="275"/>
      <c r="J561" s="275" t="s">
        <v>1717</v>
      </c>
      <c r="K561" s="275" t="s">
        <v>1040</v>
      </c>
      <c r="L561" s="275">
        <v>102.19</v>
      </c>
      <c r="M561" s="280">
        <f t="shared" si="17"/>
        <v>-5.0013944408292238E-2</v>
      </c>
    </row>
    <row r="562" spans="1:13">
      <c r="A562" s="275"/>
      <c r="B562" s="275"/>
      <c r="C562" s="275"/>
      <c r="D562" s="275"/>
      <c r="E562" s="275" t="s">
        <v>479</v>
      </c>
      <c r="F562" s="275" t="s">
        <v>1041</v>
      </c>
      <c r="G562" s="278">
        <v>40468.49</v>
      </c>
      <c r="H562" s="280">
        <f t="shared" si="16"/>
        <v>1.8511653196900626E-4</v>
      </c>
      <c r="I562" s="275"/>
      <c r="J562" s="275" t="s">
        <v>1717</v>
      </c>
      <c r="K562" s="275" t="s">
        <v>1041</v>
      </c>
      <c r="L562" s="275">
        <v>103.09</v>
      </c>
      <c r="M562" s="280">
        <f t="shared" si="17"/>
        <v>8.8071239847343739E-3</v>
      </c>
    </row>
    <row r="563" spans="1:13">
      <c r="A563" s="275"/>
      <c r="B563" s="275"/>
      <c r="C563" s="275"/>
      <c r="D563" s="275"/>
      <c r="E563" s="275" t="s">
        <v>479</v>
      </c>
      <c r="F563" s="275" t="s">
        <v>1042</v>
      </c>
      <c r="G563" s="278">
        <v>41312.589999999997</v>
      </c>
      <c r="H563" s="280">
        <f t="shared" si="16"/>
        <v>2.085820350598697E-2</v>
      </c>
      <c r="I563" s="275"/>
      <c r="J563" s="275" t="s">
        <v>1717</v>
      </c>
      <c r="K563" s="275" t="s">
        <v>1042</v>
      </c>
      <c r="L563" s="275">
        <v>109.01</v>
      </c>
      <c r="M563" s="280">
        <f t="shared" si="17"/>
        <v>5.7425550489863239E-2</v>
      </c>
    </row>
    <row r="564" spans="1:13">
      <c r="A564" s="275"/>
      <c r="B564" s="275"/>
      <c r="C564" s="275"/>
      <c r="D564" s="275"/>
      <c r="E564" s="275" t="s">
        <v>479</v>
      </c>
      <c r="F564" s="275" t="s">
        <v>1043</v>
      </c>
      <c r="G564" s="278">
        <v>41099.99</v>
      </c>
      <c r="H564" s="280">
        <f t="shared" si="16"/>
        <v>-5.1461309978386386E-3</v>
      </c>
      <c r="I564" s="275"/>
      <c r="J564" s="275" t="s">
        <v>1717</v>
      </c>
      <c r="K564" s="275" t="s">
        <v>1043</v>
      </c>
      <c r="L564" s="275">
        <v>108.08</v>
      </c>
      <c r="M564" s="280">
        <f t="shared" si="17"/>
        <v>-8.5313274011559193E-3</v>
      </c>
    </row>
    <row r="565" spans="1:13">
      <c r="A565" s="275"/>
      <c r="B565" s="275"/>
      <c r="C565" s="275"/>
      <c r="D565" s="275"/>
      <c r="E565" s="275" t="s">
        <v>479</v>
      </c>
      <c r="F565" s="275" t="s">
        <v>1044</v>
      </c>
      <c r="G565" s="278">
        <v>40610.720000000001</v>
      </c>
      <c r="H565" s="280">
        <f t="shared" si="16"/>
        <v>-1.1904382458487139E-2</v>
      </c>
      <c r="I565" s="275"/>
      <c r="J565" s="275" t="s">
        <v>1717</v>
      </c>
      <c r="K565" s="275" t="s">
        <v>1044</v>
      </c>
      <c r="L565" s="275">
        <v>105.38</v>
      </c>
      <c r="M565" s="280">
        <f t="shared" si="17"/>
        <v>-2.4981495188749103E-2</v>
      </c>
    </row>
    <row r="566" spans="1:13">
      <c r="A566" s="275"/>
      <c r="B566" s="275"/>
      <c r="C566" s="275"/>
      <c r="D566" s="275"/>
      <c r="E566" s="275" t="s">
        <v>479</v>
      </c>
      <c r="F566" s="275" t="s">
        <v>1045</v>
      </c>
      <c r="G566" s="278">
        <v>40503.68</v>
      </c>
      <c r="H566" s="280">
        <f t="shared" si="16"/>
        <v>-2.6357572581820975E-3</v>
      </c>
      <c r="I566" s="275"/>
      <c r="J566" s="275" t="s">
        <v>1717</v>
      </c>
      <c r="K566" s="275" t="s">
        <v>1045</v>
      </c>
      <c r="L566" s="275">
        <v>108.08</v>
      </c>
      <c r="M566" s="280">
        <f t="shared" si="17"/>
        <v>2.5621560068324188E-2</v>
      </c>
    </row>
    <row r="567" spans="1:13">
      <c r="A567" s="275"/>
      <c r="B567" s="275"/>
      <c r="C567" s="275"/>
      <c r="D567" s="275"/>
      <c r="E567" s="275" t="s">
        <v>479</v>
      </c>
      <c r="F567" s="275" t="s">
        <v>1046</v>
      </c>
      <c r="G567" s="278">
        <v>40237.53</v>
      </c>
      <c r="H567" s="280">
        <f t="shared" si="16"/>
        <v>-6.5710078689146627E-3</v>
      </c>
      <c r="I567" s="275"/>
      <c r="J567" s="275" t="s">
        <v>1717</v>
      </c>
      <c r="K567" s="275" t="s">
        <v>1046</v>
      </c>
      <c r="L567" s="275">
        <v>103.08</v>
      </c>
      <c r="M567" s="280">
        <f t="shared" si="17"/>
        <v>-4.6262028127313101E-2</v>
      </c>
    </row>
    <row r="568" spans="1:13">
      <c r="A568" s="275"/>
      <c r="B568" s="275"/>
      <c r="C568" s="275"/>
      <c r="D568" s="275"/>
      <c r="E568" s="275" t="s">
        <v>479</v>
      </c>
      <c r="F568" s="275" t="s">
        <v>1047</v>
      </c>
      <c r="G568" s="278">
        <v>39846.78</v>
      </c>
      <c r="H568" s="280">
        <f t="shared" si="16"/>
        <v>-9.7110831604226202E-3</v>
      </c>
      <c r="I568" s="275"/>
      <c r="J568" s="275" t="s">
        <v>1717</v>
      </c>
      <c r="K568" s="275" t="s">
        <v>1047</v>
      </c>
      <c r="L568" s="275">
        <v>101.5</v>
      </c>
      <c r="M568" s="280">
        <f t="shared" si="17"/>
        <v>-1.5327900659681785E-2</v>
      </c>
    </row>
    <row r="569" spans="1:13">
      <c r="A569" s="275"/>
      <c r="B569" s="275"/>
      <c r="C569" s="275"/>
      <c r="D569" s="275"/>
      <c r="E569" s="275" t="s">
        <v>479</v>
      </c>
      <c r="F569" s="275" t="s">
        <v>1048</v>
      </c>
      <c r="G569" s="278">
        <v>40791.39</v>
      </c>
      <c r="H569" s="280">
        <f t="shared" si="16"/>
        <v>2.3706056047690695E-2</v>
      </c>
      <c r="I569" s="275"/>
      <c r="J569" s="275" t="s">
        <v>1717</v>
      </c>
      <c r="K569" s="275" t="s">
        <v>1048</v>
      </c>
      <c r="L569" s="275">
        <v>104.62</v>
      </c>
      <c r="M569" s="280">
        <f t="shared" si="17"/>
        <v>3.073891625615768E-2</v>
      </c>
    </row>
    <row r="570" spans="1:13">
      <c r="A570" s="275"/>
      <c r="B570" s="275"/>
      <c r="C570" s="275"/>
      <c r="D570" s="275"/>
      <c r="E570" s="275" t="s">
        <v>479</v>
      </c>
      <c r="F570" s="275" t="s">
        <v>1049</v>
      </c>
      <c r="G570" s="278">
        <v>40724.959999999999</v>
      </c>
      <c r="H570" s="280">
        <f t="shared" si="16"/>
        <v>-1.6285299422255602E-3</v>
      </c>
      <c r="I570" s="275"/>
      <c r="J570" s="275" t="s">
        <v>1717</v>
      </c>
      <c r="K570" s="275" t="s">
        <v>1049</v>
      </c>
      <c r="L570" s="275">
        <v>107.09</v>
      </c>
      <c r="M570" s="280">
        <f t="shared" si="17"/>
        <v>2.3609252532976476E-2</v>
      </c>
    </row>
    <row r="571" spans="1:13">
      <c r="A571" s="275"/>
      <c r="B571" s="275"/>
      <c r="C571" s="275"/>
      <c r="D571" s="275"/>
      <c r="E571" s="275" t="s">
        <v>479</v>
      </c>
      <c r="F571" s="275" t="s">
        <v>1050</v>
      </c>
      <c r="G571" s="278">
        <v>40733.449999999997</v>
      </c>
      <c r="H571" s="280">
        <f t="shared" si="16"/>
        <v>2.0847165964062243E-4</v>
      </c>
      <c r="I571" s="275"/>
      <c r="J571" s="275" t="s">
        <v>1717</v>
      </c>
      <c r="K571" s="275" t="s">
        <v>1050</v>
      </c>
      <c r="L571" s="275">
        <v>109.47</v>
      </c>
      <c r="M571" s="280">
        <f t="shared" si="17"/>
        <v>2.2224297320011164E-2</v>
      </c>
    </row>
    <row r="572" spans="1:13">
      <c r="A572" s="275"/>
      <c r="B572" s="275"/>
      <c r="C572" s="275"/>
      <c r="D572" s="275"/>
      <c r="E572" s="275" t="s">
        <v>479</v>
      </c>
      <c r="F572" s="275" t="s">
        <v>1051</v>
      </c>
      <c r="G572" s="278">
        <v>41558.07</v>
      </c>
      <c r="H572" s="280">
        <f t="shared" si="16"/>
        <v>2.0244295535978483E-2</v>
      </c>
      <c r="I572" s="275"/>
      <c r="J572" s="275" t="s">
        <v>1717</v>
      </c>
      <c r="K572" s="275" t="s">
        <v>1051</v>
      </c>
      <c r="L572" s="275">
        <v>114.94</v>
      </c>
      <c r="M572" s="280">
        <f t="shared" si="17"/>
        <v>4.9968027770165332E-2</v>
      </c>
    </row>
    <row r="573" spans="1:13">
      <c r="A573" s="275"/>
      <c r="B573" s="275"/>
      <c r="C573" s="275"/>
      <c r="D573" s="275"/>
      <c r="E573" s="275" t="s">
        <v>479</v>
      </c>
      <c r="F573" s="275" t="s">
        <v>1052</v>
      </c>
      <c r="G573" s="278">
        <v>42087.89</v>
      </c>
      <c r="H573" s="280">
        <f t="shared" si="16"/>
        <v>1.2748907733203195E-2</v>
      </c>
      <c r="I573" s="275"/>
      <c r="J573" s="275" t="s">
        <v>1717</v>
      </c>
      <c r="K573" s="275" t="s">
        <v>1052</v>
      </c>
      <c r="L573" s="275">
        <v>116.19</v>
      </c>
      <c r="M573" s="280">
        <f t="shared" si="17"/>
        <v>1.0875239255263616E-2</v>
      </c>
    </row>
    <row r="574" spans="1:13">
      <c r="A574" s="275"/>
      <c r="B574" s="275"/>
      <c r="C574" s="275"/>
      <c r="D574" s="275"/>
      <c r="E574" s="275" t="s">
        <v>479</v>
      </c>
      <c r="F574" s="275" t="s">
        <v>1053</v>
      </c>
      <c r="G574" s="278">
        <v>41483.54</v>
      </c>
      <c r="H574" s="280">
        <f t="shared" si="16"/>
        <v>-1.4359237300800742E-2</v>
      </c>
      <c r="I574" s="275"/>
      <c r="J574" s="275" t="s">
        <v>1717</v>
      </c>
      <c r="K574" s="275" t="s">
        <v>1053</v>
      </c>
      <c r="L574" s="275">
        <v>111.15</v>
      </c>
      <c r="M574" s="280">
        <f t="shared" si="17"/>
        <v>-4.3377226955848114E-2</v>
      </c>
    </row>
    <row r="575" spans="1:13">
      <c r="A575" s="275"/>
      <c r="B575" s="275"/>
      <c r="C575" s="275"/>
      <c r="D575" s="275"/>
      <c r="E575" s="275" t="s">
        <v>479</v>
      </c>
      <c r="F575" s="275" t="s">
        <v>1054</v>
      </c>
      <c r="G575" s="278">
        <v>41291.68</v>
      </c>
      <c r="H575" s="280">
        <f t="shared" si="16"/>
        <v>-4.6249669145883065E-3</v>
      </c>
      <c r="I575" s="275"/>
      <c r="J575" s="275" t="s">
        <v>1717</v>
      </c>
      <c r="K575" s="275" t="s">
        <v>1054</v>
      </c>
      <c r="L575" s="275">
        <v>109.54</v>
      </c>
      <c r="M575" s="280">
        <f t="shared" si="17"/>
        <v>-1.4484930274403953E-2</v>
      </c>
    </row>
    <row r="576" spans="1:13">
      <c r="A576" s="275"/>
      <c r="B576" s="275"/>
      <c r="C576" s="275"/>
      <c r="D576" s="275"/>
      <c r="E576" s="275" t="s">
        <v>479</v>
      </c>
      <c r="F576" s="275" t="s">
        <v>1055</v>
      </c>
      <c r="G576" s="278">
        <v>41595.32</v>
      </c>
      <c r="H576" s="280">
        <f t="shared" si="16"/>
        <v>7.353539502388845E-3</v>
      </c>
      <c r="I576" s="275"/>
      <c r="J576" s="275" t="s">
        <v>1717</v>
      </c>
      <c r="K576" s="275" t="s">
        <v>1055</v>
      </c>
      <c r="L576" s="275">
        <v>111.54</v>
      </c>
      <c r="M576" s="280">
        <f t="shared" si="17"/>
        <v>1.8258170531312762E-2</v>
      </c>
    </row>
    <row r="577" spans="1:13">
      <c r="A577" s="275"/>
      <c r="B577" s="275"/>
      <c r="C577" s="275"/>
      <c r="D577" s="275"/>
      <c r="E577" s="275" t="s">
        <v>479</v>
      </c>
      <c r="F577" s="275" t="s">
        <v>1056</v>
      </c>
      <c r="G577" s="278">
        <v>41409.49</v>
      </c>
      <c r="H577" s="280">
        <f t="shared" si="16"/>
        <v>-4.4675699093071472E-3</v>
      </c>
      <c r="I577" s="275"/>
      <c r="J577" s="275" t="s">
        <v>1717</v>
      </c>
      <c r="K577" s="275" t="s">
        <v>1056</v>
      </c>
      <c r="L577" s="275">
        <v>117.12</v>
      </c>
      <c r="M577" s="280">
        <f t="shared" si="17"/>
        <v>5.0026896180742318E-2</v>
      </c>
    </row>
    <row r="578" spans="1:13">
      <c r="A578" s="275"/>
      <c r="B578" s="275"/>
      <c r="C578" s="275"/>
      <c r="D578" s="275"/>
      <c r="E578" s="275" t="s">
        <v>479</v>
      </c>
      <c r="F578" s="275" t="s">
        <v>1057</v>
      </c>
      <c r="G578" s="278">
        <v>41105.4</v>
      </c>
      <c r="H578" s="280">
        <f t="shared" si="16"/>
        <v>-7.3434857565257755E-3</v>
      </c>
      <c r="I578" s="275"/>
      <c r="J578" s="275" t="s">
        <v>1717</v>
      </c>
      <c r="K578" s="275" t="s">
        <v>1057</v>
      </c>
      <c r="L578" s="275">
        <v>118.65</v>
      </c>
      <c r="M578" s="280">
        <f t="shared" si="17"/>
        <v>1.3063524590163944E-2</v>
      </c>
    </row>
    <row r="579" spans="1:13">
      <c r="A579" s="275"/>
      <c r="B579" s="275"/>
      <c r="C579" s="275"/>
      <c r="D579" s="275"/>
      <c r="E579" s="275" t="s">
        <v>479</v>
      </c>
      <c r="F579" s="275" t="s">
        <v>1058</v>
      </c>
      <c r="G579" s="278">
        <v>40324.32</v>
      </c>
      <c r="H579" s="280">
        <f t="shared" si="16"/>
        <v>-1.9001882964282107E-2</v>
      </c>
      <c r="I579" s="275"/>
      <c r="J579" s="275" t="s">
        <v>1717</v>
      </c>
      <c r="K579" s="275" t="s">
        <v>1058</v>
      </c>
      <c r="L579" s="275">
        <v>113.15</v>
      </c>
      <c r="M579" s="280">
        <f t="shared" si="17"/>
        <v>-4.6354825115887059E-2</v>
      </c>
    </row>
    <row r="580" spans="1:13">
      <c r="A580" s="275"/>
      <c r="B580" s="275"/>
      <c r="C580" s="275"/>
      <c r="D580" s="275"/>
      <c r="E580" s="275" t="s">
        <v>479</v>
      </c>
      <c r="F580" s="275" t="s">
        <v>1059</v>
      </c>
      <c r="G580" s="278">
        <v>39617.19</v>
      </c>
      <c r="H580" s="280">
        <f t="shared" ref="H580:H643" si="18">(G580-G579)/G579</f>
        <v>-1.7536067564189486E-2</v>
      </c>
      <c r="I580" s="275"/>
      <c r="J580" s="275" t="s">
        <v>1717</v>
      </c>
      <c r="K580" s="275" t="s">
        <v>1059</v>
      </c>
      <c r="L580" s="275">
        <v>111.54</v>
      </c>
      <c r="M580" s="280">
        <f t="shared" ref="M580:M643" si="19">(L580-L579)/L579</f>
        <v>-1.4228899690676087E-2</v>
      </c>
    </row>
    <row r="581" spans="1:13">
      <c r="A581" s="275"/>
      <c r="B581" s="275"/>
      <c r="C581" s="275"/>
      <c r="D581" s="275"/>
      <c r="E581" s="275" t="s">
        <v>479</v>
      </c>
      <c r="F581" s="275" t="s">
        <v>1060</v>
      </c>
      <c r="G581" s="278">
        <v>40453.64</v>
      </c>
      <c r="H581" s="280">
        <f t="shared" si="18"/>
        <v>2.111330965169405E-2</v>
      </c>
      <c r="I581" s="275"/>
      <c r="J581" s="275" t="s">
        <v>1717</v>
      </c>
      <c r="K581" s="275" t="s">
        <v>1060</v>
      </c>
      <c r="L581" s="275">
        <v>113.08</v>
      </c>
      <c r="M581" s="280">
        <f t="shared" si="19"/>
        <v>1.380670611439835E-2</v>
      </c>
    </row>
    <row r="582" spans="1:13">
      <c r="A582" s="275"/>
      <c r="B582" s="275"/>
      <c r="C582" s="275"/>
      <c r="D582" s="275"/>
      <c r="E582" s="275" t="s">
        <v>479</v>
      </c>
      <c r="F582" s="275" t="s">
        <v>1061</v>
      </c>
      <c r="G582" s="278">
        <v>40498.870000000003</v>
      </c>
      <c r="H582" s="280">
        <f t="shared" si="18"/>
        <v>1.1180699684874638E-3</v>
      </c>
      <c r="I582" s="275"/>
      <c r="J582" s="275" t="s">
        <v>1717</v>
      </c>
      <c r="K582" s="275" t="s">
        <v>1061</v>
      </c>
      <c r="L582" s="275">
        <v>113.46</v>
      </c>
      <c r="M582" s="280">
        <f t="shared" si="19"/>
        <v>3.3604527767951489E-3</v>
      </c>
    </row>
    <row r="583" spans="1:13">
      <c r="A583" s="275"/>
      <c r="B583" s="275"/>
      <c r="C583" s="275"/>
      <c r="D583" s="275"/>
      <c r="E583" s="275" t="s">
        <v>479</v>
      </c>
      <c r="F583" s="275" t="s">
        <v>1062</v>
      </c>
      <c r="G583" s="278">
        <v>41064</v>
      </c>
      <c r="H583" s="280">
        <f t="shared" si="18"/>
        <v>1.3954216500361549E-2</v>
      </c>
      <c r="I583" s="275"/>
      <c r="J583" s="275" t="s">
        <v>1717</v>
      </c>
      <c r="K583" s="275" t="s">
        <v>1062</v>
      </c>
      <c r="L583" s="275">
        <v>113.86</v>
      </c>
      <c r="M583" s="280">
        <f t="shared" si="19"/>
        <v>3.5254715318174309E-3</v>
      </c>
    </row>
    <row r="584" spans="1:13">
      <c r="A584" s="275"/>
      <c r="B584" s="275"/>
      <c r="C584" s="275"/>
      <c r="D584" s="275"/>
      <c r="E584" s="275" t="s">
        <v>479</v>
      </c>
      <c r="F584" s="275" t="s">
        <v>1063</v>
      </c>
      <c r="G584" s="278">
        <v>41030.769999999997</v>
      </c>
      <c r="H584" s="280">
        <f t="shared" si="18"/>
        <v>-8.0922462497572578E-4</v>
      </c>
      <c r="I584" s="275"/>
      <c r="J584" s="275" t="s">
        <v>1717</v>
      </c>
      <c r="K584" s="275" t="s">
        <v>1063</v>
      </c>
      <c r="L584" s="275">
        <v>112.31</v>
      </c>
      <c r="M584" s="280">
        <f t="shared" si="19"/>
        <v>-1.361320920428594E-2</v>
      </c>
    </row>
    <row r="585" spans="1:13">
      <c r="A585" s="275"/>
      <c r="B585" s="275"/>
      <c r="C585" s="275"/>
      <c r="D585" s="275"/>
      <c r="E585" s="275" t="s">
        <v>479</v>
      </c>
      <c r="F585" s="275" t="s">
        <v>1064</v>
      </c>
      <c r="G585" s="278">
        <v>41049.22</v>
      </c>
      <c r="H585" s="280">
        <f t="shared" si="18"/>
        <v>4.4966253375221493E-4</v>
      </c>
      <c r="I585" s="275"/>
      <c r="J585" s="275" t="s">
        <v>1717</v>
      </c>
      <c r="K585" s="275" t="s">
        <v>1064</v>
      </c>
      <c r="L585" s="275">
        <v>112.31</v>
      </c>
      <c r="M585" s="280">
        <f t="shared" si="19"/>
        <v>0</v>
      </c>
    </row>
    <row r="586" spans="1:13">
      <c r="A586" s="275"/>
      <c r="B586" s="275"/>
      <c r="C586" s="275"/>
      <c r="D586" s="275"/>
      <c r="E586" s="275" t="s">
        <v>479</v>
      </c>
      <c r="F586" s="275" t="s">
        <v>1065</v>
      </c>
      <c r="G586" s="278">
        <v>41259.160000000003</v>
      </c>
      <c r="H586" s="280">
        <f t="shared" si="18"/>
        <v>5.1143480923633222E-3</v>
      </c>
      <c r="I586" s="275"/>
      <c r="J586" s="275" t="s">
        <v>1717</v>
      </c>
      <c r="K586" s="275" t="s">
        <v>1065</v>
      </c>
      <c r="L586" s="275">
        <v>112.31</v>
      </c>
      <c r="M586" s="280">
        <f t="shared" si="19"/>
        <v>0</v>
      </c>
    </row>
    <row r="587" spans="1:13">
      <c r="A587" s="275"/>
      <c r="B587" s="275"/>
      <c r="C587" s="275"/>
      <c r="D587" s="275"/>
      <c r="E587" s="275" t="s">
        <v>479</v>
      </c>
      <c r="F587" s="275" t="s">
        <v>1066</v>
      </c>
      <c r="G587" s="278">
        <v>41790.160000000003</v>
      </c>
      <c r="H587" s="280">
        <f t="shared" si="18"/>
        <v>1.2869869381732443E-2</v>
      </c>
      <c r="I587" s="275"/>
      <c r="J587" s="275" t="s">
        <v>1717</v>
      </c>
      <c r="K587" s="275" t="s">
        <v>1066</v>
      </c>
      <c r="L587" s="275">
        <v>113.85</v>
      </c>
      <c r="M587" s="280">
        <f t="shared" si="19"/>
        <v>1.3712047012732544E-2</v>
      </c>
    </row>
    <row r="588" spans="1:13">
      <c r="A588" s="275"/>
      <c r="B588" s="275"/>
      <c r="C588" s="275"/>
      <c r="D588" s="275"/>
      <c r="E588" s="275" t="s">
        <v>479</v>
      </c>
      <c r="F588" s="275" t="s">
        <v>1067</v>
      </c>
      <c r="G588" s="278">
        <v>41435.699999999997</v>
      </c>
      <c r="H588" s="280">
        <f t="shared" si="18"/>
        <v>-8.4819010025328056E-3</v>
      </c>
      <c r="I588" s="275"/>
      <c r="J588" s="275" t="s">
        <v>1717</v>
      </c>
      <c r="K588" s="275" t="s">
        <v>1067</v>
      </c>
      <c r="L588" s="275">
        <v>112.73</v>
      </c>
      <c r="M588" s="280">
        <f t="shared" si="19"/>
        <v>-9.8375054896793178E-3</v>
      </c>
    </row>
    <row r="589" spans="1:13">
      <c r="A589" s="275"/>
      <c r="B589" s="275"/>
      <c r="C589" s="275"/>
      <c r="D589" s="275"/>
      <c r="E589" s="275" t="s">
        <v>479</v>
      </c>
      <c r="F589" s="275" t="s">
        <v>1068</v>
      </c>
      <c r="G589" s="278">
        <v>41239.89</v>
      </c>
      <c r="H589" s="280">
        <f t="shared" si="18"/>
        <v>-4.7256351407119392E-3</v>
      </c>
      <c r="I589" s="275"/>
      <c r="J589" s="275" t="s">
        <v>1717</v>
      </c>
      <c r="K589" s="275" t="s">
        <v>1068</v>
      </c>
      <c r="L589" s="275">
        <v>112.46</v>
      </c>
      <c r="M589" s="280">
        <f t="shared" si="19"/>
        <v>-2.3951033442740194E-3</v>
      </c>
    </row>
    <row r="590" spans="1:13">
      <c r="A590" s="275"/>
      <c r="B590" s="275"/>
      <c r="C590" s="275"/>
      <c r="D590" s="275"/>
      <c r="E590" s="275" t="s">
        <v>479</v>
      </c>
      <c r="F590" s="275" t="s">
        <v>1069</v>
      </c>
      <c r="G590" s="278">
        <v>40943.78</v>
      </c>
      <c r="H590" s="280">
        <f t="shared" si="18"/>
        <v>-7.1801840402581233E-3</v>
      </c>
      <c r="I590" s="275"/>
      <c r="J590" s="275" t="s">
        <v>1717</v>
      </c>
      <c r="K590" s="275" t="s">
        <v>1069</v>
      </c>
      <c r="L590" s="275">
        <v>110.77</v>
      </c>
      <c r="M590" s="280">
        <f t="shared" si="19"/>
        <v>-1.5027565356571206E-2</v>
      </c>
    </row>
    <row r="591" spans="1:13">
      <c r="A591" s="275"/>
      <c r="B591" s="275"/>
      <c r="C591" s="275"/>
      <c r="D591" s="275"/>
      <c r="E591" s="275" t="s">
        <v>479</v>
      </c>
      <c r="F591" s="275" t="s">
        <v>1070</v>
      </c>
      <c r="G591" s="278">
        <v>40662.79</v>
      </c>
      <c r="H591" s="280">
        <f t="shared" si="18"/>
        <v>-6.8628250737962637E-3</v>
      </c>
      <c r="I591" s="275"/>
      <c r="J591" s="275" t="s">
        <v>1717</v>
      </c>
      <c r="K591" s="275" t="s">
        <v>1070</v>
      </c>
      <c r="L591" s="275">
        <v>111.45</v>
      </c>
      <c r="M591" s="280">
        <f t="shared" si="19"/>
        <v>6.1388462580121593E-3</v>
      </c>
    </row>
    <row r="592" spans="1:13">
      <c r="A592" s="275"/>
      <c r="B592" s="275"/>
      <c r="C592" s="275"/>
      <c r="D592" s="275"/>
      <c r="E592" s="275" t="s">
        <v>479</v>
      </c>
      <c r="F592" s="275" t="s">
        <v>1071</v>
      </c>
      <c r="G592" s="278">
        <v>40813.31</v>
      </c>
      <c r="H592" s="280">
        <f t="shared" si="18"/>
        <v>3.7016643471831814E-3</v>
      </c>
      <c r="I592" s="275"/>
      <c r="J592" s="275" t="s">
        <v>1717</v>
      </c>
      <c r="K592" s="275" t="s">
        <v>1071</v>
      </c>
      <c r="L592" s="275">
        <v>110.78</v>
      </c>
      <c r="M592" s="280">
        <f t="shared" si="19"/>
        <v>-6.0116644235083151E-3</v>
      </c>
    </row>
    <row r="593" spans="1:13">
      <c r="A593" s="275"/>
      <c r="B593" s="275"/>
      <c r="C593" s="275"/>
      <c r="D593" s="275"/>
      <c r="E593" s="275" t="s">
        <v>479</v>
      </c>
      <c r="F593" s="275" t="s">
        <v>1072</v>
      </c>
      <c r="G593" s="278">
        <v>40844.400000000001</v>
      </c>
      <c r="H593" s="280">
        <f t="shared" si="18"/>
        <v>7.6176129796881912E-4</v>
      </c>
      <c r="I593" s="275"/>
      <c r="J593" s="275" t="s">
        <v>1717</v>
      </c>
      <c r="K593" s="275" t="s">
        <v>1072</v>
      </c>
      <c r="L593" s="275">
        <v>110.68</v>
      </c>
      <c r="M593" s="280">
        <f t="shared" si="19"/>
        <v>-9.0269001624836902E-4</v>
      </c>
    </row>
    <row r="594" spans="1:13">
      <c r="A594" s="275"/>
      <c r="B594" s="275"/>
      <c r="C594" s="275"/>
      <c r="D594" s="275"/>
      <c r="E594" s="275" t="s">
        <v>479</v>
      </c>
      <c r="F594" s="275" t="s">
        <v>1073</v>
      </c>
      <c r="G594" s="278">
        <v>40316.93</v>
      </c>
      <c r="H594" s="280">
        <f t="shared" si="18"/>
        <v>-1.2914132659556784E-2</v>
      </c>
      <c r="I594" s="275"/>
      <c r="J594" s="275" t="s">
        <v>1717</v>
      </c>
      <c r="K594" s="275" t="s">
        <v>1073</v>
      </c>
      <c r="L594" s="275">
        <v>108.46</v>
      </c>
      <c r="M594" s="280">
        <f t="shared" si="19"/>
        <v>-2.0057824358511139E-2</v>
      </c>
    </row>
    <row r="595" spans="1:13">
      <c r="A595" s="275"/>
      <c r="B595" s="275"/>
      <c r="C595" s="275"/>
      <c r="D595" s="275"/>
      <c r="E595" s="275" t="s">
        <v>479</v>
      </c>
      <c r="F595" s="275" t="s">
        <v>1074</v>
      </c>
      <c r="G595" s="278">
        <v>40548.83</v>
      </c>
      <c r="H595" s="280">
        <f t="shared" si="18"/>
        <v>5.7519260519092461E-3</v>
      </c>
      <c r="I595" s="275"/>
      <c r="J595" s="275" t="s">
        <v>1717</v>
      </c>
      <c r="K595" s="275" t="s">
        <v>1074</v>
      </c>
      <c r="L595" s="275">
        <v>108.46</v>
      </c>
      <c r="M595" s="280">
        <f t="shared" si="19"/>
        <v>0</v>
      </c>
    </row>
    <row r="596" spans="1:13">
      <c r="A596" s="275"/>
      <c r="B596" s="275"/>
      <c r="C596" s="275"/>
      <c r="D596" s="275"/>
      <c r="E596" s="275" t="s">
        <v>479</v>
      </c>
      <c r="F596" s="275" t="s">
        <v>1075</v>
      </c>
      <c r="G596" s="278">
        <v>40591.870000000003</v>
      </c>
      <c r="H596" s="280">
        <f t="shared" si="18"/>
        <v>1.061436297915399E-3</v>
      </c>
      <c r="I596" s="275"/>
      <c r="J596" s="275" t="s">
        <v>1717</v>
      </c>
      <c r="K596" s="275" t="s">
        <v>1075</v>
      </c>
      <c r="L596" s="275">
        <v>106.31</v>
      </c>
      <c r="M596" s="280">
        <f t="shared" si="19"/>
        <v>-1.9822976212428466E-2</v>
      </c>
    </row>
    <row r="597" spans="1:13">
      <c r="A597" s="275"/>
      <c r="B597" s="275"/>
      <c r="C597" s="275"/>
      <c r="D597" s="275"/>
      <c r="E597" s="275" t="s">
        <v>479</v>
      </c>
      <c r="F597" s="275" t="s">
        <v>1076</v>
      </c>
      <c r="G597" s="278">
        <v>40266.21</v>
      </c>
      <c r="H597" s="280">
        <f t="shared" si="18"/>
        <v>-8.0227887998262568E-3</v>
      </c>
      <c r="I597" s="275"/>
      <c r="J597" s="275" t="s">
        <v>1717</v>
      </c>
      <c r="K597" s="275" t="s">
        <v>1076</v>
      </c>
      <c r="L597" s="275">
        <v>106.12</v>
      </c>
      <c r="M597" s="280">
        <f t="shared" si="19"/>
        <v>-1.7872260370614026E-3</v>
      </c>
    </row>
    <row r="598" spans="1:13">
      <c r="A598" s="275"/>
      <c r="B598" s="275"/>
      <c r="C598" s="275"/>
      <c r="D598" s="275"/>
      <c r="E598" s="275" t="s">
        <v>479</v>
      </c>
      <c r="F598" s="275" t="s">
        <v>1077</v>
      </c>
      <c r="G598" s="278">
        <v>40248.410000000003</v>
      </c>
      <c r="H598" s="280">
        <f t="shared" si="18"/>
        <v>-4.4205799353839445E-4</v>
      </c>
      <c r="I598" s="275"/>
      <c r="J598" s="275" t="s">
        <v>1717</v>
      </c>
      <c r="K598" s="275" t="s">
        <v>1077</v>
      </c>
      <c r="L598" s="275">
        <v>107.69</v>
      </c>
      <c r="M598" s="280">
        <f t="shared" si="19"/>
        <v>1.4794572182434915E-2</v>
      </c>
    </row>
    <row r="599" spans="1:13">
      <c r="A599" s="275"/>
      <c r="B599" s="275"/>
      <c r="C599" s="275"/>
      <c r="D599" s="275"/>
      <c r="E599" s="275" t="s">
        <v>479</v>
      </c>
      <c r="F599" s="275" t="s">
        <v>1078</v>
      </c>
      <c r="G599" s="278">
        <v>40032.17</v>
      </c>
      <c r="H599" s="280">
        <f t="shared" si="18"/>
        <v>-5.3726345960003197E-3</v>
      </c>
      <c r="I599" s="275"/>
      <c r="J599" s="275" t="s">
        <v>1717</v>
      </c>
      <c r="K599" s="275" t="s">
        <v>1078</v>
      </c>
      <c r="L599" s="275">
        <v>105.38</v>
      </c>
      <c r="M599" s="280">
        <f t="shared" si="19"/>
        <v>-2.1450459652706866E-2</v>
      </c>
    </row>
    <row r="600" spans="1:13">
      <c r="A600" s="275"/>
      <c r="B600" s="275"/>
      <c r="C600" s="275"/>
      <c r="D600" s="275"/>
      <c r="E600" s="275" t="s">
        <v>479</v>
      </c>
      <c r="F600" s="275" t="s">
        <v>1079</v>
      </c>
      <c r="G600" s="278">
        <v>39634.129999999997</v>
      </c>
      <c r="H600" s="280">
        <f t="shared" si="18"/>
        <v>-9.9430033395641777E-3</v>
      </c>
      <c r="I600" s="275"/>
      <c r="J600" s="275" t="s">
        <v>1717</v>
      </c>
      <c r="K600" s="275" t="s">
        <v>1079</v>
      </c>
      <c r="L600" s="275">
        <v>105.38</v>
      </c>
      <c r="M600" s="280">
        <f t="shared" si="19"/>
        <v>0</v>
      </c>
    </row>
    <row r="601" spans="1:13">
      <c r="A601" s="275"/>
      <c r="B601" s="275"/>
      <c r="C601" s="275"/>
      <c r="D601" s="275"/>
      <c r="E601" s="275" t="s">
        <v>479</v>
      </c>
      <c r="F601" s="275" t="s">
        <v>1080</v>
      </c>
      <c r="G601" s="278">
        <v>39672.89</v>
      </c>
      <c r="H601" s="280">
        <f t="shared" si="18"/>
        <v>9.7794501859892061E-4</v>
      </c>
      <c r="I601" s="275"/>
      <c r="J601" s="275" t="s">
        <v>1717</v>
      </c>
      <c r="K601" s="275" t="s">
        <v>1080</v>
      </c>
      <c r="L601" s="275">
        <v>102.32</v>
      </c>
      <c r="M601" s="280">
        <f t="shared" si="19"/>
        <v>-2.9037768077434072E-2</v>
      </c>
    </row>
    <row r="602" spans="1:13">
      <c r="A602" s="275"/>
      <c r="B602" s="275"/>
      <c r="C602" s="275"/>
      <c r="D602" s="275"/>
      <c r="E602" s="275" t="s">
        <v>479</v>
      </c>
      <c r="F602" s="275" t="s">
        <v>1081</v>
      </c>
      <c r="G602" s="278">
        <v>40010.36</v>
      </c>
      <c r="H602" s="280">
        <f t="shared" si="18"/>
        <v>8.5063124970225553E-3</v>
      </c>
      <c r="I602" s="275"/>
      <c r="J602" s="275" t="s">
        <v>1717</v>
      </c>
      <c r="K602" s="275" t="s">
        <v>1081</v>
      </c>
      <c r="L602" s="275">
        <v>102.3</v>
      </c>
      <c r="M602" s="280">
        <f t="shared" si="19"/>
        <v>-1.9546520719308075E-4</v>
      </c>
    </row>
    <row r="603" spans="1:13">
      <c r="A603" s="275"/>
      <c r="B603" s="275"/>
      <c r="C603" s="275"/>
      <c r="D603" s="275"/>
      <c r="E603" s="275" t="s">
        <v>479</v>
      </c>
      <c r="F603" s="275" t="s">
        <v>1082</v>
      </c>
      <c r="G603" s="278">
        <v>40049.800000000003</v>
      </c>
      <c r="H603" s="280">
        <f t="shared" si="18"/>
        <v>9.8574469212479778E-4</v>
      </c>
      <c r="I603" s="275"/>
      <c r="J603" s="275" t="s">
        <v>1717</v>
      </c>
      <c r="K603" s="275" t="s">
        <v>1082</v>
      </c>
      <c r="L603" s="275">
        <v>101.54</v>
      </c>
      <c r="M603" s="280">
        <f t="shared" si="19"/>
        <v>-7.4291300097750826E-3</v>
      </c>
    </row>
    <row r="604" spans="1:13">
      <c r="A604" s="275"/>
      <c r="B604" s="275"/>
      <c r="C604" s="275"/>
      <c r="D604" s="275"/>
      <c r="E604" s="275" t="s">
        <v>479</v>
      </c>
      <c r="F604" s="275" t="s">
        <v>1083</v>
      </c>
      <c r="G604" s="278">
        <v>39945.410000000003</v>
      </c>
      <c r="H604" s="280">
        <f t="shared" si="18"/>
        <v>-2.606504901397745E-3</v>
      </c>
      <c r="I604" s="275"/>
      <c r="J604" s="275" t="s">
        <v>1717</v>
      </c>
      <c r="K604" s="275" t="s">
        <v>1083</v>
      </c>
      <c r="L604" s="275">
        <v>100</v>
      </c>
      <c r="M604" s="280">
        <f t="shared" si="19"/>
        <v>-1.5166436872168664E-2</v>
      </c>
    </row>
    <row r="605" spans="1:13">
      <c r="A605" s="275"/>
      <c r="B605" s="275"/>
      <c r="C605" s="275"/>
      <c r="D605" s="275"/>
      <c r="E605" s="275" t="s">
        <v>479</v>
      </c>
      <c r="F605" s="275" t="s">
        <v>1084</v>
      </c>
      <c r="G605" s="278">
        <v>39907.32</v>
      </c>
      <c r="H605" s="280">
        <f t="shared" si="18"/>
        <v>-9.5355135921758674E-4</v>
      </c>
      <c r="I605" s="275"/>
      <c r="J605" s="275" t="s">
        <v>1717</v>
      </c>
      <c r="K605" s="275" t="s">
        <v>1084</v>
      </c>
      <c r="L605" s="275">
        <v>100</v>
      </c>
      <c r="M605" s="280">
        <f t="shared" si="19"/>
        <v>0</v>
      </c>
    </row>
    <row r="606" spans="1:13">
      <c r="A606" s="275"/>
      <c r="B606" s="275"/>
      <c r="C606" s="275"/>
      <c r="D606" s="275"/>
      <c r="E606" s="275" t="s">
        <v>479</v>
      </c>
      <c r="F606" s="275" t="s">
        <v>1085</v>
      </c>
      <c r="G606" s="278">
        <v>38784.660000000003</v>
      </c>
      <c r="H606" s="280">
        <f t="shared" si="18"/>
        <v>-2.813168110512047E-2</v>
      </c>
      <c r="I606" s="275"/>
      <c r="J606" s="275" t="s">
        <v>1717</v>
      </c>
      <c r="K606" s="275" t="s">
        <v>1085</v>
      </c>
      <c r="L606" s="275">
        <v>97.84</v>
      </c>
      <c r="M606" s="280">
        <f t="shared" si="19"/>
        <v>-2.1599999999999966E-2</v>
      </c>
    </row>
    <row r="607" spans="1:13">
      <c r="A607" s="275"/>
      <c r="B607" s="275"/>
      <c r="C607" s="275"/>
      <c r="D607" s="275"/>
      <c r="E607" s="275" t="s">
        <v>479</v>
      </c>
      <c r="F607" s="275" t="s">
        <v>1086</v>
      </c>
      <c r="G607" s="278">
        <v>39080</v>
      </c>
      <c r="H607" s="280">
        <f t="shared" si="18"/>
        <v>7.6148662899196869E-3</v>
      </c>
      <c r="I607" s="275"/>
      <c r="J607" s="275" t="s">
        <v>1717</v>
      </c>
      <c r="K607" s="275" t="s">
        <v>1086</v>
      </c>
      <c r="L607" s="275">
        <v>96.15</v>
      </c>
      <c r="M607" s="280">
        <f t="shared" si="19"/>
        <v>-1.727309893704004E-2</v>
      </c>
    </row>
    <row r="608" spans="1:13">
      <c r="A608" s="275"/>
      <c r="B608" s="275"/>
      <c r="C608" s="275"/>
      <c r="D608" s="275"/>
      <c r="E608" s="275" t="s">
        <v>479</v>
      </c>
      <c r="F608" s="275" t="s">
        <v>1087</v>
      </c>
      <c r="G608" s="278">
        <v>38481.699999999997</v>
      </c>
      <c r="H608" s="280">
        <f t="shared" si="18"/>
        <v>-1.5309621289662305E-2</v>
      </c>
      <c r="I608" s="275"/>
      <c r="J608" s="275" t="s">
        <v>1717</v>
      </c>
      <c r="K608" s="275" t="s">
        <v>1087</v>
      </c>
      <c r="L608" s="275">
        <v>96.12</v>
      </c>
      <c r="M608" s="280">
        <f t="shared" si="19"/>
        <v>-3.1201248049923179E-4</v>
      </c>
    </row>
    <row r="609" spans="1:13">
      <c r="A609" s="275"/>
      <c r="B609" s="275"/>
      <c r="C609" s="275"/>
      <c r="D609" s="275"/>
      <c r="E609" s="275" t="s">
        <v>479</v>
      </c>
      <c r="F609" s="275" t="s">
        <v>1088</v>
      </c>
      <c r="G609" s="278">
        <v>38525.11</v>
      </c>
      <c r="H609" s="280">
        <f t="shared" si="18"/>
        <v>1.1280686664051614E-3</v>
      </c>
      <c r="I609" s="275"/>
      <c r="J609" s="275" t="s">
        <v>1717</v>
      </c>
      <c r="K609" s="275" t="s">
        <v>1088</v>
      </c>
      <c r="L609" s="275">
        <v>95</v>
      </c>
      <c r="M609" s="280">
        <f t="shared" si="19"/>
        <v>-1.1652101539742036E-2</v>
      </c>
    </row>
    <row r="610" spans="1:13">
      <c r="A610" s="275"/>
      <c r="B610" s="275"/>
      <c r="C610" s="275"/>
      <c r="D610" s="275"/>
      <c r="E610" s="275" t="s">
        <v>479</v>
      </c>
      <c r="F610" s="275" t="s">
        <v>1089</v>
      </c>
      <c r="G610" s="278">
        <v>38819.65</v>
      </c>
      <c r="H610" s="280">
        <f t="shared" si="18"/>
        <v>7.645403218835738E-3</v>
      </c>
      <c r="I610" s="275"/>
      <c r="J610" s="275" t="s">
        <v>1717</v>
      </c>
      <c r="K610" s="275" t="s">
        <v>1089</v>
      </c>
      <c r="L610" s="275">
        <v>95.5</v>
      </c>
      <c r="M610" s="280">
        <f t="shared" si="19"/>
        <v>5.263157894736842E-3</v>
      </c>
    </row>
    <row r="611" spans="1:13">
      <c r="A611" s="275"/>
      <c r="B611" s="275"/>
      <c r="C611" s="275"/>
      <c r="D611" s="275"/>
      <c r="E611" s="275" t="s">
        <v>479</v>
      </c>
      <c r="F611" s="275" t="s">
        <v>1090</v>
      </c>
      <c r="G611" s="278">
        <v>38223.550000000003</v>
      </c>
      <c r="H611" s="280">
        <f t="shared" si="18"/>
        <v>-1.5355625308316755E-2</v>
      </c>
      <c r="I611" s="275"/>
      <c r="J611" s="275" t="s">
        <v>1717</v>
      </c>
      <c r="K611" s="275" t="s">
        <v>1090</v>
      </c>
      <c r="L611" s="275">
        <v>92.31</v>
      </c>
      <c r="M611" s="280">
        <f t="shared" si="19"/>
        <v>-3.3403141361256522E-2</v>
      </c>
    </row>
    <row r="612" spans="1:13">
      <c r="A612" s="275"/>
      <c r="B612" s="275"/>
      <c r="C612" s="275"/>
      <c r="D612" s="275"/>
      <c r="E612" s="275" t="s">
        <v>479</v>
      </c>
      <c r="F612" s="275" t="s">
        <v>1091</v>
      </c>
      <c r="G612" s="278">
        <v>38645.9</v>
      </c>
      <c r="H612" s="280">
        <f t="shared" si="18"/>
        <v>1.1049470810534305E-2</v>
      </c>
      <c r="I612" s="275"/>
      <c r="J612" s="275" t="s">
        <v>1717</v>
      </c>
      <c r="K612" s="275" t="s">
        <v>1091</v>
      </c>
      <c r="L612" s="275">
        <v>93.85</v>
      </c>
      <c r="M612" s="280">
        <f t="shared" si="19"/>
        <v>1.6682916260426735E-2</v>
      </c>
    </row>
    <row r="613" spans="1:13">
      <c r="A613" s="275"/>
      <c r="B613" s="275"/>
      <c r="C613" s="275"/>
      <c r="D613" s="275"/>
      <c r="E613" s="275" t="s">
        <v>479</v>
      </c>
      <c r="F613" s="275" t="s">
        <v>1092</v>
      </c>
      <c r="G613" s="278">
        <v>38383.97</v>
      </c>
      <c r="H613" s="280">
        <f t="shared" si="18"/>
        <v>-6.7776918120680402E-3</v>
      </c>
      <c r="I613" s="275"/>
      <c r="J613" s="275" t="s">
        <v>1717</v>
      </c>
      <c r="K613" s="275" t="s">
        <v>1092</v>
      </c>
      <c r="L613" s="275">
        <v>94.61</v>
      </c>
      <c r="M613" s="280">
        <f t="shared" si="19"/>
        <v>8.0980287693127873E-3</v>
      </c>
    </row>
    <row r="614" spans="1:13">
      <c r="A614" s="275"/>
      <c r="B614" s="275"/>
      <c r="C614" s="275"/>
      <c r="D614" s="275"/>
      <c r="E614" s="275" t="s">
        <v>479</v>
      </c>
      <c r="F614" s="275" t="s">
        <v>1093</v>
      </c>
      <c r="G614" s="278">
        <v>37919.42</v>
      </c>
      <c r="H614" s="280">
        <f t="shared" si="18"/>
        <v>-1.2102708500449613E-2</v>
      </c>
      <c r="I614" s="275"/>
      <c r="J614" s="275" t="s">
        <v>1717</v>
      </c>
      <c r="K614" s="275" t="s">
        <v>1093</v>
      </c>
      <c r="L614" s="275">
        <v>91.54</v>
      </c>
      <c r="M614" s="280">
        <f t="shared" si="19"/>
        <v>-3.2449001162667725E-2</v>
      </c>
    </row>
    <row r="615" spans="1:13">
      <c r="A615" s="275"/>
      <c r="B615" s="275"/>
      <c r="C615" s="275"/>
      <c r="D615" s="275"/>
      <c r="E615" s="275" t="s">
        <v>479</v>
      </c>
      <c r="F615" s="275" t="s">
        <v>1094</v>
      </c>
      <c r="G615" s="278">
        <v>38208.06</v>
      </c>
      <c r="H615" s="280">
        <f t="shared" si="18"/>
        <v>7.6119307732027399E-3</v>
      </c>
      <c r="I615" s="275"/>
      <c r="J615" s="275" t="s">
        <v>1717</v>
      </c>
      <c r="K615" s="275" t="s">
        <v>1094</v>
      </c>
      <c r="L615" s="275">
        <v>87.88</v>
      </c>
      <c r="M615" s="280">
        <f t="shared" si="19"/>
        <v>-3.9982521302163107E-2</v>
      </c>
    </row>
    <row r="616" spans="1:13">
      <c r="A616" s="275"/>
      <c r="B616" s="275"/>
      <c r="C616" s="275"/>
      <c r="D616" s="275"/>
      <c r="E616" s="275" t="s">
        <v>479</v>
      </c>
      <c r="F616" s="275" t="s">
        <v>1095</v>
      </c>
      <c r="G616" s="278">
        <v>38715.769999999997</v>
      </c>
      <c r="H616" s="280">
        <f t="shared" si="18"/>
        <v>1.3288033990733869E-2</v>
      </c>
      <c r="I616" s="275"/>
      <c r="J616" s="275" t="s">
        <v>1717</v>
      </c>
      <c r="K616" s="275" t="s">
        <v>1095</v>
      </c>
      <c r="L616" s="275">
        <v>89.22</v>
      </c>
      <c r="M616" s="280">
        <f t="shared" si="19"/>
        <v>1.5248065543923571E-2</v>
      </c>
    </row>
    <row r="617" spans="1:13">
      <c r="A617" s="275"/>
      <c r="B617" s="275"/>
      <c r="C617" s="275"/>
      <c r="D617" s="275"/>
      <c r="E617" s="275" t="s">
        <v>479</v>
      </c>
      <c r="F617" s="275" t="s">
        <v>1096</v>
      </c>
      <c r="G617" s="278">
        <v>39428.21</v>
      </c>
      <c r="H617" s="280">
        <f t="shared" si="18"/>
        <v>1.840180370944456E-2</v>
      </c>
      <c r="I617" s="275"/>
      <c r="J617" s="275" t="s">
        <v>1717</v>
      </c>
      <c r="K617" s="275" t="s">
        <v>1096</v>
      </c>
      <c r="L617" s="275">
        <v>93.93</v>
      </c>
      <c r="M617" s="280">
        <f t="shared" si="19"/>
        <v>5.2790854068594573E-2</v>
      </c>
    </row>
    <row r="618" spans="1:13">
      <c r="A618" s="275"/>
      <c r="B618" s="275"/>
      <c r="C618" s="275"/>
      <c r="D618" s="275"/>
      <c r="E618" s="275" t="s">
        <v>479</v>
      </c>
      <c r="F618" s="275" t="s">
        <v>1097</v>
      </c>
      <c r="G618" s="278">
        <v>39525.75</v>
      </c>
      <c r="H618" s="280">
        <f t="shared" si="18"/>
        <v>2.4738632567900209E-3</v>
      </c>
      <c r="I618" s="275"/>
      <c r="J618" s="275" t="s">
        <v>1717</v>
      </c>
      <c r="K618" s="275" t="s">
        <v>1097</v>
      </c>
      <c r="L618" s="275">
        <v>96.92</v>
      </c>
      <c r="M618" s="280">
        <f t="shared" si="19"/>
        <v>3.1832215479612423E-2</v>
      </c>
    </row>
    <row r="619" spans="1:13">
      <c r="A619" s="275"/>
      <c r="B619" s="275"/>
      <c r="C619" s="275"/>
      <c r="D619" s="275"/>
      <c r="E619" s="275" t="s">
        <v>479</v>
      </c>
      <c r="F619" s="275" t="s">
        <v>1098</v>
      </c>
      <c r="G619" s="278">
        <v>40146.730000000003</v>
      </c>
      <c r="H619" s="280">
        <f t="shared" si="18"/>
        <v>1.571077082661311E-2</v>
      </c>
      <c r="I619" s="275"/>
      <c r="J619" s="275" t="s">
        <v>1717</v>
      </c>
      <c r="K619" s="275" t="s">
        <v>1098</v>
      </c>
      <c r="L619" s="275">
        <v>102.12</v>
      </c>
      <c r="M619" s="280">
        <f t="shared" si="19"/>
        <v>5.3652496904663671E-2</v>
      </c>
    </row>
    <row r="620" spans="1:13">
      <c r="A620" s="275"/>
      <c r="B620" s="275"/>
      <c r="C620" s="275"/>
      <c r="D620" s="275"/>
      <c r="E620" s="275" t="s">
        <v>479</v>
      </c>
      <c r="F620" s="275" t="s">
        <v>1099</v>
      </c>
      <c r="G620" s="278">
        <v>40371.31</v>
      </c>
      <c r="H620" s="280">
        <f t="shared" si="18"/>
        <v>5.5939798832929715E-3</v>
      </c>
      <c r="I620" s="275"/>
      <c r="J620" s="275" t="s">
        <v>1717</v>
      </c>
      <c r="K620" s="275" t="s">
        <v>1099</v>
      </c>
      <c r="L620" s="275">
        <v>107.22</v>
      </c>
      <c r="M620" s="280">
        <f t="shared" si="19"/>
        <v>4.9941245593419448E-2</v>
      </c>
    </row>
    <row r="621" spans="1:13">
      <c r="A621" s="275"/>
      <c r="B621" s="275"/>
      <c r="C621" s="275"/>
      <c r="D621" s="275"/>
      <c r="E621" s="275" t="s">
        <v>479</v>
      </c>
      <c r="F621" s="275" t="s">
        <v>1100</v>
      </c>
      <c r="G621" s="278">
        <v>40471.480000000003</v>
      </c>
      <c r="H621" s="280">
        <f t="shared" si="18"/>
        <v>2.4812174784520379E-3</v>
      </c>
      <c r="I621" s="275"/>
      <c r="J621" s="275" t="s">
        <v>1717</v>
      </c>
      <c r="K621" s="275" t="s">
        <v>1100</v>
      </c>
      <c r="L621" s="275">
        <v>108.27</v>
      </c>
      <c r="M621" s="280">
        <f t="shared" si="19"/>
        <v>9.7929490766647757E-3</v>
      </c>
    </row>
    <row r="622" spans="1:13">
      <c r="A622" s="275"/>
      <c r="B622" s="275"/>
      <c r="C622" s="275"/>
      <c r="D622" s="275"/>
      <c r="E622" s="275" t="s">
        <v>479</v>
      </c>
      <c r="F622" s="275" t="s">
        <v>1101</v>
      </c>
      <c r="G622" s="278">
        <v>40711.040000000001</v>
      </c>
      <c r="H622" s="280">
        <f t="shared" si="18"/>
        <v>5.9192300355706698E-3</v>
      </c>
      <c r="I622" s="275"/>
      <c r="J622" s="275" t="s">
        <v>1717</v>
      </c>
      <c r="K622" s="275" t="s">
        <v>1101</v>
      </c>
      <c r="L622" s="275">
        <v>110.69</v>
      </c>
      <c r="M622" s="280">
        <f t="shared" si="19"/>
        <v>2.2351528585942568E-2</v>
      </c>
    </row>
    <row r="623" spans="1:13">
      <c r="A623" s="275"/>
      <c r="B623" s="275"/>
      <c r="C623" s="275"/>
      <c r="D623" s="275"/>
      <c r="E623" s="275" t="s">
        <v>479</v>
      </c>
      <c r="F623" s="275" t="s">
        <v>1102</v>
      </c>
      <c r="G623" s="278">
        <v>41486.870000000003</v>
      </c>
      <c r="H623" s="280">
        <f t="shared" si="18"/>
        <v>1.9056992894310777E-2</v>
      </c>
      <c r="I623" s="275"/>
      <c r="J623" s="275" t="s">
        <v>1717</v>
      </c>
      <c r="K623" s="275" t="s">
        <v>1102</v>
      </c>
      <c r="L623" s="275">
        <v>115.59</v>
      </c>
      <c r="M623" s="280">
        <f t="shared" si="19"/>
        <v>4.4267774866745019E-2</v>
      </c>
    </row>
    <row r="624" spans="1:13">
      <c r="A624" s="275"/>
      <c r="B624" s="275"/>
      <c r="C624" s="275"/>
      <c r="D624" s="275"/>
      <c r="E624" s="275" t="s">
        <v>479</v>
      </c>
      <c r="F624" s="275" t="s">
        <v>1103</v>
      </c>
      <c r="G624" s="278">
        <v>41544.269999999997</v>
      </c>
      <c r="H624" s="280">
        <f t="shared" si="18"/>
        <v>1.383570271750898E-3</v>
      </c>
      <c r="I624" s="275"/>
      <c r="J624" s="275" t="s">
        <v>1717</v>
      </c>
      <c r="K624" s="275" t="s">
        <v>1103</v>
      </c>
      <c r="L624" s="275">
        <v>111.35</v>
      </c>
      <c r="M624" s="280">
        <f t="shared" si="19"/>
        <v>-3.6681373821264893E-2</v>
      </c>
    </row>
    <row r="625" spans="1:13">
      <c r="A625" s="275"/>
      <c r="B625" s="275"/>
      <c r="C625" s="275"/>
      <c r="D625" s="275"/>
      <c r="E625" s="275" t="s">
        <v>479</v>
      </c>
      <c r="F625" s="275" t="s">
        <v>1104</v>
      </c>
      <c r="G625" s="278">
        <v>41908.71</v>
      </c>
      <c r="H625" s="280">
        <f t="shared" si="18"/>
        <v>8.7723288915656089E-3</v>
      </c>
      <c r="I625" s="275"/>
      <c r="J625" s="275" t="s">
        <v>1717</v>
      </c>
      <c r="K625" s="275" t="s">
        <v>1104</v>
      </c>
      <c r="L625" s="275">
        <v>108.85</v>
      </c>
      <c r="M625" s="280">
        <f t="shared" si="19"/>
        <v>-2.2451728783116302E-2</v>
      </c>
    </row>
    <row r="626" spans="1:13">
      <c r="A626" s="275"/>
      <c r="B626" s="275"/>
      <c r="C626" s="275"/>
      <c r="D626" s="275"/>
      <c r="E626" s="275" t="s">
        <v>479</v>
      </c>
      <c r="F626" s="275" t="s">
        <v>1105</v>
      </c>
      <c r="G626" s="278">
        <v>42523.99</v>
      </c>
      <c r="H626" s="280">
        <f t="shared" si="18"/>
        <v>1.4681434957076914E-2</v>
      </c>
      <c r="I626" s="275"/>
      <c r="J626" s="275" t="s">
        <v>1717</v>
      </c>
      <c r="K626" s="275" t="s">
        <v>1105</v>
      </c>
      <c r="L626" s="275">
        <v>111.54</v>
      </c>
      <c r="M626" s="280">
        <f t="shared" si="19"/>
        <v>2.4712907671107138E-2</v>
      </c>
    </row>
    <row r="627" spans="1:13">
      <c r="A627" s="275"/>
      <c r="B627" s="275"/>
      <c r="C627" s="275"/>
      <c r="D627" s="275"/>
      <c r="E627" s="275" t="s">
        <v>479</v>
      </c>
      <c r="F627" s="275" t="s">
        <v>1106</v>
      </c>
      <c r="G627" s="278">
        <v>43112.12</v>
      </c>
      <c r="H627" s="280">
        <f t="shared" si="18"/>
        <v>1.3830546004737671E-2</v>
      </c>
      <c r="I627" s="275"/>
      <c r="J627" s="275" t="s">
        <v>1717</v>
      </c>
      <c r="K627" s="275" t="s">
        <v>1106</v>
      </c>
      <c r="L627" s="275">
        <v>114.38</v>
      </c>
      <c r="M627" s="280">
        <f t="shared" si="19"/>
        <v>2.5461717769409978E-2</v>
      </c>
    </row>
    <row r="628" spans="1:13">
      <c r="A628" s="275"/>
      <c r="B628" s="275"/>
      <c r="C628" s="275"/>
      <c r="D628" s="275"/>
      <c r="E628" s="275" t="s">
        <v>479</v>
      </c>
      <c r="F628" s="275" t="s">
        <v>1107</v>
      </c>
      <c r="G628" s="278">
        <v>42814.34</v>
      </c>
      <c r="H628" s="280">
        <f t="shared" si="18"/>
        <v>-6.9071064007060218E-3</v>
      </c>
      <c r="I628" s="275"/>
      <c r="J628" s="275" t="s">
        <v>1717</v>
      </c>
      <c r="K628" s="275" t="s">
        <v>1107</v>
      </c>
      <c r="L628" s="275">
        <v>113.23</v>
      </c>
      <c r="M628" s="280">
        <f t="shared" si="19"/>
        <v>-1.0054205280643396E-2</v>
      </c>
    </row>
    <row r="629" spans="1:13">
      <c r="A629" s="275"/>
      <c r="B629" s="275"/>
      <c r="C629" s="275"/>
      <c r="D629" s="275"/>
      <c r="E629" s="275" t="s">
        <v>479</v>
      </c>
      <c r="F629" s="275" t="s">
        <v>1108</v>
      </c>
      <c r="G629" s="278">
        <v>43630.74</v>
      </c>
      <c r="H629" s="280">
        <f t="shared" si="18"/>
        <v>1.9068377557612742E-2</v>
      </c>
      <c r="I629" s="275"/>
      <c r="J629" s="275" t="s">
        <v>1717</v>
      </c>
      <c r="K629" s="275" t="s">
        <v>1108</v>
      </c>
      <c r="L629" s="275">
        <v>114.62</v>
      </c>
      <c r="M629" s="280">
        <f t="shared" si="19"/>
        <v>1.2275898613441673E-2</v>
      </c>
    </row>
    <row r="630" spans="1:13">
      <c r="A630" s="275"/>
      <c r="B630" s="275"/>
      <c r="C630" s="275"/>
      <c r="D630" s="275"/>
      <c r="E630" s="275" t="s">
        <v>479</v>
      </c>
      <c r="F630" s="275" t="s">
        <v>1109</v>
      </c>
      <c r="G630" s="278">
        <v>43395.28</v>
      </c>
      <c r="H630" s="280">
        <f t="shared" si="18"/>
        <v>-5.3966538270952807E-3</v>
      </c>
      <c r="I630" s="275"/>
      <c r="J630" s="275" t="s">
        <v>1717</v>
      </c>
      <c r="K630" s="275" t="s">
        <v>1109</v>
      </c>
      <c r="L630" s="275">
        <v>115.38</v>
      </c>
      <c r="M630" s="280">
        <f t="shared" si="19"/>
        <v>6.6306054789739216E-3</v>
      </c>
    </row>
    <row r="631" spans="1:13">
      <c r="A631" s="275"/>
      <c r="B631" s="275"/>
      <c r="C631" s="275"/>
      <c r="D631" s="275"/>
      <c r="E631" s="275" t="s">
        <v>479</v>
      </c>
      <c r="F631" s="275" t="s">
        <v>1110</v>
      </c>
      <c r="G631" s="278">
        <v>42933.72</v>
      </c>
      <c r="H631" s="280">
        <f t="shared" si="18"/>
        <v>-1.0636179787294786E-2</v>
      </c>
      <c r="I631" s="275"/>
      <c r="J631" s="275" t="s">
        <v>1717</v>
      </c>
      <c r="K631" s="275" t="s">
        <v>1110</v>
      </c>
      <c r="L631" s="275">
        <v>113.31</v>
      </c>
      <c r="M631" s="280">
        <f t="shared" si="19"/>
        <v>-1.794071762870509E-2</v>
      </c>
    </row>
    <row r="632" spans="1:13">
      <c r="A632" s="275"/>
      <c r="B632" s="275"/>
      <c r="C632" s="275"/>
      <c r="D632" s="275"/>
      <c r="E632" s="275" t="s">
        <v>479</v>
      </c>
      <c r="F632" s="275" t="s">
        <v>1111</v>
      </c>
      <c r="G632" s="278">
        <v>42347.49</v>
      </c>
      <c r="H632" s="280">
        <f t="shared" si="18"/>
        <v>-1.365430249230682E-2</v>
      </c>
      <c r="I632" s="275"/>
      <c r="J632" s="275" t="s">
        <v>1717</v>
      </c>
      <c r="K632" s="275" t="s">
        <v>1111</v>
      </c>
      <c r="L632" s="275">
        <v>111.54</v>
      </c>
      <c r="M632" s="280">
        <f t="shared" si="19"/>
        <v>-1.5620863118877381E-2</v>
      </c>
    </row>
    <row r="633" spans="1:13">
      <c r="A633" s="275"/>
      <c r="B633" s="275"/>
      <c r="C633" s="275"/>
      <c r="D633" s="275"/>
      <c r="E633" s="275" t="s">
        <v>479</v>
      </c>
      <c r="F633" s="275" t="s">
        <v>1112</v>
      </c>
      <c r="G633" s="278">
        <v>42939.68</v>
      </c>
      <c r="H633" s="280">
        <f t="shared" si="18"/>
        <v>1.3984063754428004E-2</v>
      </c>
      <c r="I633" s="275"/>
      <c r="J633" s="275" t="s">
        <v>1717</v>
      </c>
      <c r="K633" s="275" t="s">
        <v>1112</v>
      </c>
      <c r="L633" s="275">
        <v>113.08</v>
      </c>
      <c r="M633" s="280">
        <f t="shared" si="19"/>
        <v>1.380670611439835E-2</v>
      </c>
    </row>
    <row r="634" spans="1:13">
      <c r="A634" s="275"/>
      <c r="B634" s="275"/>
      <c r="C634" s="275"/>
      <c r="D634" s="275"/>
      <c r="E634" s="275" t="s">
        <v>479</v>
      </c>
      <c r="F634" s="275" t="s">
        <v>1113</v>
      </c>
      <c r="G634" s="278">
        <v>43358.97</v>
      </c>
      <c r="H634" s="280">
        <f t="shared" si="18"/>
        <v>9.7646279618292652E-3</v>
      </c>
      <c r="I634" s="275"/>
      <c r="J634" s="275" t="s">
        <v>1717</v>
      </c>
      <c r="K634" s="275" t="s">
        <v>1113</v>
      </c>
      <c r="L634" s="275">
        <v>116.53</v>
      </c>
      <c r="M634" s="280">
        <f t="shared" si="19"/>
        <v>3.0509373894587927E-2</v>
      </c>
    </row>
    <row r="635" spans="1:13">
      <c r="A635" s="275"/>
      <c r="B635" s="275"/>
      <c r="C635" s="275"/>
      <c r="D635" s="275"/>
      <c r="E635" s="275" t="s">
        <v>479</v>
      </c>
      <c r="F635" s="275" t="s">
        <v>1114</v>
      </c>
      <c r="G635" s="278">
        <v>43580.88</v>
      </c>
      <c r="H635" s="280">
        <f t="shared" si="18"/>
        <v>5.117972128950393E-3</v>
      </c>
      <c r="I635" s="275"/>
      <c r="J635" s="275" t="s">
        <v>1717</v>
      </c>
      <c r="K635" s="275" t="s">
        <v>1114</v>
      </c>
      <c r="L635" s="275">
        <v>121.85</v>
      </c>
      <c r="M635" s="280">
        <f t="shared" si="19"/>
        <v>4.5653479790611802E-2</v>
      </c>
    </row>
    <row r="636" spans="1:13">
      <c r="A636" s="275"/>
      <c r="B636" s="275"/>
      <c r="C636" s="275"/>
      <c r="D636" s="275"/>
      <c r="E636" s="275" t="s">
        <v>479</v>
      </c>
      <c r="F636" s="275" t="s">
        <v>1115</v>
      </c>
      <c r="G636" s="278">
        <v>44178.83</v>
      </c>
      <c r="H636" s="280">
        <f t="shared" si="18"/>
        <v>1.3720466406369133E-2</v>
      </c>
      <c r="I636" s="275"/>
      <c r="J636" s="275" t="s">
        <v>1717</v>
      </c>
      <c r="K636" s="275" t="s">
        <v>1115</v>
      </c>
      <c r="L636" s="275">
        <v>123.84</v>
      </c>
      <c r="M636" s="280">
        <f t="shared" si="19"/>
        <v>1.6331555190808447E-2</v>
      </c>
    </row>
    <row r="637" spans="1:13">
      <c r="A637" s="275"/>
      <c r="B637" s="275"/>
      <c r="C637" s="275"/>
      <c r="D637" s="275"/>
      <c r="E637" s="275" t="s">
        <v>479</v>
      </c>
      <c r="F637" s="275" t="s">
        <v>1116</v>
      </c>
      <c r="G637" s="278">
        <v>44897.69</v>
      </c>
      <c r="H637" s="280">
        <f t="shared" si="18"/>
        <v>1.6271594336020229E-2</v>
      </c>
      <c r="I637" s="275"/>
      <c r="J637" s="275" t="s">
        <v>1717</v>
      </c>
      <c r="K637" s="275" t="s">
        <v>1116</v>
      </c>
      <c r="L637" s="275">
        <v>127.69</v>
      </c>
      <c r="M637" s="280">
        <f t="shared" si="19"/>
        <v>3.1088501291989618E-2</v>
      </c>
    </row>
    <row r="638" spans="1:13">
      <c r="A638" s="275"/>
      <c r="B638" s="275"/>
      <c r="C638" s="275"/>
      <c r="D638" s="275"/>
      <c r="E638" s="275" t="s">
        <v>479</v>
      </c>
      <c r="F638" s="275" t="s">
        <v>1117</v>
      </c>
      <c r="G638" s="278">
        <v>44907.199999999997</v>
      </c>
      <c r="H638" s="280">
        <f t="shared" si="18"/>
        <v>2.1181490629016238E-4</v>
      </c>
      <c r="I638" s="275"/>
      <c r="J638" s="275" t="s">
        <v>1717</v>
      </c>
      <c r="K638" s="275" t="s">
        <v>1117</v>
      </c>
      <c r="L638" s="275">
        <v>127.68</v>
      </c>
      <c r="M638" s="280">
        <f t="shared" si="19"/>
        <v>-7.8314668337308371E-5</v>
      </c>
    </row>
    <row r="639" spans="1:13">
      <c r="A639" s="275"/>
      <c r="B639" s="275"/>
      <c r="C639" s="275"/>
      <c r="D639" s="275"/>
      <c r="E639" s="275" t="s">
        <v>479</v>
      </c>
      <c r="F639" s="275" t="s">
        <v>1118</v>
      </c>
      <c r="G639" s="278">
        <v>45063.21</v>
      </c>
      <c r="H639" s="280">
        <f t="shared" si="18"/>
        <v>3.4740531585136024E-3</v>
      </c>
      <c r="I639" s="275"/>
      <c r="J639" s="275" t="s">
        <v>1717</v>
      </c>
      <c r="K639" s="275" t="s">
        <v>1118</v>
      </c>
      <c r="L639" s="275">
        <v>132.5</v>
      </c>
      <c r="M639" s="280">
        <f t="shared" si="19"/>
        <v>3.7750626566415986E-2</v>
      </c>
    </row>
    <row r="640" spans="1:13">
      <c r="A640" s="275"/>
      <c r="B640" s="275"/>
      <c r="C640" s="275"/>
      <c r="D640" s="275"/>
      <c r="E640" s="275" t="s">
        <v>479</v>
      </c>
      <c r="F640" s="275" t="s">
        <v>1119</v>
      </c>
      <c r="G640" s="278">
        <v>44816.71</v>
      </c>
      <c r="H640" s="280">
        <f t="shared" si="18"/>
        <v>-5.470094118905422E-3</v>
      </c>
      <c r="I640" s="275"/>
      <c r="J640" s="275" t="s">
        <v>1717</v>
      </c>
      <c r="K640" s="275" t="s">
        <v>1119</v>
      </c>
      <c r="L640" s="275">
        <v>129.49</v>
      </c>
      <c r="M640" s="280">
        <f t="shared" si="19"/>
        <v>-2.2716981132075403E-2</v>
      </c>
    </row>
    <row r="641" spans="1:13">
      <c r="A641" s="275"/>
      <c r="B641" s="275"/>
      <c r="C641" s="275"/>
      <c r="D641" s="275"/>
      <c r="E641" s="275" t="s">
        <v>479</v>
      </c>
      <c r="F641" s="275" t="s">
        <v>1120</v>
      </c>
      <c r="G641" s="278">
        <v>44551.13</v>
      </c>
      <c r="H641" s="280">
        <f t="shared" si="18"/>
        <v>-5.9259146867318407E-3</v>
      </c>
      <c r="I641" s="275"/>
      <c r="J641" s="275" t="s">
        <v>1717</v>
      </c>
      <c r="K641" s="275" t="s">
        <v>1120</v>
      </c>
      <c r="L641" s="275">
        <v>129.46</v>
      </c>
      <c r="M641" s="280">
        <f t="shared" si="19"/>
        <v>-2.3167812186270087E-4</v>
      </c>
    </row>
    <row r="642" spans="1:13">
      <c r="A642" s="275"/>
      <c r="B642" s="275"/>
      <c r="C642" s="275"/>
      <c r="D642" s="275"/>
      <c r="E642" s="275" t="s">
        <v>479</v>
      </c>
      <c r="F642" s="275" t="s">
        <v>1121</v>
      </c>
      <c r="G642" s="278">
        <v>44457.3</v>
      </c>
      <c r="H642" s="280">
        <f t="shared" si="18"/>
        <v>-2.1061194182952145E-3</v>
      </c>
      <c r="I642" s="275"/>
      <c r="J642" s="275" t="s">
        <v>1717</v>
      </c>
      <c r="K642" s="275" t="s">
        <v>1121</v>
      </c>
      <c r="L642" s="275">
        <v>127.62</v>
      </c>
      <c r="M642" s="280">
        <f t="shared" si="19"/>
        <v>-1.4212884288583371E-2</v>
      </c>
    </row>
    <row r="643" spans="1:13">
      <c r="A643" s="275"/>
      <c r="B643" s="275"/>
      <c r="C643" s="275"/>
      <c r="D643" s="275"/>
      <c r="E643" s="275" t="s">
        <v>479</v>
      </c>
      <c r="F643" s="275" t="s">
        <v>1122</v>
      </c>
      <c r="G643" s="278">
        <v>44233.11</v>
      </c>
      <c r="H643" s="280">
        <f t="shared" si="18"/>
        <v>-5.0428163653663694E-3</v>
      </c>
      <c r="I643" s="275"/>
      <c r="J643" s="275" t="s">
        <v>1717</v>
      </c>
      <c r="K643" s="275" t="s">
        <v>1122</v>
      </c>
      <c r="L643" s="275">
        <v>125.85</v>
      </c>
      <c r="M643" s="280">
        <f t="shared" si="19"/>
        <v>-1.3869299482839759E-2</v>
      </c>
    </row>
    <row r="644" spans="1:13">
      <c r="A644" s="275"/>
      <c r="B644" s="275"/>
      <c r="C644" s="275"/>
      <c r="D644" s="275"/>
      <c r="E644" s="275" t="s">
        <v>479</v>
      </c>
      <c r="F644" s="275" t="s">
        <v>1123</v>
      </c>
      <c r="G644" s="278">
        <v>44049.05</v>
      </c>
      <c r="H644" s="280">
        <f t="shared" ref="H644:H707" si="20">(G644-G643)/G643</f>
        <v>-4.1611363071689432E-3</v>
      </c>
      <c r="I644" s="275"/>
      <c r="J644" s="275" t="s">
        <v>1717</v>
      </c>
      <c r="K644" s="275" t="s">
        <v>1123</v>
      </c>
      <c r="L644" s="275">
        <v>126.25</v>
      </c>
      <c r="M644" s="280">
        <f t="shared" ref="M644:M707" si="21">(L644-L643)/L643</f>
        <v>3.1783869686134742E-3</v>
      </c>
    </row>
    <row r="645" spans="1:13">
      <c r="A645" s="275"/>
      <c r="B645" s="275"/>
      <c r="C645" s="275"/>
      <c r="D645" s="275"/>
      <c r="E645" s="275" t="s">
        <v>479</v>
      </c>
      <c r="F645" s="275" t="s">
        <v>1124</v>
      </c>
      <c r="G645" s="278">
        <v>44255.48</v>
      </c>
      <c r="H645" s="280">
        <f t="shared" si="20"/>
        <v>4.6863666753312562E-3</v>
      </c>
      <c r="I645" s="275"/>
      <c r="J645" s="275" t="s">
        <v>1717</v>
      </c>
      <c r="K645" s="275" t="s">
        <v>1124</v>
      </c>
      <c r="L645" s="275">
        <v>126.54</v>
      </c>
      <c r="M645" s="280">
        <f t="shared" si="21"/>
        <v>2.2970297029703463E-3</v>
      </c>
    </row>
    <row r="646" spans="1:13">
      <c r="A646" s="275"/>
      <c r="B646" s="275"/>
      <c r="C646" s="275"/>
      <c r="D646" s="275"/>
      <c r="E646" s="275" t="s">
        <v>479</v>
      </c>
      <c r="F646" s="275" t="s">
        <v>1125</v>
      </c>
      <c r="G646" s="278">
        <v>44301.2</v>
      </c>
      <c r="H646" s="280">
        <f t="shared" si="20"/>
        <v>1.0330923989524887E-3</v>
      </c>
      <c r="I646" s="275"/>
      <c r="J646" s="275" t="s">
        <v>1717</v>
      </c>
      <c r="K646" s="275" t="s">
        <v>1125</v>
      </c>
      <c r="L646" s="275">
        <v>125.02</v>
      </c>
      <c r="M646" s="280">
        <f t="shared" si="21"/>
        <v>-1.2012012012012092E-2</v>
      </c>
    </row>
    <row r="647" spans="1:13">
      <c r="A647" s="275"/>
      <c r="B647" s="275"/>
      <c r="C647" s="275"/>
      <c r="D647" s="275"/>
      <c r="E647" s="275" t="s">
        <v>479</v>
      </c>
      <c r="F647" s="275" t="s">
        <v>1126</v>
      </c>
      <c r="G647" s="278">
        <v>43885.51</v>
      </c>
      <c r="H647" s="280">
        <f t="shared" si="20"/>
        <v>-9.3832672704124293E-3</v>
      </c>
      <c r="I647" s="275"/>
      <c r="J647" s="275" t="s">
        <v>1717</v>
      </c>
      <c r="K647" s="275" t="s">
        <v>1126</v>
      </c>
      <c r="L647" s="275">
        <v>121.15</v>
      </c>
      <c r="M647" s="280">
        <f t="shared" si="21"/>
        <v>-3.0955047192449132E-2</v>
      </c>
    </row>
    <row r="648" spans="1:13">
      <c r="A648" s="275"/>
      <c r="B648" s="275"/>
      <c r="C648" s="275"/>
      <c r="D648" s="275"/>
      <c r="E648" s="275" t="s">
        <v>479</v>
      </c>
      <c r="F648" s="275" t="s">
        <v>1127</v>
      </c>
      <c r="G648" s="278">
        <v>44096.49</v>
      </c>
      <c r="H648" s="280">
        <f t="shared" si="20"/>
        <v>4.8075093578722437E-3</v>
      </c>
      <c r="I648" s="275"/>
      <c r="J648" s="275" t="s">
        <v>1717</v>
      </c>
      <c r="K648" s="275" t="s">
        <v>1127</v>
      </c>
      <c r="L648" s="275">
        <v>121.27</v>
      </c>
      <c r="M648" s="280">
        <f t="shared" si="21"/>
        <v>9.9050763516294119E-4</v>
      </c>
    </row>
    <row r="649" spans="1:13">
      <c r="A649" s="275"/>
      <c r="B649" s="275"/>
      <c r="C649" s="275"/>
      <c r="D649" s="275"/>
      <c r="E649" s="275" t="s">
        <v>479</v>
      </c>
      <c r="F649" s="275" t="s">
        <v>1128</v>
      </c>
      <c r="G649" s="278">
        <v>43679.87</v>
      </c>
      <c r="H649" s="280">
        <f t="shared" si="20"/>
        <v>-9.4479175099876512E-3</v>
      </c>
      <c r="I649" s="275"/>
      <c r="J649" s="275" t="s">
        <v>1717</v>
      </c>
      <c r="K649" s="275" t="s">
        <v>1128</v>
      </c>
      <c r="L649" s="275">
        <v>116.16</v>
      </c>
      <c r="M649" s="280">
        <f t="shared" si="21"/>
        <v>-4.2137379401335856E-2</v>
      </c>
    </row>
    <row r="650" spans="1:13">
      <c r="A650" s="275"/>
      <c r="B650" s="275"/>
      <c r="C650" s="275"/>
      <c r="D650" s="275"/>
      <c r="E650" s="275" t="s">
        <v>479</v>
      </c>
      <c r="F650" s="275" t="s">
        <v>1129</v>
      </c>
      <c r="G650" s="278">
        <v>43808.800000000003</v>
      </c>
      <c r="H650" s="280">
        <f t="shared" si="20"/>
        <v>2.9517029240242769E-3</v>
      </c>
      <c r="I650" s="275"/>
      <c r="J650" s="275" t="s">
        <v>1717</v>
      </c>
      <c r="K650" s="275" t="s">
        <v>1129</v>
      </c>
      <c r="L650" s="275">
        <v>115.38</v>
      </c>
      <c r="M650" s="280">
        <f t="shared" si="21"/>
        <v>-6.714876033057861E-3</v>
      </c>
    </row>
    <row r="651" spans="1:13">
      <c r="A651" s="275"/>
      <c r="B651" s="275"/>
      <c r="C651" s="275"/>
      <c r="D651" s="275"/>
      <c r="E651" s="275" t="s">
        <v>479</v>
      </c>
      <c r="F651" s="275" t="s">
        <v>1130</v>
      </c>
      <c r="G651" s="278">
        <v>43515.08</v>
      </c>
      <c r="H651" s="280">
        <f t="shared" si="20"/>
        <v>-6.7045890323405603E-3</v>
      </c>
      <c r="I651" s="275"/>
      <c r="J651" s="275" t="s">
        <v>1717</v>
      </c>
      <c r="K651" s="275" t="s">
        <v>1130</v>
      </c>
      <c r="L651" s="275">
        <v>114.23</v>
      </c>
      <c r="M651" s="280">
        <f t="shared" si="21"/>
        <v>-9.9670653492805652E-3</v>
      </c>
    </row>
    <row r="652" spans="1:13">
      <c r="A652" s="275"/>
      <c r="B652" s="275"/>
      <c r="C652" s="275"/>
      <c r="D652" s="275"/>
      <c r="E652" s="275" t="s">
        <v>479</v>
      </c>
      <c r="F652" s="275" t="s">
        <v>1131</v>
      </c>
      <c r="G652" s="278">
        <v>43690.36</v>
      </c>
      <c r="H652" s="280">
        <f t="shared" si="20"/>
        <v>4.0280289040029076E-3</v>
      </c>
      <c r="I652" s="275"/>
      <c r="J652" s="275" t="s">
        <v>1717</v>
      </c>
      <c r="K652" s="275" t="s">
        <v>1131</v>
      </c>
      <c r="L652" s="275">
        <v>115</v>
      </c>
      <c r="M652" s="280">
        <f t="shared" si="21"/>
        <v>6.7407861332399194E-3</v>
      </c>
    </row>
    <row r="653" spans="1:13">
      <c r="A653" s="275"/>
      <c r="B653" s="275"/>
      <c r="C653" s="275"/>
      <c r="D653" s="275"/>
      <c r="E653" s="275" t="s">
        <v>479</v>
      </c>
      <c r="F653" s="275" t="s">
        <v>1132</v>
      </c>
      <c r="G653" s="278">
        <v>43353.04</v>
      </c>
      <c r="H653" s="280">
        <f t="shared" si="20"/>
        <v>-7.7206962817426934E-3</v>
      </c>
      <c r="I653" s="275"/>
      <c r="J653" s="275" t="s">
        <v>1717</v>
      </c>
      <c r="K653" s="275" t="s">
        <v>1132</v>
      </c>
      <c r="L653" s="275">
        <v>112.05</v>
      </c>
      <c r="M653" s="280">
        <f t="shared" si="21"/>
        <v>-2.5652173913043502E-2</v>
      </c>
    </row>
    <row r="654" spans="1:13">
      <c r="A654" s="275"/>
      <c r="B654" s="275"/>
      <c r="C654" s="275"/>
      <c r="D654" s="275"/>
      <c r="E654" s="275" t="s">
        <v>479</v>
      </c>
      <c r="F654" s="275" t="s">
        <v>1133</v>
      </c>
      <c r="G654" s="278">
        <v>42942.35</v>
      </c>
      <c r="H654" s="280">
        <f t="shared" si="20"/>
        <v>-9.4731534397588333E-3</v>
      </c>
      <c r="I654" s="275"/>
      <c r="J654" s="275" t="s">
        <v>1717</v>
      </c>
      <c r="K654" s="275" t="s">
        <v>1133</v>
      </c>
      <c r="L654" s="275">
        <v>111.69</v>
      </c>
      <c r="M654" s="280">
        <f t="shared" si="21"/>
        <v>-3.2128514056224849E-3</v>
      </c>
    </row>
    <row r="655" spans="1:13">
      <c r="A655" s="275"/>
      <c r="B655" s="275"/>
      <c r="C655" s="275"/>
      <c r="D655" s="275"/>
      <c r="E655" s="275" t="s">
        <v>479</v>
      </c>
      <c r="F655" s="275" t="s">
        <v>1134</v>
      </c>
      <c r="G655" s="278">
        <v>43627.1</v>
      </c>
      <c r="H655" s="280">
        <f t="shared" si="20"/>
        <v>1.5945797097736851E-2</v>
      </c>
      <c r="I655" s="275"/>
      <c r="J655" s="275" t="s">
        <v>1717</v>
      </c>
      <c r="K655" s="275" t="s">
        <v>1134</v>
      </c>
      <c r="L655" s="275">
        <v>114.48</v>
      </c>
      <c r="M655" s="280">
        <f t="shared" si="21"/>
        <v>2.4979854955680961E-2</v>
      </c>
    </row>
    <row r="656" spans="1:13">
      <c r="A656" s="275"/>
      <c r="B656" s="275"/>
      <c r="C656" s="275"/>
      <c r="D656" s="275"/>
      <c r="E656" s="275" t="s">
        <v>479</v>
      </c>
      <c r="F656" s="275" t="s">
        <v>1135</v>
      </c>
      <c r="G656" s="278">
        <v>43572.67</v>
      </c>
      <c r="H656" s="280">
        <f t="shared" si="20"/>
        <v>-1.2476190257890232E-3</v>
      </c>
      <c r="I656" s="275"/>
      <c r="J656" s="275" t="s">
        <v>1717</v>
      </c>
      <c r="K656" s="275" t="s">
        <v>1135</v>
      </c>
      <c r="L656" s="275">
        <v>113.85</v>
      </c>
      <c r="M656" s="280">
        <f t="shared" si="21"/>
        <v>-5.503144654088135E-3</v>
      </c>
    </row>
    <row r="657" spans="1:13">
      <c r="A657" s="275"/>
      <c r="B657" s="275"/>
      <c r="C657" s="275"/>
      <c r="D657" s="275"/>
      <c r="E657" s="275" t="s">
        <v>479</v>
      </c>
      <c r="F657" s="275" t="s">
        <v>1136</v>
      </c>
      <c r="G657" s="278">
        <v>43294.95</v>
      </c>
      <c r="H657" s="280">
        <f t="shared" si="20"/>
        <v>-6.3737200405667403E-3</v>
      </c>
      <c r="I657" s="275"/>
      <c r="J657" s="275" t="s">
        <v>1717</v>
      </c>
      <c r="K657" s="275" t="s">
        <v>1136</v>
      </c>
      <c r="L657" s="275">
        <v>112.05</v>
      </c>
      <c r="M657" s="280">
        <f t="shared" si="21"/>
        <v>-1.5810276679841872E-2</v>
      </c>
    </row>
    <row r="658" spans="1:13">
      <c r="A658" s="275"/>
      <c r="B658" s="275"/>
      <c r="C658" s="275"/>
      <c r="D658" s="275"/>
      <c r="E658" s="275" t="s">
        <v>479</v>
      </c>
      <c r="F658" s="275" t="s">
        <v>1137</v>
      </c>
      <c r="G658" s="278">
        <v>42919.78</v>
      </c>
      <c r="H658" s="280">
        <f t="shared" si="20"/>
        <v>-8.6654448151573856E-3</v>
      </c>
      <c r="I658" s="275"/>
      <c r="J658" s="275" t="s">
        <v>1717</v>
      </c>
      <c r="K658" s="275" t="s">
        <v>1137</v>
      </c>
      <c r="L658" s="275">
        <v>112.83</v>
      </c>
      <c r="M658" s="280">
        <f t="shared" si="21"/>
        <v>6.961178045515405E-3</v>
      </c>
    </row>
    <row r="659" spans="1:13">
      <c r="A659" s="275"/>
      <c r="B659" s="275"/>
      <c r="C659" s="275"/>
      <c r="D659" s="275"/>
      <c r="E659" s="275" t="s">
        <v>479</v>
      </c>
      <c r="F659" s="275" t="s">
        <v>1138</v>
      </c>
      <c r="G659" s="278">
        <v>43528.51</v>
      </c>
      <c r="H659" s="280">
        <f t="shared" si="20"/>
        <v>1.4182971114949872E-2</v>
      </c>
      <c r="I659" s="275"/>
      <c r="J659" s="275" t="s">
        <v>1717</v>
      </c>
      <c r="K659" s="275" t="s">
        <v>1138</v>
      </c>
      <c r="L659" s="275">
        <v>112.31</v>
      </c>
      <c r="M659" s="280">
        <f t="shared" si="21"/>
        <v>-4.6087033590356818E-3</v>
      </c>
    </row>
    <row r="660" spans="1:13">
      <c r="A660" s="275"/>
      <c r="B660" s="275"/>
      <c r="C660" s="275"/>
      <c r="D660" s="275"/>
      <c r="E660" s="275" t="s">
        <v>479</v>
      </c>
      <c r="F660" s="275" t="s">
        <v>1139</v>
      </c>
      <c r="G660" s="278">
        <v>43267.199999999997</v>
      </c>
      <c r="H660" s="280">
        <f t="shared" si="20"/>
        <v>-6.0031919309897104E-3</v>
      </c>
      <c r="I660" s="275"/>
      <c r="J660" s="275" t="s">
        <v>1717</v>
      </c>
      <c r="K660" s="275" t="s">
        <v>1139</v>
      </c>
      <c r="L660" s="275">
        <v>110</v>
      </c>
      <c r="M660" s="280">
        <f t="shared" si="21"/>
        <v>-2.0568070519098942E-2</v>
      </c>
    </row>
    <row r="661" spans="1:13">
      <c r="A661" s="275"/>
      <c r="B661" s="275"/>
      <c r="C661" s="275"/>
      <c r="D661" s="275"/>
      <c r="E661" s="275" t="s">
        <v>479</v>
      </c>
      <c r="F661" s="275" t="s">
        <v>1140</v>
      </c>
      <c r="G661" s="278">
        <v>42911.02</v>
      </c>
      <c r="H661" s="280">
        <f t="shared" si="20"/>
        <v>-8.2321019155387996E-3</v>
      </c>
      <c r="I661" s="275"/>
      <c r="J661" s="275" t="s">
        <v>1717</v>
      </c>
      <c r="K661" s="275" t="s">
        <v>1140</v>
      </c>
      <c r="L661" s="275">
        <v>109.27</v>
      </c>
      <c r="M661" s="280">
        <f t="shared" si="21"/>
        <v>-6.6363636363636729E-3</v>
      </c>
    </row>
    <row r="662" spans="1:13">
      <c r="A662" s="275"/>
      <c r="B662" s="275"/>
      <c r="C662" s="275"/>
      <c r="D662" s="275"/>
      <c r="E662" s="275" t="s">
        <v>479</v>
      </c>
      <c r="F662" s="275" t="s">
        <v>1141</v>
      </c>
      <c r="G662" s="278">
        <v>42994.96</v>
      </c>
      <c r="H662" s="280">
        <f t="shared" si="20"/>
        <v>1.9561408701075467E-3</v>
      </c>
      <c r="I662" s="275"/>
      <c r="J662" s="275" t="s">
        <v>1717</v>
      </c>
      <c r="K662" s="275" t="s">
        <v>1141</v>
      </c>
      <c r="L662" s="275">
        <v>110</v>
      </c>
      <c r="M662" s="280">
        <f t="shared" si="21"/>
        <v>6.6806991855038345E-3</v>
      </c>
    </row>
    <row r="663" spans="1:13">
      <c r="A663" s="275"/>
      <c r="B663" s="275"/>
      <c r="C663" s="275"/>
      <c r="D663" s="275"/>
      <c r="E663" s="275" t="s">
        <v>479</v>
      </c>
      <c r="F663" s="275" t="s">
        <v>1142</v>
      </c>
      <c r="G663" s="278">
        <v>43239.44</v>
      </c>
      <c r="H663" s="280">
        <f t="shared" si="20"/>
        <v>5.686247876495366E-3</v>
      </c>
      <c r="I663" s="275"/>
      <c r="J663" s="275" t="s">
        <v>1717</v>
      </c>
      <c r="K663" s="275" t="s">
        <v>1142</v>
      </c>
      <c r="L663" s="275">
        <v>110.04</v>
      </c>
      <c r="M663" s="280">
        <f t="shared" si="21"/>
        <v>3.6363636363642048E-4</v>
      </c>
    </row>
    <row r="664" spans="1:13">
      <c r="A664" s="275"/>
      <c r="B664" s="275"/>
      <c r="C664" s="275"/>
      <c r="D664" s="275"/>
      <c r="E664" s="275" t="s">
        <v>479</v>
      </c>
      <c r="F664" s="275" t="s">
        <v>1143</v>
      </c>
      <c r="G664" s="278">
        <v>43510.39</v>
      </c>
      <c r="H664" s="280">
        <f t="shared" si="20"/>
        <v>6.266269868434861E-3</v>
      </c>
      <c r="I664" s="275"/>
      <c r="J664" s="275" t="s">
        <v>1717</v>
      </c>
      <c r="K664" s="275" t="s">
        <v>1143</v>
      </c>
      <c r="L664" s="275">
        <v>116.57</v>
      </c>
      <c r="M664" s="280">
        <f t="shared" si="21"/>
        <v>5.9342057433660368E-2</v>
      </c>
    </row>
    <row r="665" spans="1:13">
      <c r="A665" s="275"/>
      <c r="B665" s="275"/>
      <c r="C665" s="275"/>
      <c r="D665" s="275"/>
      <c r="E665" s="275" t="s">
        <v>479</v>
      </c>
      <c r="F665" s="275" t="s">
        <v>1144</v>
      </c>
      <c r="G665" s="278">
        <v>43740.49</v>
      </c>
      <c r="H665" s="280">
        <f t="shared" si="20"/>
        <v>5.2883920369364316E-3</v>
      </c>
      <c r="I665" s="275"/>
      <c r="J665" s="275" t="s">
        <v>1717</v>
      </c>
      <c r="K665" s="275" t="s">
        <v>1144</v>
      </c>
      <c r="L665" s="275">
        <v>122.39</v>
      </c>
      <c r="M665" s="280">
        <f t="shared" si="21"/>
        <v>4.992708243973585E-2</v>
      </c>
    </row>
    <row r="666" spans="1:13">
      <c r="A666" s="275"/>
      <c r="B666" s="275"/>
      <c r="C666" s="275"/>
      <c r="D666" s="275"/>
      <c r="E666" s="275" t="s">
        <v>479</v>
      </c>
      <c r="F666" s="275" t="s">
        <v>1145</v>
      </c>
      <c r="G666" s="278">
        <v>43829.07</v>
      </c>
      <c r="H666" s="280">
        <f t="shared" si="20"/>
        <v>2.0251259187997607E-3</v>
      </c>
      <c r="I666" s="275"/>
      <c r="J666" s="275" t="s">
        <v>1717</v>
      </c>
      <c r="K666" s="275" t="s">
        <v>1145</v>
      </c>
      <c r="L666" s="275">
        <v>118.46</v>
      </c>
      <c r="M666" s="280">
        <f t="shared" si="21"/>
        <v>-3.2110466541384157E-2</v>
      </c>
    </row>
    <row r="667" spans="1:13">
      <c r="A667" s="275"/>
      <c r="B667" s="275"/>
      <c r="C667" s="275"/>
      <c r="D667" s="275"/>
      <c r="E667" s="275" t="s">
        <v>479</v>
      </c>
      <c r="F667" s="275" t="s">
        <v>1146</v>
      </c>
      <c r="G667" s="278">
        <v>43705.1</v>
      </c>
      <c r="H667" s="280">
        <f t="shared" si="20"/>
        <v>-2.8284880331707054E-3</v>
      </c>
      <c r="I667" s="275"/>
      <c r="J667" s="275" t="s">
        <v>1717</v>
      </c>
      <c r="K667" s="275" t="s">
        <v>1146</v>
      </c>
      <c r="L667" s="275">
        <v>119.35</v>
      </c>
      <c r="M667" s="280">
        <f t="shared" si="21"/>
        <v>7.5130845855141031E-3</v>
      </c>
    </row>
    <row r="668" spans="1:13">
      <c r="A668" s="275"/>
      <c r="B668" s="275"/>
      <c r="C668" s="275"/>
      <c r="D668" s="275"/>
      <c r="E668" s="275" t="s">
        <v>479</v>
      </c>
      <c r="F668" s="275" t="s">
        <v>1147</v>
      </c>
      <c r="G668" s="278">
        <v>43441.18</v>
      </c>
      <c r="H668" s="280">
        <f t="shared" si="20"/>
        <v>-6.0386545277324221E-3</v>
      </c>
      <c r="I668" s="275"/>
      <c r="J668" s="275" t="s">
        <v>1717</v>
      </c>
      <c r="K668" s="275" t="s">
        <v>1147</v>
      </c>
      <c r="L668" s="275">
        <v>122.18</v>
      </c>
      <c r="M668" s="280">
        <f t="shared" si="21"/>
        <v>2.3711772098868978E-2</v>
      </c>
    </row>
    <row r="669" spans="1:13">
      <c r="A669" s="275"/>
      <c r="B669" s="275"/>
      <c r="C669" s="275"/>
      <c r="D669" s="275"/>
      <c r="E669" s="275" t="s">
        <v>479</v>
      </c>
      <c r="F669" s="275" t="s">
        <v>1148</v>
      </c>
      <c r="G669" s="278">
        <v>43072.74</v>
      </c>
      <c r="H669" s="280">
        <f t="shared" si="20"/>
        <v>-8.4813534070668044E-3</v>
      </c>
      <c r="I669" s="275"/>
      <c r="J669" s="275" t="s">
        <v>1717</v>
      </c>
      <c r="K669" s="275" t="s">
        <v>1148</v>
      </c>
      <c r="L669" s="275">
        <v>121.15</v>
      </c>
      <c r="M669" s="280">
        <f t="shared" si="21"/>
        <v>-8.4301849729906779E-3</v>
      </c>
    </row>
    <row r="670" spans="1:13">
      <c r="A670" s="275"/>
      <c r="B670" s="275"/>
      <c r="C670" s="275"/>
      <c r="D670" s="275"/>
      <c r="E670" s="275" t="s">
        <v>479</v>
      </c>
      <c r="F670" s="275" t="s">
        <v>1149</v>
      </c>
      <c r="G670" s="278">
        <v>43011.26</v>
      </c>
      <c r="H670" s="280">
        <f t="shared" si="20"/>
        <v>-1.42735289187537E-3</v>
      </c>
      <c r="I670" s="275"/>
      <c r="J670" s="275" t="s">
        <v>1717</v>
      </c>
      <c r="K670" s="275" t="s">
        <v>1149</v>
      </c>
      <c r="L670" s="275">
        <v>120</v>
      </c>
      <c r="M670" s="280">
        <f t="shared" si="21"/>
        <v>-9.4923648369789979E-3</v>
      </c>
    </row>
    <row r="671" spans="1:13">
      <c r="A671" s="275"/>
      <c r="B671" s="275"/>
      <c r="C671" s="275"/>
      <c r="D671" s="275"/>
      <c r="E671" s="275" t="s">
        <v>479</v>
      </c>
      <c r="F671" s="275" t="s">
        <v>1150</v>
      </c>
      <c r="G671" s="278">
        <v>43410.93</v>
      </c>
      <c r="H671" s="280">
        <f t="shared" si="20"/>
        <v>9.2922178982898489E-3</v>
      </c>
      <c r="I671" s="275"/>
      <c r="J671" s="275" t="s">
        <v>1717</v>
      </c>
      <c r="K671" s="275" t="s">
        <v>1150</v>
      </c>
      <c r="L671" s="275">
        <v>122.31</v>
      </c>
      <c r="M671" s="280">
        <f t="shared" si="21"/>
        <v>1.9250000000000021E-2</v>
      </c>
    </row>
    <row r="672" spans="1:13">
      <c r="A672" s="275"/>
      <c r="B672" s="275"/>
      <c r="C672" s="275"/>
      <c r="D672" s="275"/>
      <c r="E672" s="275" t="s">
        <v>479</v>
      </c>
      <c r="F672" s="275" t="s">
        <v>1151</v>
      </c>
      <c r="G672" s="278">
        <v>43618.07</v>
      </c>
      <c r="H672" s="280">
        <f t="shared" si="20"/>
        <v>4.7716093619740328E-3</v>
      </c>
      <c r="I672" s="275"/>
      <c r="J672" s="275" t="s">
        <v>1717</v>
      </c>
      <c r="K672" s="275" t="s">
        <v>1151</v>
      </c>
      <c r="L672" s="275">
        <v>123.85</v>
      </c>
      <c r="M672" s="280">
        <f t="shared" si="21"/>
        <v>1.2590957403319369E-2</v>
      </c>
    </row>
    <row r="673" spans="1:13">
      <c r="A673" s="275"/>
      <c r="B673" s="275"/>
      <c r="C673" s="275"/>
      <c r="D673" s="275"/>
      <c r="E673" s="275" t="s">
        <v>479</v>
      </c>
      <c r="F673" s="275" t="s">
        <v>1152</v>
      </c>
      <c r="G673" s="278">
        <v>43407.72</v>
      </c>
      <c r="H673" s="280">
        <f t="shared" si="20"/>
        <v>-4.8225425838419383E-3</v>
      </c>
      <c r="I673" s="275"/>
      <c r="J673" s="275" t="s">
        <v>1717</v>
      </c>
      <c r="K673" s="275" t="s">
        <v>1152</v>
      </c>
      <c r="L673" s="275">
        <v>123.23</v>
      </c>
      <c r="M673" s="280">
        <f t="shared" si="21"/>
        <v>-5.0060557125554328E-3</v>
      </c>
    </row>
    <row r="674" spans="1:13">
      <c r="A674" s="275"/>
      <c r="B674" s="275"/>
      <c r="C674" s="275"/>
      <c r="D674" s="275"/>
      <c r="E674" s="275" t="s">
        <v>479</v>
      </c>
      <c r="F674" s="275" t="s">
        <v>1153</v>
      </c>
      <c r="G674" s="278">
        <v>43495.07</v>
      </c>
      <c r="H674" s="280">
        <f t="shared" si="20"/>
        <v>2.0123148601216222E-3</v>
      </c>
      <c r="I674" s="275"/>
      <c r="J674" s="275" t="s">
        <v>1717</v>
      </c>
      <c r="K674" s="275" t="s">
        <v>1153</v>
      </c>
      <c r="L674" s="275">
        <v>123.3</v>
      </c>
      <c r="M674" s="280">
        <f t="shared" si="21"/>
        <v>5.680434959019166E-4</v>
      </c>
    </row>
    <row r="675" spans="1:13">
      <c r="A675" s="275"/>
      <c r="B675" s="275"/>
      <c r="C675" s="275"/>
      <c r="D675" s="275"/>
      <c r="E675" s="275" t="s">
        <v>479</v>
      </c>
      <c r="F675" s="275" t="s">
        <v>1154</v>
      </c>
      <c r="G675" s="278">
        <v>43363.21</v>
      </c>
      <c r="H675" s="280">
        <f t="shared" si="20"/>
        <v>-3.0316079500504445E-3</v>
      </c>
      <c r="I675" s="275"/>
      <c r="J675" s="275" t="s">
        <v>1717</v>
      </c>
      <c r="K675" s="275" t="s">
        <v>1154</v>
      </c>
      <c r="L675" s="275">
        <v>121.16</v>
      </c>
      <c r="M675" s="280">
        <f t="shared" si="21"/>
        <v>-1.7356042173560425E-2</v>
      </c>
    </row>
    <row r="676" spans="1:13">
      <c r="A676" s="275"/>
      <c r="B676" s="275"/>
      <c r="C676" s="275"/>
      <c r="D676" s="275"/>
      <c r="E676" s="275" t="s">
        <v>479</v>
      </c>
      <c r="F676" s="275" t="s">
        <v>1155</v>
      </c>
      <c r="G676" s="278">
        <v>43539.6</v>
      </c>
      <c r="H676" s="280">
        <f t="shared" si="20"/>
        <v>4.0677339154550464E-3</v>
      </c>
      <c r="I676" s="275"/>
      <c r="J676" s="275" t="s">
        <v>1717</v>
      </c>
      <c r="K676" s="275" t="s">
        <v>1155</v>
      </c>
      <c r="L676" s="275">
        <v>120</v>
      </c>
      <c r="M676" s="280">
        <f t="shared" si="21"/>
        <v>-9.5741168702541818E-3</v>
      </c>
    </row>
    <row r="677" spans="1:13">
      <c r="A677" s="275"/>
      <c r="B677" s="275"/>
      <c r="C677" s="275"/>
      <c r="D677" s="275"/>
      <c r="E677" s="275" t="s">
        <v>479</v>
      </c>
      <c r="F677" s="275" t="s">
        <v>1156</v>
      </c>
      <c r="G677" s="278">
        <v>44309.74</v>
      </c>
      <c r="H677" s="280">
        <f t="shared" si="20"/>
        <v>1.7688265395180466E-2</v>
      </c>
      <c r="I677" s="275"/>
      <c r="J677" s="275" t="s">
        <v>1717</v>
      </c>
      <c r="K677" s="275" t="s">
        <v>1156</v>
      </c>
      <c r="L677" s="275">
        <v>119.31</v>
      </c>
      <c r="M677" s="280">
        <f t="shared" si="21"/>
        <v>-5.7499999999999808E-3</v>
      </c>
    </row>
    <row r="678" spans="1:13">
      <c r="A678" s="275"/>
      <c r="B678" s="275"/>
      <c r="C678" s="275"/>
      <c r="D678" s="275"/>
      <c r="E678" s="275" t="s">
        <v>479</v>
      </c>
      <c r="F678" s="275" t="s">
        <v>1157</v>
      </c>
      <c r="G678" s="278">
        <v>44645.95</v>
      </c>
      <c r="H678" s="280">
        <f t="shared" si="20"/>
        <v>7.5877222479752565E-3</v>
      </c>
      <c r="I678" s="275"/>
      <c r="J678" s="275" t="s">
        <v>1717</v>
      </c>
      <c r="K678" s="275" t="s">
        <v>1157</v>
      </c>
      <c r="L678" s="275">
        <v>118.65</v>
      </c>
      <c r="M678" s="280">
        <f t="shared" si="21"/>
        <v>-5.5318078953985128E-3</v>
      </c>
    </row>
    <row r="679" spans="1:13">
      <c r="A679" s="275"/>
      <c r="B679" s="275"/>
      <c r="C679" s="275"/>
      <c r="D679" s="275"/>
      <c r="E679" s="275" t="s">
        <v>479</v>
      </c>
      <c r="F679" s="275" t="s">
        <v>1158</v>
      </c>
      <c r="G679" s="278">
        <v>45030.22</v>
      </c>
      <c r="H679" s="280">
        <f t="shared" si="20"/>
        <v>8.6070517034580758E-3</v>
      </c>
      <c r="I679" s="275"/>
      <c r="J679" s="275" t="s">
        <v>1717</v>
      </c>
      <c r="K679" s="275" t="s">
        <v>1158</v>
      </c>
      <c r="L679" s="275">
        <v>124.5</v>
      </c>
      <c r="M679" s="280">
        <f t="shared" si="21"/>
        <v>4.9304677623261642E-2</v>
      </c>
    </row>
    <row r="680" spans="1:13">
      <c r="A680" s="275"/>
      <c r="B680" s="275"/>
      <c r="C680" s="275"/>
      <c r="D680" s="275"/>
      <c r="E680" s="275" t="s">
        <v>479</v>
      </c>
      <c r="F680" s="275" t="s">
        <v>1159</v>
      </c>
      <c r="G680" s="278">
        <v>45083.57</v>
      </c>
      <c r="H680" s="280">
        <f t="shared" si="20"/>
        <v>1.1847599234469329E-3</v>
      </c>
      <c r="I680" s="275"/>
      <c r="J680" s="275" t="s">
        <v>1717</v>
      </c>
      <c r="K680" s="275" t="s">
        <v>1159</v>
      </c>
      <c r="L680" s="275">
        <v>124.56</v>
      </c>
      <c r="M680" s="280">
        <f t="shared" si="21"/>
        <v>4.8192771084339174E-4</v>
      </c>
    </row>
    <row r="681" spans="1:13">
      <c r="A681" s="275"/>
      <c r="B681" s="275"/>
      <c r="C681" s="275"/>
      <c r="D681" s="275"/>
      <c r="E681" s="275" t="s">
        <v>479</v>
      </c>
      <c r="F681" s="275" t="s">
        <v>1160</v>
      </c>
      <c r="G681" s="278">
        <v>45004.19</v>
      </c>
      <c r="H681" s="280">
        <f t="shared" si="20"/>
        <v>-1.7607301285146092E-3</v>
      </c>
      <c r="I681" s="275"/>
      <c r="J681" s="275" t="s">
        <v>1717</v>
      </c>
      <c r="K681" s="275" t="s">
        <v>1160</v>
      </c>
      <c r="L681" s="275">
        <v>122.32</v>
      </c>
      <c r="M681" s="280">
        <f t="shared" si="21"/>
        <v>-1.7983301220295511E-2</v>
      </c>
    </row>
    <row r="682" spans="1:13">
      <c r="A682" s="275"/>
      <c r="B682" s="275"/>
      <c r="C682" s="275"/>
      <c r="D682" s="275"/>
      <c r="E682" s="275" t="s">
        <v>479</v>
      </c>
      <c r="F682" s="275" t="s">
        <v>1161</v>
      </c>
      <c r="G682" s="278">
        <v>45172.99</v>
      </c>
      <c r="H682" s="280">
        <f t="shared" si="20"/>
        <v>3.7507618735054585E-3</v>
      </c>
      <c r="I682" s="275"/>
      <c r="J682" s="275" t="s">
        <v>1717</v>
      </c>
      <c r="K682" s="275" t="s">
        <v>1161</v>
      </c>
      <c r="L682" s="275">
        <v>123.85</v>
      </c>
      <c r="M682" s="280">
        <f t="shared" si="21"/>
        <v>1.2508175277959461E-2</v>
      </c>
    </row>
    <row r="683" spans="1:13">
      <c r="A683" s="275"/>
      <c r="B683" s="275"/>
      <c r="C683" s="275"/>
      <c r="D683" s="275"/>
      <c r="E683" s="275" t="s">
        <v>479</v>
      </c>
      <c r="F683" s="275" t="s">
        <v>1162</v>
      </c>
      <c r="G683" s="278">
        <v>45489.62</v>
      </c>
      <c r="H683" s="280">
        <f t="shared" si="20"/>
        <v>7.0092770038025966E-3</v>
      </c>
      <c r="I683" s="275"/>
      <c r="J683" s="275" t="s">
        <v>1717</v>
      </c>
      <c r="K683" s="275" t="s">
        <v>1162</v>
      </c>
      <c r="L683" s="275">
        <v>124.69</v>
      </c>
      <c r="M683" s="280">
        <f t="shared" si="21"/>
        <v>6.78239806217201E-3</v>
      </c>
    </row>
    <row r="684" spans="1:13">
      <c r="A684" s="275"/>
      <c r="B684" s="275"/>
      <c r="C684" s="275"/>
      <c r="D684" s="275"/>
      <c r="E684" s="275" t="s">
        <v>479</v>
      </c>
      <c r="F684" s="275" t="s">
        <v>1163</v>
      </c>
      <c r="G684" s="278">
        <v>45560.3</v>
      </c>
      <c r="H684" s="280">
        <f t="shared" si="20"/>
        <v>1.5537610558188943E-3</v>
      </c>
      <c r="I684" s="275"/>
      <c r="J684" s="275" t="s">
        <v>1717</v>
      </c>
      <c r="K684" s="275" t="s">
        <v>1163</v>
      </c>
      <c r="L684" s="275">
        <v>123.15</v>
      </c>
      <c r="M684" s="280">
        <f t="shared" si="21"/>
        <v>-1.235062956131199E-2</v>
      </c>
    </row>
    <row r="685" spans="1:13">
      <c r="A685" s="275"/>
      <c r="B685" s="275"/>
      <c r="C685" s="275"/>
      <c r="D685" s="275"/>
      <c r="E685" s="275" t="s">
        <v>479</v>
      </c>
      <c r="F685" s="275" t="s">
        <v>1164</v>
      </c>
      <c r="G685" s="278">
        <v>45741.43</v>
      </c>
      <c r="H685" s="280">
        <f t="shared" si="20"/>
        <v>3.975610344971332E-3</v>
      </c>
      <c r="I685" s="275"/>
      <c r="J685" s="275" t="s">
        <v>1717</v>
      </c>
      <c r="K685" s="275" t="s">
        <v>1164</v>
      </c>
      <c r="L685" s="275">
        <v>129.22999999999999</v>
      </c>
      <c r="M685" s="280">
        <f t="shared" si="21"/>
        <v>4.9370686155095281E-2</v>
      </c>
    </row>
    <row r="686" spans="1:13">
      <c r="A686" s="275"/>
      <c r="B686" s="275"/>
      <c r="C686" s="275"/>
      <c r="D686" s="275"/>
      <c r="E686" s="275" t="s">
        <v>479</v>
      </c>
      <c r="F686" s="275" t="s">
        <v>1165</v>
      </c>
      <c r="G686" s="278">
        <v>46013.34</v>
      </c>
      <c r="H686" s="280">
        <f t="shared" si="20"/>
        <v>5.9445015164588475E-3</v>
      </c>
      <c r="I686" s="275"/>
      <c r="J686" s="275" t="s">
        <v>1717</v>
      </c>
      <c r="K686" s="275" t="s">
        <v>1165</v>
      </c>
      <c r="L686" s="275">
        <v>127.85</v>
      </c>
      <c r="M686" s="280">
        <f t="shared" si="21"/>
        <v>-1.0678634991874917E-2</v>
      </c>
    </row>
    <row r="687" spans="1:13">
      <c r="A687" s="275"/>
      <c r="B687" s="275"/>
      <c r="C687" s="275"/>
      <c r="D687" s="275"/>
      <c r="E687" s="275" t="s">
        <v>479</v>
      </c>
      <c r="F687" s="275" t="s">
        <v>1166</v>
      </c>
      <c r="G687" s="278">
        <v>46103.61</v>
      </c>
      <c r="H687" s="280">
        <f t="shared" si="20"/>
        <v>1.9618223758589158E-3</v>
      </c>
      <c r="I687" s="275"/>
      <c r="J687" s="275" t="s">
        <v>1717</v>
      </c>
      <c r="K687" s="275" t="s">
        <v>1166</v>
      </c>
      <c r="L687" s="275">
        <v>126.15</v>
      </c>
      <c r="M687" s="280">
        <f t="shared" si="21"/>
        <v>-1.3296832225263892E-2</v>
      </c>
    </row>
    <row r="688" spans="1:13">
      <c r="A688" s="275"/>
      <c r="B688" s="275"/>
      <c r="C688" s="275"/>
      <c r="D688" s="275"/>
      <c r="E688" s="275" t="s">
        <v>479</v>
      </c>
      <c r="F688" s="275" t="s">
        <v>1167</v>
      </c>
      <c r="G688" s="278">
        <v>46560.82</v>
      </c>
      <c r="H688" s="280">
        <f t="shared" si="20"/>
        <v>9.9170108371123018E-3</v>
      </c>
      <c r="I688" s="275"/>
      <c r="J688" s="275" t="s">
        <v>1717</v>
      </c>
      <c r="K688" s="275" t="s">
        <v>1167</v>
      </c>
      <c r="L688" s="275">
        <v>126.55</v>
      </c>
      <c r="M688" s="280">
        <f t="shared" si="21"/>
        <v>3.1708283789139233E-3</v>
      </c>
    </row>
    <row r="689" spans="1:13">
      <c r="A689" s="275"/>
      <c r="B689" s="275"/>
      <c r="C689" s="275"/>
      <c r="D689" s="275"/>
      <c r="E689" s="275" t="s">
        <v>479</v>
      </c>
      <c r="F689" s="275" t="s">
        <v>1168</v>
      </c>
      <c r="G689" s="278">
        <v>46637.62</v>
      </c>
      <c r="H689" s="280">
        <f t="shared" si="20"/>
        <v>1.6494554863939878E-3</v>
      </c>
      <c r="I689" s="275"/>
      <c r="J689" s="275" t="s">
        <v>1717</v>
      </c>
      <c r="K689" s="275" t="s">
        <v>1168</v>
      </c>
      <c r="L689" s="275">
        <v>125.85</v>
      </c>
      <c r="M689" s="280">
        <f t="shared" si="21"/>
        <v>-5.5314105096799905E-3</v>
      </c>
    </row>
    <row r="690" spans="1:13">
      <c r="A690" s="275"/>
      <c r="B690" s="275"/>
      <c r="C690" s="275"/>
      <c r="D690" s="275"/>
      <c r="E690" s="275" t="s">
        <v>479</v>
      </c>
      <c r="F690" s="275" t="s">
        <v>1169</v>
      </c>
      <c r="G690" s="278">
        <v>46580.62</v>
      </c>
      <c r="H690" s="280">
        <f t="shared" si="20"/>
        <v>-1.2221892969666976E-3</v>
      </c>
      <c r="I690" s="275"/>
      <c r="J690" s="275" t="s">
        <v>1717</v>
      </c>
      <c r="K690" s="275" t="s">
        <v>1169</v>
      </c>
      <c r="L690" s="275">
        <v>126.15</v>
      </c>
      <c r="M690" s="280">
        <f t="shared" si="21"/>
        <v>2.383790226460162E-3</v>
      </c>
    </row>
    <row r="691" spans="1:13">
      <c r="A691" s="275"/>
      <c r="B691" s="275"/>
      <c r="C691" s="275"/>
      <c r="D691" s="275"/>
      <c r="E691" s="275" t="s">
        <v>479</v>
      </c>
      <c r="F691" s="275" t="s">
        <v>1170</v>
      </c>
      <c r="G691" s="278">
        <v>46476.73</v>
      </c>
      <c r="H691" s="280">
        <f t="shared" si="20"/>
        <v>-2.2303266895116339E-3</v>
      </c>
      <c r="I691" s="275"/>
      <c r="J691" s="275" t="s">
        <v>1717</v>
      </c>
      <c r="K691" s="275" t="s">
        <v>1170</v>
      </c>
      <c r="L691" s="275">
        <v>126.54</v>
      </c>
      <c r="M691" s="280">
        <f t="shared" si="21"/>
        <v>3.0915576694411457E-3</v>
      </c>
    </row>
    <row r="692" spans="1:13">
      <c r="A692" s="275"/>
      <c r="B692" s="275"/>
      <c r="C692" s="275"/>
      <c r="D692" s="275"/>
      <c r="E692" s="275" t="s">
        <v>479</v>
      </c>
      <c r="F692" s="275" t="s">
        <v>1171</v>
      </c>
      <c r="G692" s="278">
        <v>46486.49</v>
      </c>
      <c r="H692" s="280">
        <f t="shared" si="20"/>
        <v>2.0999756222080945E-4</v>
      </c>
      <c r="I692" s="275"/>
      <c r="J692" s="275" t="s">
        <v>1717</v>
      </c>
      <c r="K692" s="275" t="s">
        <v>1171</v>
      </c>
      <c r="L692" s="275">
        <v>126.92</v>
      </c>
      <c r="M692" s="280">
        <f t="shared" si="21"/>
        <v>3.003003003002967E-3</v>
      </c>
    </row>
    <row r="693" spans="1:13">
      <c r="A693" s="275"/>
      <c r="B693" s="275"/>
      <c r="C693" s="275"/>
      <c r="D693" s="275"/>
      <c r="E693" s="275" t="s">
        <v>479</v>
      </c>
      <c r="F693" s="275" t="s">
        <v>1172</v>
      </c>
      <c r="G693" s="278">
        <v>46331.71</v>
      </c>
      <c r="H693" s="280">
        <f t="shared" si="20"/>
        <v>-3.3295695157883258E-3</v>
      </c>
      <c r="I693" s="275"/>
      <c r="J693" s="275" t="s">
        <v>1717</v>
      </c>
      <c r="K693" s="275" t="s">
        <v>1172</v>
      </c>
      <c r="L693" s="275">
        <v>125.42</v>
      </c>
      <c r="M693" s="280">
        <f t="shared" si="21"/>
        <v>-1.1818468326504884E-2</v>
      </c>
    </row>
    <row r="694" spans="1:13">
      <c r="A694" s="275"/>
      <c r="B694" s="275"/>
      <c r="C694" s="275"/>
      <c r="D694" s="275"/>
      <c r="E694" s="275" t="s">
        <v>479</v>
      </c>
      <c r="F694" s="275" t="s">
        <v>1173</v>
      </c>
      <c r="G694" s="278">
        <v>46071.86</v>
      </c>
      <c r="H694" s="280">
        <f t="shared" si="20"/>
        <v>-5.6084698794842359E-3</v>
      </c>
      <c r="I694" s="275"/>
      <c r="J694" s="275" t="s">
        <v>1717</v>
      </c>
      <c r="K694" s="275" t="s">
        <v>1173</v>
      </c>
      <c r="L694" s="275">
        <v>124.23</v>
      </c>
      <c r="M694" s="280">
        <f t="shared" si="21"/>
        <v>-9.4881199170785968E-3</v>
      </c>
    </row>
    <row r="695" spans="1:13">
      <c r="A695" s="275"/>
      <c r="B695" s="275"/>
      <c r="C695" s="275"/>
      <c r="D695" s="275"/>
      <c r="E695" s="275" t="s">
        <v>479</v>
      </c>
      <c r="F695" s="275" t="s">
        <v>1174</v>
      </c>
      <c r="G695" s="278">
        <v>45682.239999999998</v>
      </c>
      <c r="H695" s="280">
        <f t="shared" si="20"/>
        <v>-8.4567890247974065E-3</v>
      </c>
      <c r="I695" s="275"/>
      <c r="J695" s="275" t="s">
        <v>1717</v>
      </c>
      <c r="K695" s="275" t="s">
        <v>1174</v>
      </c>
      <c r="L695" s="275">
        <v>123.08</v>
      </c>
      <c r="M695" s="280">
        <f t="shared" si="21"/>
        <v>-9.2570232633019858E-3</v>
      </c>
    </row>
    <row r="696" spans="1:13">
      <c r="A696" s="275"/>
      <c r="B696" s="275"/>
      <c r="C696" s="275"/>
      <c r="D696" s="275"/>
      <c r="E696" s="275" t="s">
        <v>479</v>
      </c>
      <c r="F696" s="275" t="s">
        <v>1175</v>
      </c>
      <c r="G696" s="278">
        <v>45801.73</v>
      </c>
      <c r="H696" s="280">
        <f t="shared" si="20"/>
        <v>2.6156773398153255E-3</v>
      </c>
      <c r="I696" s="275"/>
      <c r="J696" s="275" t="s">
        <v>1717</v>
      </c>
      <c r="K696" s="275" t="s">
        <v>1175</v>
      </c>
      <c r="L696" s="275">
        <v>119.23</v>
      </c>
      <c r="M696" s="280">
        <f t="shared" si="21"/>
        <v>-3.1280467988300246E-2</v>
      </c>
    </row>
    <row r="697" spans="1:13">
      <c r="A697" s="275"/>
      <c r="B697" s="275"/>
      <c r="C697" s="275"/>
      <c r="D697" s="275"/>
      <c r="E697" s="275" t="s">
        <v>479</v>
      </c>
      <c r="F697" s="275" t="s">
        <v>1176</v>
      </c>
      <c r="G697" s="278">
        <v>45478.63</v>
      </c>
      <c r="H697" s="280">
        <f t="shared" si="20"/>
        <v>-7.0543186905823382E-3</v>
      </c>
      <c r="I697" s="275"/>
      <c r="J697" s="275" t="s">
        <v>1717</v>
      </c>
      <c r="K697" s="275" t="s">
        <v>1176</v>
      </c>
      <c r="L697" s="275">
        <v>120.77</v>
      </c>
      <c r="M697" s="280">
        <f t="shared" si="21"/>
        <v>1.2916212362660337E-2</v>
      </c>
    </row>
    <row r="698" spans="1:13">
      <c r="A698" s="275"/>
      <c r="B698" s="275"/>
      <c r="C698" s="275"/>
      <c r="D698" s="275"/>
      <c r="E698" s="275" t="s">
        <v>479</v>
      </c>
      <c r="F698" s="275" t="s">
        <v>1177</v>
      </c>
      <c r="G698" s="278">
        <v>45387.77</v>
      </c>
      <c r="H698" s="280">
        <f t="shared" si="20"/>
        <v>-1.9978614131516406E-3</v>
      </c>
      <c r="I698" s="275"/>
      <c r="J698" s="275" t="s">
        <v>1717</v>
      </c>
      <c r="K698" s="275" t="s">
        <v>1177</v>
      </c>
      <c r="L698" s="275">
        <v>120.72</v>
      </c>
      <c r="M698" s="280">
        <f t="shared" si="21"/>
        <v>-4.1401010184646152E-4</v>
      </c>
    </row>
    <row r="699" spans="1:13">
      <c r="A699" s="275"/>
      <c r="B699" s="275"/>
      <c r="C699" s="275"/>
      <c r="D699" s="275"/>
      <c r="E699" s="275" t="s">
        <v>479</v>
      </c>
      <c r="F699" s="275" t="s">
        <v>1178</v>
      </c>
      <c r="G699" s="278">
        <v>45259.34</v>
      </c>
      <c r="H699" s="280">
        <f t="shared" si="20"/>
        <v>-2.8296168769692872E-3</v>
      </c>
      <c r="I699" s="275"/>
      <c r="J699" s="275" t="s">
        <v>1717</v>
      </c>
      <c r="K699" s="275" t="s">
        <v>1178</v>
      </c>
      <c r="L699" s="275">
        <v>119.62</v>
      </c>
      <c r="M699" s="280">
        <f t="shared" si="21"/>
        <v>-9.1119946984757651E-3</v>
      </c>
    </row>
    <row r="700" spans="1:13">
      <c r="A700" s="275"/>
      <c r="B700" s="275"/>
      <c r="C700" s="275"/>
      <c r="D700" s="275"/>
      <c r="E700" s="275" t="s">
        <v>479</v>
      </c>
      <c r="F700" s="275" t="s">
        <v>1179</v>
      </c>
      <c r="G700" s="278">
        <v>45371.95</v>
      </c>
      <c r="H700" s="280">
        <f t="shared" si="20"/>
        <v>2.4881052176191831E-3</v>
      </c>
      <c r="I700" s="275"/>
      <c r="J700" s="275" t="s">
        <v>1717</v>
      </c>
      <c r="K700" s="275" t="s">
        <v>1179</v>
      </c>
      <c r="L700" s="275">
        <v>119.84</v>
      </c>
      <c r="M700" s="280">
        <f t="shared" si="21"/>
        <v>1.8391573315498985E-3</v>
      </c>
    </row>
    <row r="701" spans="1:13">
      <c r="A701" s="275"/>
      <c r="B701" s="275"/>
      <c r="C701" s="275"/>
      <c r="D701" s="275"/>
      <c r="E701" s="275" t="s">
        <v>479</v>
      </c>
      <c r="F701" s="275" t="s">
        <v>1180</v>
      </c>
      <c r="G701" s="278">
        <v>45876.7</v>
      </c>
      <c r="H701" s="280">
        <f t="shared" si="20"/>
        <v>1.1124714719116106E-2</v>
      </c>
      <c r="I701" s="275"/>
      <c r="J701" s="275" t="s">
        <v>1717</v>
      </c>
      <c r="K701" s="275" t="s">
        <v>1180</v>
      </c>
      <c r="L701" s="275">
        <v>118.88</v>
      </c>
      <c r="M701" s="280">
        <f t="shared" si="21"/>
        <v>-8.0106809078772361E-3</v>
      </c>
    </row>
    <row r="702" spans="1:13">
      <c r="A702" s="275"/>
      <c r="B702" s="275"/>
      <c r="C702" s="275"/>
      <c r="D702" s="275"/>
      <c r="E702" s="275" t="s">
        <v>479</v>
      </c>
      <c r="F702" s="275" t="s">
        <v>1181</v>
      </c>
      <c r="G702" s="278">
        <v>45718.34</v>
      </c>
      <c r="H702" s="280">
        <f t="shared" si="20"/>
        <v>-3.4518611844356851E-3</v>
      </c>
      <c r="I702" s="275"/>
      <c r="J702" s="275" t="s">
        <v>1717</v>
      </c>
      <c r="K702" s="275" t="s">
        <v>1181</v>
      </c>
      <c r="L702" s="275">
        <v>116.92</v>
      </c>
      <c r="M702" s="280">
        <f t="shared" si="21"/>
        <v>-1.6487213997308157E-2</v>
      </c>
    </row>
    <row r="703" spans="1:13">
      <c r="A703" s="275"/>
      <c r="B703" s="275"/>
      <c r="C703" s="275"/>
      <c r="D703" s="275"/>
      <c r="E703" s="275" t="s">
        <v>479</v>
      </c>
      <c r="F703" s="275" t="s">
        <v>1182</v>
      </c>
      <c r="G703" s="278">
        <v>45460.87</v>
      </c>
      <c r="H703" s="280">
        <f t="shared" si="20"/>
        <v>-5.631656792438087E-3</v>
      </c>
      <c r="I703" s="275"/>
      <c r="J703" s="275" t="s">
        <v>1717</v>
      </c>
      <c r="K703" s="275" t="s">
        <v>1182</v>
      </c>
      <c r="L703" s="275">
        <v>116.92</v>
      </c>
      <c r="M703" s="280">
        <f t="shared" si="21"/>
        <v>0</v>
      </c>
    </row>
    <row r="704" spans="1:13">
      <c r="A704" s="275"/>
      <c r="B704" s="275"/>
      <c r="C704" s="275"/>
      <c r="D704" s="275"/>
      <c r="E704" s="275" t="s">
        <v>479</v>
      </c>
      <c r="F704" s="275" t="s">
        <v>1183</v>
      </c>
      <c r="G704" s="278">
        <v>45542.78</v>
      </c>
      <c r="H704" s="280">
        <f t="shared" si="20"/>
        <v>1.8017693018192616E-3</v>
      </c>
      <c r="I704" s="275"/>
      <c r="J704" s="275" t="s">
        <v>1717</v>
      </c>
      <c r="K704" s="275" t="s">
        <v>1183</v>
      </c>
      <c r="L704" s="275">
        <v>115.77</v>
      </c>
      <c r="M704" s="280">
        <f t="shared" si="21"/>
        <v>-9.8357851522408966E-3</v>
      </c>
    </row>
    <row r="705" spans="1:13">
      <c r="A705" s="275"/>
      <c r="B705" s="275"/>
      <c r="C705" s="275"/>
      <c r="D705" s="275"/>
      <c r="E705" s="275" t="s">
        <v>479</v>
      </c>
      <c r="F705" s="275" t="s">
        <v>1184</v>
      </c>
      <c r="G705" s="278">
        <v>45488.86</v>
      </c>
      <c r="H705" s="280">
        <f t="shared" si="20"/>
        <v>-1.1839417795751217E-3</v>
      </c>
      <c r="I705" s="275"/>
      <c r="J705" s="275" t="s">
        <v>1717</v>
      </c>
      <c r="K705" s="275" t="s">
        <v>1184</v>
      </c>
      <c r="L705" s="275">
        <v>113.46</v>
      </c>
      <c r="M705" s="280">
        <f t="shared" si="21"/>
        <v>-1.9953355791655889E-2</v>
      </c>
    </row>
    <row r="706" spans="1:13">
      <c r="A706" s="275"/>
      <c r="B706" s="275"/>
      <c r="C706" s="275"/>
      <c r="D706" s="275"/>
      <c r="E706" s="275" t="s">
        <v>479</v>
      </c>
      <c r="F706" s="275" t="s">
        <v>1185</v>
      </c>
      <c r="G706" s="278">
        <v>45196.37</v>
      </c>
      <c r="H706" s="280">
        <f t="shared" si="20"/>
        <v>-6.4299259203241836E-3</v>
      </c>
      <c r="I706" s="275"/>
      <c r="J706" s="275" t="s">
        <v>1717</v>
      </c>
      <c r="K706" s="275" t="s">
        <v>1185</v>
      </c>
      <c r="L706" s="275">
        <v>113.08</v>
      </c>
      <c r="M706" s="280">
        <f t="shared" si="21"/>
        <v>-3.3491979552264716E-3</v>
      </c>
    </row>
    <row r="707" spans="1:13">
      <c r="A707" s="275"/>
      <c r="B707" s="275"/>
      <c r="C707" s="275"/>
      <c r="D707" s="275"/>
      <c r="E707" s="275" t="s">
        <v>479</v>
      </c>
      <c r="F707" s="275" t="s">
        <v>1186</v>
      </c>
      <c r="G707" s="278">
        <v>44746.63</v>
      </c>
      <c r="H707" s="280">
        <f t="shared" si="20"/>
        <v>-9.9507991460377285E-3</v>
      </c>
      <c r="I707" s="275"/>
      <c r="J707" s="275" t="s">
        <v>1717</v>
      </c>
      <c r="K707" s="275" t="s">
        <v>1186</v>
      </c>
      <c r="L707" s="275">
        <v>111.73</v>
      </c>
      <c r="M707" s="280">
        <f t="shared" si="21"/>
        <v>-1.1938450654403911E-2</v>
      </c>
    </row>
    <row r="708" spans="1:13">
      <c r="A708" s="275"/>
      <c r="B708" s="275"/>
      <c r="C708" s="275"/>
      <c r="D708" s="275"/>
      <c r="E708" s="275" t="s">
        <v>479</v>
      </c>
      <c r="F708" s="275" t="s">
        <v>1187</v>
      </c>
      <c r="G708" s="278">
        <v>44536.91</v>
      </c>
      <c r="H708" s="280">
        <f t="shared" ref="H708:H771" si="22">(G708-G707)/G707</f>
        <v>-4.6868333995206766E-3</v>
      </c>
      <c r="I708" s="275"/>
      <c r="J708" s="275" t="s">
        <v>1717</v>
      </c>
      <c r="K708" s="275" t="s">
        <v>1187</v>
      </c>
      <c r="L708" s="275">
        <v>110.58</v>
      </c>
      <c r="M708" s="280">
        <f t="shared" ref="M708:M771" si="23">(L708-L707)/L707</f>
        <v>-1.029266982905223E-2</v>
      </c>
    </row>
    <row r="709" spans="1:13">
      <c r="A709" s="275"/>
      <c r="B709" s="275"/>
      <c r="C709" s="275"/>
      <c r="D709" s="275"/>
      <c r="E709" s="275" t="s">
        <v>479</v>
      </c>
      <c r="F709" s="275" t="s">
        <v>1188</v>
      </c>
      <c r="G709" s="278">
        <v>44378.52</v>
      </c>
      <c r="H709" s="280">
        <f t="shared" si="22"/>
        <v>-3.556376048540563E-3</v>
      </c>
      <c r="I709" s="275"/>
      <c r="J709" s="275" t="s">
        <v>1717</v>
      </c>
      <c r="K709" s="275" t="s">
        <v>1188</v>
      </c>
      <c r="L709" s="275">
        <v>109.23</v>
      </c>
      <c r="M709" s="280">
        <f t="shared" si="23"/>
        <v>-1.2208355941399841E-2</v>
      </c>
    </row>
    <row r="710" spans="1:13">
      <c r="A710" s="275"/>
      <c r="B710" s="275"/>
      <c r="C710" s="275"/>
      <c r="D710" s="275"/>
      <c r="E710" s="275" t="s">
        <v>479</v>
      </c>
      <c r="F710" s="275" t="s">
        <v>1189</v>
      </c>
      <c r="G710" s="278">
        <v>44066.96</v>
      </c>
      <c r="H710" s="280">
        <f t="shared" si="22"/>
        <v>-7.020513527715609E-3</v>
      </c>
      <c r="I710" s="275"/>
      <c r="J710" s="275" t="s">
        <v>1717</v>
      </c>
      <c r="K710" s="275" t="s">
        <v>1189</v>
      </c>
      <c r="L710" s="275">
        <v>109.23</v>
      </c>
      <c r="M710" s="280">
        <f t="shared" si="23"/>
        <v>0</v>
      </c>
    </row>
    <row r="711" spans="1:13">
      <c r="A711" s="275"/>
      <c r="B711" s="275"/>
      <c r="C711" s="275"/>
      <c r="D711" s="275"/>
      <c r="E711" s="275" t="s">
        <v>479</v>
      </c>
      <c r="F711" s="275" t="s">
        <v>1190</v>
      </c>
      <c r="G711" s="278">
        <v>43795</v>
      </c>
      <c r="H711" s="280">
        <f t="shared" si="22"/>
        <v>-6.171517163879676E-3</v>
      </c>
      <c r="I711" s="275"/>
      <c r="J711" s="275" t="s">
        <v>1717</v>
      </c>
      <c r="K711" s="275" t="s">
        <v>1190</v>
      </c>
      <c r="L711" s="275">
        <v>107.69</v>
      </c>
      <c r="M711" s="280">
        <f t="shared" si="23"/>
        <v>-1.4098690835851014E-2</v>
      </c>
    </row>
    <row r="712" spans="1:13">
      <c r="A712" s="275"/>
      <c r="B712" s="275"/>
      <c r="C712" s="275"/>
      <c r="D712" s="275"/>
      <c r="E712" s="275" t="s">
        <v>479</v>
      </c>
      <c r="F712" s="275" t="s">
        <v>1191</v>
      </c>
      <c r="G712" s="278">
        <v>43855.78</v>
      </c>
      <c r="H712" s="280">
        <f t="shared" si="22"/>
        <v>1.3878296609201699E-3</v>
      </c>
      <c r="I712" s="275"/>
      <c r="J712" s="275" t="s">
        <v>1717</v>
      </c>
      <c r="K712" s="275" t="s">
        <v>1191</v>
      </c>
      <c r="L712" s="275">
        <v>112.85</v>
      </c>
      <c r="M712" s="280">
        <f t="shared" si="23"/>
        <v>4.7915312470981491E-2</v>
      </c>
    </row>
    <row r="713" spans="1:13">
      <c r="A713" s="275"/>
      <c r="B713" s="275"/>
      <c r="C713" s="275"/>
      <c r="D713" s="275"/>
      <c r="E713" s="275" t="s">
        <v>479</v>
      </c>
      <c r="F713" s="275" t="s">
        <v>1192</v>
      </c>
      <c r="G713" s="278">
        <v>43594.79</v>
      </c>
      <c r="H713" s="280">
        <f t="shared" si="22"/>
        <v>-5.9510969819713154E-3</v>
      </c>
      <c r="I713" s="275"/>
      <c r="J713" s="275" t="s">
        <v>1717</v>
      </c>
      <c r="K713" s="275" t="s">
        <v>1192</v>
      </c>
      <c r="L713" s="275">
        <v>111.54</v>
      </c>
      <c r="M713" s="280">
        <f t="shared" si="23"/>
        <v>-1.1608329641116421E-2</v>
      </c>
    </row>
    <row r="714" spans="1:13">
      <c r="A714" s="275"/>
      <c r="B714" s="275"/>
      <c r="C714" s="275"/>
      <c r="D714" s="275"/>
      <c r="E714" s="275" t="s">
        <v>479</v>
      </c>
      <c r="F714" s="275" t="s">
        <v>1193</v>
      </c>
      <c r="G714" s="278">
        <v>42498.86</v>
      </c>
      <c r="H714" s="280">
        <f t="shared" si="22"/>
        <v>-2.5139013171069303E-2</v>
      </c>
      <c r="I714" s="275"/>
      <c r="J714" s="275" t="s">
        <v>1717</v>
      </c>
      <c r="K714" s="275" t="s">
        <v>1193</v>
      </c>
      <c r="L714" s="275">
        <v>106.54</v>
      </c>
      <c r="M714" s="280">
        <f t="shared" si="23"/>
        <v>-4.4826967903890978E-2</v>
      </c>
    </row>
    <row r="715" spans="1:13">
      <c r="A715" s="275"/>
      <c r="B715" s="275"/>
      <c r="C715" s="275"/>
      <c r="D715" s="275"/>
      <c r="E715" s="275" t="s">
        <v>479</v>
      </c>
      <c r="F715" s="275" t="s">
        <v>1194</v>
      </c>
      <c r="G715" s="278">
        <v>42459.53</v>
      </c>
      <c r="H715" s="280">
        <f t="shared" si="22"/>
        <v>-9.254365881814652E-4</v>
      </c>
      <c r="I715" s="275"/>
      <c r="J715" s="275" t="s">
        <v>1717</v>
      </c>
      <c r="K715" s="275" t="s">
        <v>1194</v>
      </c>
      <c r="L715" s="275">
        <v>107.69</v>
      </c>
      <c r="M715" s="280">
        <f t="shared" si="23"/>
        <v>1.079406795569731E-2</v>
      </c>
    </row>
    <row r="716" spans="1:13">
      <c r="A716" s="275"/>
      <c r="B716" s="275"/>
      <c r="C716" s="275"/>
      <c r="D716" s="275"/>
      <c r="E716" s="275" t="s">
        <v>479</v>
      </c>
      <c r="F716" s="275" t="s">
        <v>1195</v>
      </c>
      <c r="G716" s="278">
        <v>42301.2</v>
      </c>
      <c r="H716" s="280">
        <f t="shared" si="22"/>
        <v>-3.7289626145179128E-3</v>
      </c>
      <c r="I716" s="275"/>
      <c r="J716" s="275" t="s">
        <v>1717</v>
      </c>
      <c r="K716" s="275" t="s">
        <v>1195</v>
      </c>
      <c r="L716" s="275">
        <v>105.25</v>
      </c>
      <c r="M716" s="280">
        <f t="shared" si="23"/>
        <v>-2.265762837775093E-2</v>
      </c>
    </row>
    <row r="717" spans="1:13">
      <c r="A717" s="275"/>
      <c r="B717" s="275"/>
      <c r="C717" s="275"/>
      <c r="D717" s="275"/>
      <c r="E717" s="275" t="s">
        <v>479</v>
      </c>
      <c r="F717" s="275" t="s">
        <v>1196</v>
      </c>
      <c r="G717" s="278">
        <v>41869.65</v>
      </c>
      <c r="H717" s="280">
        <f t="shared" si="22"/>
        <v>-1.0201838245723424E-2</v>
      </c>
      <c r="I717" s="275"/>
      <c r="J717" s="275" t="s">
        <v>1717</v>
      </c>
      <c r="K717" s="275" t="s">
        <v>1196</v>
      </c>
      <c r="L717" s="275">
        <v>104.23</v>
      </c>
      <c r="M717" s="280">
        <f t="shared" si="23"/>
        <v>-9.6912114014251396E-3</v>
      </c>
    </row>
    <row r="718" spans="1:13">
      <c r="A718" s="275"/>
      <c r="B718" s="275"/>
      <c r="C718" s="275"/>
      <c r="D718" s="275"/>
      <c r="E718" s="275" t="s">
        <v>479</v>
      </c>
      <c r="F718" s="275" t="s">
        <v>1197</v>
      </c>
      <c r="G718" s="278">
        <v>41623.519999999997</v>
      </c>
      <c r="H718" s="280">
        <f t="shared" si="22"/>
        <v>-5.8784823852123117E-3</v>
      </c>
      <c r="I718" s="275"/>
      <c r="J718" s="275" t="s">
        <v>1717</v>
      </c>
      <c r="K718" s="275" t="s">
        <v>1197</v>
      </c>
      <c r="L718" s="275">
        <v>103.46</v>
      </c>
      <c r="M718" s="280">
        <f t="shared" si="23"/>
        <v>-7.3875083948960014E-3</v>
      </c>
    </row>
    <row r="719" spans="1:13">
      <c r="A719" s="275"/>
      <c r="B719" s="275"/>
      <c r="C719" s="275"/>
      <c r="D719" s="275"/>
      <c r="E719" s="275" t="s">
        <v>479</v>
      </c>
      <c r="F719" s="275" t="s">
        <v>1198</v>
      </c>
      <c r="G719" s="278">
        <v>41648.65</v>
      </c>
      <c r="H719" s="280">
        <f t="shared" si="22"/>
        <v>6.0374519021948788E-4</v>
      </c>
      <c r="I719" s="275"/>
      <c r="J719" s="275" t="s">
        <v>1717</v>
      </c>
      <c r="K719" s="275" t="s">
        <v>1198</v>
      </c>
      <c r="L719" s="275">
        <v>102.62</v>
      </c>
      <c r="M719" s="280">
        <f t="shared" si="23"/>
        <v>-8.1190798376182989E-3</v>
      </c>
    </row>
    <row r="720" spans="1:13">
      <c r="A720" s="275"/>
      <c r="B720" s="275"/>
      <c r="C720" s="275"/>
      <c r="D720" s="275"/>
      <c r="E720" s="275" t="s">
        <v>479</v>
      </c>
      <c r="F720" s="275" t="s">
        <v>1199</v>
      </c>
      <c r="G720" s="278">
        <v>42744.82</v>
      </c>
      <c r="H720" s="280">
        <f t="shared" si="22"/>
        <v>2.6319460534735176E-2</v>
      </c>
      <c r="I720" s="275"/>
      <c r="J720" s="275" t="s">
        <v>1717</v>
      </c>
      <c r="K720" s="275" t="s">
        <v>1199</v>
      </c>
      <c r="L720" s="275">
        <v>105.23</v>
      </c>
      <c r="M720" s="280">
        <f t="shared" si="23"/>
        <v>2.5433638666926519E-2</v>
      </c>
    </row>
    <row r="721" spans="1:13">
      <c r="A721" s="275"/>
      <c r="B721" s="275"/>
      <c r="C721" s="275"/>
      <c r="D721" s="275"/>
      <c r="E721" s="275" t="s">
        <v>479</v>
      </c>
      <c r="F721" s="275" t="s">
        <v>1200</v>
      </c>
      <c r="G721" s="278">
        <v>42772.25</v>
      </c>
      <c r="H721" s="280">
        <f t="shared" si="22"/>
        <v>6.4171518326665755E-4</v>
      </c>
      <c r="I721" s="275"/>
      <c r="J721" s="275" t="s">
        <v>1717</v>
      </c>
      <c r="K721" s="275" t="s">
        <v>1200</v>
      </c>
      <c r="L721" s="275">
        <v>105.3</v>
      </c>
      <c r="M721" s="280">
        <f t="shared" si="23"/>
        <v>6.6520954100535189E-4</v>
      </c>
    </row>
    <row r="722" spans="1:13">
      <c r="A722" s="275"/>
      <c r="B722" s="275"/>
      <c r="C722" s="275"/>
      <c r="D722" s="275"/>
      <c r="E722" s="275" t="s">
        <v>479</v>
      </c>
      <c r="F722" s="275" t="s">
        <v>1201</v>
      </c>
      <c r="G722" s="278">
        <v>42536.160000000003</v>
      </c>
      <c r="H722" s="280">
        <f t="shared" si="22"/>
        <v>-5.5197002729572677E-3</v>
      </c>
      <c r="I722" s="275"/>
      <c r="J722" s="275" t="s">
        <v>1717</v>
      </c>
      <c r="K722" s="275" t="s">
        <v>1201</v>
      </c>
      <c r="L722" s="275">
        <v>104.85</v>
      </c>
      <c r="M722" s="280">
        <f t="shared" si="23"/>
        <v>-4.2735042735043008E-3</v>
      </c>
    </row>
    <row r="723" spans="1:13">
      <c r="A723" s="275"/>
      <c r="B723" s="275"/>
      <c r="C723" s="275"/>
      <c r="D723" s="275"/>
      <c r="E723" s="275" t="s">
        <v>479</v>
      </c>
      <c r="F723" s="275" t="s">
        <v>1202</v>
      </c>
      <c r="G723" s="278">
        <v>42074.09</v>
      </c>
      <c r="H723" s="280">
        <f t="shared" si="22"/>
        <v>-1.0862992804240133E-2</v>
      </c>
      <c r="I723" s="275"/>
      <c r="J723" s="275" t="s">
        <v>1717</v>
      </c>
      <c r="K723" s="275" t="s">
        <v>1202</v>
      </c>
      <c r="L723" s="275">
        <v>104.77</v>
      </c>
      <c r="M723" s="280">
        <f t="shared" si="23"/>
        <v>-7.6299475441104722E-4</v>
      </c>
    </row>
    <row r="724" spans="1:13">
      <c r="A724" s="275"/>
      <c r="B724" s="275"/>
      <c r="C724" s="275"/>
      <c r="D724" s="275"/>
      <c r="E724" s="275" t="s">
        <v>479</v>
      </c>
      <c r="F724" s="275" t="s">
        <v>1203</v>
      </c>
      <c r="G724" s="278">
        <v>42138.57</v>
      </c>
      <c r="H724" s="280">
        <f t="shared" si="22"/>
        <v>1.5325346311709466E-3</v>
      </c>
      <c r="I724" s="275"/>
      <c r="J724" s="275" t="s">
        <v>1717</v>
      </c>
      <c r="K724" s="275" t="s">
        <v>1203</v>
      </c>
      <c r="L724" s="275">
        <v>104.84</v>
      </c>
      <c r="M724" s="280">
        <f t="shared" si="23"/>
        <v>6.6813018993993885E-4</v>
      </c>
    </row>
    <row r="725" spans="1:13">
      <c r="A725" s="275"/>
      <c r="B725" s="275"/>
      <c r="C725" s="275"/>
      <c r="D725" s="275"/>
      <c r="E725" s="275" t="s">
        <v>479</v>
      </c>
      <c r="F725" s="275" t="s">
        <v>1204</v>
      </c>
      <c r="G725" s="278">
        <v>42622.74</v>
      </c>
      <c r="H725" s="280">
        <f t="shared" si="22"/>
        <v>1.1489948519847689E-2</v>
      </c>
      <c r="I725" s="275"/>
      <c r="J725" s="275" t="s">
        <v>1717</v>
      </c>
      <c r="K725" s="275" t="s">
        <v>1204</v>
      </c>
      <c r="L725" s="275">
        <v>105.01</v>
      </c>
      <c r="M725" s="280">
        <f t="shared" si="23"/>
        <v>1.6215185043876544E-3</v>
      </c>
    </row>
    <row r="726" spans="1:13">
      <c r="A726" s="275"/>
      <c r="B726" s="275"/>
      <c r="C726" s="275"/>
      <c r="D726" s="275"/>
      <c r="E726" s="275" t="s">
        <v>479</v>
      </c>
      <c r="F726" s="275" t="s">
        <v>1205</v>
      </c>
      <c r="G726" s="278">
        <v>42546.48</v>
      </c>
      <c r="H726" s="280">
        <f t="shared" si="22"/>
        <v>-1.7891857726648913E-3</v>
      </c>
      <c r="I726" s="275"/>
      <c r="J726" s="275" t="s">
        <v>1717</v>
      </c>
      <c r="K726" s="275" t="s">
        <v>1205</v>
      </c>
      <c r="L726" s="275">
        <v>105.08</v>
      </c>
      <c r="M726" s="280">
        <f t="shared" si="23"/>
        <v>6.6660318064939701E-4</v>
      </c>
    </row>
    <row r="727" spans="1:13">
      <c r="A727" s="275"/>
      <c r="B727" s="275"/>
      <c r="C727" s="275"/>
      <c r="D727" s="275"/>
      <c r="E727" s="275" t="s">
        <v>479</v>
      </c>
      <c r="F727" s="275" t="s">
        <v>1206</v>
      </c>
      <c r="G727" s="278">
        <v>42846.64</v>
      </c>
      <c r="H727" s="280">
        <f t="shared" si="22"/>
        <v>7.0548726945212905E-3</v>
      </c>
      <c r="I727" s="275"/>
      <c r="J727" s="275" t="s">
        <v>1717</v>
      </c>
      <c r="K727" s="275" t="s">
        <v>1206</v>
      </c>
      <c r="L727" s="275">
        <v>105.38</v>
      </c>
      <c r="M727" s="280">
        <f t="shared" si="23"/>
        <v>2.8549676437000112E-3</v>
      </c>
    </row>
    <row r="728" spans="1:13">
      <c r="A728" s="275"/>
      <c r="B728" s="275"/>
      <c r="C728" s="275"/>
      <c r="D728" s="275"/>
      <c r="E728" s="275" t="s">
        <v>479</v>
      </c>
      <c r="F728" s="275" t="s">
        <v>1207</v>
      </c>
      <c r="G728" s="278">
        <v>42912.81</v>
      </c>
      <c r="H728" s="280">
        <f t="shared" si="22"/>
        <v>1.5443451341808426E-3</v>
      </c>
      <c r="I728" s="275"/>
      <c r="J728" s="275" t="s">
        <v>1717</v>
      </c>
      <c r="K728" s="275" t="s">
        <v>1207</v>
      </c>
      <c r="L728" s="275">
        <v>103.08</v>
      </c>
      <c r="M728" s="280">
        <f t="shared" si="23"/>
        <v>-2.182577339153537E-2</v>
      </c>
    </row>
    <row r="729" spans="1:13">
      <c r="A729" s="275"/>
      <c r="B729" s="275"/>
      <c r="C729" s="275"/>
      <c r="D729" s="275"/>
      <c r="E729" s="275" t="s">
        <v>479</v>
      </c>
      <c r="F729" s="275" t="s">
        <v>1208</v>
      </c>
      <c r="G729" s="278">
        <v>43268.29</v>
      </c>
      <c r="H729" s="280">
        <f t="shared" si="22"/>
        <v>8.2837735398824559E-3</v>
      </c>
      <c r="I729" s="275"/>
      <c r="J729" s="275" t="s">
        <v>1717</v>
      </c>
      <c r="K729" s="275" t="s">
        <v>1208</v>
      </c>
      <c r="L729" s="275">
        <v>104.77</v>
      </c>
      <c r="M729" s="280">
        <f t="shared" si="23"/>
        <v>1.6395032984090004E-2</v>
      </c>
    </row>
    <row r="730" spans="1:13">
      <c r="A730" s="275"/>
      <c r="B730" s="275"/>
      <c r="C730" s="275"/>
      <c r="D730" s="275"/>
      <c r="E730" s="275" t="s">
        <v>479</v>
      </c>
      <c r="F730" s="275" t="s">
        <v>1209</v>
      </c>
      <c r="G730" s="278">
        <v>43702.58</v>
      </c>
      <c r="H730" s="280">
        <f t="shared" si="22"/>
        <v>1.0037142674230963E-2</v>
      </c>
      <c r="I730" s="275"/>
      <c r="J730" s="275" t="s">
        <v>1717</v>
      </c>
      <c r="K730" s="275" t="s">
        <v>1209</v>
      </c>
      <c r="L730" s="275">
        <v>106.15</v>
      </c>
      <c r="M730" s="280">
        <f t="shared" si="23"/>
        <v>1.3171709458814639E-2</v>
      </c>
    </row>
    <row r="731" spans="1:13">
      <c r="A731" s="275"/>
      <c r="B731" s="275"/>
      <c r="C731" s="275"/>
      <c r="D731" s="275"/>
      <c r="E731" s="275" t="s">
        <v>479</v>
      </c>
      <c r="F731" s="275" t="s">
        <v>1210</v>
      </c>
      <c r="G731" s="278">
        <v>44144.2</v>
      </c>
      <c r="H731" s="280">
        <f t="shared" si="22"/>
        <v>1.0105124228363528E-2</v>
      </c>
      <c r="I731" s="275"/>
      <c r="J731" s="275" t="s">
        <v>1717</v>
      </c>
      <c r="K731" s="275" t="s">
        <v>1210</v>
      </c>
      <c r="L731" s="275">
        <v>106.73</v>
      </c>
      <c r="M731" s="280">
        <f t="shared" si="23"/>
        <v>5.4639660857277277E-3</v>
      </c>
    </row>
    <row r="732" spans="1:13">
      <c r="A732" s="275"/>
      <c r="B732" s="275"/>
      <c r="C732" s="275"/>
      <c r="D732" s="275"/>
      <c r="E732" s="275" t="s">
        <v>479</v>
      </c>
      <c r="F732" s="275" t="s">
        <v>1211</v>
      </c>
      <c r="G732" s="278">
        <v>43948.11</v>
      </c>
      <c r="H732" s="280">
        <f t="shared" si="22"/>
        <v>-4.442033154978378E-3</v>
      </c>
      <c r="I732" s="275"/>
      <c r="J732" s="275" t="s">
        <v>1717</v>
      </c>
      <c r="K732" s="275" t="s">
        <v>1211</v>
      </c>
      <c r="L732" s="275">
        <v>105.58</v>
      </c>
      <c r="M732" s="280">
        <f t="shared" si="23"/>
        <v>-1.0774852431368928E-2</v>
      </c>
    </row>
    <row r="733" spans="1:13">
      <c r="A733" s="275"/>
      <c r="B733" s="275"/>
      <c r="C733" s="275"/>
      <c r="D733" s="275"/>
      <c r="E733" s="275" t="s">
        <v>479</v>
      </c>
      <c r="F733" s="275" t="s">
        <v>1212</v>
      </c>
      <c r="G733" s="278">
        <v>43931.16</v>
      </c>
      <c r="H733" s="280">
        <f t="shared" si="22"/>
        <v>-3.8568211465742416E-4</v>
      </c>
      <c r="I733" s="275"/>
      <c r="J733" s="275" t="s">
        <v>1717</v>
      </c>
      <c r="K733" s="275" t="s">
        <v>1212</v>
      </c>
      <c r="L733" s="275">
        <v>102.12</v>
      </c>
      <c r="M733" s="280">
        <f t="shared" si="23"/>
        <v>-3.2771358211782474E-2</v>
      </c>
    </row>
    <row r="734" spans="1:13">
      <c r="A734" s="275"/>
      <c r="B734" s="275"/>
      <c r="C734" s="275"/>
      <c r="D734" s="275"/>
      <c r="E734" s="275" t="s">
        <v>479</v>
      </c>
      <c r="F734" s="275" t="s">
        <v>1213</v>
      </c>
      <c r="G734" s="278">
        <v>43228.9</v>
      </c>
      <c r="H734" s="280">
        <f t="shared" si="22"/>
        <v>-1.5985464531325873E-2</v>
      </c>
      <c r="I734" s="275"/>
      <c r="J734" s="275" t="s">
        <v>1717</v>
      </c>
      <c r="K734" s="275" t="s">
        <v>1213</v>
      </c>
      <c r="L734" s="275">
        <v>100.38</v>
      </c>
      <c r="M734" s="280">
        <f t="shared" si="23"/>
        <v>-1.7038777908343215E-2</v>
      </c>
    </row>
    <row r="735" spans="1:13">
      <c r="A735" s="275"/>
      <c r="B735" s="275"/>
      <c r="C735" s="275"/>
      <c r="D735" s="275"/>
      <c r="E735" s="275" t="s">
        <v>479</v>
      </c>
      <c r="F735" s="275" t="s">
        <v>1214</v>
      </c>
      <c r="G735" s="278">
        <v>43507.5</v>
      </c>
      <c r="H735" s="280">
        <f t="shared" si="22"/>
        <v>6.4447626472105132E-3</v>
      </c>
      <c r="I735" s="275"/>
      <c r="J735" s="275" t="s">
        <v>1717</v>
      </c>
      <c r="K735" s="275" t="s">
        <v>1214</v>
      </c>
      <c r="L735" s="275">
        <v>100.38</v>
      </c>
      <c r="M735" s="280">
        <f t="shared" si="23"/>
        <v>0</v>
      </c>
    </row>
    <row r="736" spans="1:13">
      <c r="A736" s="275"/>
      <c r="B736" s="275"/>
      <c r="C736" s="275"/>
      <c r="D736" s="275"/>
      <c r="E736" s="275" t="s">
        <v>479</v>
      </c>
      <c r="F736" s="275" t="s">
        <v>1215</v>
      </c>
      <c r="G736" s="278">
        <v>43680.68</v>
      </c>
      <c r="H736" s="280">
        <f t="shared" si="22"/>
        <v>3.9804631385393389E-3</v>
      </c>
      <c r="I736" s="275"/>
      <c r="J736" s="275" t="s">
        <v>1717</v>
      </c>
      <c r="K736" s="275" t="s">
        <v>1215</v>
      </c>
      <c r="L736" s="275">
        <v>100.38</v>
      </c>
      <c r="M736" s="280">
        <f t="shared" si="23"/>
        <v>0</v>
      </c>
    </row>
    <row r="737" spans="1:13">
      <c r="A737" s="275"/>
      <c r="B737" s="275"/>
      <c r="C737" s="275"/>
      <c r="D737" s="275"/>
      <c r="E737" s="275" t="s">
        <v>479</v>
      </c>
      <c r="F737" s="275" t="s">
        <v>1216</v>
      </c>
      <c r="G737" s="278">
        <v>43682.84</v>
      </c>
      <c r="H737" s="280">
        <f t="shared" si="22"/>
        <v>4.9449779627886209E-5</v>
      </c>
      <c r="I737" s="275"/>
      <c r="J737" s="275" t="s">
        <v>1717</v>
      </c>
      <c r="K737" s="275" t="s">
        <v>1216</v>
      </c>
      <c r="L737" s="275">
        <v>99.23</v>
      </c>
      <c r="M737" s="280">
        <f t="shared" si="23"/>
        <v>-1.1456465431360745E-2</v>
      </c>
    </row>
    <row r="738" spans="1:13">
      <c r="A738" s="275"/>
      <c r="B738" s="275"/>
      <c r="C738" s="275"/>
      <c r="D738" s="275"/>
      <c r="E738" s="275" t="s">
        <v>479</v>
      </c>
      <c r="F738" s="275" t="s">
        <v>1217</v>
      </c>
      <c r="G738" s="278">
        <v>43002.83</v>
      </c>
      <c r="H738" s="280">
        <f t="shared" si="22"/>
        <v>-1.5566982366530995E-2</v>
      </c>
      <c r="I738" s="275"/>
      <c r="J738" s="275" t="s">
        <v>1717</v>
      </c>
      <c r="K738" s="275" t="s">
        <v>1217</v>
      </c>
      <c r="L738" s="275">
        <v>96.54</v>
      </c>
      <c r="M738" s="280">
        <f t="shared" si="23"/>
        <v>-2.710873727703313E-2</v>
      </c>
    </row>
    <row r="739" spans="1:13">
      <c r="A739" s="275"/>
      <c r="B739" s="275"/>
      <c r="C739" s="275"/>
      <c r="D739" s="275"/>
      <c r="E739" s="275" t="s">
        <v>479</v>
      </c>
      <c r="F739" s="275" t="s">
        <v>1218</v>
      </c>
      <c r="G739" s="278">
        <v>42358.61</v>
      </c>
      <c r="H739" s="280">
        <f t="shared" si="22"/>
        <v>-1.4980874514537791E-2</v>
      </c>
      <c r="I739" s="275"/>
      <c r="J739" s="275" t="s">
        <v>1717</v>
      </c>
      <c r="K739" s="275" t="s">
        <v>1218</v>
      </c>
      <c r="L739" s="275">
        <v>95.77</v>
      </c>
      <c r="M739" s="280">
        <f t="shared" si="23"/>
        <v>-7.9759685104620909E-3</v>
      </c>
    </row>
    <row r="740" spans="1:13">
      <c r="A740" s="275"/>
      <c r="B740" s="275"/>
      <c r="C740" s="275"/>
      <c r="D740" s="275"/>
      <c r="E740" s="275" t="s">
        <v>479</v>
      </c>
      <c r="F740" s="275" t="s">
        <v>1219</v>
      </c>
      <c r="G740" s="278">
        <v>41637.379999999997</v>
      </c>
      <c r="H740" s="280">
        <f t="shared" si="22"/>
        <v>-1.702676268177835E-2</v>
      </c>
      <c r="I740" s="275"/>
      <c r="J740" s="275" t="s">
        <v>1717</v>
      </c>
      <c r="K740" s="275" t="s">
        <v>1219</v>
      </c>
      <c r="L740" s="275">
        <v>95</v>
      </c>
      <c r="M740" s="280">
        <f t="shared" si="23"/>
        <v>-8.0400960634853923E-3</v>
      </c>
    </row>
    <row r="741" spans="1:13">
      <c r="A741" s="275"/>
      <c r="B741" s="275"/>
      <c r="C741" s="275"/>
      <c r="D741" s="275"/>
      <c r="E741" s="275" t="s">
        <v>479</v>
      </c>
      <c r="F741" s="275" t="s">
        <v>1220</v>
      </c>
      <c r="G741" s="278">
        <v>40978.230000000003</v>
      </c>
      <c r="H741" s="280">
        <f t="shared" si="22"/>
        <v>-1.583072710146494E-2</v>
      </c>
      <c r="I741" s="275"/>
      <c r="J741" s="275" t="s">
        <v>1717</v>
      </c>
      <c r="K741" s="275" t="s">
        <v>1220</v>
      </c>
      <c r="L741" s="275">
        <v>92.31</v>
      </c>
      <c r="M741" s="280">
        <f t="shared" si="23"/>
        <v>-2.8315789473684187E-2</v>
      </c>
    </row>
    <row r="742" spans="1:13">
      <c r="A742" s="275"/>
      <c r="B742" s="275"/>
      <c r="C742" s="275"/>
      <c r="D742" s="275"/>
      <c r="E742" s="275" t="s">
        <v>479</v>
      </c>
      <c r="F742" s="275" t="s">
        <v>1221</v>
      </c>
      <c r="G742" s="278">
        <v>41246.089999999997</v>
      </c>
      <c r="H742" s="280">
        <f t="shared" si="22"/>
        <v>6.5366415289287334E-3</v>
      </c>
      <c r="I742" s="275"/>
      <c r="J742" s="275" t="s">
        <v>1717</v>
      </c>
      <c r="K742" s="275" t="s">
        <v>1221</v>
      </c>
      <c r="L742" s="275">
        <v>93.84</v>
      </c>
      <c r="M742" s="280">
        <f t="shared" si="23"/>
        <v>1.6574585635359129E-2</v>
      </c>
    </row>
    <row r="743" spans="1:13">
      <c r="A743" s="275"/>
      <c r="B743" s="275"/>
      <c r="C743" s="275"/>
      <c r="D743" s="275"/>
      <c r="E743" s="275" t="s">
        <v>479</v>
      </c>
      <c r="F743" s="275" t="s">
        <v>1222</v>
      </c>
      <c r="G743" s="278">
        <v>41717.99</v>
      </c>
      <c r="H743" s="280">
        <f t="shared" si="22"/>
        <v>1.1441084476128561E-2</v>
      </c>
      <c r="I743" s="275"/>
      <c r="J743" s="275" t="s">
        <v>1717</v>
      </c>
      <c r="K743" s="275" t="s">
        <v>1222</v>
      </c>
      <c r="L743" s="275">
        <v>94.23</v>
      </c>
      <c r="M743" s="280">
        <f t="shared" si="23"/>
        <v>4.1560102301790337E-3</v>
      </c>
    </row>
    <row r="744" spans="1:13">
      <c r="A744" s="275"/>
      <c r="B744" s="275"/>
      <c r="C744" s="275"/>
      <c r="D744" s="275"/>
      <c r="E744" s="275" t="s">
        <v>479</v>
      </c>
      <c r="F744" s="275" t="s">
        <v>1223</v>
      </c>
      <c r="G744" s="278">
        <v>41997.85</v>
      </c>
      <c r="H744" s="280">
        <f t="shared" si="22"/>
        <v>6.7083768896823793E-3</v>
      </c>
      <c r="I744" s="275"/>
      <c r="J744" s="275" t="s">
        <v>1717</v>
      </c>
      <c r="K744" s="275" t="s">
        <v>1223</v>
      </c>
      <c r="L744" s="275">
        <v>96.15</v>
      </c>
      <c r="M744" s="280">
        <f t="shared" si="23"/>
        <v>2.0375676536135007E-2</v>
      </c>
    </row>
    <row r="745" spans="1:13">
      <c r="A745" s="275"/>
      <c r="B745" s="275"/>
      <c r="C745" s="275"/>
      <c r="D745" s="275"/>
      <c r="E745" s="275" t="s">
        <v>479</v>
      </c>
      <c r="F745" s="275" t="s">
        <v>1224</v>
      </c>
      <c r="G745" s="278">
        <v>41910.9</v>
      </c>
      <c r="H745" s="280">
        <f t="shared" si="22"/>
        <v>-2.0703440771372129E-3</v>
      </c>
      <c r="I745" s="275"/>
      <c r="J745" s="275" t="s">
        <v>1717</v>
      </c>
      <c r="K745" s="275" t="s">
        <v>1224</v>
      </c>
      <c r="L745" s="275">
        <v>94.67</v>
      </c>
      <c r="M745" s="280">
        <f t="shared" si="23"/>
        <v>-1.5392615704628226E-2</v>
      </c>
    </row>
    <row r="746" spans="1:13">
      <c r="A746" s="275"/>
      <c r="B746" s="275"/>
      <c r="C746" s="275"/>
      <c r="D746" s="275"/>
      <c r="E746" s="275" t="s">
        <v>479</v>
      </c>
      <c r="F746" s="275" t="s">
        <v>1225</v>
      </c>
      <c r="G746" s="278">
        <v>41734.050000000003</v>
      </c>
      <c r="H746" s="280">
        <f t="shared" si="22"/>
        <v>-4.2196660057407156E-3</v>
      </c>
      <c r="I746" s="275"/>
      <c r="J746" s="275" t="s">
        <v>1717</v>
      </c>
      <c r="K746" s="275" t="s">
        <v>1225</v>
      </c>
      <c r="L746" s="275">
        <v>91.96</v>
      </c>
      <c r="M746" s="280">
        <f t="shared" si="23"/>
        <v>-2.8625752614344649E-2</v>
      </c>
    </row>
    <row r="747" spans="1:13">
      <c r="A747" s="275"/>
      <c r="B747" s="275"/>
      <c r="C747" s="275"/>
      <c r="D747" s="275"/>
      <c r="E747" s="275" t="s">
        <v>479</v>
      </c>
      <c r="F747" s="275" t="s">
        <v>1226</v>
      </c>
      <c r="G747" s="278">
        <v>41564.42</v>
      </c>
      <c r="H747" s="280">
        <f t="shared" si="22"/>
        <v>-4.06454681489107E-3</v>
      </c>
      <c r="I747" s="275"/>
      <c r="J747" s="275" t="s">
        <v>1717</v>
      </c>
      <c r="K747" s="275" t="s">
        <v>1226</v>
      </c>
      <c r="L747" s="275">
        <v>90.12</v>
      </c>
      <c r="M747" s="280">
        <f t="shared" si="23"/>
        <v>-2.0008699434536641E-2</v>
      </c>
    </row>
    <row r="748" spans="1:13">
      <c r="A748" s="275"/>
      <c r="B748" s="275"/>
      <c r="C748" s="275"/>
      <c r="D748" s="275"/>
      <c r="E748" s="275" t="s">
        <v>479</v>
      </c>
      <c r="F748" s="275" t="s">
        <v>1227</v>
      </c>
      <c r="G748" s="278">
        <v>40345.68</v>
      </c>
      <c r="H748" s="280">
        <f t="shared" si="22"/>
        <v>-2.9321713138304301E-2</v>
      </c>
      <c r="I748" s="275"/>
      <c r="J748" s="275" t="s">
        <v>1717</v>
      </c>
      <c r="K748" s="275" t="s">
        <v>1227</v>
      </c>
      <c r="L748" s="275">
        <v>85.95</v>
      </c>
      <c r="M748" s="280">
        <f t="shared" si="23"/>
        <v>-4.627163781624502E-2</v>
      </c>
    </row>
    <row r="749" spans="1:13">
      <c r="A749" s="275"/>
      <c r="B749" s="275"/>
      <c r="C749" s="275"/>
      <c r="D749" s="275"/>
      <c r="E749" s="275" t="s">
        <v>479</v>
      </c>
      <c r="F749" s="275" t="s">
        <v>1228</v>
      </c>
      <c r="G749" s="278">
        <v>40238.81</v>
      </c>
      <c r="H749" s="280">
        <f t="shared" si="22"/>
        <v>-2.6488585642874931E-3</v>
      </c>
      <c r="I749" s="275"/>
      <c r="J749" s="275" t="s">
        <v>1717</v>
      </c>
      <c r="K749" s="275" t="s">
        <v>1228</v>
      </c>
      <c r="L749" s="275">
        <v>85.5</v>
      </c>
      <c r="M749" s="280">
        <f t="shared" si="23"/>
        <v>-5.235602094240871E-3</v>
      </c>
    </row>
    <row r="750" spans="1:13">
      <c r="A750" s="275"/>
      <c r="B750" s="275"/>
      <c r="C750" s="275"/>
      <c r="D750" s="275"/>
      <c r="E750" s="275" t="s">
        <v>479</v>
      </c>
      <c r="F750" s="275" t="s">
        <v>1229</v>
      </c>
      <c r="G750" s="278">
        <v>40284.14</v>
      </c>
      <c r="H750" s="280">
        <f t="shared" si="22"/>
        <v>1.1265243678926326E-3</v>
      </c>
      <c r="I750" s="275"/>
      <c r="J750" s="275" t="s">
        <v>1717</v>
      </c>
      <c r="K750" s="275" t="s">
        <v>1229</v>
      </c>
      <c r="L750" s="275">
        <v>85.2</v>
      </c>
      <c r="M750" s="280">
        <f t="shared" si="23"/>
        <v>-3.5087719298245281E-3</v>
      </c>
    </row>
    <row r="751" spans="1:13">
      <c r="A751" s="275"/>
      <c r="B751" s="275"/>
      <c r="C751" s="275"/>
      <c r="D751" s="275"/>
      <c r="E751" s="275" t="s">
        <v>479</v>
      </c>
      <c r="F751" s="275" t="s">
        <v>1230</v>
      </c>
      <c r="G751" s="278">
        <v>39288.480000000003</v>
      </c>
      <c r="H751" s="280">
        <f t="shared" si="22"/>
        <v>-2.47159303884853E-2</v>
      </c>
      <c r="I751" s="275"/>
      <c r="J751" s="275" t="s">
        <v>1717</v>
      </c>
      <c r="K751" s="275" t="s">
        <v>1230</v>
      </c>
      <c r="L751" s="275">
        <v>81.16</v>
      </c>
      <c r="M751" s="280">
        <f t="shared" si="23"/>
        <v>-4.7417840375586925E-2</v>
      </c>
    </row>
    <row r="752" spans="1:13">
      <c r="A752" s="275"/>
      <c r="B752" s="275"/>
      <c r="C752" s="275"/>
      <c r="D752" s="275"/>
      <c r="E752" s="275" t="s">
        <v>479</v>
      </c>
      <c r="F752" s="275" t="s">
        <v>1231</v>
      </c>
      <c r="G752" s="278">
        <v>39452.81</v>
      </c>
      <c r="H752" s="280">
        <f t="shared" si="22"/>
        <v>4.1826509959152014E-3</v>
      </c>
      <c r="I752" s="275"/>
      <c r="J752" s="275" t="s">
        <v>1717</v>
      </c>
      <c r="K752" s="275" t="s">
        <v>1231</v>
      </c>
      <c r="L752" s="275">
        <v>81.540000000000006</v>
      </c>
      <c r="M752" s="280">
        <f t="shared" si="23"/>
        <v>4.6821094135043083E-3</v>
      </c>
    </row>
    <row r="753" spans="1:13">
      <c r="A753" s="275"/>
      <c r="B753" s="275"/>
      <c r="C753" s="275"/>
      <c r="D753" s="275"/>
      <c r="E753" s="275" t="s">
        <v>479</v>
      </c>
      <c r="F753" s="275" t="s">
        <v>1232</v>
      </c>
      <c r="G753" s="278">
        <v>39586.76</v>
      </c>
      <c r="H753" s="280">
        <f t="shared" si="22"/>
        <v>3.3951954246099168E-3</v>
      </c>
      <c r="I753" s="275"/>
      <c r="J753" s="275" t="s">
        <v>1717</v>
      </c>
      <c r="K753" s="275" t="s">
        <v>1232</v>
      </c>
      <c r="L753" s="275">
        <v>81.150000000000006</v>
      </c>
      <c r="M753" s="280">
        <f t="shared" si="23"/>
        <v>-4.7829286239882331E-3</v>
      </c>
    </row>
    <row r="754" spans="1:13">
      <c r="A754" s="275"/>
      <c r="B754" s="275"/>
      <c r="C754" s="275"/>
      <c r="D754" s="275"/>
      <c r="E754" s="275" t="s">
        <v>479</v>
      </c>
      <c r="F754" s="275" t="s">
        <v>1233</v>
      </c>
      <c r="G754" s="278">
        <v>39875.120000000003</v>
      </c>
      <c r="H754" s="280">
        <f t="shared" si="22"/>
        <v>7.2842536241915371E-3</v>
      </c>
      <c r="I754" s="275"/>
      <c r="J754" s="275" t="s">
        <v>1717</v>
      </c>
      <c r="K754" s="275" t="s">
        <v>1233</v>
      </c>
      <c r="L754" s="275">
        <v>82.38</v>
      </c>
      <c r="M754" s="280">
        <f t="shared" si="23"/>
        <v>1.5157116451016509E-2</v>
      </c>
    </row>
    <row r="755" spans="1:13">
      <c r="A755" s="275"/>
      <c r="B755" s="275"/>
      <c r="C755" s="275"/>
      <c r="D755" s="275"/>
      <c r="E755" s="275" t="s">
        <v>479</v>
      </c>
      <c r="F755" s="275" t="s">
        <v>1234</v>
      </c>
      <c r="G755" s="278">
        <v>40271</v>
      </c>
      <c r="H755" s="280">
        <f t="shared" si="22"/>
        <v>9.9279952010175102E-3</v>
      </c>
      <c r="I755" s="275"/>
      <c r="J755" s="275" t="s">
        <v>1717</v>
      </c>
      <c r="K755" s="275" t="s">
        <v>1234</v>
      </c>
      <c r="L755" s="275">
        <v>80.38</v>
      </c>
      <c r="M755" s="280">
        <f t="shared" si="23"/>
        <v>-2.4277737314882253E-2</v>
      </c>
    </row>
    <row r="756" spans="1:13">
      <c r="A756" s="275"/>
      <c r="B756" s="275"/>
      <c r="C756" s="275"/>
      <c r="D756" s="275"/>
      <c r="E756" s="275" t="s">
        <v>479</v>
      </c>
      <c r="F756" s="275" t="s">
        <v>1235</v>
      </c>
      <c r="G756" s="278">
        <v>39665.769999999997</v>
      </c>
      <c r="H756" s="280">
        <f t="shared" si="22"/>
        <v>-1.5028929005984534E-2</v>
      </c>
      <c r="I756" s="275"/>
      <c r="J756" s="275" t="s">
        <v>1717</v>
      </c>
      <c r="K756" s="275" t="s">
        <v>1235</v>
      </c>
      <c r="L756" s="275">
        <v>79.23</v>
      </c>
      <c r="M756" s="280">
        <f t="shared" si="23"/>
        <v>-1.4307041552624926E-2</v>
      </c>
    </row>
    <row r="757" spans="1:13">
      <c r="A757" s="275"/>
      <c r="B757" s="275"/>
      <c r="C757" s="275"/>
      <c r="D757" s="275"/>
      <c r="E757" s="275" t="s">
        <v>479</v>
      </c>
      <c r="F757" s="275" t="s">
        <v>1236</v>
      </c>
      <c r="G757" s="278">
        <v>39932.980000000003</v>
      </c>
      <c r="H757" s="280">
        <f t="shared" si="22"/>
        <v>6.7365388343654095E-3</v>
      </c>
      <c r="I757" s="275"/>
      <c r="J757" s="275" t="s">
        <v>1717</v>
      </c>
      <c r="K757" s="275" t="s">
        <v>1236</v>
      </c>
      <c r="L757" s="275">
        <v>83.08</v>
      </c>
      <c r="M757" s="280">
        <f t="shared" si="23"/>
        <v>4.8592704783541517E-2</v>
      </c>
    </row>
    <row r="758" spans="1:13">
      <c r="A758" s="275"/>
      <c r="B758" s="275"/>
      <c r="C758" s="275"/>
      <c r="D758" s="275"/>
      <c r="E758" s="275" t="s">
        <v>479</v>
      </c>
      <c r="F758" s="275" t="s">
        <v>1237</v>
      </c>
      <c r="G758" s="278">
        <v>40897.9</v>
      </c>
      <c r="H758" s="280">
        <f t="shared" si="22"/>
        <v>2.4163485920660019E-2</v>
      </c>
      <c r="I758" s="275"/>
      <c r="J758" s="275" t="s">
        <v>1717</v>
      </c>
      <c r="K758" s="275" t="s">
        <v>1237</v>
      </c>
      <c r="L758" s="275">
        <v>86.48</v>
      </c>
      <c r="M758" s="280">
        <f t="shared" si="23"/>
        <v>4.0924410207029437E-2</v>
      </c>
    </row>
    <row r="759" spans="1:13">
      <c r="A759" s="275"/>
      <c r="B759" s="275"/>
      <c r="C759" s="275"/>
      <c r="D759" s="275"/>
      <c r="E759" s="275" t="s">
        <v>479</v>
      </c>
      <c r="F759" s="275" t="s">
        <v>1238</v>
      </c>
      <c r="G759" s="278">
        <v>41795.589999999997</v>
      </c>
      <c r="H759" s="280">
        <f t="shared" si="22"/>
        <v>2.1949537751326964E-2</v>
      </c>
      <c r="I759" s="275"/>
      <c r="J759" s="275" t="s">
        <v>1717</v>
      </c>
      <c r="K759" s="275" t="s">
        <v>1238</v>
      </c>
      <c r="L759" s="275">
        <v>90.73</v>
      </c>
      <c r="M759" s="280">
        <f t="shared" si="23"/>
        <v>4.9144310823311749E-2</v>
      </c>
    </row>
    <row r="760" spans="1:13">
      <c r="A760" s="275"/>
      <c r="B760" s="275"/>
      <c r="C760" s="275"/>
      <c r="D760" s="275"/>
      <c r="E760" s="275" t="s">
        <v>479</v>
      </c>
      <c r="F760" s="275" t="s">
        <v>1239</v>
      </c>
      <c r="G760" s="278">
        <v>41221.75</v>
      </c>
      <c r="H760" s="280">
        <f t="shared" si="22"/>
        <v>-1.3729678178965688E-2</v>
      </c>
      <c r="I760" s="275"/>
      <c r="J760" s="275" t="s">
        <v>1717</v>
      </c>
      <c r="K760" s="275" t="s">
        <v>1239</v>
      </c>
      <c r="L760" s="275">
        <v>87.31</v>
      </c>
      <c r="M760" s="280">
        <f t="shared" si="23"/>
        <v>-3.7694257687644679E-2</v>
      </c>
    </row>
    <row r="761" spans="1:13">
      <c r="A761" s="275"/>
      <c r="B761" s="275"/>
      <c r="C761" s="275"/>
      <c r="D761" s="275"/>
      <c r="E761" s="275" t="s">
        <v>479</v>
      </c>
      <c r="F761" s="275" t="s">
        <v>1240</v>
      </c>
      <c r="G761" s="278">
        <v>40463.980000000003</v>
      </c>
      <c r="H761" s="280">
        <f t="shared" si="22"/>
        <v>-1.8382771231206747E-2</v>
      </c>
      <c r="I761" s="275"/>
      <c r="J761" s="275" t="s">
        <v>1717</v>
      </c>
      <c r="K761" s="275" t="s">
        <v>1240</v>
      </c>
      <c r="L761" s="275">
        <v>85.38</v>
      </c>
      <c r="M761" s="280">
        <f t="shared" si="23"/>
        <v>-2.2105142595349979E-2</v>
      </c>
    </row>
    <row r="762" spans="1:13">
      <c r="A762" s="275"/>
      <c r="B762" s="275"/>
      <c r="C762" s="275"/>
      <c r="D762" s="275"/>
      <c r="E762" s="275" t="s">
        <v>479</v>
      </c>
      <c r="F762" s="275" t="s">
        <v>1241</v>
      </c>
      <c r="G762" s="278">
        <v>41339.22</v>
      </c>
      <c r="H762" s="280">
        <f t="shared" si="22"/>
        <v>2.1630101636072326E-2</v>
      </c>
      <c r="I762" s="275"/>
      <c r="J762" s="275" t="s">
        <v>1717</v>
      </c>
      <c r="K762" s="275" t="s">
        <v>1241</v>
      </c>
      <c r="L762" s="275">
        <v>89.16</v>
      </c>
      <c r="M762" s="280">
        <f t="shared" si="23"/>
        <v>4.4272663387210136E-2</v>
      </c>
    </row>
    <row r="763" spans="1:13">
      <c r="A763" s="275"/>
      <c r="B763" s="275"/>
      <c r="C763" s="275"/>
      <c r="D763" s="275"/>
      <c r="E763" s="275" t="s">
        <v>479</v>
      </c>
      <c r="F763" s="275" t="s">
        <v>1242</v>
      </c>
      <c r="G763" s="278">
        <v>42089.16</v>
      </c>
      <c r="H763" s="280">
        <f t="shared" si="22"/>
        <v>1.8141126029954179E-2</v>
      </c>
      <c r="I763" s="275"/>
      <c r="J763" s="275" t="s">
        <v>1717</v>
      </c>
      <c r="K763" s="275" t="s">
        <v>1242</v>
      </c>
      <c r="L763" s="275">
        <v>93.8</v>
      </c>
      <c r="M763" s="280">
        <f t="shared" si="23"/>
        <v>5.204127411395245E-2</v>
      </c>
    </row>
    <row r="764" spans="1:13">
      <c r="A764" s="275"/>
      <c r="B764" s="275"/>
      <c r="C764" s="275"/>
      <c r="D764" s="275"/>
      <c r="E764" s="275" t="s">
        <v>479</v>
      </c>
      <c r="F764" s="275" t="s">
        <v>1243</v>
      </c>
      <c r="G764" s="278">
        <v>42786.45</v>
      </c>
      <c r="H764" s="280">
        <f t="shared" si="22"/>
        <v>1.6566973539029847E-2</v>
      </c>
      <c r="I764" s="275"/>
      <c r="J764" s="275" t="s">
        <v>1717</v>
      </c>
      <c r="K764" s="275" t="s">
        <v>1243</v>
      </c>
      <c r="L764" s="275">
        <v>98.48</v>
      </c>
      <c r="M764" s="280">
        <f t="shared" si="23"/>
        <v>4.989339019189773E-2</v>
      </c>
    </row>
    <row r="765" spans="1:13">
      <c r="A765" s="275"/>
      <c r="B765" s="275"/>
      <c r="C765" s="275"/>
      <c r="D765" s="275"/>
      <c r="E765" s="275" t="s">
        <v>479</v>
      </c>
      <c r="F765" s="275" t="s">
        <v>1244</v>
      </c>
      <c r="G765" s="278">
        <v>43556.63</v>
      </c>
      <c r="H765" s="280">
        <f t="shared" si="22"/>
        <v>1.8000558588057675E-2</v>
      </c>
      <c r="I765" s="275"/>
      <c r="J765" s="275" t="s">
        <v>1717</v>
      </c>
      <c r="K765" s="275" t="s">
        <v>1244</v>
      </c>
      <c r="L765" s="275">
        <v>103.41</v>
      </c>
      <c r="M765" s="280">
        <f t="shared" si="23"/>
        <v>5.0060926076360604E-2</v>
      </c>
    </row>
    <row r="766" spans="1:13">
      <c r="A766" s="275"/>
      <c r="B766" s="275"/>
      <c r="C766" s="275"/>
      <c r="D766" s="275"/>
      <c r="E766" s="275" t="s">
        <v>479</v>
      </c>
      <c r="F766" s="275" t="s">
        <v>1245</v>
      </c>
      <c r="G766" s="278">
        <v>42712.43</v>
      </c>
      <c r="H766" s="280">
        <f t="shared" si="22"/>
        <v>-1.9381664743117113E-2</v>
      </c>
      <c r="I766" s="275"/>
      <c r="J766" s="275" t="s">
        <v>1717</v>
      </c>
      <c r="K766" s="275" t="s">
        <v>1245</v>
      </c>
      <c r="L766" s="275">
        <v>99.31</v>
      </c>
      <c r="M766" s="280">
        <f t="shared" si="23"/>
        <v>-3.9648003094478239E-2</v>
      </c>
    </row>
    <row r="767" spans="1:13">
      <c r="A767" s="275"/>
      <c r="B767" s="275"/>
      <c r="C767" s="275"/>
      <c r="D767" s="275"/>
      <c r="E767" s="275" t="s">
        <v>479</v>
      </c>
      <c r="F767" s="275" t="s">
        <v>1246</v>
      </c>
      <c r="G767" s="278">
        <v>42810.04</v>
      </c>
      <c r="H767" s="280">
        <f t="shared" si="22"/>
        <v>2.2852832301978741E-3</v>
      </c>
      <c r="I767" s="275"/>
      <c r="J767" s="275" t="s">
        <v>1717</v>
      </c>
      <c r="K767" s="275" t="s">
        <v>1246</v>
      </c>
      <c r="L767" s="275">
        <v>99.82</v>
      </c>
      <c r="M767" s="280">
        <f t="shared" si="23"/>
        <v>5.1354344980363599E-3</v>
      </c>
    </row>
    <row r="768" spans="1:13">
      <c r="A768" s="275"/>
      <c r="B768" s="275"/>
      <c r="C768" s="275"/>
      <c r="D768" s="275"/>
      <c r="E768" s="275" t="s">
        <v>479</v>
      </c>
      <c r="F768" s="275" t="s">
        <v>1247</v>
      </c>
      <c r="G768" s="278">
        <v>42330.32</v>
      </c>
      <c r="H768" s="280">
        <f t="shared" si="22"/>
        <v>-1.1205782568761934E-2</v>
      </c>
      <c r="I768" s="275"/>
      <c r="J768" s="275" t="s">
        <v>1717</v>
      </c>
      <c r="K768" s="275" t="s">
        <v>1247</v>
      </c>
      <c r="L768" s="275">
        <v>96.23</v>
      </c>
      <c r="M768" s="280">
        <f t="shared" si="23"/>
        <v>-3.5964736525746235E-2</v>
      </c>
    </row>
    <row r="769" spans="1:13">
      <c r="A769" s="275"/>
      <c r="B769" s="275"/>
      <c r="C769" s="275"/>
      <c r="D769" s="275"/>
      <c r="E769" s="275" t="s">
        <v>479</v>
      </c>
      <c r="F769" s="275" t="s">
        <v>1248</v>
      </c>
      <c r="G769" s="278">
        <v>42505.05</v>
      </c>
      <c r="H769" s="280">
        <f t="shared" si="22"/>
        <v>4.1277741344738998E-3</v>
      </c>
      <c r="I769" s="275"/>
      <c r="J769" s="275" t="s">
        <v>1717</v>
      </c>
      <c r="K769" s="275" t="s">
        <v>1248</v>
      </c>
      <c r="L769" s="275">
        <v>95.04</v>
      </c>
      <c r="M769" s="280">
        <f t="shared" si="23"/>
        <v>-1.2366205964875794E-2</v>
      </c>
    </row>
    <row r="770" spans="1:13">
      <c r="A770" s="275"/>
      <c r="B770" s="275"/>
      <c r="C770" s="275"/>
      <c r="D770" s="275"/>
      <c r="E770" s="275" t="s">
        <v>479</v>
      </c>
      <c r="F770" s="275" t="s">
        <v>1249</v>
      </c>
      <c r="G770" s="278">
        <v>42808.66</v>
      </c>
      <c r="H770" s="280">
        <f t="shared" si="22"/>
        <v>7.1429159593977788E-3</v>
      </c>
      <c r="I770" s="275"/>
      <c r="J770" s="275" t="s">
        <v>1717</v>
      </c>
      <c r="K770" s="275" t="s">
        <v>1249</v>
      </c>
      <c r="L770" s="275">
        <v>98.06</v>
      </c>
      <c r="M770" s="280">
        <f t="shared" si="23"/>
        <v>3.1776094276094236E-2</v>
      </c>
    </row>
    <row r="771" spans="1:13">
      <c r="A771" s="275"/>
      <c r="B771" s="275"/>
      <c r="C771" s="275"/>
      <c r="D771" s="275"/>
      <c r="E771" s="275" t="s">
        <v>479</v>
      </c>
      <c r="F771" s="275" t="s">
        <v>1250</v>
      </c>
      <c r="G771" s="278">
        <v>42760.13</v>
      </c>
      <c r="H771" s="280">
        <f t="shared" si="22"/>
        <v>-1.1336491261349014E-3</v>
      </c>
      <c r="I771" s="275"/>
      <c r="J771" s="275" t="s">
        <v>1717</v>
      </c>
      <c r="K771" s="275" t="s">
        <v>1250</v>
      </c>
      <c r="L771" s="275">
        <v>102.52</v>
      </c>
      <c r="M771" s="280">
        <f t="shared" si="23"/>
        <v>4.5482357740159018E-2</v>
      </c>
    </row>
    <row r="772" spans="1:13">
      <c r="A772" s="275"/>
      <c r="B772" s="275"/>
      <c r="C772" s="275"/>
      <c r="D772" s="275"/>
      <c r="E772" s="275" t="s">
        <v>479</v>
      </c>
      <c r="F772" s="275" t="s">
        <v>1251</v>
      </c>
      <c r="G772" s="278">
        <v>42731.86</v>
      </c>
      <c r="H772" s="280">
        <f t="shared" ref="H772:H835" si="24">(G772-G771)/G771</f>
        <v>-6.6112988898763404E-4</v>
      </c>
      <c r="I772" s="275"/>
      <c r="J772" s="275" t="s">
        <v>1717</v>
      </c>
      <c r="K772" s="275" t="s">
        <v>1251</v>
      </c>
      <c r="L772" s="275">
        <v>101.54</v>
      </c>
      <c r="M772" s="280">
        <f t="shared" ref="M772:M835" si="25">(L772-L771)/L771</f>
        <v>-9.5591104174794165E-3</v>
      </c>
    </row>
    <row r="773" spans="1:13">
      <c r="A773" s="275"/>
      <c r="B773" s="275"/>
      <c r="C773" s="275"/>
      <c r="D773" s="275"/>
      <c r="E773" s="275" t="s">
        <v>479</v>
      </c>
      <c r="F773" s="275" t="s">
        <v>1252</v>
      </c>
      <c r="G773" s="278">
        <v>42923.95</v>
      </c>
      <c r="H773" s="280">
        <f t="shared" si="24"/>
        <v>4.4952407875528122E-3</v>
      </c>
      <c r="I773" s="275"/>
      <c r="J773" s="275" t="s">
        <v>1717</v>
      </c>
      <c r="K773" s="275" t="s">
        <v>1252</v>
      </c>
      <c r="L773" s="275">
        <v>101.77</v>
      </c>
      <c r="M773" s="280">
        <f t="shared" si="25"/>
        <v>2.2651171951939115E-3</v>
      </c>
    </row>
    <row r="774" spans="1:13">
      <c r="A774" s="275"/>
      <c r="B774" s="275"/>
      <c r="C774" s="275"/>
      <c r="D774" s="275"/>
      <c r="E774" s="275" t="s">
        <v>479</v>
      </c>
      <c r="F774" s="275" t="s">
        <v>1253</v>
      </c>
      <c r="G774" s="278">
        <v>42842.18</v>
      </c>
      <c r="H774" s="280">
        <f t="shared" si="24"/>
        <v>-1.9049970936970341E-3</v>
      </c>
      <c r="I774" s="275"/>
      <c r="J774" s="275" t="s">
        <v>1717</v>
      </c>
      <c r="K774" s="275" t="s">
        <v>1253</v>
      </c>
      <c r="L774" s="275">
        <v>101.35</v>
      </c>
      <c r="M774" s="280">
        <f t="shared" si="25"/>
        <v>-4.1269529330844228E-3</v>
      </c>
    </row>
    <row r="775" spans="1:13">
      <c r="A775" s="275"/>
      <c r="B775" s="275"/>
      <c r="C775" s="275"/>
      <c r="D775" s="275"/>
      <c r="E775" s="275" t="s">
        <v>479</v>
      </c>
      <c r="F775" s="275" t="s">
        <v>1254</v>
      </c>
      <c r="G775" s="278">
        <v>42637.58</v>
      </c>
      <c r="H775" s="280">
        <f t="shared" si="24"/>
        <v>-4.7756673446588977E-3</v>
      </c>
      <c r="I775" s="275"/>
      <c r="J775" s="275" t="s">
        <v>1717</v>
      </c>
      <c r="K775" s="275" t="s">
        <v>1254</v>
      </c>
      <c r="L775" s="275">
        <v>99.92</v>
      </c>
      <c r="M775" s="280">
        <f t="shared" si="25"/>
        <v>-1.4109521460286064E-2</v>
      </c>
    </row>
    <row r="776" spans="1:13">
      <c r="A776" s="275"/>
      <c r="B776" s="275"/>
      <c r="C776" s="275"/>
      <c r="D776" s="275"/>
      <c r="E776" s="275" t="s">
        <v>479</v>
      </c>
      <c r="F776" s="275" t="s">
        <v>1255</v>
      </c>
      <c r="G776" s="278">
        <v>42446.559999999998</v>
      </c>
      <c r="H776" s="280">
        <f t="shared" si="24"/>
        <v>-4.4800854082244837E-3</v>
      </c>
      <c r="I776" s="275"/>
      <c r="J776" s="275" t="s">
        <v>1717</v>
      </c>
      <c r="K776" s="275" t="s">
        <v>1255</v>
      </c>
      <c r="L776" s="275">
        <v>100</v>
      </c>
      <c r="M776" s="280">
        <f t="shared" si="25"/>
        <v>8.0064051240991087E-4</v>
      </c>
    </row>
    <row r="777" spans="1:13">
      <c r="A777" s="275"/>
      <c r="B777" s="275"/>
      <c r="C777" s="275"/>
      <c r="D777" s="275"/>
      <c r="E777" s="275" t="s">
        <v>479</v>
      </c>
      <c r="F777" s="275" t="s">
        <v>1256</v>
      </c>
      <c r="G777" s="278">
        <v>41960.800000000003</v>
      </c>
      <c r="H777" s="280">
        <f t="shared" si="24"/>
        <v>-1.1444036925489245E-2</v>
      </c>
      <c r="I777" s="275"/>
      <c r="J777" s="275" t="s">
        <v>1717</v>
      </c>
      <c r="K777" s="275" t="s">
        <v>1256</v>
      </c>
      <c r="L777" s="275">
        <v>98.46</v>
      </c>
      <c r="M777" s="280">
        <f t="shared" si="25"/>
        <v>-1.5400000000000063E-2</v>
      </c>
    </row>
    <row r="778" spans="1:13">
      <c r="A778" s="275"/>
      <c r="B778" s="275"/>
      <c r="C778" s="275"/>
      <c r="D778" s="275"/>
      <c r="E778" s="275" t="s">
        <v>479</v>
      </c>
      <c r="F778" s="275" t="s">
        <v>1257</v>
      </c>
      <c r="G778" s="278">
        <v>42446.62</v>
      </c>
      <c r="H778" s="280">
        <f t="shared" si="24"/>
        <v>1.1577948942822817E-2</v>
      </c>
      <c r="I778" s="275"/>
      <c r="J778" s="275" t="s">
        <v>1717</v>
      </c>
      <c r="K778" s="275" t="s">
        <v>1257</v>
      </c>
      <c r="L778" s="275">
        <v>101.58</v>
      </c>
      <c r="M778" s="280">
        <f t="shared" si="25"/>
        <v>3.1687995124923873E-2</v>
      </c>
    </row>
    <row r="779" spans="1:13">
      <c r="A779" s="275"/>
      <c r="B779" s="275"/>
      <c r="C779" s="275"/>
      <c r="D779" s="275"/>
      <c r="E779" s="275" t="s">
        <v>479</v>
      </c>
      <c r="F779" s="275" t="s">
        <v>1258</v>
      </c>
      <c r="G779" s="278">
        <v>42425.1</v>
      </c>
      <c r="H779" s="280">
        <f t="shared" si="24"/>
        <v>-5.0698972026521954E-4</v>
      </c>
      <c r="I779" s="275"/>
      <c r="J779" s="275" t="s">
        <v>1717</v>
      </c>
      <c r="K779" s="275" t="s">
        <v>1258</v>
      </c>
      <c r="L779" s="275">
        <v>101.46</v>
      </c>
      <c r="M779" s="280">
        <f t="shared" si="25"/>
        <v>-1.1813349084465895E-3</v>
      </c>
    </row>
    <row r="780" spans="1:13">
      <c r="A780" s="275"/>
      <c r="B780" s="275"/>
      <c r="C780" s="275"/>
      <c r="D780" s="275"/>
      <c r="E780" s="275" t="s">
        <v>479</v>
      </c>
      <c r="F780" s="275" t="s">
        <v>1259</v>
      </c>
      <c r="G780" s="278">
        <v>42588.29</v>
      </c>
      <c r="H780" s="280">
        <f t="shared" si="24"/>
        <v>3.8465436734386564E-3</v>
      </c>
      <c r="I780" s="275"/>
      <c r="J780" s="275" t="s">
        <v>1717</v>
      </c>
      <c r="K780" s="275" t="s">
        <v>1259</v>
      </c>
      <c r="L780" s="275">
        <v>99.81</v>
      </c>
      <c r="M780" s="280">
        <f t="shared" si="25"/>
        <v>-1.6262566528681171E-2</v>
      </c>
    </row>
    <row r="781" spans="1:13">
      <c r="A781" s="275"/>
      <c r="B781" s="275"/>
      <c r="C781" s="275"/>
      <c r="D781" s="275"/>
      <c r="E781" s="275" t="s">
        <v>479</v>
      </c>
      <c r="F781" s="275" t="s">
        <v>1260</v>
      </c>
      <c r="G781" s="278">
        <v>42745.78</v>
      </c>
      <c r="H781" s="280">
        <f t="shared" si="24"/>
        <v>3.6979648631113846E-3</v>
      </c>
      <c r="I781" s="275"/>
      <c r="J781" s="275" t="s">
        <v>1717</v>
      </c>
      <c r="K781" s="275" t="s">
        <v>1260</v>
      </c>
      <c r="L781" s="275">
        <v>98.92</v>
      </c>
      <c r="M781" s="280">
        <f t="shared" si="25"/>
        <v>-8.9169421901613127E-3</v>
      </c>
    </row>
    <row r="782" spans="1:13">
      <c r="A782" s="275"/>
      <c r="B782" s="275"/>
      <c r="C782" s="275"/>
      <c r="D782" s="275"/>
      <c r="E782" s="275" t="s">
        <v>479</v>
      </c>
      <c r="F782" s="275" t="s">
        <v>1261</v>
      </c>
      <c r="G782" s="278">
        <v>42544.47</v>
      </c>
      <c r="H782" s="280">
        <f t="shared" si="24"/>
        <v>-4.7094707360585695E-3</v>
      </c>
      <c r="I782" s="275"/>
      <c r="J782" s="275" t="s">
        <v>1717</v>
      </c>
      <c r="K782" s="275" t="s">
        <v>1261</v>
      </c>
      <c r="L782" s="275">
        <v>98.47</v>
      </c>
      <c r="M782" s="280">
        <f t="shared" si="25"/>
        <v>-4.5491306105944485E-3</v>
      </c>
    </row>
    <row r="783" spans="1:13">
      <c r="A783" s="275"/>
      <c r="B783" s="275"/>
      <c r="C783" s="275"/>
      <c r="D783" s="275"/>
      <c r="E783" s="275" t="s">
        <v>479</v>
      </c>
      <c r="F783" s="275" t="s">
        <v>1262</v>
      </c>
      <c r="G783" s="278">
        <v>42249.440000000002</v>
      </c>
      <c r="H783" s="280">
        <f t="shared" si="24"/>
        <v>-6.9346262863304873E-3</v>
      </c>
      <c r="I783" s="275"/>
      <c r="J783" s="275" t="s">
        <v>1717</v>
      </c>
      <c r="K783" s="275" t="s">
        <v>1262</v>
      </c>
      <c r="L783" s="275">
        <v>97.31</v>
      </c>
      <c r="M783" s="280">
        <f t="shared" si="25"/>
        <v>-1.1780237635828137E-2</v>
      </c>
    </row>
    <row r="784" spans="1:13">
      <c r="A784" s="275"/>
      <c r="B784" s="275"/>
      <c r="C784" s="275"/>
      <c r="D784" s="275"/>
      <c r="E784" s="275" t="s">
        <v>479</v>
      </c>
      <c r="F784" s="275" t="s">
        <v>1263</v>
      </c>
      <c r="G784" s="278">
        <v>41863.519999999997</v>
      </c>
      <c r="H784" s="280">
        <f t="shared" si="24"/>
        <v>-9.1343222537388774E-3</v>
      </c>
      <c r="I784" s="275"/>
      <c r="J784" s="275" t="s">
        <v>1717</v>
      </c>
      <c r="K784" s="275" t="s">
        <v>1263</v>
      </c>
      <c r="L784" s="275">
        <v>96.16</v>
      </c>
      <c r="M784" s="280">
        <f t="shared" si="25"/>
        <v>-1.1817901551741915E-2</v>
      </c>
    </row>
    <row r="785" spans="1:13">
      <c r="A785" s="275"/>
      <c r="B785" s="275"/>
      <c r="C785" s="275"/>
      <c r="D785" s="275"/>
      <c r="E785" s="275" t="s">
        <v>479</v>
      </c>
      <c r="F785" s="275" t="s">
        <v>1264</v>
      </c>
      <c r="G785" s="278">
        <v>41742.239999999998</v>
      </c>
      <c r="H785" s="280">
        <f t="shared" si="24"/>
        <v>-2.8970330254120733E-3</v>
      </c>
      <c r="I785" s="275"/>
      <c r="J785" s="275" t="s">
        <v>1717</v>
      </c>
      <c r="K785" s="275" t="s">
        <v>1264</v>
      </c>
      <c r="L785" s="275">
        <v>96.91</v>
      </c>
      <c r="M785" s="280">
        <f t="shared" si="25"/>
        <v>7.7995008319467554E-3</v>
      </c>
    </row>
    <row r="786" spans="1:13">
      <c r="A786" s="275"/>
      <c r="B786" s="275"/>
      <c r="C786" s="275"/>
      <c r="D786" s="275"/>
      <c r="E786" s="275" t="s">
        <v>479</v>
      </c>
      <c r="F786" s="275" t="s">
        <v>1265</v>
      </c>
      <c r="G786" s="278">
        <v>41581.96</v>
      </c>
      <c r="H786" s="280">
        <f t="shared" si="24"/>
        <v>-3.839755604874076E-3</v>
      </c>
      <c r="I786" s="275"/>
      <c r="J786" s="275" t="s">
        <v>1717</v>
      </c>
      <c r="K786" s="275" t="s">
        <v>1265</v>
      </c>
      <c r="L786" s="275">
        <v>93.85</v>
      </c>
      <c r="M786" s="280">
        <f t="shared" si="25"/>
        <v>-3.1575688783407309E-2</v>
      </c>
    </row>
    <row r="787" spans="1:13">
      <c r="A787" s="275"/>
      <c r="B787" s="275"/>
      <c r="C787" s="275"/>
      <c r="D787" s="275"/>
      <c r="E787" s="275" t="s">
        <v>479</v>
      </c>
      <c r="F787" s="275" t="s">
        <v>1266</v>
      </c>
      <c r="G787" s="278">
        <v>41753.89</v>
      </c>
      <c r="H787" s="280">
        <f t="shared" si="24"/>
        <v>4.1347257320241831E-3</v>
      </c>
      <c r="I787" s="275"/>
      <c r="J787" s="275" t="s">
        <v>1717</v>
      </c>
      <c r="K787" s="275" t="s">
        <v>1266</v>
      </c>
      <c r="L787" s="275">
        <v>96.94</v>
      </c>
      <c r="M787" s="280">
        <f t="shared" si="25"/>
        <v>3.2924880127863654E-2</v>
      </c>
    </row>
    <row r="788" spans="1:13">
      <c r="A788" s="275"/>
      <c r="B788" s="275"/>
      <c r="C788" s="275"/>
      <c r="D788" s="275"/>
      <c r="E788" s="275" t="s">
        <v>479</v>
      </c>
      <c r="F788" s="275" t="s">
        <v>1267</v>
      </c>
      <c r="G788" s="278">
        <v>41620.959999999999</v>
      </c>
      <c r="H788" s="280">
        <f t="shared" si="24"/>
        <v>-3.1836554629999813E-3</v>
      </c>
      <c r="I788" s="275"/>
      <c r="J788" s="275" t="s">
        <v>1717</v>
      </c>
      <c r="K788" s="275" t="s">
        <v>1267</v>
      </c>
      <c r="L788" s="275">
        <v>93.46</v>
      </c>
      <c r="M788" s="280">
        <f t="shared" si="25"/>
        <v>-3.5898493913761133E-2</v>
      </c>
    </row>
    <row r="789" spans="1:13">
      <c r="A789" s="275"/>
      <c r="B789" s="275"/>
      <c r="C789" s="275"/>
      <c r="D789" s="275"/>
      <c r="E789" s="275" t="s">
        <v>479</v>
      </c>
      <c r="F789" s="275" t="s">
        <v>1268</v>
      </c>
      <c r="G789" s="278">
        <v>41266.39</v>
      </c>
      <c r="H789" s="280">
        <f t="shared" si="24"/>
        <v>-8.5190250296965694E-3</v>
      </c>
      <c r="I789" s="275"/>
      <c r="J789" s="275" t="s">
        <v>1717</v>
      </c>
      <c r="K789" s="275" t="s">
        <v>1268</v>
      </c>
      <c r="L789" s="275">
        <v>93.08</v>
      </c>
      <c r="M789" s="280">
        <f t="shared" si="25"/>
        <v>-4.0659105499678523E-3</v>
      </c>
    </row>
    <row r="790" spans="1:13">
      <c r="A790" s="275"/>
      <c r="B790" s="275"/>
      <c r="C790" s="275"/>
      <c r="D790" s="275"/>
      <c r="E790" s="275" t="s">
        <v>479</v>
      </c>
      <c r="F790" s="275" t="s">
        <v>1269</v>
      </c>
      <c r="G790" s="278">
        <v>40854.769999999997</v>
      </c>
      <c r="H790" s="280">
        <f t="shared" si="24"/>
        <v>-9.974703384521947E-3</v>
      </c>
      <c r="I790" s="275"/>
      <c r="J790" s="275" t="s">
        <v>1717</v>
      </c>
      <c r="K790" s="275" t="s">
        <v>1269</v>
      </c>
      <c r="L790" s="275">
        <v>90.19</v>
      </c>
      <c r="M790" s="280">
        <f t="shared" si="25"/>
        <v>-3.1048560378169325E-2</v>
      </c>
    </row>
    <row r="791" spans="1:13">
      <c r="A791" s="275"/>
      <c r="B791" s="275"/>
      <c r="C791" s="275"/>
      <c r="D791" s="275"/>
      <c r="E791" s="275" t="s">
        <v>479</v>
      </c>
      <c r="F791" s="275" t="s">
        <v>1270</v>
      </c>
      <c r="G791" s="278">
        <v>40684.050000000003</v>
      </c>
      <c r="H791" s="280">
        <f t="shared" si="24"/>
        <v>-4.1787042247452113E-3</v>
      </c>
      <c r="I791" s="275"/>
      <c r="J791" s="275" t="s">
        <v>1717</v>
      </c>
      <c r="K791" s="275" t="s">
        <v>1270</v>
      </c>
      <c r="L791" s="275">
        <v>90.76</v>
      </c>
      <c r="M791" s="280">
        <f t="shared" si="25"/>
        <v>6.319991129837093E-3</v>
      </c>
    </row>
    <row r="792" spans="1:13">
      <c r="A792" s="275"/>
      <c r="B792" s="275"/>
      <c r="C792" s="275"/>
      <c r="D792" s="275"/>
      <c r="E792" s="275" t="s">
        <v>479</v>
      </c>
      <c r="F792" s="275" t="s">
        <v>1271</v>
      </c>
      <c r="G792" s="278">
        <v>40759.53</v>
      </c>
      <c r="H792" s="280">
        <f t="shared" si="24"/>
        <v>1.8552725208035071E-3</v>
      </c>
      <c r="I792" s="275"/>
      <c r="J792" s="275" t="s">
        <v>1717</v>
      </c>
      <c r="K792" s="275" t="s">
        <v>1271</v>
      </c>
      <c r="L792" s="275">
        <v>91.25</v>
      </c>
      <c r="M792" s="280">
        <f t="shared" si="25"/>
        <v>5.3988541207579867E-3</v>
      </c>
    </row>
    <row r="793" spans="1:13">
      <c r="A793" s="275"/>
      <c r="B793" s="275"/>
      <c r="C793" s="275"/>
      <c r="D793" s="275"/>
      <c r="E793" s="275" t="s">
        <v>479</v>
      </c>
      <c r="F793" s="275" t="s">
        <v>1272</v>
      </c>
      <c r="G793" s="278">
        <v>40522.04</v>
      </c>
      <c r="H793" s="280">
        <f t="shared" si="24"/>
        <v>-5.8266128191369719E-3</v>
      </c>
      <c r="I793" s="275"/>
      <c r="J793" s="275" t="s">
        <v>1717</v>
      </c>
      <c r="K793" s="275" t="s">
        <v>1272</v>
      </c>
      <c r="L793" s="275">
        <v>90.77</v>
      </c>
      <c r="M793" s="280">
        <f t="shared" si="25"/>
        <v>-5.2602739726027832E-3</v>
      </c>
    </row>
    <row r="794" spans="1:13">
      <c r="A794" s="275"/>
      <c r="B794" s="275"/>
      <c r="C794" s="275"/>
      <c r="D794" s="275"/>
      <c r="E794" s="275" t="s">
        <v>479</v>
      </c>
      <c r="F794" s="275" t="s">
        <v>1273</v>
      </c>
      <c r="G794" s="278">
        <v>41049.910000000003</v>
      </c>
      <c r="H794" s="280">
        <f t="shared" si="24"/>
        <v>1.3026738041816321E-2</v>
      </c>
      <c r="I794" s="275"/>
      <c r="J794" s="275" t="s">
        <v>1717</v>
      </c>
      <c r="K794" s="275" t="s">
        <v>1273</v>
      </c>
      <c r="L794" s="275">
        <v>92.27</v>
      </c>
      <c r="M794" s="280">
        <f t="shared" si="25"/>
        <v>1.6525283684036576E-2</v>
      </c>
    </row>
    <row r="795" spans="1:13">
      <c r="A795" s="275"/>
      <c r="B795" s="275"/>
      <c r="C795" s="275"/>
      <c r="D795" s="275"/>
      <c r="E795" s="275" t="s">
        <v>479</v>
      </c>
      <c r="F795" s="275" t="s">
        <v>1274</v>
      </c>
      <c r="G795" s="278">
        <v>40920.31</v>
      </c>
      <c r="H795" s="280">
        <f t="shared" si="24"/>
        <v>-3.1571323786094979E-3</v>
      </c>
      <c r="I795" s="275"/>
      <c r="J795" s="275" t="s">
        <v>1717</v>
      </c>
      <c r="K795" s="275" t="s">
        <v>1274</v>
      </c>
      <c r="L795" s="275">
        <v>93.85</v>
      </c>
      <c r="M795" s="280">
        <f t="shared" si="25"/>
        <v>1.7123658827354487E-2</v>
      </c>
    </row>
    <row r="796" spans="1:13">
      <c r="A796" s="275"/>
      <c r="B796" s="275"/>
      <c r="C796" s="275"/>
      <c r="D796" s="275"/>
      <c r="E796" s="275" t="s">
        <v>479</v>
      </c>
      <c r="F796" s="275" t="s">
        <v>1275</v>
      </c>
      <c r="G796" s="278">
        <v>40520.47</v>
      </c>
      <c r="H796" s="280">
        <f t="shared" si="24"/>
        <v>-9.77118697292363E-3</v>
      </c>
      <c r="I796" s="275"/>
      <c r="J796" s="275" t="s">
        <v>1717</v>
      </c>
      <c r="K796" s="275" t="s">
        <v>1275</v>
      </c>
      <c r="L796" s="275">
        <v>90.85</v>
      </c>
      <c r="M796" s="280">
        <f t="shared" si="25"/>
        <v>-3.1965903036760793E-2</v>
      </c>
    </row>
    <row r="797" spans="1:13">
      <c r="A797" s="275"/>
      <c r="B797" s="275"/>
      <c r="C797" s="275"/>
      <c r="D797" s="275"/>
      <c r="E797" s="275" t="s">
        <v>479</v>
      </c>
      <c r="F797" s="275" t="s">
        <v>1276</v>
      </c>
      <c r="G797" s="278">
        <v>41238.07</v>
      </c>
      <c r="H797" s="280">
        <f t="shared" si="24"/>
        <v>1.7709567534631224E-2</v>
      </c>
      <c r="I797" s="275"/>
      <c r="J797" s="275" t="s">
        <v>1717</v>
      </c>
      <c r="K797" s="275" t="s">
        <v>1276</v>
      </c>
      <c r="L797" s="275">
        <v>95.38</v>
      </c>
      <c r="M797" s="280">
        <f t="shared" si="25"/>
        <v>4.9862410566868479E-2</v>
      </c>
    </row>
    <row r="798" spans="1:13">
      <c r="A798" s="275"/>
      <c r="B798" s="275"/>
      <c r="C798" s="275"/>
      <c r="D798" s="275"/>
      <c r="E798" s="275" t="s">
        <v>479</v>
      </c>
      <c r="F798" s="275" t="s">
        <v>1277</v>
      </c>
      <c r="G798" s="278">
        <v>41320.129999999997</v>
      </c>
      <c r="H798" s="280">
        <f t="shared" si="24"/>
        <v>1.9899088390896488E-3</v>
      </c>
      <c r="I798" s="275"/>
      <c r="J798" s="275" t="s">
        <v>1717</v>
      </c>
      <c r="K798" s="275" t="s">
        <v>1277</v>
      </c>
      <c r="L798" s="275">
        <v>100.14</v>
      </c>
      <c r="M798" s="280">
        <f t="shared" si="25"/>
        <v>4.9905640595512744E-2</v>
      </c>
    </row>
    <row r="799" spans="1:13">
      <c r="A799" s="275"/>
      <c r="B799" s="275"/>
      <c r="C799" s="275"/>
      <c r="D799" s="275"/>
      <c r="E799" s="275" t="s">
        <v>479</v>
      </c>
      <c r="F799" s="275" t="s">
        <v>1278</v>
      </c>
      <c r="G799" s="278">
        <v>41004.550000000003</v>
      </c>
      <c r="H799" s="280">
        <f t="shared" si="24"/>
        <v>-7.6374396692361441E-3</v>
      </c>
      <c r="I799" s="275"/>
      <c r="J799" s="275" t="s">
        <v>1717</v>
      </c>
      <c r="K799" s="275" t="s">
        <v>1278</v>
      </c>
      <c r="L799" s="275">
        <v>96.92</v>
      </c>
      <c r="M799" s="280">
        <f t="shared" si="25"/>
        <v>-3.2154983023766716E-2</v>
      </c>
    </row>
    <row r="800" spans="1:13">
      <c r="A800" s="275"/>
      <c r="B800" s="275"/>
      <c r="C800" s="275"/>
      <c r="D800" s="275"/>
      <c r="E800" s="275" t="s">
        <v>479</v>
      </c>
      <c r="F800" s="275" t="s">
        <v>1279</v>
      </c>
      <c r="G800" s="278">
        <v>41036.300000000003</v>
      </c>
      <c r="H800" s="280">
        <f t="shared" si="24"/>
        <v>7.7430431500894402E-4</v>
      </c>
      <c r="I800" s="275"/>
      <c r="J800" s="275" t="s">
        <v>1717</v>
      </c>
      <c r="K800" s="275" t="s">
        <v>1279</v>
      </c>
      <c r="L800" s="275">
        <v>97.25</v>
      </c>
      <c r="M800" s="280">
        <f t="shared" si="25"/>
        <v>3.4048699958728673E-3</v>
      </c>
    </row>
    <row r="801" spans="1:13">
      <c r="A801" s="275"/>
      <c r="B801" s="275"/>
      <c r="C801" s="275"/>
      <c r="D801" s="275"/>
      <c r="E801" s="275" t="s">
        <v>479</v>
      </c>
      <c r="F801" s="275" t="s">
        <v>1280</v>
      </c>
      <c r="G801" s="278">
        <v>40909.910000000003</v>
      </c>
      <c r="H801" s="280">
        <f t="shared" si="24"/>
        <v>-3.0799560389216233E-3</v>
      </c>
      <c r="I801" s="275"/>
      <c r="J801" s="275" t="s">
        <v>1717</v>
      </c>
      <c r="K801" s="275" t="s">
        <v>1280</v>
      </c>
      <c r="L801" s="275">
        <v>96.15</v>
      </c>
      <c r="M801" s="280">
        <f t="shared" si="25"/>
        <v>-1.1311053984575777E-2</v>
      </c>
    </row>
    <row r="802" spans="1:13">
      <c r="A802" s="275"/>
      <c r="B802" s="275"/>
      <c r="C802" s="275"/>
      <c r="D802" s="275"/>
      <c r="E802" s="275" t="s">
        <v>479</v>
      </c>
      <c r="F802" s="275" t="s">
        <v>1281</v>
      </c>
      <c r="G802" s="278">
        <v>40851.800000000003</v>
      </c>
      <c r="H802" s="280">
        <f t="shared" si="24"/>
        <v>-1.4204382263368601E-3</v>
      </c>
      <c r="I802" s="275"/>
      <c r="J802" s="275" t="s">
        <v>1717</v>
      </c>
      <c r="K802" s="275" t="s">
        <v>1281</v>
      </c>
      <c r="L802" s="275">
        <v>95.77</v>
      </c>
      <c r="M802" s="280">
        <f t="shared" si="25"/>
        <v>-3.9521580863235532E-3</v>
      </c>
    </row>
    <row r="803" spans="1:13">
      <c r="A803" s="275"/>
      <c r="B803" s="275"/>
      <c r="C803" s="275"/>
      <c r="D803" s="275"/>
      <c r="E803" s="275" t="s">
        <v>479</v>
      </c>
      <c r="F803" s="275" t="s">
        <v>1282</v>
      </c>
      <c r="G803" s="278">
        <v>40998.589999999997</v>
      </c>
      <c r="H803" s="280">
        <f t="shared" si="24"/>
        <v>3.5932321219626453E-3</v>
      </c>
      <c r="I803" s="275"/>
      <c r="J803" s="275" t="s">
        <v>1717</v>
      </c>
      <c r="K803" s="275" t="s">
        <v>1282</v>
      </c>
      <c r="L803" s="275">
        <v>96.26</v>
      </c>
      <c r="M803" s="280">
        <f t="shared" si="25"/>
        <v>5.1164247676726438E-3</v>
      </c>
    </row>
    <row r="804" spans="1:13">
      <c r="A804" s="275"/>
      <c r="B804" s="275"/>
      <c r="C804" s="275"/>
      <c r="D804" s="275"/>
      <c r="E804" s="275" t="s">
        <v>479</v>
      </c>
      <c r="F804" s="275" t="s">
        <v>1283</v>
      </c>
      <c r="G804" s="278">
        <v>40929.440000000002</v>
      </c>
      <c r="H804" s="280">
        <f t="shared" si="24"/>
        <v>-1.686643369930385E-3</v>
      </c>
      <c r="I804" s="275"/>
      <c r="J804" s="275" t="s">
        <v>1717</v>
      </c>
      <c r="K804" s="275" t="s">
        <v>1283</v>
      </c>
      <c r="L804" s="275">
        <v>95.81</v>
      </c>
      <c r="M804" s="280">
        <f t="shared" si="25"/>
        <v>-4.6748389777685724E-3</v>
      </c>
    </row>
    <row r="805" spans="1:13">
      <c r="A805" s="275"/>
      <c r="B805" s="275"/>
      <c r="C805" s="275"/>
      <c r="D805" s="275"/>
      <c r="E805" s="275" t="s">
        <v>479</v>
      </c>
      <c r="F805" s="275" t="s">
        <v>1284</v>
      </c>
      <c r="G805" s="278">
        <v>40800.25</v>
      </c>
      <c r="H805" s="280">
        <f t="shared" si="24"/>
        <v>-3.1564077104402678E-3</v>
      </c>
      <c r="I805" s="275"/>
      <c r="J805" s="275" t="s">
        <v>1717</v>
      </c>
      <c r="K805" s="275" t="s">
        <v>1284</v>
      </c>
      <c r="L805" s="275">
        <v>98.22</v>
      </c>
      <c r="M805" s="280">
        <f t="shared" si="25"/>
        <v>2.5153950527084818E-2</v>
      </c>
    </row>
    <row r="806" spans="1:13">
      <c r="A806" s="275"/>
      <c r="B806" s="275"/>
      <c r="C806" s="275"/>
      <c r="D806" s="275"/>
      <c r="E806" s="275" t="s">
        <v>479</v>
      </c>
      <c r="F806" s="275" t="s">
        <v>1285</v>
      </c>
      <c r="G806" s="278">
        <v>40560.19</v>
      </c>
      <c r="H806" s="280">
        <f t="shared" si="24"/>
        <v>-5.8837874767923648E-3</v>
      </c>
      <c r="I806" s="275"/>
      <c r="J806" s="275" t="s">
        <v>1717</v>
      </c>
      <c r="K806" s="275" t="s">
        <v>1285</v>
      </c>
      <c r="L806" s="275">
        <v>96.85</v>
      </c>
      <c r="M806" s="280">
        <f t="shared" si="25"/>
        <v>-1.3948279372836535E-2</v>
      </c>
    </row>
    <row r="807" spans="1:13">
      <c r="A807" s="275"/>
      <c r="B807" s="275"/>
      <c r="C807" s="275"/>
      <c r="D807" s="275"/>
      <c r="E807" s="275" t="s">
        <v>479</v>
      </c>
      <c r="F807" s="275" t="s">
        <v>1286</v>
      </c>
      <c r="G807" s="278">
        <v>40087.120000000003</v>
      </c>
      <c r="H807" s="280">
        <f t="shared" si="24"/>
        <v>-1.1663406902186594E-2</v>
      </c>
      <c r="I807" s="275"/>
      <c r="J807" s="275" t="s">
        <v>1717</v>
      </c>
      <c r="K807" s="275" t="s">
        <v>1286</v>
      </c>
      <c r="L807" s="275">
        <v>94.22</v>
      </c>
      <c r="M807" s="280">
        <f t="shared" si="25"/>
        <v>-2.7155394940629796E-2</v>
      </c>
    </row>
    <row r="808" spans="1:13">
      <c r="A808" s="275"/>
      <c r="B808" s="275"/>
      <c r="C808" s="275"/>
      <c r="D808" s="275"/>
      <c r="E808" s="275" t="s">
        <v>479</v>
      </c>
      <c r="F808" s="275" t="s">
        <v>1287</v>
      </c>
      <c r="G808" s="278">
        <v>39226.35</v>
      </c>
      <c r="H808" s="280">
        <f t="shared" si="24"/>
        <v>-2.1472482932173825E-2</v>
      </c>
      <c r="I808" s="275"/>
      <c r="J808" s="275" t="s">
        <v>1717</v>
      </c>
      <c r="K808" s="275" t="s">
        <v>1287</v>
      </c>
      <c r="L808" s="275">
        <v>91.54</v>
      </c>
      <c r="M808" s="280">
        <f t="shared" si="25"/>
        <v>-2.8444067077053627E-2</v>
      </c>
    </row>
    <row r="809" spans="1:13">
      <c r="A809" s="275"/>
      <c r="B809" s="275"/>
      <c r="C809" s="275"/>
      <c r="D809" s="275"/>
      <c r="E809" s="275" t="s">
        <v>479</v>
      </c>
      <c r="F809" s="275" t="s">
        <v>1288</v>
      </c>
      <c r="G809" s="278">
        <v>37898.29</v>
      </c>
      <c r="H809" s="280">
        <f t="shared" si="24"/>
        <v>-3.3856323619199789E-2</v>
      </c>
      <c r="I809" s="275"/>
      <c r="J809" s="275" t="s">
        <v>1717</v>
      </c>
      <c r="K809" s="275" t="s">
        <v>1288</v>
      </c>
      <c r="L809" s="275">
        <v>87.71</v>
      </c>
      <c r="M809" s="280">
        <f t="shared" si="25"/>
        <v>-4.1839632947345558E-2</v>
      </c>
    </row>
    <row r="810" spans="1:13">
      <c r="A810" s="275"/>
      <c r="B810" s="275"/>
      <c r="C810" s="275"/>
      <c r="D810" s="275"/>
      <c r="E810" s="275" t="s">
        <v>479</v>
      </c>
      <c r="F810" s="275" t="s">
        <v>1289</v>
      </c>
      <c r="G810" s="278">
        <v>38504.839999999997</v>
      </c>
      <c r="H810" s="280">
        <f t="shared" si="24"/>
        <v>1.6004679894528109E-2</v>
      </c>
      <c r="I810" s="275"/>
      <c r="J810" s="275" t="s">
        <v>1717</v>
      </c>
      <c r="K810" s="275" t="s">
        <v>1289</v>
      </c>
      <c r="L810" s="275">
        <v>89.23</v>
      </c>
      <c r="M810" s="280">
        <f t="shared" si="25"/>
        <v>1.7329836962718167E-2</v>
      </c>
    </row>
    <row r="811" spans="1:13">
      <c r="A811" s="275"/>
      <c r="B811" s="275"/>
      <c r="C811" s="275"/>
      <c r="D811" s="275"/>
      <c r="E811" s="275" t="s">
        <v>479</v>
      </c>
      <c r="F811" s="275" t="s">
        <v>1290</v>
      </c>
      <c r="G811" s="278">
        <v>38792.089999999997</v>
      </c>
      <c r="H811" s="280">
        <f t="shared" si="24"/>
        <v>7.4601011197553352E-3</v>
      </c>
      <c r="I811" s="275"/>
      <c r="J811" s="275" t="s">
        <v>1717</v>
      </c>
      <c r="K811" s="275" t="s">
        <v>1290</v>
      </c>
      <c r="L811" s="275">
        <v>90</v>
      </c>
      <c r="M811" s="280">
        <f t="shared" si="25"/>
        <v>8.6293847360752653E-3</v>
      </c>
    </row>
    <row r="812" spans="1:13">
      <c r="A812" s="275"/>
      <c r="B812" s="275"/>
      <c r="C812" s="275"/>
      <c r="D812" s="275"/>
      <c r="E812" s="275" t="s">
        <v>479</v>
      </c>
      <c r="F812" s="275" t="s">
        <v>1291</v>
      </c>
      <c r="G812" s="278">
        <v>38398.300000000003</v>
      </c>
      <c r="H812" s="280">
        <f t="shared" si="24"/>
        <v>-1.0151296308087386E-2</v>
      </c>
      <c r="I812" s="275"/>
      <c r="J812" s="275" t="s">
        <v>1717</v>
      </c>
      <c r="K812" s="275" t="s">
        <v>1291</v>
      </c>
      <c r="L812" s="275">
        <v>88.46</v>
      </c>
      <c r="M812" s="280">
        <f t="shared" si="25"/>
        <v>-1.7111111111111181E-2</v>
      </c>
    </row>
    <row r="813" spans="1:13">
      <c r="A813" s="275"/>
      <c r="B813" s="275"/>
      <c r="C813" s="275"/>
      <c r="D813" s="275"/>
      <c r="E813" s="275" t="s">
        <v>479</v>
      </c>
      <c r="F813" s="275" t="s">
        <v>1292</v>
      </c>
      <c r="G813" s="278">
        <v>37517.93</v>
      </c>
      <c r="H813" s="280">
        <f t="shared" si="24"/>
        <v>-2.2927317094767283E-2</v>
      </c>
      <c r="I813" s="275"/>
      <c r="J813" s="275" t="s">
        <v>1717</v>
      </c>
      <c r="K813" s="275" t="s">
        <v>1292</v>
      </c>
      <c r="L813" s="275">
        <v>86.82</v>
      </c>
      <c r="M813" s="280">
        <f t="shared" si="25"/>
        <v>-1.8539452860049748E-2</v>
      </c>
    </row>
    <row r="814" spans="1:13">
      <c r="A814" s="275"/>
      <c r="B814" s="275"/>
      <c r="C814" s="275"/>
      <c r="D814" s="275"/>
      <c r="E814" s="275" t="s">
        <v>479</v>
      </c>
      <c r="F814" s="275" t="s">
        <v>1293</v>
      </c>
      <c r="G814" s="278">
        <v>36767.57</v>
      </c>
      <c r="H814" s="280">
        <f t="shared" si="24"/>
        <v>-2.0000037315491569E-2</v>
      </c>
      <c r="I814" s="275"/>
      <c r="J814" s="275" t="s">
        <v>1717</v>
      </c>
      <c r="K814" s="275" t="s">
        <v>1293</v>
      </c>
      <c r="L814" s="275">
        <v>84.61</v>
      </c>
      <c r="M814" s="280">
        <f t="shared" si="25"/>
        <v>-2.5454964293941416E-2</v>
      </c>
    </row>
    <row r="815" spans="1:13">
      <c r="A815" s="275"/>
      <c r="B815" s="275"/>
      <c r="C815" s="275"/>
      <c r="D815" s="275"/>
      <c r="E815" s="275" t="s">
        <v>479</v>
      </c>
      <c r="F815" s="275" t="s">
        <v>1294</v>
      </c>
      <c r="G815" s="278">
        <v>36663.379999999997</v>
      </c>
      <c r="H815" s="280">
        <f t="shared" si="24"/>
        <v>-2.8337472397550975E-3</v>
      </c>
      <c r="I815" s="275"/>
      <c r="J815" s="275" t="s">
        <v>1717</v>
      </c>
      <c r="K815" s="275" t="s">
        <v>1294</v>
      </c>
      <c r="L815" s="275">
        <v>78.989999999999995</v>
      </c>
      <c r="M815" s="280">
        <f t="shared" si="25"/>
        <v>-6.6422408698735433E-2</v>
      </c>
    </row>
    <row r="816" spans="1:13">
      <c r="A816" s="275"/>
      <c r="B816" s="275"/>
      <c r="C816" s="275"/>
      <c r="D816" s="275"/>
      <c r="E816" s="275" t="s">
        <v>479</v>
      </c>
      <c r="F816" s="275" t="s">
        <v>1295</v>
      </c>
      <c r="G816" s="278">
        <v>37647.339999999997</v>
      </c>
      <c r="H816" s="280">
        <f t="shared" si="24"/>
        <v>2.6837678359169264E-2</v>
      </c>
      <c r="I816" s="275"/>
      <c r="J816" s="275" t="s">
        <v>1717</v>
      </c>
      <c r="K816" s="275" t="s">
        <v>1295</v>
      </c>
      <c r="L816" s="275">
        <v>81.7</v>
      </c>
      <c r="M816" s="280">
        <f t="shared" si="25"/>
        <v>3.4308140270920474E-2</v>
      </c>
    </row>
    <row r="817" spans="1:13">
      <c r="A817" s="275"/>
      <c r="B817" s="275"/>
      <c r="C817" s="275"/>
      <c r="D817" s="275"/>
      <c r="E817" s="275" t="s">
        <v>479</v>
      </c>
      <c r="F817" s="275" t="s">
        <v>1296</v>
      </c>
      <c r="G817" s="278">
        <v>37982.25</v>
      </c>
      <c r="H817" s="280">
        <f t="shared" si="24"/>
        <v>8.8959804331462337E-3</v>
      </c>
      <c r="I817" s="275"/>
      <c r="J817" s="275" t="s">
        <v>1717</v>
      </c>
      <c r="K817" s="275" t="s">
        <v>1296</v>
      </c>
      <c r="L817" s="275">
        <v>80</v>
      </c>
      <c r="M817" s="280">
        <f t="shared" si="25"/>
        <v>-2.0807833537331736E-2</v>
      </c>
    </row>
    <row r="818" spans="1:13">
      <c r="A818" s="275"/>
      <c r="B818" s="275"/>
      <c r="C818" s="275"/>
      <c r="D818" s="275"/>
      <c r="E818" s="275" t="s">
        <v>479</v>
      </c>
      <c r="F818" s="275" t="s">
        <v>1297</v>
      </c>
      <c r="G818" s="278">
        <v>38430.269999999997</v>
      </c>
      <c r="H818" s="280">
        <f t="shared" si="24"/>
        <v>1.1795509744683288E-2</v>
      </c>
      <c r="I818" s="275"/>
      <c r="J818" s="275" t="s">
        <v>1717</v>
      </c>
      <c r="K818" s="275" t="s">
        <v>1297</v>
      </c>
      <c r="L818" s="275">
        <v>84.03</v>
      </c>
      <c r="M818" s="280">
        <f t="shared" si="25"/>
        <v>5.0375000000000017E-2</v>
      </c>
    </row>
    <row r="819" spans="1:13">
      <c r="A819" s="275"/>
      <c r="B819" s="275"/>
      <c r="C819" s="275"/>
      <c r="D819" s="275"/>
      <c r="E819" s="275" t="s">
        <v>479</v>
      </c>
      <c r="F819" s="275" t="s">
        <v>1298</v>
      </c>
      <c r="G819" s="278">
        <v>38345.42</v>
      </c>
      <c r="H819" s="280">
        <f t="shared" si="24"/>
        <v>-2.2078949744562958E-3</v>
      </c>
      <c r="I819" s="275"/>
      <c r="J819" s="275" t="s">
        <v>1717</v>
      </c>
      <c r="K819" s="275" t="s">
        <v>1298</v>
      </c>
      <c r="L819" s="275">
        <v>87.01</v>
      </c>
      <c r="M819" s="280">
        <f t="shared" si="25"/>
        <v>3.5463524931572107E-2</v>
      </c>
    </row>
    <row r="820" spans="1:13">
      <c r="A820" s="275"/>
      <c r="B820" s="275"/>
      <c r="C820" s="275"/>
      <c r="D820" s="275"/>
      <c r="E820" s="275" t="s">
        <v>479</v>
      </c>
      <c r="F820" s="275" t="s">
        <v>1299</v>
      </c>
      <c r="G820" s="278">
        <v>37714.9</v>
      </c>
      <c r="H820" s="280">
        <f t="shared" si="24"/>
        <v>-1.6443163225229946E-2</v>
      </c>
      <c r="I820" s="275"/>
      <c r="J820" s="275" t="s">
        <v>1717</v>
      </c>
      <c r="K820" s="275" t="s">
        <v>1299</v>
      </c>
      <c r="L820" s="275">
        <v>84</v>
      </c>
      <c r="M820" s="280">
        <f t="shared" si="25"/>
        <v>-3.4593724859211639E-2</v>
      </c>
    </row>
    <row r="821" spans="1:13">
      <c r="A821" s="275"/>
      <c r="B821" s="275"/>
      <c r="C821" s="275"/>
      <c r="D821" s="275"/>
      <c r="E821" s="275" t="s">
        <v>479</v>
      </c>
      <c r="F821" s="275" t="s">
        <v>1300</v>
      </c>
      <c r="G821" s="278">
        <v>39271.120000000003</v>
      </c>
      <c r="H821" s="280">
        <f t="shared" si="24"/>
        <v>4.1262737008450269E-2</v>
      </c>
      <c r="I821" s="275"/>
      <c r="J821" s="275" t="s">
        <v>1717</v>
      </c>
      <c r="K821" s="275" t="s">
        <v>1300</v>
      </c>
      <c r="L821" s="275">
        <v>88.46</v>
      </c>
      <c r="M821" s="280">
        <f t="shared" si="25"/>
        <v>5.3095238095238022E-2</v>
      </c>
    </row>
    <row r="822" spans="1:13">
      <c r="A822" s="275"/>
      <c r="B822" s="275"/>
      <c r="C822" s="275"/>
      <c r="D822" s="275"/>
      <c r="E822" s="275" t="s">
        <v>479</v>
      </c>
      <c r="F822" s="275" t="s">
        <v>1301</v>
      </c>
      <c r="G822" s="278">
        <v>39631.910000000003</v>
      </c>
      <c r="H822" s="280">
        <f t="shared" si="24"/>
        <v>9.1871584003715926E-3</v>
      </c>
      <c r="I822" s="275"/>
      <c r="J822" s="275" t="s">
        <v>1717</v>
      </c>
      <c r="K822" s="275" t="s">
        <v>1301</v>
      </c>
      <c r="L822" s="275">
        <v>92.88</v>
      </c>
      <c r="M822" s="280">
        <f t="shared" si="25"/>
        <v>4.9966086366719446E-2</v>
      </c>
    </row>
    <row r="823" spans="1:13">
      <c r="A823" s="275"/>
      <c r="B823" s="275"/>
      <c r="C823" s="275"/>
      <c r="D823" s="275"/>
      <c r="E823" s="275" t="s">
        <v>479</v>
      </c>
      <c r="F823" s="275" t="s">
        <v>1302</v>
      </c>
      <c r="G823" s="278">
        <v>40556.449999999997</v>
      </c>
      <c r="H823" s="280">
        <f t="shared" si="24"/>
        <v>2.33281716677292E-2</v>
      </c>
      <c r="I823" s="275"/>
      <c r="J823" s="275" t="s">
        <v>1717</v>
      </c>
      <c r="K823" s="275" t="s">
        <v>1302</v>
      </c>
      <c r="L823" s="275">
        <v>97.52</v>
      </c>
      <c r="M823" s="280">
        <f t="shared" si="25"/>
        <v>4.995693367786392E-2</v>
      </c>
    </row>
    <row r="824" spans="1:13">
      <c r="A824" s="275"/>
      <c r="B824" s="275"/>
      <c r="C824" s="275"/>
      <c r="D824" s="275"/>
      <c r="E824" s="275" t="s">
        <v>479</v>
      </c>
      <c r="F824" s="275" t="s">
        <v>1303</v>
      </c>
      <c r="G824" s="278">
        <v>41453.760000000002</v>
      </c>
      <c r="H824" s="280">
        <f t="shared" si="24"/>
        <v>2.2124964093257794E-2</v>
      </c>
      <c r="I824" s="275"/>
      <c r="J824" s="275" t="s">
        <v>1717</v>
      </c>
      <c r="K824" s="275" t="s">
        <v>1303</v>
      </c>
      <c r="L824" s="275">
        <v>102.38</v>
      </c>
      <c r="M824" s="280">
        <f t="shared" si="25"/>
        <v>4.9835931091058237E-2</v>
      </c>
    </row>
    <row r="825" spans="1:13">
      <c r="A825" s="275"/>
      <c r="B825" s="275"/>
      <c r="C825" s="275"/>
      <c r="D825" s="275"/>
      <c r="E825" s="275" t="s">
        <v>479</v>
      </c>
      <c r="F825" s="275" t="s">
        <v>1304</v>
      </c>
      <c r="G825" s="278">
        <v>41609.03</v>
      </c>
      <c r="H825" s="280">
        <f t="shared" si="24"/>
        <v>3.7456192152411937E-3</v>
      </c>
      <c r="I825" s="275"/>
      <c r="J825" s="275" t="s">
        <v>1717</v>
      </c>
      <c r="K825" s="275" t="s">
        <v>1304</v>
      </c>
      <c r="L825" s="275">
        <v>106.56</v>
      </c>
      <c r="M825" s="280">
        <f t="shared" si="25"/>
        <v>4.0828286774760761E-2</v>
      </c>
    </row>
    <row r="826" spans="1:13">
      <c r="A826" s="275"/>
      <c r="B826" s="275"/>
      <c r="C826" s="275"/>
      <c r="D826" s="275"/>
      <c r="E826" s="275" t="s">
        <v>479</v>
      </c>
      <c r="F826" s="275" t="s">
        <v>1305</v>
      </c>
      <c r="G826" s="278">
        <v>41649.360000000001</v>
      </c>
      <c r="H826" s="280">
        <f t="shared" si="24"/>
        <v>9.6926075902278299E-4</v>
      </c>
      <c r="I826" s="275"/>
      <c r="J826" s="275" t="s">
        <v>1717</v>
      </c>
      <c r="K826" s="275" t="s">
        <v>1305</v>
      </c>
      <c r="L826" s="275">
        <v>107.2</v>
      </c>
      <c r="M826" s="280">
        <f t="shared" si="25"/>
        <v>6.0060060060060112E-3</v>
      </c>
    </row>
    <row r="827" spans="1:13">
      <c r="A827" s="275"/>
      <c r="B827" s="275"/>
      <c r="C827" s="275"/>
      <c r="D827" s="275"/>
      <c r="E827" s="275" t="s">
        <v>479</v>
      </c>
      <c r="F827" s="275" t="s">
        <v>1306</v>
      </c>
      <c r="G827" s="278">
        <v>41716.1</v>
      </c>
      <c r="H827" s="280">
        <f t="shared" si="24"/>
        <v>1.6024255834903097E-3</v>
      </c>
      <c r="I827" s="275"/>
      <c r="J827" s="275" t="s">
        <v>1717</v>
      </c>
      <c r="K827" s="275" t="s">
        <v>1306</v>
      </c>
      <c r="L827" s="275">
        <v>109.79</v>
      </c>
      <c r="M827" s="280">
        <f t="shared" si="25"/>
        <v>2.4160447761194061E-2</v>
      </c>
    </row>
    <row r="828" spans="1:13">
      <c r="A828" s="275"/>
      <c r="B828" s="275"/>
      <c r="C828" s="275"/>
      <c r="D828" s="275"/>
      <c r="E828" s="275" t="s">
        <v>479</v>
      </c>
      <c r="F828" s="275" t="s">
        <v>1307</v>
      </c>
      <c r="G828" s="278">
        <v>42004.09</v>
      </c>
      <c r="H828" s="280">
        <f t="shared" si="24"/>
        <v>6.9035696050205554E-3</v>
      </c>
      <c r="I828" s="275"/>
      <c r="J828" s="275" t="s">
        <v>1717</v>
      </c>
      <c r="K828" s="275" t="s">
        <v>1307</v>
      </c>
      <c r="L828" s="275">
        <v>110</v>
      </c>
      <c r="M828" s="280">
        <f t="shared" si="25"/>
        <v>1.9127425084251182E-3</v>
      </c>
    </row>
    <row r="829" spans="1:13">
      <c r="A829" s="275"/>
      <c r="B829" s="275"/>
      <c r="C829" s="275"/>
      <c r="D829" s="275"/>
      <c r="E829" s="275" t="s">
        <v>479</v>
      </c>
      <c r="F829" s="275" t="s">
        <v>1308</v>
      </c>
      <c r="G829" s="278">
        <v>41493.96</v>
      </c>
      <c r="H829" s="280">
        <f t="shared" si="24"/>
        <v>-1.2144769711711346E-2</v>
      </c>
      <c r="I829" s="275"/>
      <c r="J829" s="275" t="s">
        <v>1717</v>
      </c>
      <c r="K829" s="275" t="s">
        <v>1308</v>
      </c>
      <c r="L829" s="275">
        <v>104.32</v>
      </c>
      <c r="M829" s="280">
        <f t="shared" si="25"/>
        <v>-5.1636363636363695E-2</v>
      </c>
    </row>
    <row r="830" spans="1:13">
      <c r="A830" s="275"/>
      <c r="B830" s="275"/>
      <c r="C830" s="275"/>
      <c r="D830" s="275"/>
      <c r="E830" s="275" t="s">
        <v>479</v>
      </c>
      <c r="F830" s="275" t="s">
        <v>1309</v>
      </c>
      <c r="G830" s="278">
        <v>40958.53</v>
      </c>
      <c r="H830" s="280">
        <f t="shared" si="24"/>
        <v>-1.2903805758717662E-2</v>
      </c>
      <c r="I830" s="275"/>
      <c r="J830" s="275" t="s">
        <v>1717</v>
      </c>
      <c r="K830" s="275" t="s">
        <v>1309</v>
      </c>
      <c r="L830" s="275">
        <v>100</v>
      </c>
      <c r="M830" s="280">
        <f t="shared" si="25"/>
        <v>-4.141104294478521E-2</v>
      </c>
    </row>
    <row r="831" spans="1:13">
      <c r="A831" s="275"/>
      <c r="B831" s="275"/>
      <c r="C831" s="275"/>
      <c r="D831" s="275"/>
      <c r="E831" s="275" t="s">
        <v>479</v>
      </c>
      <c r="F831" s="275" t="s">
        <v>1310</v>
      </c>
      <c r="G831" s="278">
        <v>41543.980000000003</v>
      </c>
      <c r="H831" s="280">
        <f t="shared" si="24"/>
        <v>1.4293725873462851E-2</v>
      </c>
      <c r="I831" s="275"/>
      <c r="J831" s="275" t="s">
        <v>1717</v>
      </c>
      <c r="K831" s="275" t="s">
        <v>1310</v>
      </c>
      <c r="L831" s="275">
        <v>103.76</v>
      </c>
      <c r="M831" s="280">
        <f t="shared" si="25"/>
        <v>3.760000000000005E-2</v>
      </c>
    </row>
    <row r="832" spans="1:13">
      <c r="A832" s="275"/>
      <c r="B832" s="275"/>
      <c r="C832" s="275"/>
      <c r="D832" s="275"/>
      <c r="E832" s="275" t="s">
        <v>479</v>
      </c>
      <c r="F832" s="275" t="s">
        <v>1311</v>
      </c>
      <c r="G832" s="278">
        <v>41367.379999999997</v>
      </c>
      <c r="H832" s="280">
        <f t="shared" si="24"/>
        <v>-4.2509167393207344E-3</v>
      </c>
      <c r="I832" s="275"/>
      <c r="J832" s="275" t="s">
        <v>1717</v>
      </c>
      <c r="K832" s="275" t="s">
        <v>1311</v>
      </c>
      <c r="L832" s="275">
        <v>100.5</v>
      </c>
      <c r="M832" s="280">
        <f t="shared" si="25"/>
        <v>-3.1418658442559803E-2</v>
      </c>
    </row>
    <row r="833" spans="1:13">
      <c r="A833" s="275"/>
      <c r="B833" s="275"/>
      <c r="C833" s="275"/>
      <c r="D833" s="275"/>
      <c r="E833" s="275" t="s">
        <v>479</v>
      </c>
      <c r="F833" s="275" t="s">
        <v>1312</v>
      </c>
      <c r="G833" s="278">
        <v>41388.879999999997</v>
      </c>
      <c r="H833" s="280">
        <f t="shared" si="24"/>
        <v>5.1973318107165602E-4</v>
      </c>
      <c r="I833" s="275"/>
      <c r="J833" s="275" t="s">
        <v>1717</v>
      </c>
      <c r="K833" s="275" t="s">
        <v>1312</v>
      </c>
      <c r="L833" s="275">
        <v>101.49</v>
      </c>
      <c r="M833" s="280">
        <f t="shared" si="25"/>
        <v>9.8507462686566651E-3</v>
      </c>
    </row>
    <row r="834" spans="1:13">
      <c r="A834" s="275"/>
      <c r="B834" s="275"/>
      <c r="C834" s="275"/>
      <c r="D834" s="275"/>
      <c r="E834" s="275" t="s">
        <v>479</v>
      </c>
      <c r="F834" s="275" t="s">
        <v>1313</v>
      </c>
      <c r="G834" s="278">
        <v>41096.33</v>
      </c>
      <c r="H834" s="280">
        <f t="shared" si="24"/>
        <v>-7.0683236656801452E-3</v>
      </c>
      <c r="I834" s="275"/>
      <c r="J834" s="275" t="s">
        <v>1717</v>
      </c>
      <c r="K834" s="275" t="s">
        <v>1313</v>
      </c>
      <c r="L834" s="275">
        <v>100</v>
      </c>
      <c r="M834" s="280">
        <f t="shared" si="25"/>
        <v>-1.4681249384175732E-2</v>
      </c>
    </row>
    <row r="835" spans="1:13">
      <c r="A835" s="275"/>
      <c r="B835" s="275"/>
      <c r="C835" s="275"/>
      <c r="D835" s="275"/>
      <c r="E835" s="275" t="s">
        <v>479</v>
      </c>
      <c r="F835" s="275" t="s">
        <v>1314</v>
      </c>
      <c r="G835" s="278">
        <v>41152.28</v>
      </c>
      <c r="H835" s="280">
        <f t="shared" si="24"/>
        <v>1.3614354371788695E-3</v>
      </c>
      <c r="I835" s="275"/>
      <c r="J835" s="275" t="s">
        <v>1717</v>
      </c>
      <c r="K835" s="275" t="s">
        <v>1314</v>
      </c>
      <c r="L835" s="275">
        <v>98</v>
      </c>
      <c r="M835" s="280">
        <f t="shared" si="25"/>
        <v>-0.02</v>
      </c>
    </row>
    <row r="836" spans="1:13">
      <c r="A836" s="275"/>
      <c r="B836" s="275"/>
      <c r="C836" s="275"/>
      <c r="D836" s="275"/>
      <c r="E836" s="275" t="s">
        <v>479</v>
      </c>
      <c r="F836" s="275" t="s">
        <v>1315</v>
      </c>
      <c r="G836" s="278">
        <v>40994.050000000003</v>
      </c>
      <c r="H836" s="280">
        <f t="shared" ref="H836:H899" si="26">(G836-G835)/G835</f>
        <v>-3.8449874466249725E-3</v>
      </c>
      <c r="I836" s="275"/>
      <c r="J836" s="275" t="s">
        <v>1717</v>
      </c>
      <c r="K836" s="275" t="s">
        <v>1315</v>
      </c>
      <c r="L836" s="275">
        <v>99.51</v>
      </c>
      <c r="M836" s="280">
        <f t="shared" ref="M836:M899" si="27">(L836-L835)/L835</f>
        <v>1.5408163265306175E-2</v>
      </c>
    </row>
    <row r="837" spans="1:13">
      <c r="A837" s="275"/>
      <c r="B837" s="275"/>
      <c r="C837" s="275"/>
      <c r="D837" s="275"/>
      <c r="E837" s="275" t="s">
        <v>479</v>
      </c>
      <c r="F837" s="275" t="s">
        <v>1316</v>
      </c>
      <c r="G837" s="278">
        <v>41428.629999999997</v>
      </c>
      <c r="H837" s="280">
        <f t="shared" si="26"/>
        <v>1.060105064027571E-2</v>
      </c>
      <c r="I837" s="275"/>
      <c r="J837" s="275" t="s">
        <v>1717</v>
      </c>
      <c r="K837" s="275" t="s">
        <v>1316</v>
      </c>
      <c r="L837" s="275">
        <v>101.01</v>
      </c>
      <c r="M837" s="280">
        <f t="shared" si="27"/>
        <v>1.507386192342478E-2</v>
      </c>
    </row>
    <row r="838" spans="1:13">
      <c r="A838" s="275"/>
      <c r="B838" s="275"/>
      <c r="C838" s="275"/>
      <c r="D838" s="275"/>
      <c r="E838" s="275" t="s">
        <v>479</v>
      </c>
      <c r="F838" s="275" t="s">
        <v>1317</v>
      </c>
      <c r="G838" s="278">
        <v>41660.75</v>
      </c>
      <c r="H838" s="280">
        <f t="shared" si="26"/>
        <v>5.6028886303988966E-3</v>
      </c>
      <c r="I838" s="275"/>
      <c r="J838" s="275" t="s">
        <v>1717</v>
      </c>
      <c r="K838" s="275" t="s">
        <v>1317</v>
      </c>
      <c r="L838" s="275">
        <v>102.1</v>
      </c>
      <c r="M838" s="280">
        <f t="shared" si="27"/>
        <v>1.0791010791010684E-2</v>
      </c>
    </row>
    <row r="839" spans="1:13">
      <c r="A839" s="275"/>
      <c r="B839" s="275"/>
      <c r="C839" s="275"/>
      <c r="D839" s="275"/>
      <c r="E839" s="275" t="s">
        <v>479</v>
      </c>
      <c r="F839" s="275" t="s">
        <v>1318</v>
      </c>
      <c r="G839" s="278">
        <v>41352.769999999997</v>
      </c>
      <c r="H839" s="280">
        <f t="shared" si="26"/>
        <v>-7.3925697449038529E-3</v>
      </c>
      <c r="I839" s="275"/>
      <c r="J839" s="275" t="s">
        <v>1717</v>
      </c>
      <c r="K839" s="275" t="s">
        <v>1318</v>
      </c>
      <c r="L839" s="275">
        <v>101.11</v>
      </c>
      <c r="M839" s="280">
        <f t="shared" si="27"/>
        <v>-9.6963761018608718E-3</v>
      </c>
    </row>
    <row r="840" spans="1:13">
      <c r="A840" s="275"/>
      <c r="B840" s="275"/>
      <c r="C840" s="275"/>
      <c r="D840" s="275"/>
      <c r="E840" s="275" t="s">
        <v>479</v>
      </c>
      <c r="F840" s="275" t="s">
        <v>1319</v>
      </c>
      <c r="G840" s="278">
        <v>41419.24</v>
      </c>
      <c r="H840" s="280">
        <f t="shared" si="26"/>
        <v>1.6073892994351085E-3</v>
      </c>
      <c r="I840" s="275"/>
      <c r="J840" s="275" t="s">
        <v>1717</v>
      </c>
      <c r="K840" s="275" t="s">
        <v>1319</v>
      </c>
      <c r="L840" s="275">
        <v>101.99</v>
      </c>
      <c r="M840" s="280">
        <f t="shared" si="27"/>
        <v>8.7033923449707784E-3</v>
      </c>
    </row>
    <row r="841" spans="1:13">
      <c r="A841" s="275"/>
      <c r="B841" s="275"/>
      <c r="C841" s="275"/>
      <c r="D841" s="275"/>
      <c r="E841" s="275" t="s">
        <v>479</v>
      </c>
      <c r="F841" s="275" t="s">
        <v>1320</v>
      </c>
      <c r="G841" s="278">
        <v>40874.03</v>
      </c>
      <c r="H841" s="280">
        <f t="shared" si="26"/>
        <v>-1.3163206278048539E-2</v>
      </c>
      <c r="I841" s="275"/>
      <c r="J841" s="275" t="s">
        <v>1717</v>
      </c>
      <c r="K841" s="275" t="s">
        <v>1320</v>
      </c>
      <c r="L841" s="275">
        <v>101.03</v>
      </c>
      <c r="M841" s="280">
        <f t="shared" si="27"/>
        <v>-9.4126875183840938E-3</v>
      </c>
    </row>
    <row r="842" spans="1:13">
      <c r="A842" s="275"/>
      <c r="B842" s="275"/>
      <c r="C842" s="275"/>
      <c r="D842" s="275"/>
      <c r="E842" s="275" t="s">
        <v>479</v>
      </c>
      <c r="F842" s="275" t="s">
        <v>1321</v>
      </c>
      <c r="G842" s="278">
        <v>40869.279999999999</v>
      </c>
      <c r="H842" s="280">
        <f t="shared" si="26"/>
        <v>-1.1621070885351897E-4</v>
      </c>
      <c r="I842" s="275"/>
      <c r="J842" s="275" t="s">
        <v>1717</v>
      </c>
      <c r="K842" s="275" t="s">
        <v>1321</v>
      </c>
      <c r="L842" s="275">
        <v>102.5</v>
      </c>
      <c r="M842" s="280">
        <f t="shared" si="27"/>
        <v>1.4550133623676124E-2</v>
      </c>
    </row>
    <row r="843" spans="1:13">
      <c r="A843" s="275"/>
      <c r="B843" s="275"/>
      <c r="C843" s="275"/>
      <c r="D843" s="275"/>
      <c r="E843" s="275" t="s">
        <v>479</v>
      </c>
      <c r="F843" s="275" t="s">
        <v>1322</v>
      </c>
      <c r="G843" s="278">
        <v>40771.550000000003</v>
      </c>
      <c r="H843" s="280">
        <f t="shared" si="26"/>
        <v>-2.3912826455468736E-3</v>
      </c>
      <c r="I843" s="275"/>
      <c r="J843" s="275" t="s">
        <v>1717</v>
      </c>
      <c r="K843" s="275" t="s">
        <v>1322</v>
      </c>
      <c r="L843" s="275">
        <v>100</v>
      </c>
      <c r="M843" s="280">
        <f t="shared" si="27"/>
        <v>-2.4390243902439025E-2</v>
      </c>
    </row>
    <row r="844" spans="1:13">
      <c r="A844" s="275"/>
      <c r="B844" s="275"/>
      <c r="C844" s="275"/>
      <c r="D844" s="275"/>
      <c r="E844" s="275" t="s">
        <v>479</v>
      </c>
      <c r="F844" s="275" t="s">
        <v>1323</v>
      </c>
      <c r="G844" s="278">
        <v>40894.22</v>
      </c>
      <c r="H844" s="280">
        <f t="shared" si="26"/>
        <v>3.0087156362708371E-3</v>
      </c>
      <c r="I844" s="275"/>
      <c r="J844" s="275" t="s">
        <v>1717</v>
      </c>
      <c r="K844" s="275" t="s">
        <v>1323</v>
      </c>
      <c r="L844" s="275">
        <v>101</v>
      </c>
      <c r="M844" s="280">
        <f t="shared" si="27"/>
        <v>0.01</v>
      </c>
    </row>
    <row r="845" spans="1:13">
      <c r="A845" s="275"/>
      <c r="B845" s="275"/>
      <c r="C845" s="275"/>
      <c r="D845" s="275"/>
      <c r="E845" s="275" t="s">
        <v>479</v>
      </c>
      <c r="F845" s="275" t="s">
        <v>1324</v>
      </c>
      <c r="G845" s="278">
        <v>40704.800000000003</v>
      </c>
      <c r="H845" s="280">
        <f t="shared" si="26"/>
        <v>-4.6319504321148137E-3</v>
      </c>
      <c r="I845" s="275"/>
      <c r="J845" s="275" t="s">
        <v>1717</v>
      </c>
      <c r="K845" s="275" t="s">
        <v>1324</v>
      </c>
      <c r="L845" s="275">
        <v>100.98</v>
      </c>
      <c r="M845" s="280">
        <f t="shared" si="27"/>
        <v>-1.9801980198015862E-4</v>
      </c>
    </row>
    <row r="846" spans="1:13">
      <c r="A846" s="275"/>
      <c r="B846" s="275"/>
      <c r="C846" s="275"/>
      <c r="D846" s="275"/>
      <c r="E846" s="275" t="s">
        <v>479</v>
      </c>
      <c r="F846" s="275" t="s">
        <v>1325</v>
      </c>
      <c r="G846" s="278">
        <v>40638.83</v>
      </c>
      <c r="H846" s="280">
        <f t="shared" si="26"/>
        <v>-1.620693382598641E-3</v>
      </c>
      <c r="I846" s="275"/>
      <c r="J846" s="275" t="s">
        <v>1717</v>
      </c>
      <c r="K846" s="275" t="s">
        <v>1325</v>
      </c>
      <c r="L846" s="275">
        <v>99.6</v>
      </c>
      <c r="M846" s="280">
        <f t="shared" si="27"/>
        <v>-1.3666072489601996E-2</v>
      </c>
    </row>
    <row r="847" spans="1:13">
      <c r="A847" s="275"/>
      <c r="B847" s="275"/>
      <c r="C847" s="275"/>
      <c r="D847" s="275"/>
      <c r="E847" s="275" t="s">
        <v>479</v>
      </c>
      <c r="F847" s="275" t="s">
        <v>1326</v>
      </c>
      <c r="G847" s="278">
        <v>40496.03</v>
      </c>
      <c r="H847" s="280">
        <f t="shared" si="26"/>
        <v>-3.5138806899707225E-3</v>
      </c>
      <c r="I847" s="275"/>
      <c r="J847" s="275" t="s">
        <v>1717</v>
      </c>
      <c r="K847" s="275" t="s">
        <v>1326</v>
      </c>
      <c r="L847" s="275">
        <v>94.84</v>
      </c>
      <c r="M847" s="280">
        <f t="shared" si="27"/>
        <v>-4.779116465863445E-2</v>
      </c>
    </row>
    <row r="848" spans="1:13">
      <c r="A848" s="275"/>
      <c r="B848" s="275"/>
      <c r="C848" s="275"/>
      <c r="D848" s="275"/>
      <c r="E848" s="275" t="s">
        <v>479</v>
      </c>
      <c r="F848" s="275" t="s">
        <v>1327</v>
      </c>
      <c r="G848" s="278">
        <v>39160.6</v>
      </c>
      <c r="H848" s="280">
        <f t="shared" si="26"/>
        <v>-3.2976812788809186E-2</v>
      </c>
      <c r="I848" s="275"/>
      <c r="J848" s="275" t="s">
        <v>1717</v>
      </c>
      <c r="K848" s="275" t="s">
        <v>1327</v>
      </c>
      <c r="L848" s="275">
        <v>90.1</v>
      </c>
      <c r="M848" s="280">
        <f t="shared" si="27"/>
        <v>-4.9978911851539527E-2</v>
      </c>
    </row>
    <row r="849" spans="1:13">
      <c r="A849" s="275"/>
      <c r="B849" s="275"/>
      <c r="C849" s="275"/>
      <c r="D849" s="275"/>
      <c r="E849" s="275" t="s">
        <v>479</v>
      </c>
      <c r="F849" s="275" t="s">
        <v>1328</v>
      </c>
      <c r="G849" s="278">
        <v>39602.870000000003</v>
      </c>
      <c r="H849" s="280">
        <f t="shared" si="26"/>
        <v>1.129374932968351E-2</v>
      </c>
      <c r="I849" s="275"/>
      <c r="J849" s="275" t="s">
        <v>1717</v>
      </c>
      <c r="K849" s="275" t="s">
        <v>1328</v>
      </c>
      <c r="L849" s="275">
        <v>88.8</v>
      </c>
      <c r="M849" s="280">
        <f t="shared" si="27"/>
        <v>-1.4428412874583765E-2</v>
      </c>
    </row>
    <row r="850" spans="1:13">
      <c r="A850" s="275"/>
      <c r="B850" s="275"/>
      <c r="C850" s="275"/>
      <c r="D850" s="275"/>
      <c r="E850" s="275" t="s">
        <v>479</v>
      </c>
      <c r="F850" s="275" t="s">
        <v>1329</v>
      </c>
      <c r="G850" s="278">
        <v>39303.11</v>
      </c>
      <c r="H850" s="280">
        <f t="shared" si="26"/>
        <v>-7.5691483975783075E-3</v>
      </c>
      <c r="I850" s="275"/>
      <c r="J850" s="275" t="s">
        <v>1717</v>
      </c>
      <c r="K850" s="275" t="s">
        <v>1329</v>
      </c>
      <c r="L850" s="275">
        <v>89.9</v>
      </c>
      <c r="M850" s="280">
        <f t="shared" si="27"/>
        <v>1.2387387387387485E-2</v>
      </c>
    </row>
    <row r="851" spans="1:13">
      <c r="A851" s="275"/>
      <c r="B851" s="275"/>
      <c r="C851" s="275"/>
      <c r="D851" s="275"/>
      <c r="E851" s="275" t="s">
        <v>479</v>
      </c>
      <c r="F851" s="275" t="s">
        <v>1330</v>
      </c>
      <c r="G851" s="278">
        <v>38300.620000000003</v>
      </c>
      <c r="H851" s="280">
        <f t="shared" si="26"/>
        <v>-2.5506632935663309E-2</v>
      </c>
      <c r="I851" s="275"/>
      <c r="J851" s="275" t="s">
        <v>1717</v>
      </c>
      <c r="K851" s="275" t="s">
        <v>1330</v>
      </c>
      <c r="L851" s="275">
        <v>87</v>
      </c>
      <c r="M851" s="280">
        <f t="shared" si="27"/>
        <v>-3.2258064516129094E-2</v>
      </c>
    </row>
    <row r="852" spans="1:13">
      <c r="A852" s="275"/>
      <c r="B852" s="275"/>
      <c r="C852" s="275"/>
      <c r="D852" s="275"/>
      <c r="E852" s="275" t="s">
        <v>479</v>
      </c>
      <c r="F852" s="275" t="s">
        <v>1331</v>
      </c>
      <c r="G852" s="278">
        <v>38562.050000000003</v>
      </c>
      <c r="H852" s="280">
        <f t="shared" si="26"/>
        <v>6.8257380689921016E-3</v>
      </c>
      <c r="I852" s="275"/>
      <c r="J852" s="275" t="s">
        <v>1717</v>
      </c>
      <c r="K852" s="275" t="s">
        <v>1331</v>
      </c>
      <c r="L852" s="275">
        <v>88.18</v>
      </c>
      <c r="M852" s="280">
        <f t="shared" si="27"/>
        <v>1.3563218390804677E-2</v>
      </c>
    </row>
    <row r="853" spans="1:13">
      <c r="A853" s="275"/>
      <c r="B853" s="275"/>
      <c r="C853" s="275"/>
      <c r="D853" s="275"/>
      <c r="E853" s="275" t="s">
        <v>479</v>
      </c>
      <c r="F853" s="275" t="s">
        <v>1332</v>
      </c>
      <c r="G853" s="278">
        <v>39299.620000000003</v>
      </c>
      <c r="H853" s="280">
        <f t="shared" si="26"/>
        <v>1.9126835839899582E-2</v>
      </c>
      <c r="I853" s="275"/>
      <c r="J853" s="275" t="s">
        <v>1717</v>
      </c>
      <c r="K853" s="275" t="s">
        <v>1332</v>
      </c>
      <c r="L853" s="275">
        <v>88.1</v>
      </c>
      <c r="M853" s="280">
        <f t="shared" si="27"/>
        <v>-9.0723520072592996E-4</v>
      </c>
    </row>
    <row r="854" spans="1:13">
      <c r="A854" s="275"/>
      <c r="B854" s="275"/>
      <c r="C854" s="275"/>
      <c r="D854" s="275"/>
      <c r="E854" s="275" t="s">
        <v>479</v>
      </c>
      <c r="F854" s="275" t="s">
        <v>1333</v>
      </c>
      <c r="G854" s="278">
        <v>38851.96</v>
      </c>
      <c r="H854" s="280">
        <f t="shared" si="26"/>
        <v>-1.1390949836156265E-2</v>
      </c>
      <c r="I854" s="275"/>
      <c r="J854" s="275" t="s">
        <v>1717</v>
      </c>
      <c r="K854" s="275" t="s">
        <v>1333</v>
      </c>
      <c r="L854" s="275">
        <v>87.75</v>
      </c>
      <c r="M854" s="280">
        <f t="shared" si="27"/>
        <v>-3.9727582292848392E-3</v>
      </c>
    </row>
    <row r="855" spans="1:13">
      <c r="A855" s="275"/>
      <c r="B855" s="275"/>
      <c r="C855" s="275"/>
      <c r="D855" s="275"/>
      <c r="E855" s="275" t="s">
        <v>479</v>
      </c>
      <c r="F855" s="275" t="s">
        <v>1334</v>
      </c>
      <c r="G855" s="278">
        <v>38307.440000000002</v>
      </c>
      <c r="H855" s="280">
        <f t="shared" si="26"/>
        <v>-1.4015251740195264E-2</v>
      </c>
      <c r="I855" s="275"/>
      <c r="J855" s="275" t="s">
        <v>1717</v>
      </c>
      <c r="K855" s="275" t="s">
        <v>1334</v>
      </c>
      <c r="L855" s="275">
        <v>86.5</v>
      </c>
      <c r="M855" s="280">
        <f t="shared" si="27"/>
        <v>-1.4245014245014245E-2</v>
      </c>
    </row>
    <row r="856" spans="1:13">
      <c r="A856" s="275"/>
      <c r="B856" s="275"/>
      <c r="C856" s="275"/>
      <c r="D856" s="275"/>
      <c r="E856" s="275" t="s">
        <v>479</v>
      </c>
      <c r="F856" s="275" t="s">
        <v>1335</v>
      </c>
      <c r="G856" s="278">
        <v>38011.629999999997</v>
      </c>
      <c r="H856" s="280">
        <f t="shared" si="26"/>
        <v>-7.7219986509149382E-3</v>
      </c>
      <c r="I856" s="275"/>
      <c r="J856" s="275" t="s">
        <v>1717</v>
      </c>
      <c r="K856" s="275" t="s">
        <v>1335</v>
      </c>
      <c r="L856" s="275">
        <v>87</v>
      </c>
      <c r="M856" s="280">
        <f t="shared" si="27"/>
        <v>5.7803468208092483E-3</v>
      </c>
    </row>
    <row r="857" spans="1:13">
      <c r="A857" s="275"/>
      <c r="B857" s="275"/>
      <c r="C857" s="275"/>
      <c r="D857" s="275"/>
      <c r="E857" s="275" t="s">
        <v>479</v>
      </c>
      <c r="F857" s="275" t="s">
        <v>1336</v>
      </c>
      <c r="G857" s="278">
        <v>38585.660000000003</v>
      </c>
      <c r="H857" s="280">
        <f t="shared" si="26"/>
        <v>1.5101430798942486E-2</v>
      </c>
      <c r="I857" s="275"/>
      <c r="J857" s="275" t="s">
        <v>1717</v>
      </c>
      <c r="K857" s="275" t="s">
        <v>1336</v>
      </c>
      <c r="L857" s="275">
        <v>88</v>
      </c>
      <c r="M857" s="280">
        <f t="shared" si="27"/>
        <v>1.1494252873563218E-2</v>
      </c>
    </row>
    <row r="858" spans="1:13">
      <c r="A858" s="275"/>
      <c r="B858" s="275"/>
      <c r="C858" s="275"/>
      <c r="D858" s="275"/>
      <c r="E858" s="275" t="s">
        <v>479</v>
      </c>
      <c r="F858" s="275" t="s">
        <v>1337</v>
      </c>
      <c r="G858" s="278">
        <v>38309.17</v>
      </c>
      <c r="H858" s="280">
        <f t="shared" si="26"/>
        <v>-7.1656154125653215E-3</v>
      </c>
      <c r="I858" s="275"/>
      <c r="J858" s="275" t="s">
        <v>1717</v>
      </c>
      <c r="K858" s="275" t="s">
        <v>1337</v>
      </c>
      <c r="L858" s="275">
        <v>86.5</v>
      </c>
      <c r="M858" s="280">
        <f t="shared" si="27"/>
        <v>-1.7045454545454544E-2</v>
      </c>
    </row>
    <row r="859" spans="1:13">
      <c r="A859" s="275"/>
      <c r="B859" s="275"/>
      <c r="C859" s="275"/>
      <c r="D859" s="275"/>
      <c r="E859" s="275" t="s">
        <v>479</v>
      </c>
      <c r="F859" s="275" t="s">
        <v>1338</v>
      </c>
      <c r="G859" s="278">
        <v>38115.81</v>
      </c>
      <c r="H859" s="280">
        <f t="shared" si="26"/>
        <v>-5.0473555026120534E-3</v>
      </c>
      <c r="I859" s="275"/>
      <c r="J859" s="275" t="s">
        <v>1717</v>
      </c>
      <c r="K859" s="275" t="s">
        <v>1338</v>
      </c>
      <c r="L859" s="275">
        <v>86</v>
      </c>
      <c r="M859" s="280">
        <f t="shared" si="27"/>
        <v>-5.7803468208092483E-3</v>
      </c>
    </row>
    <row r="860" spans="1:13">
      <c r="A860" s="275"/>
      <c r="B860" s="275"/>
      <c r="C860" s="275"/>
      <c r="D860" s="275"/>
      <c r="E860" s="275" t="s">
        <v>479</v>
      </c>
      <c r="F860" s="275" t="s">
        <v>1339</v>
      </c>
      <c r="G860" s="278">
        <v>38063.15</v>
      </c>
      <c r="H860" s="280">
        <f t="shared" si="26"/>
        <v>-1.3815789301079059E-3</v>
      </c>
      <c r="I860" s="275"/>
      <c r="J860" s="275" t="s">
        <v>1717</v>
      </c>
      <c r="K860" s="275" t="s">
        <v>1339</v>
      </c>
      <c r="L860" s="275">
        <v>86</v>
      </c>
      <c r="M860" s="280">
        <f t="shared" si="27"/>
        <v>0</v>
      </c>
    </row>
    <row r="861" spans="1:13">
      <c r="A861" s="275"/>
      <c r="B861" s="275"/>
      <c r="C861" s="275"/>
      <c r="D861" s="275"/>
      <c r="E861" s="275" t="s">
        <v>479</v>
      </c>
      <c r="F861" s="275" t="s">
        <v>1340</v>
      </c>
      <c r="G861" s="278">
        <v>38236.519999999997</v>
      </c>
      <c r="H861" s="280">
        <f t="shared" si="26"/>
        <v>4.55479906418663E-3</v>
      </c>
      <c r="I861" s="275"/>
      <c r="J861" s="275" t="s">
        <v>1717</v>
      </c>
      <c r="K861" s="275" t="s">
        <v>1340</v>
      </c>
      <c r="L861" s="275">
        <v>87.75</v>
      </c>
      <c r="M861" s="280">
        <f t="shared" si="27"/>
        <v>2.0348837209302327E-2</v>
      </c>
    </row>
    <row r="862" spans="1:13">
      <c r="A862" s="275"/>
      <c r="B862" s="275"/>
      <c r="C862" s="275"/>
      <c r="D862" s="275"/>
      <c r="E862" s="275" t="s">
        <v>479</v>
      </c>
      <c r="F862" s="275" t="s">
        <v>1341</v>
      </c>
      <c r="G862" s="278">
        <v>38251.040000000001</v>
      </c>
      <c r="H862" s="280">
        <f t="shared" si="26"/>
        <v>3.7974167105176088E-4</v>
      </c>
      <c r="I862" s="275"/>
      <c r="J862" s="275" t="s">
        <v>1717</v>
      </c>
      <c r="K862" s="275" t="s">
        <v>1341</v>
      </c>
      <c r="L862" s="275">
        <v>87.5</v>
      </c>
      <c r="M862" s="280">
        <f t="shared" si="27"/>
        <v>-2.8490028490028491E-3</v>
      </c>
    </row>
    <row r="863" spans="1:13">
      <c r="A863" s="275"/>
      <c r="B863" s="275"/>
      <c r="C863" s="275"/>
      <c r="D863" s="275"/>
      <c r="E863" s="275" t="s">
        <v>479</v>
      </c>
      <c r="F863" s="275" t="s">
        <v>1342</v>
      </c>
      <c r="G863" s="278">
        <v>38308.92</v>
      </c>
      <c r="H863" s="280">
        <f t="shared" si="26"/>
        <v>1.5131614722108831E-3</v>
      </c>
      <c r="I863" s="275"/>
      <c r="J863" s="275" t="s">
        <v>1717</v>
      </c>
      <c r="K863" s="275" t="s">
        <v>1342</v>
      </c>
      <c r="L863" s="275">
        <v>88.17</v>
      </c>
      <c r="M863" s="280">
        <f t="shared" si="27"/>
        <v>7.6571428571428762E-3</v>
      </c>
    </row>
    <row r="864" spans="1:13">
      <c r="A864" s="275"/>
      <c r="B864" s="275"/>
      <c r="C864" s="275"/>
      <c r="D864" s="275"/>
      <c r="E864" s="275" t="s">
        <v>479</v>
      </c>
      <c r="F864" s="275" t="s">
        <v>1343</v>
      </c>
      <c r="G864" s="278">
        <v>38218.07</v>
      </c>
      <c r="H864" s="280">
        <f t="shared" si="26"/>
        <v>-2.3715103427608647E-3</v>
      </c>
      <c r="I864" s="275"/>
      <c r="J864" s="275" t="s">
        <v>1717</v>
      </c>
      <c r="K864" s="275" t="s">
        <v>1343</v>
      </c>
      <c r="L864" s="275">
        <v>89</v>
      </c>
      <c r="M864" s="280">
        <f t="shared" si="27"/>
        <v>9.4136327549052771E-3</v>
      </c>
    </row>
    <row r="865" spans="1:13">
      <c r="A865" s="275"/>
      <c r="B865" s="275"/>
      <c r="C865" s="275"/>
      <c r="D865" s="275"/>
      <c r="E865" s="275" t="s">
        <v>479</v>
      </c>
      <c r="F865" s="275" t="s">
        <v>1344</v>
      </c>
      <c r="G865" s="278">
        <v>37853.57</v>
      </c>
      <c r="H865" s="280">
        <f t="shared" si="26"/>
        <v>-9.5373732896506802E-3</v>
      </c>
      <c r="I865" s="275"/>
      <c r="J865" s="275" t="s">
        <v>1717</v>
      </c>
      <c r="K865" s="275" t="s">
        <v>1344</v>
      </c>
      <c r="L865" s="275">
        <v>87.75</v>
      </c>
      <c r="M865" s="280">
        <f t="shared" si="27"/>
        <v>-1.4044943820224719E-2</v>
      </c>
    </row>
    <row r="866" spans="1:13">
      <c r="A866" s="275"/>
      <c r="B866" s="275"/>
      <c r="C866" s="275"/>
      <c r="D866" s="275"/>
      <c r="E866" s="275" t="s">
        <v>479</v>
      </c>
      <c r="F866" s="275" t="s">
        <v>1345</v>
      </c>
      <c r="G866" s="278">
        <v>37167.019999999997</v>
      </c>
      <c r="H866" s="280">
        <f t="shared" si="26"/>
        <v>-1.813699474052257E-2</v>
      </c>
      <c r="I866" s="275"/>
      <c r="J866" s="275" t="s">
        <v>1717</v>
      </c>
      <c r="K866" s="275" t="s">
        <v>1345</v>
      </c>
      <c r="L866" s="275">
        <v>84.31</v>
      </c>
      <c r="M866" s="280">
        <f t="shared" si="27"/>
        <v>-3.9202279202279179E-2</v>
      </c>
    </row>
    <row r="867" spans="1:13">
      <c r="A867" s="275"/>
      <c r="B867" s="275"/>
      <c r="C867" s="275"/>
      <c r="D867" s="275"/>
      <c r="E867" s="275" t="s">
        <v>479</v>
      </c>
      <c r="F867" s="275" t="s">
        <v>1346</v>
      </c>
      <c r="G867" s="278">
        <v>37066.67</v>
      </c>
      <c r="H867" s="280">
        <f t="shared" si="26"/>
        <v>-2.6999743320825441E-3</v>
      </c>
      <c r="I867" s="275"/>
      <c r="J867" s="275" t="s">
        <v>1717</v>
      </c>
      <c r="K867" s="275" t="s">
        <v>1346</v>
      </c>
      <c r="L867" s="275">
        <v>82.15</v>
      </c>
      <c r="M867" s="280">
        <f t="shared" si="27"/>
        <v>-2.5619736686039573E-2</v>
      </c>
    </row>
    <row r="868" spans="1:13">
      <c r="A868" s="275"/>
      <c r="B868" s="275"/>
      <c r="C868" s="275"/>
      <c r="D868" s="275"/>
      <c r="E868" s="275" t="s">
        <v>479</v>
      </c>
      <c r="F868" s="275" t="s">
        <v>1347</v>
      </c>
      <c r="G868" s="278">
        <v>37995.760000000002</v>
      </c>
      <c r="H868" s="280">
        <f t="shared" si="26"/>
        <v>2.5065375443761303E-2</v>
      </c>
      <c r="I868" s="275"/>
      <c r="J868" s="275" t="s">
        <v>1717</v>
      </c>
      <c r="K868" s="275" t="s">
        <v>1347</v>
      </c>
      <c r="L868" s="275">
        <v>85.05</v>
      </c>
      <c r="M868" s="280">
        <f t="shared" si="27"/>
        <v>3.5301278149726008E-2</v>
      </c>
    </row>
    <row r="869" spans="1:13">
      <c r="A869" s="275"/>
      <c r="B869" s="275"/>
      <c r="C869" s="275"/>
      <c r="D869" s="275"/>
      <c r="E869" s="275" t="s">
        <v>479</v>
      </c>
      <c r="F869" s="275" t="s">
        <v>1348</v>
      </c>
      <c r="G869" s="278">
        <v>37795.25</v>
      </c>
      <c r="H869" s="280">
        <f t="shared" si="26"/>
        <v>-5.277167768193136E-3</v>
      </c>
      <c r="I869" s="275"/>
      <c r="J869" s="275" t="s">
        <v>1717</v>
      </c>
      <c r="K869" s="275" t="s">
        <v>1348</v>
      </c>
      <c r="L869" s="275">
        <v>85.5</v>
      </c>
      <c r="M869" s="280">
        <f t="shared" si="27"/>
        <v>5.2910052910053245E-3</v>
      </c>
    </row>
    <row r="870" spans="1:13">
      <c r="A870" s="275"/>
      <c r="B870" s="275"/>
      <c r="C870" s="275"/>
      <c r="D870" s="275"/>
      <c r="E870" s="275" t="s">
        <v>479</v>
      </c>
      <c r="F870" s="275" t="s">
        <v>1349</v>
      </c>
      <c r="G870" s="278">
        <v>37542.01</v>
      </c>
      <c r="H870" s="280">
        <f t="shared" si="26"/>
        <v>-6.700312870003452E-3</v>
      </c>
      <c r="I870" s="275"/>
      <c r="J870" s="275" t="s">
        <v>1717</v>
      </c>
      <c r="K870" s="275" t="s">
        <v>1349</v>
      </c>
      <c r="L870" s="275">
        <v>83</v>
      </c>
      <c r="M870" s="280">
        <f t="shared" si="27"/>
        <v>-2.9239766081871343E-2</v>
      </c>
    </row>
    <row r="871" spans="1:13">
      <c r="A871" s="275"/>
      <c r="B871" s="275"/>
      <c r="C871" s="275"/>
      <c r="D871" s="275"/>
      <c r="E871" s="275" t="s">
        <v>479</v>
      </c>
      <c r="F871" s="275" t="s">
        <v>1350</v>
      </c>
      <c r="G871" s="278">
        <v>37547.49</v>
      </c>
      <c r="H871" s="280">
        <f t="shared" si="26"/>
        <v>1.4596980822273301E-4</v>
      </c>
      <c r="I871" s="275"/>
      <c r="J871" s="275" t="s">
        <v>1717</v>
      </c>
      <c r="K871" s="275" t="s">
        <v>1350</v>
      </c>
      <c r="L871" s="275">
        <v>83.35</v>
      </c>
      <c r="M871" s="280">
        <f t="shared" si="27"/>
        <v>4.2168674698794496E-3</v>
      </c>
    </row>
    <row r="872" spans="1:13">
      <c r="A872" s="275"/>
      <c r="B872" s="275"/>
      <c r="C872" s="275"/>
      <c r="D872" s="275"/>
      <c r="E872" s="275" t="s">
        <v>479</v>
      </c>
      <c r="F872" s="275" t="s">
        <v>1351</v>
      </c>
      <c r="G872" s="278">
        <v>38562.400000000001</v>
      </c>
      <c r="H872" s="280">
        <f t="shared" si="26"/>
        <v>2.7030035829292545E-2</v>
      </c>
      <c r="I872" s="275"/>
      <c r="J872" s="275" t="s">
        <v>1717</v>
      </c>
      <c r="K872" s="275" t="s">
        <v>1351</v>
      </c>
      <c r="L872" s="275">
        <v>87</v>
      </c>
      <c r="M872" s="280">
        <f t="shared" si="27"/>
        <v>4.3791241751649744E-2</v>
      </c>
    </row>
    <row r="873" spans="1:13">
      <c r="A873" s="275"/>
      <c r="B873" s="275"/>
      <c r="C873" s="275"/>
      <c r="D873" s="275"/>
      <c r="E873" s="275" t="s">
        <v>479</v>
      </c>
      <c r="F873" s="275" t="s">
        <v>1352</v>
      </c>
      <c r="G873" s="278">
        <v>39052.5</v>
      </c>
      <c r="H873" s="280">
        <f t="shared" si="26"/>
        <v>1.2709271207186236E-2</v>
      </c>
      <c r="I873" s="275"/>
      <c r="J873" s="275" t="s">
        <v>1717</v>
      </c>
      <c r="K873" s="275" t="s">
        <v>1352</v>
      </c>
      <c r="L873" s="275">
        <v>87.9</v>
      </c>
      <c r="M873" s="280">
        <f t="shared" si="27"/>
        <v>1.0344827586206962E-2</v>
      </c>
    </row>
    <row r="874" spans="1:13">
      <c r="A874" s="275"/>
      <c r="B874" s="275"/>
      <c r="C874" s="275"/>
      <c r="D874" s="275"/>
      <c r="E874" s="275" t="s">
        <v>479</v>
      </c>
      <c r="F874" s="275" t="s">
        <v>1353</v>
      </c>
      <c r="G874" s="278">
        <v>38921.69</v>
      </c>
      <c r="H874" s="280">
        <f t="shared" si="26"/>
        <v>-3.3495934959348996E-3</v>
      </c>
      <c r="I874" s="275"/>
      <c r="J874" s="275" t="s">
        <v>1717</v>
      </c>
      <c r="K874" s="275" t="s">
        <v>1353</v>
      </c>
      <c r="L874" s="275">
        <v>87</v>
      </c>
      <c r="M874" s="280">
        <f t="shared" si="27"/>
        <v>-1.0238907849829415E-2</v>
      </c>
    </row>
    <row r="875" spans="1:13">
      <c r="A875" s="275"/>
      <c r="B875" s="275"/>
      <c r="C875" s="275"/>
      <c r="D875" s="275"/>
      <c r="E875" s="275" t="s">
        <v>479</v>
      </c>
      <c r="F875" s="275" t="s">
        <v>1354</v>
      </c>
      <c r="G875" s="278">
        <v>39090.28</v>
      </c>
      <c r="H875" s="280">
        <f t="shared" si="26"/>
        <v>4.3315179787927118E-3</v>
      </c>
      <c r="I875" s="275"/>
      <c r="J875" s="275" t="s">
        <v>1717</v>
      </c>
      <c r="K875" s="275" t="s">
        <v>1354</v>
      </c>
      <c r="L875" s="275">
        <v>86.9</v>
      </c>
      <c r="M875" s="280">
        <f t="shared" si="27"/>
        <v>-1.1494252873562566E-3</v>
      </c>
    </row>
    <row r="876" spans="1:13">
      <c r="A876" s="275"/>
      <c r="B876" s="275"/>
      <c r="C876" s="275"/>
      <c r="D876" s="275"/>
      <c r="E876" s="275" t="s">
        <v>479</v>
      </c>
      <c r="F876" s="275" t="s">
        <v>1355</v>
      </c>
      <c r="G876" s="278">
        <v>39049.08</v>
      </c>
      <c r="H876" s="280">
        <f t="shared" si="26"/>
        <v>-1.0539704499429804E-3</v>
      </c>
      <c r="I876" s="275"/>
      <c r="J876" s="275" t="s">
        <v>1717</v>
      </c>
      <c r="K876" s="275" t="s">
        <v>1355</v>
      </c>
      <c r="L876" s="275">
        <v>85</v>
      </c>
      <c r="M876" s="280">
        <f t="shared" si="27"/>
        <v>-2.1864211737629521E-2</v>
      </c>
    </row>
    <row r="877" spans="1:13">
      <c r="A877" s="275"/>
      <c r="B877" s="275"/>
      <c r="C877" s="275"/>
      <c r="D877" s="275"/>
      <c r="E877" s="275" t="s">
        <v>479</v>
      </c>
      <c r="F877" s="275" t="s">
        <v>1356</v>
      </c>
      <c r="G877" s="278">
        <v>39412.550000000003</v>
      </c>
      <c r="H877" s="280">
        <f t="shared" si="26"/>
        <v>9.3080297922512167E-3</v>
      </c>
      <c r="I877" s="275"/>
      <c r="J877" s="275" t="s">
        <v>1717</v>
      </c>
      <c r="K877" s="275" t="s">
        <v>1356</v>
      </c>
      <c r="L877" s="275">
        <v>85.85</v>
      </c>
      <c r="M877" s="280">
        <f t="shared" si="27"/>
        <v>9.9999999999999326E-3</v>
      </c>
    </row>
    <row r="878" spans="1:13">
      <c r="A878" s="275"/>
      <c r="B878" s="275"/>
      <c r="C878" s="275"/>
      <c r="D878" s="275"/>
      <c r="E878" s="275" t="s">
        <v>479</v>
      </c>
      <c r="F878" s="275" t="s">
        <v>1357</v>
      </c>
      <c r="G878" s="278">
        <v>39614.17</v>
      </c>
      <c r="H878" s="280">
        <f t="shared" si="26"/>
        <v>5.1156294124586037E-3</v>
      </c>
      <c r="I878" s="275"/>
      <c r="J878" s="275" t="s">
        <v>1717</v>
      </c>
      <c r="K878" s="275" t="s">
        <v>1357</v>
      </c>
      <c r="L878" s="275">
        <v>85.31</v>
      </c>
      <c r="M878" s="280">
        <f t="shared" si="27"/>
        <v>-6.2900407687826679E-3</v>
      </c>
    </row>
    <row r="879" spans="1:13">
      <c r="A879" s="275"/>
      <c r="B879" s="275"/>
      <c r="C879" s="275"/>
      <c r="D879" s="275"/>
      <c r="E879" s="275" t="s">
        <v>479</v>
      </c>
      <c r="F879" s="275" t="s">
        <v>1358</v>
      </c>
      <c r="G879" s="278">
        <v>39271.94</v>
      </c>
      <c r="H879" s="280">
        <f t="shared" si="26"/>
        <v>-8.6390804098633381E-3</v>
      </c>
      <c r="I879" s="275"/>
      <c r="J879" s="275" t="s">
        <v>1717</v>
      </c>
      <c r="K879" s="275" t="s">
        <v>1358</v>
      </c>
      <c r="L879" s="275">
        <v>83.6</v>
      </c>
      <c r="M879" s="280">
        <f t="shared" si="27"/>
        <v>-2.0044543429844189E-2</v>
      </c>
    </row>
    <row r="880" spans="1:13">
      <c r="A880" s="275"/>
      <c r="B880" s="275"/>
      <c r="C880" s="275"/>
      <c r="D880" s="275"/>
      <c r="E880" s="275" t="s">
        <v>479</v>
      </c>
      <c r="F880" s="275" t="s">
        <v>1359</v>
      </c>
      <c r="G880" s="278">
        <v>39243.89</v>
      </c>
      <c r="H880" s="280">
        <f t="shared" si="26"/>
        <v>-7.1425042918691847E-4</v>
      </c>
      <c r="I880" s="275"/>
      <c r="J880" s="275" t="s">
        <v>1717</v>
      </c>
      <c r="K880" s="275" t="s">
        <v>1359</v>
      </c>
      <c r="L880" s="275">
        <v>85.9</v>
      </c>
      <c r="M880" s="280">
        <f t="shared" si="27"/>
        <v>2.7511961722488175E-2</v>
      </c>
    </row>
    <row r="881" spans="1:13">
      <c r="A881" s="275"/>
      <c r="B881" s="275"/>
      <c r="C881" s="275"/>
      <c r="D881" s="275"/>
      <c r="E881" s="275" t="s">
        <v>479</v>
      </c>
      <c r="F881" s="275" t="s">
        <v>1360</v>
      </c>
      <c r="G881" s="278">
        <v>39306.5</v>
      </c>
      <c r="H881" s="280">
        <f t="shared" si="26"/>
        <v>1.5954075908377224E-3</v>
      </c>
      <c r="I881" s="275"/>
      <c r="J881" s="275" t="s">
        <v>1717</v>
      </c>
      <c r="K881" s="275" t="s">
        <v>1360</v>
      </c>
      <c r="L881" s="275">
        <v>84.4</v>
      </c>
      <c r="M881" s="280">
        <f t="shared" si="27"/>
        <v>-1.7462165308498253E-2</v>
      </c>
    </row>
    <row r="882" spans="1:13">
      <c r="A882" s="275"/>
      <c r="B882" s="275"/>
      <c r="C882" s="275"/>
      <c r="D882" s="275"/>
      <c r="E882" s="275" t="s">
        <v>479</v>
      </c>
      <c r="F882" s="275" t="s">
        <v>1361</v>
      </c>
      <c r="G882" s="278">
        <v>39543.769999999997</v>
      </c>
      <c r="H882" s="280">
        <f t="shared" si="26"/>
        <v>6.0364061923599607E-3</v>
      </c>
      <c r="I882" s="275"/>
      <c r="J882" s="275" t="s">
        <v>1717</v>
      </c>
      <c r="K882" s="275" t="s">
        <v>1361</v>
      </c>
      <c r="L882" s="275">
        <v>83.5</v>
      </c>
      <c r="M882" s="280">
        <f t="shared" si="27"/>
        <v>-1.0663507109004806E-2</v>
      </c>
    </row>
    <row r="883" spans="1:13">
      <c r="A883" s="275"/>
      <c r="B883" s="275"/>
      <c r="C883" s="275"/>
      <c r="D883" s="275"/>
      <c r="E883" s="275" t="s">
        <v>479</v>
      </c>
      <c r="F883" s="275" t="s">
        <v>1362</v>
      </c>
      <c r="G883" s="278">
        <v>39902.21</v>
      </c>
      <c r="H883" s="280">
        <f t="shared" si="26"/>
        <v>9.0643861220111883E-3</v>
      </c>
      <c r="I883" s="275"/>
      <c r="J883" s="275" t="s">
        <v>1717</v>
      </c>
      <c r="K883" s="275" t="s">
        <v>1362</v>
      </c>
      <c r="L883" s="275">
        <v>83.8</v>
      </c>
      <c r="M883" s="280">
        <f t="shared" si="27"/>
        <v>3.5928143712574512E-3</v>
      </c>
    </row>
    <row r="884" spans="1:13">
      <c r="A884" s="275"/>
      <c r="B884" s="275"/>
      <c r="C884" s="275"/>
      <c r="D884" s="275"/>
      <c r="E884" s="275" t="s">
        <v>479</v>
      </c>
      <c r="F884" s="275" t="s">
        <v>1363</v>
      </c>
      <c r="G884" s="278">
        <v>40057.85</v>
      </c>
      <c r="H884" s="280">
        <f t="shared" si="26"/>
        <v>3.9005358349825593E-3</v>
      </c>
      <c r="I884" s="275"/>
      <c r="J884" s="275" t="s">
        <v>1717</v>
      </c>
      <c r="K884" s="275" t="s">
        <v>1363</v>
      </c>
      <c r="L884" s="275">
        <v>83.75</v>
      </c>
      <c r="M884" s="280">
        <f t="shared" si="27"/>
        <v>-5.9665871121714986E-4</v>
      </c>
    </row>
    <row r="885" spans="1:13">
      <c r="A885" s="275"/>
      <c r="B885" s="275"/>
      <c r="C885" s="275"/>
      <c r="D885" s="275"/>
      <c r="E885" s="275" t="s">
        <v>479</v>
      </c>
      <c r="F885" s="275" t="s">
        <v>1364</v>
      </c>
      <c r="G885" s="278">
        <v>40289.160000000003</v>
      </c>
      <c r="H885" s="280">
        <f t="shared" si="26"/>
        <v>5.7743987757706656E-3</v>
      </c>
      <c r="I885" s="275"/>
      <c r="J885" s="275" t="s">
        <v>1717</v>
      </c>
      <c r="K885" s="275" t="s">
        <v>1364</v>
      </c>
      <c r="L885" s="275">
        <v>83.6</v>
      </c>
      <c r="M885" s="280">
        <f t="shared" si="27"/>
        <v>-1.7910447761194709E-3</v>
      </c>
    </row>
    <row r="886" spans="1:13">
      <c r="A886" s="275"/>
      <c r="B886" s="275"/>
      <c r="C886" s="275"/>
      <c r="D886" s="275"/>
      <c r="E886" s="275" t="s">
        <v>479</v>
      </c>
      <c r="F886" s="275" t="s">
        <v>1365</v>
      </c>
      <c r="G886" s="278">
        <v>40264.78</v>
      </c>
      <c r="H886" s="280">
        <f t="shared" si="26"/>
        <v>-6.0512554741783283E-4</v>
      </c>
      <c r="I886" s="275"/>
      <c r="J886" s="275" t="s">
        <v>1717</v>
      </c>
      <c r="K886" s="275" t="s">
        <v>1365</v>
      </c>
      <c r="L886" s="275">
        <v>84.45</v>
      </c>
      <c r="M886" s="280">
        <f t="shared" si="27"/>
        <v>1.0167464114832639E-2</v>
      </c>
    </row>
    <row r="887" spans="1:13">
      <c r="A887" s="275"/>
      <c r="B887" s="275"/>
      <c r="C887" s="275"/>
      <c r="D887" s="275"/>
      <c r="E887" s="275" t="s">
        <v>479</v>
      </c>
      <c r="F887" s="275" t="s">
        <v>1366</v>
      </c>
      <c r="G887" s="278">
        <v>40420.089999999997</v>
      </c>
      <c r="H887" s="280">
        <f t="shared" si="26"/>
        <v>3.8572171510684442E-3</v>
      </c>
      <c r="I887" s="275"/>
      <c r="J887" s="275" t="s">
        <v>1717</v>
      </c>
      <c r="K887" s="275" t="s">
        <v>1366</v>
      </c>
      <c r="L887" s="275">
        <v>84.39</v>
      </c>
      <c r="M887" s="280">
        <f t="shared" si="27"/>
        <v>-7.1047957371228262E-4</v>
      </c>
    </row>
    <row r="888" spans="1:13">
      <c r="A888" s="275"/>
      <c r="B888" s="275"/>
      <c r="C888" s="275"/>
      <c r="D888" s="275"/>
      <c r="E888" s="275" t="s">
        <v>479</v>
      </c>
      <c r="F888" s="275" t="s">
        <v>1367</v>
      </c>
      <c r="G888" s="278">
        <v>40624.39</v>
      </c>
      <c r="H888" s="280">
        <f t="shared" si="26"/>
        <v>5.0544172464732987E-3</v>
      </c>
      <c r="I888" s="275"/>
      <c r="J888" s="275" t="s">
        <v>1717</v>
      </c>
      <c r="K888" s="275" t="s">
        <v>1367</v>
      </c>
      <c r="L888" s="275">
        <v>84.25</v>
      </c>
      <c r="M888" s="280">
        <f t="shared" si="27"/>
        <v>-1.6589643322668631E-3</v>
      </c>
    </row>
    <row r="889" spans="1:13">
      <c r="A889" s="275"/>
      <c r="B889" s="275"/>
      <c r="C889" s="275"/>
      <c r="D889" s="275"/>
      <c r="E889" s="275" t="s">
        <v>479</v>
      </c>
      <c r="F889" s="275" t="s">
        <v>1368</v>
      </c>
      <c r="G889" s="278">
        <v>40607.120000000003</v>
      </c>
      <c r="H889" s="280">
        <f t="shared" si="26"/>
        <v>-4.2511407555896342E-4</v>
      </c>
      <c r="I889" s="275"/>
      <c r="J889" s="275" t="s">
        <v>1717</v>
      </c>
      <c r="K889" s="275" t="s">
        <v>1368</v>
      </c>
      <c r="L889" s="275">
        <v>84.05</v>
      </c>
      <c r="M889" s="280">
        <f t="shared" si="27"/>
        <v>-2.3738872403561168E-3</v>
      </c>
    </row>
    <row r="890" spans="1:13">
      <c r="A890" s="275"/>
      <c r="B890" s="275"/>
      <c r="C890" s="275"/>
      <c r="D890" s="275"/>
      <c r="E890" s="275" t="s">
        <v>479</v>
      </c>
      <c r="F890" s="275" t="s">
        <v>1369</v>
      </c>
      <c r="G890" s="278">
        <v>40799.519999999997</v>
      </c>
      <c r="H890" s="280">
        <f t="shared" si="26"/>
        <v>4.7380853406987292E-3</v>
      </c>
      <c r="I890" s="275"/>
      <c r="J890" s="275" t="s">
        <v>1717</v>
      </c>
      <c r="K890" s="275" t="s">
        <v>1369</v>
      </c>
      <c r="L890" s="275">
        <v>83.98</v>
      </c>
      <c r="M890" s="280">
        <f t="shared" si="27"/>
        <v>-8.3283759666856851E-4</v>
      </c>
    </row>
    <row r="891" spans="1:13">
      <c r="A891" s="275"/>
      <c r="B891" s="275"/>
      <c r="C891" s="275"/>
      <c r="D891" s="275"/>
      <c r="E891" s="275" t="s">
        <v>479</v>
      </c>
      <c r="F891" s="275" t="s">
        <v>1370</v>
      </c>
      <c r="G891" s="278">
        <v>41112.71</v>
      </c>
      <c r="H891" s="280">
        <f t="shared" si="26"/>
        <v>7.6763157997937811E-3</v>
      </c>
      <c r="I891" s="275"/>
      <c r="J891" s="275" t="s">
        <v>1717</v>
      </c>
      <c r="K891" s="275" t="s">
        <v>1370</v>
      </c>
      <c r="L891" s="275">
        <v>86</v>
      </c>
      <c r="M891" s="280">
        <f t="shared" si="27"/>
        <v>2.4053346034770134E-2</v>
      </c>
    </row>
    <row r="892" spans="1:13">
      <c r="A892" s="275"/>
      <c r="B892" s="275"/>
      <c r="C892" s="275"/>
      <c r="D892" s="275"/>
      <c r="E892" s="275" t="s">
        <v>479</v>
      </c>
      <c r="F892" s="275" t="s">
        <v>1371</v>
      </c>
      <c r="G892" s="278">
        <v>41614.39</v>
      </c>
      <c r="H892" s="280">
        <f t="shared" si="26"/>
        <v>1.2202552446676474E-2</v>
      </c>
      <c r="I892" s="275"/>
      <c r="J892" s="275" t="s">
        <v>1717</v>
      </c>
      <c r="K892" s="275" t="s">
        <v>1371</v>
      </c>
      <c r="L892" s="275">
        <v>89.63</v>
      </c>
      <c r="M892" s="280">
        <f t="shared" si="27"/>
        <v>4.2209302325581344E-2</v>
      </c>
    </row>
    <row r="893" spans="1:13">
      <c r="A893" s="275"/>
      <c r="B893" s="275"/>
      <c r="C893" s="275"/>
      <c r="D893" s="275"/>
      <c r="E893" s="275" t="s">
        <v>479</v>
      </c>
      <c r="F893" s="275" t="s">
        <v>1372</v>
      </c>
      <c r="G893" s="278">
        <v>41505.68</v>
      </c>
      <c r="H893" s="280">
        <f t="shared" si="26"/>
        <v>-2.6123175180508265E-3</v>
      </c>
      <c r="I893" s="275"/>
      <c r="J893" s="275" t="s">
        <v>1717</v>
      </c>
      <c r="K893" s="275" t="s">
        <v>1372</v>
      </c>
      <c r="L893" s="275">
        <v>88.75</v>
      </c>
      <c r="M893" s="280">
        <f t="shared" si="27"/>
        <v>-9.8181412473501671E-3</v>
      </c>
    </row>
    <row r="894" spans="1:13">
      <c r="A894" s="275"/>
      <c r="B894" s="275"/>
      <c r="C894" s="275"/>
      <c r="D894" s="275"/>
      <c r="E894" s="275" t="s">
        <v>479</v>
      </c>
      <c r="F894" s="275" t="s">
        <v>1373</v>
      </c>
      <c r="G894" s="278">
        <v>41332.75</v>
      </c>
      <c r="H894" s="280">
        <f t="shared" si="26"/>
        <v>-4.1664177047575244E-3</v>
      </c>
      <c r="I894" s="275"/>
      <c r="J894" s="275" t="s">
        <v>1717</v>
      </c>
      <c r="K894" s="275" t="s">
        <v>1373</v>
      </c>
      <c r="L894" s="275">
        <v>87.5</v>
      </c>
      <c r="M894" s="280">
        <f t="shared" si="27"/>
        <v>-1.4084507042253521E-2</v>
      </c>
    </row>
    <row r="895" spans="1:13">
      <c r="A895" s="275"/>
      <c r="B895" s="275"/>
      <c r="C895" s="275"/>
      <c r="D895" s="275"/>
      <c r="E895" s="275" t="s">
        <v>479</v>
      </c>
      <c r="F895" s="275" t="s">
        <v>1374</v>
      </c>
      <c r="G895" s="278">
        <v>40887.35</v>
      </c>
      <c r="H895" s="280">
        <f t="shared" si="26"/>
        <v>-1.0775958531672861E-2</v>
      </c>
      <c r="I895" s="275"/>
      <c r="J895" s="275" t="s">
        <v>1717</v>
      </c>
      <c r="K895" s="275" t="s">
        <v>1374</v>
      </c>
      <c r="L895" s="275">
        <v>87.9</v>
      </c>
      <c r="M895" s="280">
        <f t="shared" si="27"/>
        <v>4.5714285714286368E-3</v>
      </c>
    </row>
    <row r="896" spans="1:13">
      <c r="A896" s="275"/>
      <c r="B896" s="275"/>
      <c r="C896" s="275"/>
      <c r="D896" s="275"/>
      <c r="E896" s="275" t="s">
        <v>479</v>
      </c>
      <c r="F896" s="275" t="s">
        <v>1375</v>
      </c>
      <c r="G896" s="278">
        <v>40326.53</v>
      </c>
      <c r="H896" s="280">
        <f t="shared" si="26"/>
        <v>-1.3716222743709233E-2</v>
      </c>
      <c r="I896" s="275"/>
      <c r="J896" s="275" t="s">
        <v>1717</v>
      </c>
      <c r="K896" s="275" t="s">
        <v>1375</v>
      </c>
      <c r="L896" s="275">
        <v>87</v>
      </c>
      <c r="M896" s="280">
        <f t="shared" si="27"/>
        <v>-1.0238907849829415E-2</v>
      </c>
    </row>
    <row r="897" spans="1:13">
      <c r="A897" s="275"/>
      <c r="B897" s="275"/>
      <c r="C897" s="275"/>
      <c r="D897" s="275"/>
      <c r="E897" s="275" t="s">
        <v>479</v>
      </c>
      <c r="F897" s="275" t="s">
        <v>1376</v>
      </c>
      <c r="G897" s="278">
        <v>40596.28</v>
      </c>
      <c r="H897" s="280">
        <f t="shared" si="26"/>
        <v>6.6891448383979485E-3</v>
      </c>
      <c r="I897" s="275"/>
      <c r="J897" s="275" t="s">
        <v>1717</v>
      </c>
      <c r="K897" s="275" t="s">
        <v>1376</v>
      </c>
      <c r="L897" s="275">
        <v>89.32</v>
      </c>
      <c r="M897" s="280">
        <f t="shared" si="27"/>
        <v>2.6666666666666589E-2</v>
      </c>
    </row>
    <row r="898" spans="1:13">
      <c r="A898" s="275"/>
      <c r="B898" s="275"/>
      <c r="C898" s="275"/>
      <c r="D898" s="275"/>
      <c r="E898" s="275" t="s">
        <v>479</v>
      </c>
      <c r="F898" s="275" t="s">
        <v>1377</v>
      </c>
      <c r="G898" s="278">
        <v>40544.11</v>
      </c>
      <c r="H898" s="280">
        <f t="shared" si="26"/>
        <v>-1.2850931169062351E-3</v>
      </c>
      <c r="I898" s="275"/>
      <c r="J898" s="275" t="s">
        <v>1717</v>
      </c>
      <c r="K898" s="275" t="s">
        <v>1377</v>
      </c>
      <c r="L898" s="275">
        <v>89.5</v>
      </c>
      <c r="M898" s="280">
        <f t="shared" si="27"/>
        <v>2.015226153157264E-3</v>
      </c>
    </row>
    <row r="899" spans="1:13">
      <c r="A899" s="275"/>
      <c r="B899" s="275"/>
      <c r="C899" s="275"/>
      <c r="D899" s="275"/>
      <c r="E899" s="275" t="s">
        <v>479</v>
      </c>
      <c r="F899" s="275" t="s">
        <v>1378</v>
      </c>
      <c r="G899" s="278">
        <v>40506.980000000003</v>
      </c>
      <c r="H899" s="280">
        <f t="shared" si="26"/>
        <v>-9.1579270083860223E-4</v>
      </c>
      <c r="I899" s="275"/>
      <c r="J899" s="275" t="s">
        <v>1717</v>
      </c>
      <c r="K899" s="275" t="s">
        <v>1378</v>
      </c>
      <c r="L899" s="275">
        <v>87.01</v>
      </c>
      <c r="M899" s="280">
        <f t="shared" si="27"/>
        <v>-2.7821229050279273E-2</v>
      </c>
    </row>
    <row r="900" spans="1:13">
      <c r="A900" s="275"/>
      <c r="B900" s="275"/>
      <c r="C900" s="275"/>
      <c r="D900" s="275"/>
      <c r="E900" s="275" t="s">
        <v>479</v>
      </c>
      <c r="F900" s="275" t="s">
        <v>1379</v>
      </c>
      <c r="G900" s="278">
        <v>40486.67</v>
      </c>
      <c r="H900" s="280">
        <f t="shared" ref="H900:H963" si="28">(G900-G899)/G899</f>
        <v>-5.0139506820811989E-4</v>
      </c>
      <c r="I900" s="275"/>
      <c r="J900" s="275" t="s">
        <v>1717</v>
      </c>
      <c r="K900" s="275" t="s">
        <v>1379</v>
      </c>
      <c r="L900" s="275">
        <v>87.5</v>
      </c>
      <c r="M900" s="280">
        <f t="shared" ref="M900:M963" si="29">(L900-L899)/L899</f>
        <v>5.6315366049878735E-3</v>
      </c>
    </row>
    <row r="901" spans="1:13">
      <c r="A901" s="275"/>
      <c r="B901" s="275"/>
      <c r="C901" s="275"/>
      <c r="D901" s="275"/>
      <c r="E901" s="275" t="s">
        <v>479</v>
      </c>
      <c r="F901" s="275" t="s">
        <v>1380</v>
      </c>
      <c r="G901" s="278">
        <v>40219.47</v>
      </c>
      <c r="H901" s="280">
        <f t="shared" si="28"/>
        <v>-6.5997030627610795E-3</v>
      </c>
      <c r="I901" s="275"/>
      <c r="J901" s="275" t="s">
        <v>1717</v>
      </c>
      <c r="K901" s="275" t="s">
        <v>1380</v>
      </c>
      <c r="L901" s="275">
        <v>88</v>
      </c>
      <c r="M901" s="280">
        <f t="shared" si="29"/>
        <v>5.7142857142857143E-3</v>
      </c>
    </row>
    <row r="902" spans="1:13">
      <c r="A902" s="275"/>
      <c r="B902" s="275"/>
      <c r="C902" s="275"/>
      <c r="D902" s="275"/>
      <c r="E902" s="275" t="s">
        <v>479</v>
      </c>
      <c r="F902" s="275" t="s">
        <v>1381</v>
      </c>
      <c r="G902" s="278">
        <v>39957.07</v>
      </c>
      <c r="H902" s="280">
        <f t="shared" si="28"/>
        <v>-6.5242033273934606E-3</v>
      </c>
      <c r="I902" s="275"/>
      <c r="J902" s="275" t="s">
        <v>1717</v>
      </c>
      <c r="K902" s="275" t="s">
        <v>1381</v>
      </c>
      <c r="L902" s="275">
        <v>86</v>
      </c>
      <c r="M902" s="280">
        <f t="shared" si="29"/>
        <v>-2.2727272727272728E-2</v>
      </c>
    </row>
    <row r="903" spans="1:13">
      <c r="A903" s="275"/>
      <c r="B903" s="275"/>
      <c r="C903" s="275"/>
      <c r="D903" s="275"/>
      <c r="E903" s="275" t="s">
        <v>479</v>
      </c>
      <c r="F903" s="275" t="s">
        <v>1382</v>
      </c>
      <c r="G903" s="278">
        <v>40279.379999999997</v>
      </c>
      <c r="H903" s="280">
        <f t="shared" si="28"/>
        <v>8.0664072716041917E-3</v>
      </c>
      <c r="I903" s="275"/>
      <c r="J903" s="275" t="s">
        <v>1717</v>
      </c>
      <c r="K903" s="275" t="s">
        <v>1382</v>
      </c>
      <c r="L903" s="275">
        <v>86.25</v>
      </c>
      <c r="M903" s="280">
        <f t="shared" si="29"/>
        <v>2.9069767441860465E-3</v>
      </c>
    </row>
    <row r="904" spans="1:13">
      <c r="A904" s="275"/>
      <c r="B904" s="275"/>
      <c r="C904" s="275"/>
      <c r="D904" s="275"/>
      <c r="E904" s="275" t="s">
        <v>479</v>
      </c>
      <c r="F904" s="275" t="s">
        <v>1383</v>
      </c>
      <c r="G904" s="278">
        <v>40070.71</v>
      </c>
      <c r="H904" s="280">
        <f t="shared" si="28"/>
        <v>-5.1805663344370806E-3</v>
      </c>
      <c r="I904" s="275"/>
      <c r="J904" s="275" t="s">
        <v>1717</v>
      </c>
      <c r="K904" s="275" t="s">
        <v>1383</v>
      </c>
      <c r="L904" s="275">
        <v>90.56</v>
      </c>
      <c r="M904" s="280">
        <f t="shared" si="29"/>
        <v>4.9971014492753651E-2</v>
      </c>
    </row>
    <row r="905" spans="1:13">
      <c r="A905" s="275"/>
      <c r="B905" s="275"/>
      <c r="C905" s="275"/>
      <c r="D905" s="275"/>
      <c r="E905" s="275" t="s">
        <v>479</v>
      </c>
      <c r="F905" s="275" t="s">
        <v>1384</v>
      </c>
      <c r="G905" s="278">
        <v>40016.129999999997</v>
      </c>
      <c r="H905" s="280">
        <f t="shared" si="28"/>
        <v>-1.3620921615814081E-3</v>
      </c>
      <c r="I905" s="275"/>
      <c r="J905" s="275" t="s">
        <v>1717</v>
      </c>
      <c r="K905" s="275" t="s">
        <v>1384</v>
      </c>
      <c r="L905" s="275">
        <v>93.39</v>
      </c>
      <c r="M905" s="280">
        <f t="shared" si="29"/>
        <v>3.1249999999999979E-2</v>
      </c>
    </row>
    <row r="906" spans="1:13">
      <c r="A906" s="275"/>
      <c r="B906" s="275"/>
      <c r="C906" s="275"/>
      <c r="D906" s="275"/>
      <c r="E906" s="275" t="s">
        <v>479</v>
      </c>
      <c r="F906" s="275" t="s">
        <v>1385</v>
      </c>
      <c r="G906" s="278">
        <v>39606.79</v>
      </c>
      <c r="H906" s="280">
        <f t="shared" si="28"/>
        <v>-1.0229375004529338E-2</v>
      </c>
      <c r="I906" s="275"/>
      <c r="J906" s="275" t="s">
        <v>1717</v>
      </c>
      <c r="K906" s="275" t="s">
        <v>1385</v>
      </c>
      <c r="L906" s="275">
        <v>92.01</v>
      </c>
      <c r="M906" s="280">
        <f t="shared" si="29"/>
        <v>-1.4776742691936989E-2</v>
      </c>
    </row>
    <row r="907" spans="1:13">
      <c r="A907" s="275"/>
      <c r="B907" s="275"/>
      <c r="C907" s="275"/>
      <c r="D907" s="275"/>
      <c r="E907" s="275" t="s">
        <v>479</v>
      </c>
      <c r="F907" s="275" t="s">
        <v>1386</v>
      </c>
      <c r="G907" s="278">
        <v>38821.67</v>
      </c>
      <c r="H907" s="280">
        <f t="shared" si="28"/>
        <v>-1.9822863705945434E-2</v>
      </c>
      <c r="I907" s="275"/>
      <c r="J907" s="275" t="s">
        <v>1717</v>
      </c>
      <c r="K907" s="275" t="s">
        <v>1386</v>
      </c>
      <c r="L907" s="275">
        <v>90.5</v>
      </c>
      <c r="M907" s="280">
        <f t="shared" si="29"/>
        <v>-1.6411259645690741E-2</v>
      </c>
    </row>
    <row r="908" spans="1:13">
      <c r="A908" s="275"/>
      <c r="B908" s="275"/>
      <c r="C908" s="275"/>
      <c r="D908" s="275"/>
      <c r="E908" s="275" t="s">
        <v>479</v>
      </c>
      <c r="F908" s="275" t="s">
        <v>1387</v>
      </c>
      <c r="G908" s="278">
        <v>38692.69</v>
      </c>
      <c r="H908" s="280">
        <f t="shared" si="28"/>
        <v>-3.3223712426589565E-3</v>
      </c>
      <c r="I908" s="275"/>
      <c r="J908" s="275" t="s">
        <v>1717</v>
      </c>
      <c r="K908" s="275" t="s">
        <v>1387</v>
      </c>
      <c r="L908" s="275">
        <v>89.51</v>
      </c>
      <c r="M908" s="280">
        <f t="shared" si="29"/>
        <v>-1.093922651933696E-2</v>
      </c>
    </row>
    <row r="909" spans="1:13">
      <c r="A909" s="275"/>
      <c r="B909" s="275"/>
      <c r="C909" s="275"/>
      <c r="D909" s="275"/>
      <c r="E909" s="275" t="s">
        <v>479</v>
      </c>
      <c r="F909" s="275" t="s">
        <v>1388</v>
      </c>
      <c r="G909" s="278">
        <v>39054.6</v>
      </c>
      <c r="H909" s="280">
        <f t="shared" si="28"/>
        <v>9.353446348651288E-3</v>
      </c>
      <c r="I909" s="275"/>
      <c r="J909" s="275" t="s">
        <v>1717</v>
      </c>
      <c r="K909" s="275" t="s">
        <v>1388</v>
      </c>
      <c r="L909" s="275">
        <v>89.5</v>
      </c>
      <c r="M909" s="280">
        <f t="shared" si="29"/>
        <v>-1.1171936096531243E-4</v>
      </c>
    </row>
    <row r="910" spans="1:13">
      <c r="A910" s="275"/>
      <c r="B910" s="275"/>
      <c r="C910" s="275"/>
      <c r="D910" s="275"/>
      <c r="E910" s="275" t="s">
        <v>479</v>
      </c>
      <c r="F910" s="275" t="s">
        <v>1389</v>
      </c>
      <c r="G910" s="278">
        <v>39539.01</v>
      </c>
      <c r="H910" s="280">
        <f t="shared" si="28"/>
        <v>1.2403404464518994E-2</v>
      </c>
      <c r="I910" s="275"/>
      <c r="J910" s="275" t="s">
        <v>1717</v>
      </c>
      <c r="K910" s="275" t="s">
        <v>1389</v>
      </c>
      <c r="L910" s="275">
        <v>90.5</v>
      </c>
      <c r="M910" s="280">
        <f t="shared" si="29"/>
        <v>1.11731843575419E-2</v>
      </c>
    </row>
    <row r="911" spans="1:13">
      <c r="A911" s="275"/>
      <c r="B911" s="275"/>
      <c r="C911" s="275"/>
      <c r="D911" s="275"/>
      <c r="E911" s="275" t="s">
        <v>479</v>
      </c>
      <c r="F911" s="275" t="s">
        <v>1390</v>
      </c>
      <c r="G911" s="278">
        <v>39749.74</v>
      </c>
      <c r="H911" s="280">
        <f t="shared" si="28"/>
        <v>5.3296731506427683E-3</v>
      </c>
      <c r="I911" s="275"/>
      <c r="J911" s="275" t="s">
        <v>1717</v>
      </c>
      <c r="K911" s="275" t="s">
        <v>1390</v>
      </c>
      <c r="L911" s="275">
        <v>89.26</v>
      </c>
      <c r="M911" s="280">
        <f t="shared" si="29"/>
        <v>-1.370165745856348E-2</v>
      </c>
    </row>
    <row r="912" spans="1:13">
      <c r="A912" s="275"/>
      <c r="B912" s="275"/>
      <c r="C912" s="275"/>
      <c r="D912" s="275"/>
      <c r="E912" s="275" t="s">
        <v>479</v>
      </c>
      <c r="F912" s="275" t="s">
        <v>1391</v>
      </c>
      <c r="G912" s="278">
        <v>39688.51</v>
      </c>
      <c r="H912" s="280">
        <f t="shared" si="28"/>
        <v>-1.5403874339805978E-3</v>
      </c>
      <c r="I912" s="275"/>
      <c r="J912" s="275" t="s">
        <v>1717</v>
      </c>
      <c r="K912" s="275" t="s">
        <v>1391</v>
      </c>
      <c r="L912" s="275">
        <v>87.65</v>
      </c>
      <c r="M912" s="280">
        <f t="shared" si="29"/>
        <v>-1.803719471207707E-2</v>
      </c>
    </row>
    <row r="913" spans="1:13">
      <c r="A913" s="275"/>
      <c r="B913" s="275"/>
      <c r="C913" s="275"/>
      <c r="D913" s="275"/>
      <c r="E913" s="275" t="s">
        <v>479</v>
      </c>
      <c r="F913" s="275" t="s">
        <v>1392</v>
      </c>
      <c r="G913" s="278">
        <v>39568.1</v>
      </c>
      <c r="H913" s="280">
        <f t="shared" si="28"/>
        <v>-3.0338755473562368E-3</v>
      </c>
      <c r="I913" s="275"/>
      <c r="J913" s="275" t="s">
        <v>1717</v>
      </c>
      <c r="K913" s="275" t="s">
        <v>1392</v>
      </c>
      <c r="L913" s="275">
        <v>88.2</v>
      </c>
      <c r="M913" s="280">
        <f t="shared" si="29"/>
        <v>6.2749572162007659E-3</v>
      </c>
    </row>
    <row r="914" spans="1:13">
      <c r="A914" s="275"/>
      <c r="B914" s="275"/>
      <c r="C914" s="275"/>
      <c r="D914" s="275"/>
      <c r="E914" s="275" t="s">
        <v>479</v>
      </c>
      <c r="F914" s="275" t="s">
        <v>1393</v>
      </c>
      <c r="G914" s="278">
        <v>39294.1</v>
      </c>
      <c r="H914" s="280">
        <f t="shared" si="28"/>
        <v>-6.9247702063025517E-3</v>
      </c>
      <c r="I914" s="275"/>
      <c r="J914" s="275" t="s">
        <v>1717</v>
      </c>
      <c r="K914" s="275" t="s">
        <v>1393</v>
      </c>
      <c r="L914" s="275">
        <v>88.97</v>
      </c>
      <c r="M914" s="280">
        <f t="shared" si="29"/>
        <v>8.7301587301586853E-3</v>
      </c>
    </row>
    <row r="915" spans="1:13">
      <c r="A915" s="275"/>
      <c r="B915" s="275"/>
      <c r="C915" s="275"/>
      <c r="D915" s="275"/>
      <c r="E915" s="275" t="s">
        <v>479</v>
      </c>
      <c r="F915" s="275" t="s">
        <v>1394</v>
      </c>
      <c r="G915" s="278">
        <v>38950.230000000003</v>
      </c>
      <c r="H915" s="280">
        <f t="shared" si="28"/>
        <v>-8.7511865649040274E-3</v>
      </c>
      <c r="I915" s="275"/>
      <c r="J915" s="275" t="s">
        <v>1717</v>
      </c>
      <c r="K915" s="275" t="s">
        <v>1394</v>
      </c>
      <c r="L915" s="275">
        <v>87.25</v>
      </c>
      <c r="M915" s="280">
        <f t="shared" si="29"/>
        <v>-1.933235922220972E-2</v>
      </c>
    </row>
    <row r="916" spans="1:13">
      <c r="A916" s="275"/>
      <c r="B916" s="275"/>
      <c r="C916" s="275"/>
      <c r="D916" s="275"/>
      <c r="E916" s="275" t="s">
        <v>479</v>
      </c>
      <c r="F916" s="275" t="s">
        <v>1395</v>
      </c>
      <c r="G916" s="278">
        <v>38924.11</v>
      </c>
      <c r="H916" s="280">
        <f t="shared" si="28"/>
        <v>-6.7059937771876102E-4</v>
      </c>
      <c r="I916" s="275"/>
      <c r="J916" s="275" t="s">
        <v>1717</v>
      </c>
      <c r="K916" s="275" t="s">
        <v>1395</v>
      </c>
      <c r="L916" s="275">
        <v>87.3</v>
      </c>
      <c r="M916" s="280">
        <f t="shared" si="29"/>
        <v>5.73065902578764E-4</v>
      </c>
    </row>
    <row r="917" spans="1:13">
      <c r="A917" s="275"/>
      <c r="B917" s="275"/>
      <c r="C917" s="275"/>
      <c r="D917" s="275"/>
      <c r="E917" s="275" t="s">
        <v>479</v>
      </c>
      <c r="F917" s="275" t="s">
        <v>1396</v>
      </c>
      <c r="G917" s="278">
        <v>38896.49</v>
      </c>
      <c r="H917" s="280">
        <f t="shared" si="28"/>
        <v>-7.095859096072491E-4</v>
      </c>
      <c r="I917" s="275"/>
      <c r="J917" s="275" t="s">
        <v>1717</v>
      </c>
      <c r="K917" s="275" t="s">
        <v>1396</v>
      </c>
      <c r="L917" s="275">
        <v>88.01</v>
      </c>
      <c r="M917" s="280">
        <f t="shared" si="29"/>
        <v>8.1328751431845123E-3</v>
      </c>
    </row>
    <row r="918" spans="1:13">
      <c r="A918" s="275"/>
      <c r="B918" s="275"/>
      <c r="C918" s="275"/>
      <c r="D918" s="275"/>
      <c r="E918" s="275" t="s">
        <v>479</v>
      </c>
      <c r="F918" s="275" t="s">
        <v>1397</v>
      </c>
      <c r="G918" s="278">
        <v>38928.93</v>
      </c>
      <c r="H918" s="280">
        <f t="shared" si="28"/>
        <v>8.3400841566944289E-4</v>
      </c>
      <c r="I918" s="275"/>
      <c r="J918" s="275" t="s">
        <v>1717</v>
      </c>
      <c r="K918" s="275" t="s">
        <v>1397</v>
      </c>
      <c r="L918" s="275">
        <v>88</v>
      </c>
      <c r="M918" s="280">
        <f t="shared" si="29"/>
        <v>-1.1362345188052625E-4</v>
      </c>
    </row>
    <row r="919" spans="1:13">
      <c r="A919" s="275"/>
      <c r="B919" s="275"/>
      <c r="C919" s="275"/>
      <c r="D919" s="275"/>
      <c r="E919" s="275" t="s">
        <v>479</v>
      </c>
      <c r="F919" s="275" t="s">
        <v>1398</v>
      </c>
      <c r="G919" s="278">
        <v>38808.61</v>
      </c>
      <c r="H919" s="280">
        <f t="shared" si="28"/>
        <v>-3.0907605218021585E-3</v>
      </c>
      <c r="I919" s="275"/>
      <c r="J919" s="275" t="s">
        <v>1717</v>
      </c>
      <c r="K919" s="275" t="s">
        <v>1398</v>
      </c>
      <c r="L919" s="275">
        <v>87</v>
      </c>
      <c r="M919" s="280">
        <f t="shared" si="29"/>
        <v>-1.1363636363636364E-2</v>
      </c>
    </row>
    <row r="920" spans="1:13">
      <c r="A920" s="275"/>
      <c r="B920" s="275"/>
      <c r="C920" s="275"/>
      <c r="D920" s="275"/>
      <c r="E920" s="275" t="s">
        <v>479</v>
      </c>
      <c r="F920" s="275" t="s">
        <v>1399</v>
      </c>
      <c r="G920" s="278">
        <v>38306.949999999997</v>
      </c>
      <c r="H920" s="280">
        <f t="shared" si="28"/>
        <v>-1.2926512956789833E-2</v>
      </c>
      <c r="I920" s="275"/>
      <c r="J920" s="275" t="s">
        <v>1717</v>
      </c>
      <c r="K920" s="275" t="s">
        <v>1399</v>
      </c>
      <c r="L920" s="275">
        <v>86</v>
      </c>
      <c r="M920" s="280">
        <f t="shared" si="29"/>
        <v>-1.1494252873563218E-2</v>
      </c>
    </row>
    <row r="921" spans="1:13">
      <c r="A921" s="275"/>
      <c r="B921" s="275"/>
      <c r="C921" s="275"/>
      <c r="D921" s="275"/>
      <c r="E921" s="275" t="s">
        <v>479</v>
      </c>
      <c r="F921" s="275" t="s">
        <v>1400</v>
      </c>
      <c r="G921" s="278">
        <v>38851.949999999997</v>
      </c>
      <c r="H921" s="280">
        <f t="shared" si="28"/>
        <v>1.4227183317909675E-2</v>
      </c>
      <c r="I921" s="275"/>
      <c r="J921" s="275" t="s">
        <v>1717</v>
      </c>
      <c r="K921" s="275" t="s">
        <v>1400</v>
      </c>
      <c r="L921" s="275">
        <v>85.05</v>
      </c>
      <c r="M921" s="280">
        <f t="shared" si="29"/>
        <v>-1.104651162790701E-2</v>
      </c>
    </row>
    <row r="922" spans="1:13">
      <c r="A922" s="275"/>
      <c r="B922" s="275"/>
      <c r="C922" s="275"/>
      <c r="D922" s="275"/>
      <c r="E922" s="275" t="s">
        <v>479</v>
      </c>
      <c r="F922" s="275" t="s">
        <v>1401</v>
      </c>
      <c r="G922" s="278">
        <v>38612.370000000003</v>
      </c>
      <c r="H922" s="280">
        <f t="shared" si="28"/>
        <v>-6.1664858520613375E-3</v>
      </c>
      <c r="I922" s="275"/>
      <c r="J922" s="275" t="s">
        <v>1717</v>
      </c>
      <c r="K922" s="275" t="s">
        <v>1401</v>
      </c>
      <c r="L922" s="275">
        <v>87.49</v>
      </c>
      <c r="M922" s="280">
        <f t="shared" si="29"/>
        <v>2.8689006466784218E-2</v>
      </c>
    </row>
    <row r="923" spans="1:13">
      <c r="A923" s="275"/>
      <c r="B923" s="275"/>
      <c r="C923" s="275"/>
      <c r="D923" s="275"/>
      <c r="E923" s="275" t="s">
        <v>479</v>
      </c>
      <c r="F923" s="275" t="s">
        <v>1402</v>
      </c>
      <c r="G923" s="278">
        <v>38547.760000000002</v>
      </c>
      <c r="H923" s="280">
        <f t="shared" si="28"/>
        <v>-1.6732979612492209E-3</v>
      </c>
      <c r="I923" s="275"/>
      <c r="J923" s="275" t="s">
        <v>1717</v>
      </c>
      <c r="K923" s="275" t="s">
        <v>1402</v>
      </c>
      <c r="L923" s="275">
        <v>84.35</v>
      </c>
      <c r="M923" s="280">
        <f t="shared" si="29"/>
        <v>-3.5889815978969036E-2</v>
      </c>
    </row>
    <row r="924" spans="1:13">
      <c r="A924" s="275"/>
      <c r="B924" s="275"/>
      <c r="C924" s="275"/>
      <c r="D924" s="275"/>
      <c r="E924" s="275" t="s">
        <v>479</v>
      </c>
      <c r="F924" s="275" t="s">
        <v>1403</v>
      </c>
      <c r="G924" s="278">
        <v>38384.71</v>
      </c>
      <c r="H924" s="280">
        <f t="shared" si="28"/>
        <v>-4.2298177637300561E-3</v>
      </c>
      <c r="I924" s="275"/>
      <c r="J924" s="275" t="s">
        <v>1717</v>
      </c>
      <c r="K924" s="275" t="s">
        <v>1403</v>
      </c>
      <c r="L924" s="275">
        <v>88.69</v>
      </c>
      <c r="M924" s="280">
        <f t="shared" si="29"/>
        <v>5.1452282157676395E-2</v>
      </c>
    </row>
    <row r="925" spans="1:13">
      <c r="A925" s="275"/>
      <c r="B925" s="275"/>
      <c r="C925" s="275"/>
      <c r="D925" s="275"/>
      <c r="E925" s="275" t="s">
        <v>479</v>
      </c>
      <c r="F925" s="275" t="s">
        <v>1404</v>
      </c>
      <c r="G925" s="278">
        <v>38531.870000000003</v>
      </c>
      <c r="H925" s="280">
        <f t="shared" si="28"/>
        <v>3.8338182052177414E-3</v>
      </c>
      <c r="I925" s="275"/>
      <c r="J925" s="275" t="s">
        <v>1717</v>
      </c>
      <c r="K925" s="275" t="s">
        <v>1404</v>
      </c>
      <c r="L925" s="275">
        <v>86.95</v>
      </c>
      <c r="M925" s="280">
        <f t="shared" si="29"/>
        <v>-1.9618897282669918E-2</v>
      </c>
    </row>
    <row r="926" spans="1:13">
      <c r="A926" s="275"/>
      <c r="B926" s="275"/>
      <c r="C926" s="275"/>
      <c r="D926" s="275"/>
      <c r="E926" s="275" t="s">
        <v>479</v>
      </c>
      <c r="F926" s="275" t="s">
        <v>1405</v>
      </c>
      <c r="G926" s="278">
        <v>38128.660000000003</v>
      </c>
      <c r="H926" s="280">
        <f t="shared" si="28"/>
        <v>-1.046432472651857E-2</v>
      </c>
      <c r="I926" s="275"/>
      <c r="J926" s="275" t="s">
        <v>1717</v>
      </c>
      <c r="K926" s="275" t="s">
        <v>1405</v>
      </c>
      <c r="L926" s="275">
        <v>83.65</v>
      </c>
      <c r="M926" s="280">
        <f t="shared" si="29"/>
        <v>-3.7952846463484728E-2</v>
      </c>
    </row>
    <row r="927" spans="1:13">
      <c r="A927" s="275"/>
      <c r="B927" s="275"/>
      <c r="C927" s="275"/>
      <c r="D927" s="275"/>
      <c r="E927" s="275" t="s">
        <v>479</v>
      </c>
      <c r="F927" s="275" t="s">
        <v>1406</v>
      </c>
      <c r="G927" s="278">
        <v>38329.129999999997</v>
      </c>
      <c r="H927" s="280">
        <f t="shared" si="28"/>
        <v>5.2577247666189654E-3</v>
      </c>
      <c r="I927" s="275"/>
      <c r="J927" s="275" t="s">
        <v>1717</v>
      </c>
      <c r="K927" s="275" t="s">
        <v>1406</v>
      </c>
      <c r="L927" s="275">
        <v>85</v>
      </c>
      <c r="M927" s="280">
        <f t="shared" si="29"/>
        <v>1.6138673042438663E-2</v>
      </c>
    </row>
    <row r="928" spans="1:13">
      <c r="A928" s="275"/>
      <c r="B928" s="275"/>
      <c r="C928" s="275"/>
      <c r="D928" s="275"/>
      <c r="E928" s="275" t="s">
        <v>479</v>
      </c>
      <c r="F928" s="275" t="s">
        <v>1407</v>
      </c>
      <c r="G928" s="278">
        <v>38965.01</v>
      </c>
      <c r="H928" s="280">
        <f t="shared" si="28"/>
        <v>1.658999304184584E-2</v>
      </c>
      <c r="I928" s="275"/>
      <c r="J928" s="275" t="s">
        <v>1717</v>
      </c>
      <c r="K928" s="275" t="s">
        <v>1407</v>
      </c>
      <c r="L928" s="275">
        <v>86.75</v>
      </c>
      <c r="M928" s="280">
        <f t="shared" si="29"/>
        <v>2.0588235294117647E-2</v>
      </c>
    </row>
    <row r="929" spans="1:13">
      <c r="A929" s="275"/>
      <c r="B929" s="275"/>
      <c r="C929" s="275"/>
      <c r="D929" s="275"/>
      <c r="E929" s="275" t="s">
        <v>479</v>
      </c>
      <c r="F929" s="275" t="s">
        <v>1408</v>
      </c>
      <c r="G929" s="278">
        <v>38552.949999999997</v>
      </c>
      <c r="H929" s="280">
        <f t="shared" si="28"/>
        <v>-1.0575128814287611E-2</v>
      </c>
      <c r="I929" s="275"/>
      <c r="J929" s="275" t="s">
        <v>1717</v>
      </c>
      <c r="K929" s="275" t="s">
        <v>1408</v>
      </c>
      <c r="L929" s="275">
        <v>85.5</v>
      </c>
      <c r="M929" s="280">
        <f t="shared" si="29"/>
        <v>-1.4409221902017291E-2</v>
      </c>
    </row>
    <row r="930" spans="1:13">
      <c r="A930" s="275"/>
      <c r="B930" s="275"/>
      <c r="C930" s="275"/>
      <c r="D930" s="275"/>
      <c r="E930" s="275" t="s">
        <v>479</v>
      </c>
      <c r="F930" s="275" t="s">
        <v>1409</v>
      </c>
      <c r="G930" s="278">
        <v>38649.339999999997</v>
      </c>
      <c r="H930" s="280">
        <f t="shared" si="28"/>
        <v>2.5001977799364102E-3</v>
      </c>
      <c r="I930" s="275"/>
      <c r="J930" s="275" t="s">
        <v>1717</v>
      </c>
      <c r="K930" s="275" t="s">
        <v>1409</v>
      </c>
      <c r="L930" s="275">
        <v>85.01</v>
      </c>
      <c r="M930" s="280">
        <f t="shared" si="29"/>
        <v>-5.7309941520467238E-3</v>
      </c>
    </row>
    <row r="931" spans="1:13">
      <c r="A931" s="275"/>
      <c r="B931" s="275"/>
      <c r="C931" s="275"/>
      <c r="D931" s="275"/>
      <c r="E931" s="275" t="s">
        <v>479</v>
      </c>
      <c r="F931" s="275" t="s">
        <v>1410</v>
      </c>
      <c r="G931" s="278">
        <v>38354.85</v>
      </c>
      <c r="H931" s="280">
        <f t="shared" si="28"/>
        <v>-7.6195350295761325E-3</v>
      </c>
      <c r="I931" s="275"/>
      <c r="J931" s="275" t="s">
        <v>1717</v>
      </c>
      <c r="K931" s="275" t="s">
        <v>1410</v>
      </c>
      <c r="L931" s="275">
        <v>84.5</v>
      </c>
      <c r="M931" s="280">
        <f t="shared" si="29"/>
        <v>-5.9992942006823324E-3</v>
      </c>
    </row>
    <row r="932" spans="1:13">
      <c r="A932" s="275"/>
      <c r="B932" s="275"/>
      <c r="C932" s="275"/>
      <c r="D932" s="275"/>
      <c r="E932" s="275" t="s">
        <v>479</v>
      </c>
      <c r="F932" s="275" t="s">
        <v>1411</v>
      </c>
      <c r="G932" s="278">
        <v>38036.03</v>
      </c>
      <c r="H932" s="280">
        <f t="shared" si="28"/>
        <v>-8.3123777045145449E-3</v>
      </c>
      <c r="I932" s="275"/>
      <c r="J932" s="275" t="s">
        <v>1717</v>
      </c>
      <c r="K932" s="275" t="s">
        <v>1411</v>
      </c>
      <c r="L932" s="275">
        <v>84.67</v>
      </c>
      <c r="M932" s="280">
        <f t="shared" si="29"/>
        <v>2.0118343195266474E-3</v>
      </c>
    </row>
    <row r="933" spans="1:13">
      <c r="A933" s="275"/>
      <c r="B933" s="275"/>
      <c r="C933" s="275"/>
      <c r="D933" s="275"/>
      <c r="E933" s="275" t="s">
        <v>479</v>
      </c>
      <c r="F933" s="275" t="s">
        <v>1412</v>
      </c>
      <c r="G933" s="278">
        <v>38022.800000000003</v>
      </c>
      <c r="H933" s="280">
        <f t="shared" si="28"/>
        <v>-3.4782809877886638E-4</v>
      </c>
      <c r="I933" s="275"/>
      <c r="J933" s="275" t="s">
        <v>1717</v>
      </c>
      <c r="K933" s="275" t="s">
        <v>1412</v>
      </c>
      <c r="L933" s="275">
        <v>85.9</v>
      </c>
      <c r="M933" s="280">
        <f t="shared" si="29"/>
        <v>1.452698712649113E-2</v>
      </c>
    </row>
    <row r="934" spans="1:13">
      <c r="A934" s="275"/>
      <c r="B934" s="275"/>
      <c r="C934" s="275"/>
      <c r="D934" s="275"/>
      <c r="E934" s="275" t="s">
        <v>479</v>
      </c>
      <c r="F934" s="275" t="s">
        <v>1413</v>
      </c>
      <c r="G934" s="278">
        <v>37516.11</v>
      </c>
      <c r="H934" s="280">
        <f t="shared" si="28"/>
        <v>-1.3325951797342707E-2</v>
      </c>
      <c r="I934" s="275"/>
      <c r="J934" s="275" t="s">
        <v>1717</v>
      </c>
      <c r="K934" s="275" t="s">
        <v>1413</v>
      </c>
      <c r="L934" s="275">
        <v>84</v>
      </c>
      <c r="M934" s="280">
        <f t="shared" si="29"/>
        <v>-2.2118742724097851E-2</v>
      </c>
    </row>
    <row r="935" spans="1:13">
      <c r="A935" s="275"/>
      <c r="B935" s="275"/>
      <c r="C935" s="275"/>
      <c r="D935" s="275"/>
      <c r="E935" s="275" t="s">
        <v>479</v>
      </c>
      <c r="F935" s="275" t="s">
        <v>1414</v>
      </c>
      <c r="G935" s="278">
        <v>37521.81</v>
      </c>
      <c r="H935" s="280">
        <f t="shared" si="28"/>
        <v>1.5193472884041256E-4</v>
      </c>
      <c r="I935" s="275"/>
      <c r="J935" s="275" t="s">
        <v>1717</v>
      </c>
      <c r="K935" s="275" t="s">
        <v>1414</v>
      </c>
      <c r="L935" s="275">
        <v>84.5</v>
      </c>
      <c r="M935" s="280">
        <f t="shared" si="29"/>
        <v>5.9523809523809521E-3</v>
      </c>
    </row>
    <row r="936" spans="1:13">
      <c r="A936" s="275"/>
      <c r="B936" s="275"/>
      <c r="C936" s="275"/>
      <c r="D936" s="275"/>
      <c r="E936" s="275" t="s">
        <v>479</v>
      </c>
      <c r="F936" s="275" t="s">
        <v>1415</v>
      </c>
      <c r="G936" s="278">
        <v>36921.910000000003</v>
      </c>
      <c r="H936" s="280">
        <f t="shared" si="28"/>
        <v>-1.5988034692356105E-2</v>
      </c>
      <c r="I936" s="275"/>
      <c r="J936" s="275" t="s">
        <v>1717</v>
      </c>
      <c r="K936" s="275" t="s">
        <v>1415</v>
      </c>
      <c r="L936" s="275">
        <v>81.5</v>
      </c>
      <c r="M936" s="280">
        <f t="shared" si="29"/>
        <v>-3.5502958579881658E-2</v>
      </c>
    </row>
    <row r="937" spans="1:13">
      <c r="A937" s="275"/>
      <c r="B937" s="275"/>
      <c r="C937" s="275"/>
      <c r="D937" s="275"/>
      <c r="E937" s="275" t="s">
        <v>479</v>
      </c>
      <c r="F937" s="275" t="s">
        <v>1416</v>
      </c>
      <c r="G937" s="278">
        <v>37129.97</v>
      </c>
      <c r="H937" s="280">
        <f t="shared" si="28"/>
        <v>5.6351364271241024E-3</v>
      </c>
      <c r="I937" s="275"/>
      <c r="J937" s="275" t="s">
        <v>1717</v>
      </c>
      <c r="K937" s="275" t="s">
        <v>1416</v>
      </c>
      <c r="L937" s="275">
        <v>80</v>
      </c>
      <c r="M937" s="280">
        <f t="shared" si="29"/>
        <v>-1.8404907975460124E-2</v>
      </c>
    </row>
    <row r="938" spans="1:13">
      <c r="A938" s="275"/>
      <c r="B938" s="275"/>
      <c r="C938" s="275"/>
      <c r="D938" s="275"/>
      <c r="E938" s="275" t="s">
        <v>479</v>
      </c>
      <c r="F938" s="275" t="s">
        <v>1417</v>
      </c>
      <c r="G938" s="278">
        <v>36579.32</v>
      </c>
      <c r="H938" s="280">
        <f t="shared" si="28"/>
        <v>-1.483033786453373E-2</v>
      </c>
      <c r="I938" s="275"/>
      <c r="J938" s="275" t="s">
        <v>1717</v>
      </c>
      <c r="K938" s="275" t="s">
        <v>1417</v>
      </c>
      <c r="L938" s="275">
        <v>79.989999999999995</v>
      </c>
      <c r="M938" s="280">
        <f t="shared" si="29"/>
        <v>-1.2500000000006394E-4</v>
      </c>
    </row>
    <row r="939" spans="1:13">
      <c r="A939" s="275"/>
      <c r="B939" s="275"/>
      <c r="C939" s="275"/>
      <c r="D939" s="275"/>
      <c r="E939" s="275" t="s">
        <v>479</v>
      </c>
      <c r="F939" s="275" t="s">
        <v>1418</v>
      </c>
      <c r="G939" s="278">
        <v>36787.64</v>
      </c>
      <c r="H939" s="280">
        <f t="shared" si="28"/>
        <v>5.6950211212236784E-3</v>
      </c>
      <c r="I939" s="275"/>
      <c r="J939" s="275" t="s">
        <v>1717</v>
      </c>
      <c r="K939" s="275" t="s">
        <v>1418</v>
      </c>
      <c r="L939" s="275">
        <v>75.099999999999994</v>
      </c>
      <c r="M939" s="280">
        <f t="shared" si="29"/>
        <v>-6.1132641580197537E-2</v>
      </c>
    </row>
    <row r="940" spans="1:13">
      <c r="A940" s="275"/>
      <c r="B940" s="275"/>
      <c r="C940" s="275"/>
      <c r="D940" s="275"/>
      <c r="E940" s="275" t="s">
        <v>479</v>
      </c>
      <c r="F940" s="275" t="s">
        <v>1419</v>
      </c>
      <c r="G940" s="278">
        <v>37337.870000000003</v>
      </c>
      <c r="H940" s="280">
        <f t="shared" si="28"/>
        <v>1.4956925750061793E-2</v>
      </c>
      <c r="I940" s="275"/>
      <c r="J940" s="275" t="s">
        <v>1717</v>
      </c>
      <c r="K940" s="275" t="s">
        <v>1419</v>
      </c>
      <c r="L940" s="275">
        <v>76.8</v>
      </c>
      <c r="M940" s="280">
        <f t="shared" si="29"/>
        <v>2.2636484687083926E-2</v>
      </c>
    </row>
    <row r="941" spans="1:13">
      <c r="A941" s="275"/>
      <c r="B941" s="275"/>
      <c r="C941" s="275"/>
      <c r="D941" s="275"/>
      <c r="E941" s="275" t="s">
        <v>479</v>
      </c>
      <c r="F941" s="275" t="s">
        <v>1420</v>
      </c>
      <c r="G941" s="278">
        <v>37504.080000000002</v>
      </c>
      <c r="H941" s="280">
        <f t="shared" si="28"/>
        <v>4.4515126331523226E-3</v>
      </c>
      <c r="I941" s="275"/>
      <c r="J941" s="275" t="s">
        <v>1717</v>
      </c>
      <c r="K941" s="275" t="s">
        <v>1420</v>
      </c>
      <c r="L941" s="275">
        <v>78.489999999999995</v>
      </c>
      <c r="M941" s="280">
        <f t="shared" si="29"/>
        <v>2.2005208333333304E-2</v>
      </c>
    </row>
    <row r="942" spans="1:13">
      <c r="A942" s="275"/>
      <c r="B942" s="275"/>
      <c r="C942" s="275"/>
      <c r="D942" s="275"/>
      <c r="E942" s="275" t="s">
        <v>479</v>
      </c>
      <c r="F942" s="275" t="s">
        <v>1421</v>
      </c>
      <c r="G942" s="278">
        <v>37381.949999999997</v>
      </c>
      <c r="H942" s="280">
        <f t="shared" si="28"/>
        <v>-3.2564456987081046E-3</v>
      </c>
      <c r="I942" s="275"/>
      <c r="J942" s="275" t="s">
        <v>1717</v>
      </c>
      <c r="K942" s="275" t="s">
        <v>1421</v>
      </c>
      <c r="L942" s="275">
        <v>80.75</v>
      </c>
      <c r="M942" s="280">
        <f t="shared" si="29"/>
        <v>2.8793476876035232E-2</v>
      </c>
    </row>
    <row r="943" spans="1:13">
      <c r="A943" s="275"/>
      <c r="B943" s="275"/>
      <c r="C943" s="275"/>
      <c r="D943" s="275"/>
      <c r="E943" s="275" t="s">
        <v>479</v>
      </c>
      <c r="F943" s="275" t="s">
        <v>1422</v>
      </c>
      <c r="G943" s="278">
        <v>36752.57</v>
      </c>
      <c r="H943" s="280">
        <f t="shared" si="28"/>
        <v>-1.6836467867513531E-2</v>
      </c>
      <c r="I943" s="275"/>
      <c r="J943" s="275" t="s">
        <v>1717</v>
      </c>
      <c r="K943" s="275" t="s">
        <v>1422</v>
      </c>
      <c r="L943" s="275">
        <v>77.5</v>
      </c>
      <c r="M943" s="280">
        <f t="shared" si="29"/>
        <v>-4.0247678018575851E-2</v>
      </c>
    </row>
    <row r="944" spans="1:13">
      <c r="A944" s="275"/>
      <c r="B944" s="275"/>
      <c r="C944" s="275"/>
      <c r="D944" s="275"/>
      <c r="E944" s="275" t="s">
        <v>479</v>
      </c>
      <c r="F944" s="275" t="s">
        <v>1423</v>
      </c>
      <c r="G944" s="278">
        <v>36811.86</v>
      </c>
      <c r="H944" s="280">
        <f t="shared" si="28"/>
        <v>1.6132205176400147E-3</v>
      </c>
      <c r="I944" s="275"/>
      <c r="J944" s="275" t="s">
        <v>1717</v>
      </c>
      <c r="K944" s="275" t="s">
        <v>1423</v>
      </c>
      <c r="L944" s="275">
        <v>77.5</v>
      </c>
      <c r="M944" s="280">
        <f t="shared" si="29"/>
        <v>0</v>
      </c>
    </row>
    <row r="945" spans="1:13">
      <c r="A945" s="275"/>
      <c r="B945" s="275"/>
      <c r="C945" s="275"/>
      <c r="D945" s="275"/>
      <c r="E945" s="275" t="s">
        <v>479</v>
      </c>
      <c r="F945" s="275" t="s">
        <v>1424</v>
      </c>
      <c r="G945" s="278">
        <v>37292.47</v>
      </c>
      <c r="H945" s="280">
        <f t="shared" si="28"/>
        <v>1.3055846675500792E-2</v>
      </c>
      <c r="I945" s="275"/>
      <c r="J945" s="275" t="s">
        <v>1717</v>
      </c>
      <c r="K945" s="275" t="s">
        <v>1424</v>
      </c>
      <c r="L945" s="275">
        <v>76</v>
      </c>
      <c r="M945" s="280">
        <f t="shared" si="29"/>
        <v>-1.935483870967742E-2</v>
      </c>
    </row>
    <row r="946" spans="1:13">
      <c r="A946" s="275"/>
      <c r="B946" s="275"/>
      <c r="C946" s="275"/>
      <c r="D946" s="275"/>
      <c r="E946" s="275" t="s">
        <v>479</v>
      </c>
      <c r="F946" s="275" t="s">
        <v>1425</v>
      </c>
      <c r="G946" s="278">
        <v>36901.69</v>
      </c>
      <c r="H946" s="280">
        <f t="shared" si="28"/>
        <v>-1.0478791026713941E-2</v>
      </c>
      <c r="I946" s="275"/>
      <c r="J946" s="275" t="s">
        <v>1717</v>
      </c>
      <c r="K946" s="275" t="s">
        <v>1425</v>
      </c>
      <c r="L946" s="275">
        <v>76</v>
      </c>
      <c r="M946" s="280">
        <f t="shared" si="29"/>
        <v>0</v>
      </c>
    </row>
    <row r="947" spans="1:13">
      <c r="A947" s="275"/>
      <c r="B947" s="275"/>
      <c r="C947" s="275"/>
      <c r="D947" s="275"/>
      <c r="E947" s="275" t="s">
        <v>479</v>
      </c>
      <c r="F947" s="275" t="s">
        <v>1426</v>
      </c>
      <c r="G947" s="278">
        <v>36404.03</v>
      </c>
      <c r="H947" s="280">
        <f t="shared" si="28"/>
        <v>-1.3486103210991243E-2</v>
      </c>
      <c r="I947" s="275"/>
      <c r="J947" s="275" t="s">
        <v>1717</v>
      </c>
      <c r="K947" s="275" t="s">
        <v>1426</v>
      </c>
      <c r="L947" s="275">
        <v>73.27</v>
      </c>
      <c r="M947" s="280">
        <f t="shared" si="29"/>
        <v>-3.5921052631578999E-2</v>
      </c>
    </row>
    <row r="948" spans="1:13">
      <c r="A948" s="275"/>
      <c r="B948" s="275"/>
      <c r="C948" s="275"/>
      <c r="D948" s="275"/>
      <c r="E948" s="275" t="s">
        <v>479</v>
      </c>
      <c r="F948" s="275" t="s">
        <v>1427</v>
      </c>
      <c r="G948" s="278">
        <v>36504.25</v>
      </c>
      <c r="H948" s="280">
        <f t="shared" si="28"/>
        <v>2.7529919077640902E-3</v>
      </c>
      <c r="I948" s="275"/>
      <c r="J948" s="275" t="s">
        <v>1717</v>
      </c>
      <c r="K948" s="275" t="s">
        <v>1427</v>
      </c>
      <c r="L948" s="275">
        <v>73</v>
      </c>
      <c r="M948" s="280">
        <f t="shared" si="29"/>
        <v>-3.6850006824074798E-3</v>
      </c>
    </row>
    <row r="949" spans="1:13">
      <c r="A949" s="275"/>
      <c r="B949" s="275"/>
      <c r="C949" s="275"/>
      <c r="D949" s="275"/>
      <c r="E949" s="275" t="s">
        <v>479</v>
      </c>
      <c r="F949" s="275" t="s">
        <v>1428</v>
      </c>
      <c r="G949" s="278">
        <v>36796.03</v>
      </c>
      <c r="H949" s="280">
        <f t="shared" si="28"/>
        <v>7.9930419060793966E-3</v>
      </c>
      <c r="I949" s="275"/>
      <c r="J949" s="275" t="s">
        <v>1717</v>
      </c>
      <c r="K949" s="275" t="s">
        <v>1428</v>
      </c>
      <c r="L949" s="275">
        <v>73</v>
      </c>
      <c r="M949" s="280">
        <f t="shared" si="29"/>
        <v>0</v>
      </c>
    </row>
    <row r="950" spans="1:13">
      <c r="A950" s="275"/>
      <c r="B950" s="275"/>
      <c r="C950" s="275"/>
      <c r="D950" s="275"/>
      <c r="E950" s="275" t="s">
        <v>479</v>
      </c>
      <c r="F950" s="275" t="s">
        <v>1429</v>
      </c>
      <c r="G950" s="278">
        <v>37130.629999999997</v>
      </c>
      <c r="H950" s="280">
        <f t="shared" si="28"/>
        <v>9.0933723013052921E-3</v>
      </c>
      <c r="I950" s="275"/>
      <c r="J950" s="275" t="s">
        <v>1717</v>
      </c>
      <c r="K950" s="275" t="s">
        <v>1429</v>
      </c>
      <c r="L950" s="275">
        <v>76.599999999999994</v>
      </c>
      <c r="M950" s="280">
        <f t="shared" si="29"/>
        <v>4.9315068493150607E-2</v>
      </c>
    </row>
    <row r="951" spans="1:13">
      <c r="A951" s="275"/>
      <c r="B951" s="275"/>
      <c r="C951" s="275"/>
      <c r="D951" s="275"/>
      <c r="E951" s="275" t="s">
        <v>479</v>
      </c>
      <c r="F951" s="275" t="s">
        <v>1430</v>
      </c>
      <c r="G951" s="278">
        <v>37026.269999999997</v>
      </c>
      <c r="H951" s="280">
        <f t="shared" si="28"/>
        <v>-2.8106175413668065E-3</v>
      </c>
      <c r="I951" s="275"/>
      <c r="J951" s="275" t="s">
        <v>1717</v>
      </c>
      <c r="K951" s="275" t="s">
        <v>1430</v>
      </c>
      <c r="L951" s="275">
        <v>75.5</v>
      </c>
      <c r="M951" s="280">
        <f t="shared" si="29"/>
        <v>-1.4360313315926819E-2</v>
      </c>
    </row>
    <row r="952" spans="1:13">
      <c r="A952" s="275"/>
      <c r="B952" s="275"/>
      <c r="C952" s="275"/>
      <c r="D952" s="275"/>
      <c r="E952" s="275" t="s">
        <v>479</v>
      </c>
      <c r="F952" s="275" t="s">
        <v>1431</v>
      </c>
      <c r="G952" s="278">
        <v>36784.44</v>
      </c>
      <c r="H952" s="280">
        <f t="shared" si="28"/>
        <v>-6.5313087167568999E-3</v>
      </c>
      <c r="I952" s="275"/>
      <c r="J952" s="275" t="s">
        <v>1717</v>
      </c>
      <c r="K952" s="275" t="s">
        <v>1431</v>
      </c>
      <c r="L952" s="275">
        <v>75.209999999999994</v>
      </c>
      <c r="M952" s="280">
        <f t="shared" si="29"/>
        <v>-3.8410596026490895E-3</v>
      </c>
    </row>
    <row r="953" spans="1:13">
      <c r="A953" s="275"/>
      <c r="B953" s="275"/>
      <c r="C953" s="275"/>
      <c r="D953" s="275"/>
      <c r="E953" s="275" t="s">
        <v>479</v>
      </c>
      <c r="F953" s="275" t="s">
        <v>1432</v>
      </c>
      <c r="G953" s="278">
        <v>36547.629999999997</v>
      </c>
      <c r="H953" s="280">
        <f t="shared" si="28"/>
        <v>-6.437776407633362E-3</v>
      </c>
      <c r="I953" s="275"/>
      <c r="J953" s="275" t="s">
        <v>1717</v>
      </c>
      <c r="K953" s="275" t="s">
        <v>1432</v>
      </c>
      <c r="L953" s="275">
        <v>74.05</v>
      </c>
      <c r="M953" s="280">
        <f t="shared" si="29"/>
        <v>-1.542348092009037E-2</v>
      </c>
    </row>
    <row r="954" spans="1:13">
      <c r="A954" s="275"/>
      <c r="B954" s="275"/>
      <c r="C954" s="275"/>
      <c r="D954" s="275"/>
      <c r="E954" s="275" t="s">
        <v>479</v>
      </c>
      <c r="F954" s="275" t="s">
        <v>1433</v>
      </c>
      <c r="G954" s="278">
        <v>36122.949999999997</v>
      </c>
      <c r="H954" s="280">
        <f t="shared" si="28"/>
        <v>-1.1619905312601674E-2</v>
      </c>
      <c r="I954" s="275"/>
      <c r="J954" s="275" t="s">
        <v>1717</v>
      </c>
      <c r="K954" s="275" t="s">
        <v>1433</v>
      </c>
      <c r="L954" s="275">
        <v>73.150000000000006</v>
      </c>
      <c r="M954" s="280">
        <f t="shared" si="29"/>
        <v>-1.2153950033760857E-2</v>
      </c>
    </row>
    <row r="955" spans="1:13">
      <c r="A955" s="275"/>
      <c r="B955" s="275"/>
      <c r="C955" s="275"/>
      <c r="D955" s="275"/>
      <c r="E955" s="275" t="s">
        <v>479</v>
      </c>
      <c r="F955" s="275" t="s">
        <v>1434</v>
      </c>
      <c r="G955" s="278">
        <v>35605.42</v>
      </c>
      <c r="H955" s="280">
        <f t="shared" si="28"/>
        <v>-1.4326902979961462E-2</v>
      </c>
      <c r="I955" s="275"/>
      <c r="J955" s="275" t="s">
        <v>1717</v>
      </c>
      <c r="K955" s="275" t="s">
        <v>1434</v>
      </c>
      <c r="L955" s="275">
        <v>72</v>
      </c>
      <c r="M955" s="280">
        <f t="shared" si="29"/>
        <v>-1.5721120984278955E-2</v>
      </c>
    </row>
    <row r="956" spans="1:13">
      <c r="A956" s="275"/>
      <c r="B956" s="275"/>
      <c r="C956" s="275"/>
      <c r="D956" s="275"/>
      <c r="E956" s="275" t="s">
        <v>479</v>
      </c>
      <c r="F956" s="275" t="s">
        <v>1435</v>
      </c>
      <c r="G956" s="278">
        <v>35631.06</v>
      </c>
      <c r="H956" s="280">
        <f t="shared" si="28"/>
        <v>7.2011508360242404E-4</v>
      </c>
      <c r="I956" s="275"/>
      <c r="J956" s="275" t="s">
        <v>1717</v>
      </c>
      <c r="K956" s="275" t="s">
        <v>1435</v>
      </c>
      <c r="L956" s="275">
        <v>70</v>
      </c>
      <c r="M956" s="280">
        <f t="shared" si="29"/>
        <v>-2.7777777777777776E-2</v>
      </c>
    </row>
    <row r="957" spans="1:13">
      <c r="A957" s="275"/>
      <c r="B957" s="275"/>
      <c r="C957" s="275"/>
      <c r="D957" s="275"/>
      <c r="E957" s="275" t="s">
        <v>479</v>
      </c>
      <c r="F957" s="275" t="s">
        <v>1436</v>
      </c>
      <c r="G957" s="278">
        <v>35035.03</v>
      </c>
      <c r="H957" s="280">
        <f t="shared" si="28"/>
        <v>-1.6727821176243392E-2</v>
      </c>
      <c r="I957" s="275"/>
      <c r="J957" s="275" t="s">
        <v>1717</v>
      </c>
      <c r="K957" s="275" t="s">
        <v>1436</v>
      </c>
      <c r="L957" s="275">
        <v>66.790000000000006</v>
      </c>
      <c r="M957" s="280">
        <f t="shared" si="29"/>
        <v>-4.585714285714277E-2</v>
      </c>
    </row>
    <row r="958" spans="1:13">
      <c r="A958" s="275"/>
      <c r="B958" s="275"/>
      <c r="C958" s="275"/>
      <c r="D958" s="275"/>
      <c r="E958" s="275" t="s">
        <v>479</v>
      </c>
      <c r="F958" s="275" t="s">
        <v>1437</v>
      </c>
      <c r="G958" s="278">
        <v>34887.64</v>
      </c>
      <c r="H958" s="280">
        <f t="shared" si="28"/>
        <v>-4.2069323188819712E-3</v>
      </c>
      <c r="I958" s="275"/>
      <c r="J958" s="275" t="s">
        <v>1717</v>
      </c>
      <c r="K958" s="275" t="s">
        <v>1437</v>
      </c>
      <c r="L958" s="275">
        <v>65.010000000000005</v>
      </c>
      <c r="M958" s="280">
        <f t="shared" si="29"/>
        <v>-2.6650696212007802E-2</v>
      </c>
    </row>
    <row r="959" spans="1:13">
      <c r="A959" s="275"/>
      <c r="B959" s="275"/>
      <c r="C959" s="275"/>
      <c r="D959" s="275"/>
      <c r="E959" s="275" t="s">
        <v>479</v>
      </c>
      <c r="F959" s="275" t="s">
        <v>1438</v>
      </c>
      <c r="G959" s="278">
        <v>34716.53</v>
      </c>
      <c r="H959" s="280">
        <f t="shared" si="28"/>
        <v>-4.9046023176116411E-3</v>
      </c>
      <c r="I959" s="275"/>
      <c r="J959" s="275" t="s">
        <v>1717</v>
      </c>
      <c r="K959" s="275" t="s">
        <v>1438</v>
      </c>
      <c r="L959" s="275">
        <v>63.02</v>
      </c>
      <c r="M959" s="280">
        <f t="shared" si="29"/>
        <v>-3.0610675280726071E-2</v>
      </c>
    </row>
    <row r="960" spans="1:13">
      <c r="A960" s="275"/>
      <c r="B960" s="275"/>
      <c r="C960" s="275"/>
      <c r="D960" s="275"/>
      <c r="E960" s="275" t="s">
        <v>479</v>
      </c>
      <c r="F960" s="275" t="s">
        <v>1439</v>
      </c>
      <c r="G960" s="278">
        <v>33900.379999999997</v>
      </c>
      <c r="H960" s="280">
        <f t="shared" si="28"/>
        <v>-2.3508973967156323E-2</v>
      </c>
      <c r="I960" s="275"/>
      <c r="J960" s="275" t="s">
        <v>1717</v>
      </c>
      <c r="K960" s="275" t="s">
        <v>1439</v>
      </c>
      <c r="L960" s="275">
        <v>60.48</v>
      </c>
      <c r="M960" s="280">
        <f t="shared" si="29"/>
        <v>-4.0304665185655446E-2</v>
      </c>
    </row>
    <row r="961" spans="1:13">
      <c r="A961" s="275"/>
      <c r="B961" s="275"/>
      <c r="C961" s="275"/>
      <c r="D961" s="275"/>
      <c r="E961" s="275" t="s">
        <v>479</v>
      </c>
      <c r="F961" s="275" t="s">
        <v>1440</v>
      </c>
      <c r="G961" s="278">
        <v>33885.089999999997</v>
      </c>
      <c r="H961" s="280">
        <f t="shared" si="28"/>
        <v>-4.5102739261332391E-4</v>
      </c>
      <c r="I961" s="275"/>
      <c r="J961" s="275" t="s">
        <v>1717</v>
      </c>
      <c r="K961" s="275" t="s">
        <v>1440</v>
      </c>
      <c r="L961" s="275">
        <v>57.46</v>
      </c>
      <c r="M961" s="280">
        <f t="shared" si="29"/>
        <v>-4.9933862433862372E-2</v>
      </c>
    </row>
    <row r="962" spans="1:13">
      <c r="A962" s="275"/>
      <c r="B962" s="275"/>
      <c r="C962" s="275"/>
      <c r="D962" s="275"/>
      <c r="E962" s="275" t="s">
        <v>479</v>
      </c>
      <c r="F962" s="275" t="s">
        <v>1441</v>
      </c>
      <c r="G962" s="278">
        <v>34291.65</v>
      </c>
      <c r="H962" s="280">
        <f t="shared" si="28"/>
        <v>1.1998197437280084E-2</v>
      </c>
      <c r="I962" s="275"/>
      <c r="J962" s="275" t="s">
        <v>1717</v>
      </c>
      <c r="K962" s="275" t="s">
        <v>1441</v>
      </c>
      <c r="L962" s="275">
        <v>54.59</v>
      </c>
      <c r="M962" s="280">
        <f t="shared" si="29"/>
        <v>-4.9947789766794246E-2</v>
      </c>
    </row>
    <row r="963" spans="1:13">
      <c r="A963" s="275"/>
      <c r="B963" s="275"/>
      <c r="C963" s="275"/>
      <c r="D963" s="275"/>
      <c r="E963" s="275" t="s">
        <v>479</v>
      </c>
      <c r="F963" s="275" t="s">
        <v>1442</v>
      </c>
      <c r="G963" s="278">
        <v>33971.120000000003</v>
      </c>
      <c r="H963" s="280">
        <f t="shared" si="28"/>
        <v>-9.3471734372653058E-3</v>
      </c>
      <c r="I963" s="275"/>
      <c r="J963" s="275" t="s">
        <v>1717</v>
      </c>
      <c r="K963" s="275" t="s">
        <v>1442</v>
      </c>
      <c r="L963" s="275">
        <v>52.21</v>
      </c>
      <c r="M963" s="280">
        <f t="shared" si="29"/>
        <v>-4.3597728521707318E-2</v>
      </c>
    </row>
    <row r="964" spans="1:13">
      <c r="A964" s="275"/>
      <c r="B964" s="275"/>
      <c r="C964" s="275"/>
      <c r="D964" s="275"/>
      <c r="E964" s="275" t="s">
        <v>479</v>
      </c>
      <c r="F964" s="275" t="s">
        <v>1443</v>
      </c>
      <c r="G964" s="278">
        <v>33166.620000000003</v>
      </c>
      <c r="H964" s="280">
        <f t="shared" ref="H964:H1027" si="30">(G964-G963)/G963</f>
        <v>-2.3681880373682115E-2</v>
      </c>
      <c r="I964" s="275"/>
      <c r="J964" s="275" t="s">
        <v>1717</v>
      </c>
      <c r="K964" s="275" t="s">
        <v>1443</v>
      </c>
      <c r="L964" s="275">
        <v>49.6</v>
      </c>
      <c r="M964" s="280">
        <f t="shared" ref="M964:M1027" si="31">(L964-L963)/L963</f>
        <v>-4.9990423290557355E-2</v>
      </c>
    </row>
    <row r="965" spans="1:13">
      <c r="A965" s="275"/>
      <c r="B965" s="275"/>
      <c r="C965" s="275"/>
      <c r="D965" s="275"/>
      <c r="E965" s="275" t="s">
        <v>479</v>
      </c>
      <c r="F965" s="275" t="s">
        <v>1444</v>
      </c>
      <c r="G965" s="278">
        <v>33250.54</v>
      </c>
      <c r="H965" s="280">
        <f t="shared" si="30"/>
        <v>2.5302548164388848E-3</v>
      </c>
      <c r="I965" s="275"/>
      <c r="J965" s="275" t="s">
        <v>1717</v>
      </c>
      <c r="K965" s="275" t="s">
        <v>1444</v>
      </c>
      <c r="L965" s="275">
        <v>47.5</v>
      </c>
      <c r="M965" s="280">
        <f t="shared" si="31"/>
        <v>-4.233870967741938E-2</v>
      </c>
    </row>
    <row r="966" spans="1:13">
      <c r="A966" s="275"/>
      <c r="B966" s="275"/>
      <c r="C966" s="275"/>
      <c r="D966" s="275"/>
      <c r="E966" s="275" t="s">
        <v>479</v>
      </c>
      <c r="F966" s="275" t="s">
        <v>1445</v>
      </c>
      <c r="G966" s="278">
        <v>33442.1</v>
      </c>
      <c r="H966" s="280">
        <f t="shared" si="30"/>
        <v>5.7611094436360328E-3</v>
      </c>
      <c r="I966" s="275"/>
      <c r="J966" s="275" t="s">
        <v>1717</v>
      </c>
      <c r="K966" s="275" t="s">
        <v>1445</v>
      </c>
      <c r="L966" s="275">
        <v>48.6</v>
      </c>
      <c r="M966" s="280">
        <f t="shared" si="31"/>
        <v>2.3157894736842134E-2</v>
      </c>
    </row>
    <row r="967" spans="1:13">
      <c r="A967" s="275"/>
      <c r="B967" s="275"/>
      <c r="C967" s="275"/>
      <c r="D967" s="275"/>
      <c r="E967" s="275" t="s">
        <v>479</v>
      </c>
      <c r="F967" s="275" t="s">
        <v>1446</v>
      </c>
      <c r="G967" s="278">
        <v>34637.14</v>
      </c>
      <c r="H967" s="280">
        <f t="shared" si="30"/>
        <v>3.573459800670415E-2</v>
      </c>
      <c r="I967" s="275"/>
      <c r="J967" s="275" t="s">
        <v>1717</v>
      </c>
      <c r="K967" s="275" t="s">
        <v>1446</v>
      </c>
      <c r="L967" s="275">
        <v>49.92</v>
      </c>
      <c r="M967" s="280">
        <f t="shared" si="31"/>
        <v>2.7160493827160497E-2</v>
      </c>
    </row>
    <row r="968" spans="1:13">
      <c r="A968" s="275"/>
      <c r="B968" s="275"/>
      <c r="C968" s="275"/>
      <c r="D968" s="275"/>
      <c r="E968" s="275" t="s">
        <v>479</v>
      </c>
      <c r="F968" s="275" t="s">
        <v>1447</v>
      </c>
      <c r="G968" s="278">
        <v>35581.339999999997</v>
      </c>
      <c r="H968" s="280">
        <f t="shared" si="30"/>
        <v>2.7259756434855682E-2</v>
      </c>
      <c r="I968" s="275"/>
      <c r="J968" s="275" t="s">
        <v>1717</v>
      </c>
      <c r="K968" s="275" t="s">
        <v>1447</v>
      </c>
      <c r="L968" s="275">
        <v>52.41</v>
      </c>
      <c r="M968" s="280">
        <f t="shared" si="31"/>
        <v>4.9879807692307591E-2</v>
      </c>
    </row>
    <row r="969" spans="1:13">
      <c r="A969" s="275"/>
      <c r="B969" s="275"/>
      <c r="C969" s="275"/>
      <c r="D969" s="275"/>
      <c r="E969" s="275" t="s">
        <v>479</v>
      </c>
      <c r="F969" s="275" t="s">
        <v>1448</v>
      </c>
      <c r="G969" s="278">
        <v>35703.81</v>
      </c>
      <c r="H969" s="280">
        <f t="shared" si="30"/>
        <v>3.4419726744411867E-3</v>
      </c>
      <c r="I969" s="275"/>
      <c r="J969" s="275" t="s">
        <v>1717</v>
      </c>
      <c r="K969" s="275" t="s">
        <v>1448</v>
      </c>
      <c r="L969" s="275">
        <v>55.03</v>
      </c>
      <c r="M969" s="280">
        <f t="shared" si="31"/>
        <v>4.9990459835909266E-2</v>
      </c>
    </row>
    <row r="970" spans="1:13">
      <c r="A970" s="275"/>
      <c r="B970" s="275"/>
      <c r="C970" s="275"/>
      <c r="D970" s="275"/>
      <c r="E970" s="275" t="s">
        <v>479</v>
      </c>
      <c r="F970" s="275" t="s">
        <v>1449</v>
      </c>
      <c r="G970" s="278">
        <v>35697.370000000003</v>
      </c>
      <c r="H970" s="280">
        <f t="shared" si="30"/>
        <v>-1.8037290698093712E-4</v>
      </c>
      <c r="I970" s="275"/>
      <c r="J970" s="275" t="s">
        <v>1717</v>
      </c>
      <c r="K970" s="275" t="s">
        <v>1449</v>
      </c>
      <c r="L970" s="275">
        <v>56.15</v>
      </c>
      <c r="M970" s="280">
        <f t="shared" si="31"/>
        <v>2.0352534980919452E-2</v>
      </c>
    </row>
    <row r="971" spans="1:13">
      <c r="A971" s="275"/>
      <c r="B971" s="275"/>
      <c r="C971" s="275"/>
      <c r="D971" s="275"/>
      <c r="E971" s="275" t="s">
        <v>479</v>
      </c>
      <c r="F971" s="275" t="s">
        <v>1450</v>
      </c>
      <c r="G971" s="278">
        <v>34949.279999999999</v>
      </c>
      <c r="H971" s="280">
        <f t="shared" si="30"/>
        <v>-2.0956445810994023E-2</v>
      </c>
      <c r="I971" s="275"/>
      <c r="J971" s="275" t="s">
        <v>1717</v>
      </c>
      <c r="K971" s="275" t="s">
        <v>1450</v>
      </c>
      <c r="L971" s="275">
        <v>53.15</v>
      </c>
      <c r="M971" s="280">
        <f t="shared" si="31"/>
        <v>-5.3428317008014252E-2</v>
      </c>
    </row>
    <row r="972" spans="1:13">
      <c r="A972" s="275"/>
      <c r="B972" s="275"/>
      <c r="C972" s="275"/>
      <c r="D972" s="275"/>
      <c r="E972" s="275" t="s">
        <v>479</v>
      </c>
      <c r="F972" s="275" t="s">
        <v>1451</v>
      </c>
      <c r="G972" s="278">
        <v>35959.43</v>
      </c>
      <c r="H972" s="280">
        <f t="shared" si="30"/>
        <v>2.8903313601882544E-2</v>
      </c>
      <c r="I972" s="275"/>
      <c r="J972" s="275" t="s">
        <v>1717</v>
      </c>
      <c r="K972" s="275" t="s">
        <v>1451</v>
      </c>
      <c r="L972" s="275">
        <v>55.8</v>
      </c>
      <c r="M972" s="280">
        <f t="shared" si="31"/>
        <v>4.9858889934148609E-2</v>
      </c>
    </row>
    <row r="973" spans="1:13">
      <c r="A973" s="275"/>
      <c r="B973" s="275"/>
      <c r="C973" s="275"/>
      <c r="D973" s="275"/>
      <c r="E973" s="275" t="s">
        <v>479</v>
      </c>
      <c r="F973" s="275" t="s">
        <v>1452</v>
      </c>
      <c r="G973" s="278">
        <v>35974.79</v>
      </c>
      <c r="H973" s="280">
        <f t="shared" si="30"/>
        <v>4.271480387759367E-4</v>
      </c>
      <c r="I973" s="275"/>
      <c r="J973" s="275" t="s">
        <v>1717</v>
      </c>
      <c r="K973" s="275" t="s">
        <v>1452</v>
      </c>
      <c r="L973" s="275">
        <v>54.97</v>
      </c>
      <c r="M973" s="280">
        <f t="shared" si="31"/>
        <v>-1.4874551971326136E-2</v>
      </c>
    </row>
    <row r="974" spans="1:13">
      <c r="A974" s="275"/>
      <c r="B974" s="275"/>
      <c r="C974" s="275"/>
      <c r="D974" s="275"/>
      <c r="E974" s="275" t="s">
        <v>479</v>
      </c>
      <c r="F974" s="275" t="s">
        <v>1453</v>
      </c>
      <c r="G974" s="278">
        <v>35505.29</v>
      </c>
      <c r="H974" s="280">
        <f t="shared" si="30"/>
        <v>-1.3050805855989708E-2</v>
      </c>
      <c r="I974" s="275"/>
      <c r="J974" s="275" t="s">
        <v>1717</v>
      </c>
      <c r="K974" s="275" t="s">
        <v>1453</v>
      </c>
      <c r="L974" s="275">
        <v>55.55</v>
      </c>
      <c r="M974" s="280">
        <f t="shared" si="31"/>
        <v>1.0551209750773118E-2</v>
      </c>
    </row>
    <row r="975" spans="1:13">
      <c r="A975" s="275"/>
      <c r="B975" s="275"/>
      <c r="C975" s="275"/>
      <c r="D975" s="275"/>
      <c r="E975" s="275" t="s">
        <v>479</v>
      </c>
      <c r="F975" s="275" t="s">
        <v>1454</v>
      </c>
      <c r="G975" s="278">
        <v>34567.550000000003</v>
      </c>
      <c r="H975" s="280">
        <f t="shared" si="30"/>
        <v>-2.6411275615549061E-2</v>
      </c>
      <c r="I975" s="275"/>
      <c r="J975" s="275" t="s">
        <v>1717</v>
      </c>
      <c r="K975" s="275" t="s">
        <v>1454</v>
      </c>
      <c r="L975" s="275">
        <v>53.03</v>
      </c>
      <c r="M975" s="280">
        <f t="shared" si="31"/>
        <v>-4.5364536453645292E-2</v>
      </c>
    </row>
    <row r="976" spans="1:13">
      <c r="A976" s="275"/>
      <c r="B976" s="275"/>
      <c r="C976" s="275"/>
      <c r="D976" s="275"/>
      <c r="E976" s="275" t="s">
        <v>479</v>
      </c>
      <c r="F976" s="275" t="s">
        <v>1455</v>
      </c>
      <c r="G976" s="278">
        <v>34659.85</v>
      </c>
      <c r="H976" s="280">
        <f t="shared" si="30"/>
        <v>2.6701342733284721E-3</v>
      </c>
      <c r="I976" s="275"/>
      <c r="J976" s="275" t="s">
        <v>1717</v>
      </c>
      <c r="K976" s="275" t="s">
        <v>1455</v>
      </c>
      <c r="L976" s="275">
        <v>52.06</v>
      </c>
      <c r="M976" s="280">
        <f t="shared" si="31"/>
        <v>-1.8291533094474805E-2</v>
      </c>
    </row>
    <row r="977" spans="1:13">
      <c r="A977" s="275"/>
      <c r="B977" s="275"/>
      <c r="C977" s="275"/>
      <c r="D977" s="275"/>
      <c r="E977" s="275" t="s">
        <v>479</v>
      </c>
      <c r="F977" s="275" t="s">
        <v>1456</v>
      </c>
      <c r="G977" s="278">
        <v>34937.93</v>
      </c>
      <c r="H977" s="280">
        <f t="shared" si="30"/>
        <v>8.0231160838838533E-3</v>
      </c>
      <c r="I977" s="275"/>
      <c r="J977" s="275" t="s">
        <v>1717</v>
      </c>
      <c r="K977" s="275" t="s">
        <v>1456</v>
      </c>
      <c r="L977" s="275">
        <v>52.66</v>
      </c>
      <c r="M977" s="280">
        <f t="shared" si="31"/>
        <v>1.1525163273146261E-2</v>
      </c>
    </row>
    <row r="978" spans="1:13">
      <c r="A978" s="275"/>
      <c r="B978" s="275"/>
      <c r="C978" s="275"/>
      <c r="D978" s="275"/>
      <c r="E978" s="275" t="s">
        <v>479</v>
      </c>
      <c r="F978" s="275" t="s">
        <v>1457</v>
      </c>
      <c r="G978" s="278">
        <v>35403.07</v>
      </c>
      <c r="H978" s="280">
        <f t="shared" si="30"/>
        <v>1.3313324515791274E-2</v>
      </c>
      <c r="I978" s="275"/>
      <c r="J978" s="275" t="s">
        <v>1717</v>
      </c>
      <c r="K978" s="275" t="s">
        <v>1457</v>
      </c>
      <c r="L978" s="275">
        <v>55.29</v>
      </c>
      <c r="M978" s="280">
        <f t="shared" si="31"/>
        <v>4.9943030763387825E-2</v>
      </c>
    </row>
    <row r="979" spans="1:13">
      <c r="A979" s="275"/>
      <c r="B979" s="275"/>
      <c r="C979" s="275"/>
      <c r="D979" s="275"/>
      <c r="E979" s="275" t="s">
        <v>479</v>
      </c>
      <c r="F979" s="275" t="s">
        <v>1458</v>
      </c>
      <c r="G979" s="278">
        <v>35572.949999999997</v>
      </c>
      <c r="H979" s="280">
        <f t="shared" si="30"/>
        <v>4.798453919391662E-3</v>
      </c>
      <c r="I979" s="275"/>
      <c r="J979" s="275" t="s">
        <v>1717</v>
      </c>
      <c r="K979" s="275" t="s">
        <v>1458</v>
      </c>
      <c r="L979" s="275">
        <v>58.04</v>
      </c>
      <c r="M979" s="280">
        <f t="shared" si="31"/>
        <v>4.9737746427925486E-2</v>
      </c>
    </row>
    <row r="980" spans="1:13">
      <c r="A980" s="275"/>
      <c r="B980" s="275"/>
      <c r="C980" s="275"/>
      <c r="D980" s="275"/>
      <c r="E980" s="275" t="s">
        <v>479</v>
      </c>
      <c r="F980" s="275" t="s">
        <v>1459</v>
      </c>
      <c r="G980" s="278">
        <v>35168.82</v>
      </c>
      <c r="H980" s="280">
        <f t="shared" si="30"/>
        <v>-1.1360598432235657E-2</v>
      </c>
      <c r="I980" s="275"/>
      <c r="J980" s="275" t="s">
        <v>1717</v>
      </c>
      <c r="K980" s="275" t="s">
        <v>1459</v>
      </c>
      <c r="L980" s="275">
        <v>59.29</v>
      </c>
      <c r="M980" s="280">
        <f t="shared" si="31"/>
        <v>2.1536871123363197E-2</v>
      </c>
    </row>
    <row r="981" spans="1:13">
      <c r="A981" s="275"/>
      <c r="B981" s="275"/>
      <c r="C981" s="275"/>
      <c r="D981" s="275"/>
      <c r="E981" s="275" t="s">
        <v>479</v>
      </c>
      <c r="F981" s="275" t="s">
        <v>1460</v>
      </c>
      <c r="G981" s="278">
        <v>34681.72</v>
      </c>
      <c r="H981" s="280">
        <f t="shared" si="30"/>
        <v>-1.3850336747152692E-2</v>
      </c>
      <c r="I981" s="275"/>
      <c r="J981" s="275" t="s">
        <v>1717</v>
      </c>
      <c r="K981" s="275" t="s">
        <v>1460</v>
      </c>
      <c r="L981" s="275">
        <v>57</v>
      </c>
      <c r="M981" s="280">
        <f t="shared" si="31"/>
        <v>-3.862371394838926E-2</v>
      </c>
    </row>
    <row r="982" spans="1:13">
      <c r="A982" s="275"/>
      <c r="B982" s="275"/>
      <c r="C982" s="275"/>
      <c r="D982" s="275"/>
      <c r="E982" s="275" t="s">
        <v>479</v>
      </c>
      <c r="F982" s="275" t="s">
        <v>1461</v>
      </c>
      <c r="G982" s="278">
        <v>34656.120000000003</v>
      </c>
      <c r="H982" s="280">
        <f t="shared" si="30"/>
        <v>-7.381410149207866E-4</v>
      </c>
      <c r="I982" s="275"/>
      <c r="J982" s="275" t="s">
        <v>1717</v>
      </c>
      <c r="K982" s="275" t="s">
        <v>1461</v>
      </c>
      <c r="L982" s="275">
        <v>57.99</v>
      </c>
      <c r="M982" s="280">
        <f t="shared" si="31"/>
        <v>1.7368421052631613E-2</v>
      </c>
    </row>
    <row r="983" spans="1:13">
      <c r="A983" s="275"/>
      <c r="B983" s="275"/>
      <c r="C983" s="275"/>
      <c r="D983" s="275"/>
      <c r="E983" s="275" t="s">
        <v>479</v>
      </c>
      <c r="F983" s="275" t="s">
        <v>1462</v>
      </c>
      <c r="G983" s="278">
        <v>34995.910000000003</v>
      </c>
      <c r="H983" s="280">
        <f t="shared" si="30"/>
        <v>9.8046174817031113E-3</v>
      </c>
      <c r="I983" s="275"/>
      <c r="J983" s="275" t="s">
        <v>1717</v>
      </c>
      <c r="K983" s="275" t="s">
        <v>1462</v>
      </c>
      <c r="L983" s="275">
        <v>59</v>
      </c>
      <c r="M983" s="280">
        <f t="shared" si="31"/>
        <v>1.7416795999310192E-2</v>
      </c>
    </row>
    <row r="984" spans="1:13">
      <c r="A984" s="275"/>
      <c r="B984" s="275"/>
      <c r="C984" s="275"/>
      <c r="D984" s="275"/>
      <c r="E984" s="275" t="s">
        <v>479</v>
      </c>
      <c r="F984" s="275" t="s">
        <v>1463</v>
      </c>
      <c r="G984" s="278">
        <v>35125.25</v>
      </c>
      <c r="H984" s="280">
        <f t="shared" si="30"/>
        <v>3.6958604591221232E-3</v>
      </c>
      <c r="I984" s="275"/>
      <c r="J984" s="275" t="s">
        <v>1717</v>
      </c>
      <c r="K984" s="275" t="s">
        <v>1463</v>
      </c>
      <c r="L984" s="275">
        <v>57.81</v>
      </c>
      <c r="M984" s="280">
        <f t="shared" si="31"/>
        <v>-2.0169491525423692E-2</v>
      </c>
    </row>
    <row r="985" spans="1:13">
      <c r="A985" s="275"/>
      <c r="B985" s="275"/>
      <c r="C985" s="275"/>
      <c r="D985" s="275"/>
      <c r="E985" s="275" t="s">
        <v>479</v>
      </c>
      <c r="F985" s="275" t="s">
        <v>1464</v>
      </c>
      <c r="G985" s="278">
        <v>34471.949999999997</v>
      </c>
      <c r="H985" s="280">
        <f t="shared" si="30"/>
        <v>-1.8599155877894191E-2</v>
      </c>
      <c r="I985" s="275"/>
      <c r="J985" s="275" t="s">
        <v>1717</v>
      </c>
      <c r="K985" s="275" t="s">
        <v>1464</v>
      </c>
      <c r="L985" s="275">
        <v>54.92</v>
      </c>
      <c r="M985" s="280">
        <f t="shared" si="31"/>
        <v>-4.9991350977339567E-2</v>
      </c>
    </row>
    <row r="986" spans="1:13">
      <c r="A986" s="275"/>
      <c r="B986" s="275"/>
      <c r="C986" s="275"/>
      <c r="D986" s="275"/>
      <c r="E986" s="275" t="s">
        <v>479</v>
      </c>
      <c r="F986" s="275" t="s">
        <v>1465</v>
      </c>
      <c r="G986" s="278">
        <v>34190.620000000003</v>
      </c>
      <c r="H986" s="280">
        <f t="shared" si="30"/>
        <v>-8.1611281056045426E-3</v>
      </c>
      <c r="I986" s="275"/>
      <c r="J986" s="275" t="s">
        <v>1717</v>
      </c>
      <c r="K986" s="275" t="s">
        <v>1465</v>
      </c>
      <c r="L986" s="275">
        <v>55.49</v>
      </c>
      <c r="M986" s="280">
        <f t="shared" si="31"/>
        <v>1.0378732702112169E-2</v>
      </c>
    </row>
    <row r="987" spans="1:13">
      <c r="A987" s="275"/>
      <c r="B987" s="275"/>
      <c r="C987" s="275"/>
      <c r="D987" s="275"/>
      <c r="E987" s="275" t="s">
        <v>479</v>
      </c>
      <c r="F987" s="275" t="s">
        <v>1466</v>
      </c>
      <c r="G987" s="278">
        <v>34088.559999999998</v>
      </c>
      <c r="H987" s="280">
        <f t="shared" si="30"/>
        <v>-2.9850292273145367E-3</v>
      </c>
      <c r="I987" s="275"/>
      <c r="J987" s="275" t="s">
        <v>1717</v>
      </c>
      <c r="K987" s="275" t="s">
        <v>1466</v>
      </c>
      <c r="L987" s="275">
        <v>53.9</v>
      </c>
      <c r="M987" s="280">
        <f t="shared" si="31"/>
        <v>-2.865381149756719E-2</v>
      </c>
    </row>
    <row r="988" spans="1:13">
      <c r="A988" s="275"/>
      <c r="B988" s="275"/>
      <c r="C988" s="275"/>
      <c r="D988" s="275"/>
      <c r="E988" s="275" t="s">
        <v>479</v>
      </c>
      <c r="F988" s="275" t="s">
        <v>1467</v>
      </c>
      <c r="G988" s="278">
        <v>33774.42</v>
      </c>
      <c r="H988" s="280">
        <f t="shared" si="30"/>
        <v>-9.2154083364037499E-3</v>
      </c>
      <c r="I988" s="275"/>
      <c r="J988" s="275" t="s">
        <v>1717</v>
      </c>
      <c r="K988" s="275" t="s">
        <v>1467</v>
      </c>
      <c r="L988" s="275">
        <v>52</v>
      </c>
      <c r="M988" s="280">
        <f t="shared" si="31"/>
        <v>-3.5250463821892369E-2</v>
      </c>
    </row>
    <row r="989" spans="1:13">
      <c r="A989" s="275"/>
      <c r="B989" s="275"/>
      <c r="C989" s="275"/>
      <c r="D989" s="275"/>
      <c r="E989" s="275" t="s">
        <v>479</v>
      </c>
      <c r="F989" s="275" t="s">
        <v>1468</v>
      </c>
      <c r="G989" s="278">
        <v>33901.58</v>
      </c>
      <c r="H989" s="280">
        <f t="shared" si="30"/>
        <v>3.7649795318469865E-3</v>
      </c>
      <c r="I989" s="275"/>
      <c r="J989" s="275" t="s">
        <v>1717</v>
      </c>
      <c r="K989" s="275" t="s">
        <v>1468</v>
      </c>
      <c r="L989" s="275">
        <v>52.5</v>
      </c>
      <c r="M989" s="280">
        <f t="shared" si="31"/>
        <v>9.6153846153846159E-3</v>
      </c>
    </row>
    <row r="990" spans="1:13">
      <c r="A990" s="275"/>
      <c r="B990" s="275"/>
      <c r="C990" s="275"/>
      <c r="D990" s="275"/>
      <c r="E990" s="275" t="s">
        <v>479</v>
      </c>
      <c r="F990" s="275" t="s">
        <v>1469</v>
      </c>
      <c r="G990" s="278">
        <v>33996.33</v>
      </c>
      <c r="H990" s="280">
        <f t="shared" si="30"/>
        <v>2.7948549890595069E-3</v>
      </c>
      <c r="I990" s="275"/>
      <c r="J990" s="275" t="s">
        <v>1717</v>
      </c>
      <c r="K990" s="275" t="s">
        <v>1469</v>
      </c>
      <c r="L990" s="275">
        <v>53</v>
      </c>
      <c r="M990" s="280">
        <f t="shared" si="31"/>
        <v>9.5238095238095247E-3</v>
      </c>
    </row>
    <row r="991" spans="1:13">
      <c r="A991" s="275"/>
      <c r="B991" s="275"/>
      <c r="C991" s="275"/>
      <c r="D991" s="275"/>
      <c r="E991" s="275" t="s">
        <v>479</v>
      </c>
      <c r="F991" s="275" t="s">
        <v>1470</v>
      </c>
      <c r="G991" s="278">
        <v>34307.11</v>
      </c>
      <c r="H991" s="280">
        <f t="shared" si="30"/>
        <v>9.141574987653044E-3</v>
      </c>
      <c r="I991" s="275"/>
      <c r="J991" s="275" t="s">
        <v>1717</v>
      </c>
      <c r="K991" s="275" t="s">
        <v>1470</v>
      </c>
      <c r="L991" s="275">
        <v>55</v>
      </c>
      <c r="M991" s="280">
        <f t="shared" si="31"/>
        <v>3.7735849056603772E-2</v>
      </c>
    </row>
    <row r="992" spans="1:13">
      <c r="A992" s="275"/>
      <c r="B992" s="275"/>
      <c r="C992" s="275"/>
      <c r="D992" s="275"/>
      <c r="E992" s="275" t="s">
        <v>479</v>
      </c>
      <c r="F992" s="275" t="s">
        <v>1471</v>
      </c>
      <c r="G992" s="278">
        <v>34896.550000000003</v>
      </c>
      <c r="H992" s="280">
        <f t="shared" si="30"/>
        <v>1.7181278166537559E-2</v>
      </c>
      <c r="I992" s="275"/>
      <c r="J992" s="275" t="s">
        <v>1717</v>
      </c>
      <c r="K992" s="275" t="s">
        <v>1471</v>
      </c>
      <c r="L992" s="275">
        <v>57</v>
      </c>
      <c r="M992" s="280">
        <f t="shared" si="31"/>
        <v>3.6363636363636362E-2</v>
      </c>
    </row>
    <row r="993" spans="1:13">
      <c r="A993" s="275"/>
      <c r="B993" s="275"/>
      <c r="C993" s="275"/>
      <c r="D993" s="275"/>
      <c r="E993" s="275" t="s">
        <v>479</v>
      </c>
      <c r="F993" s="275" t="s">
        <v>1472</v>
      </c>
      <c r="G993" s="278">
        <v>34570.620000000003</v>
      </c>
      <c r="H993" s="280">
        <f t="shared" si="30"/>
        <v>-9.3398917658049363E-3</v>
      </c>
      <c r="I993" s="275"/>
      <c r="J993" s="275" t="s">
        <v>1717</v>
      </c>
      <c r="K993" s="275" t="s">
        <v>1472</v>
      </c>
      <c r="L993" s="275">
        <v>54.35</v>
      </c>
      <c r="M993" s="280">
        <f t="shared" si="31"/>
        <v>-4.6491228070175417E-2</v>
      </c>
    </row>
    <row r="994" spans="1:13">
      <c r="A994" s="275"/>
      <c r="B994" s="275"/>
      <c r="C994" s="275"/>
      <c r="D994" s="275"/>
      <c r="E994" s="275" t="s">
        <v>479</v>
      </c>
      <c r="F994" s="275" t="s">
        <v>1473</v>
      </c>
      <c r="G994" s="278">
        <v>34190.019999999997</v>
      </c>
      <c r="H994" s="280">
        <f t="shared" si="30"/>
        <v>-1.1009348400462757E-2</v>
      </c>
      <c r="I994" s="275"/>
      <c r="J994" s="275" t="s">
        <v>1717</v>
      </c>
      <c r="K994" s="275" t="s">
        <v>1473</v>
      </c>
      <c r="L994" s="275">
        <v>54.1</v>
      </c>
      <c r="M994" s="280">
        <f t="shared" si="31"/>
        <v>-4.5998160073597054E-3</v>
      </c>
    </row>
    <row r="995" spans="1:13">
      <c r="A995" s="275"/>
      <c r="B995" s="275"/>
      <c r="C995" s="275"/>
      <c r="D995" s="275"/>
      <c r="E995" s="275" t="s">
        <v>479</v>
      </c>
      <c r="F995" s="275" t="s">
        <v>1474</v>
      </c>
      <c r="G995" s="278">
        <v>33742.68</v>
      </c>
      <c r="H995" s="280">
        <f t="shared" si="30"/>
        <v>-1.3083935019634283E-2</v>
      </c>
      <c r="I995" s="275"/>
      <c r="J995" s="275" t="s">
        <v>1717</v>
      </c>
      <c r="K995" s="275" t="s">
        <v>1474</v>
      </c>
      <c r="L995" s="275">
        <v>52.5</v>
      </c>
      <c r="M995" s="280">
        <f t="shared" si="31"/>
        <v>-2.9574861367837362E-2</v>
      </c>
    </row>
    <row r="996" spans="1:13">
      <c r="A996" s="275"/>
      <c r="B996" s="275"/>
      <c r="C996" s="275"/>
      <c r="D996" s="275"/>
      <c r="E996" s="275" t="s">
        <v>479</v>
      </c>
      <c r="F996" s="275" t="s">
        <v>1475</v>
      </c>
      <c r="G996" s="278">
        <v>33855.58</v>
      </c>
      <c r="H996" s="280">
        <f t="shared" si="30"/>
        <v>3.345910876077462E-3</v>
      </c>
      <c r="I996" s="275"/>
      <c r="J996" s="275" t="s">
        <v>1717</v>
      </c>
      <c r="K996" s="275" t="s">
        <v>1475</v>
      </c>
      <c r="L996" s="275">
        <v>52</v>
      </c>
      <c r="M996" s="280">
        <f t="shared" si="31"/>
        <v>-9.5238095238095247E-3</v>
      </c>
    </row>
    <row r="997" spans="1:13">
      <c r="A997" s="275"/>
      <c r="B997" s="275"/>
      <c r="C997" s="275"/>
      <c r="D997" s="275"/>
      <c r="E997" s="275" t="s">
        <v>479</v>
      </c>
      <c r="F997" s="275" t="s">
        <v>1476</v>
      </c>
      <c r="G997" s="278">
        <v>33840.050000000003</v>
      </c>
      <c r="H997" s="280">
        <f t="shared" si="30"/>
        <v>-4.5871315747651747E-4</v>
      </c>
      <c r="I997" s="275"/>
      <c r="J997" s="275" t="s">
        <v>1717</v>
      </c>
      <c r="K997" s="275" t="s">
        <v>1476</v>
      </c>
      <c r="L997" s="275">
        <v>53</v>
      </c>
      <c r="M997" s="280">
        <f t="shared" si="31"/>
        <v>1.9230769230769232E-2</v>
      </c>
    </row>
    <row r="998" spans="1:13">
      <c r="A998" s="275"/>
      <c r="B998" s="275"/>
      <c r="C998" s="275"/>
      <c r="D998" s="275"/>
      <c r="E998" s="275" t="s">
        <v>479</v>
      </c>
      <c r="F998" s="275" t="s">
        <v>1477</v>
      </c>
      <c r="G998" s="278">
        <v>33875.4</v>
      </c>
      <c r="H998" s="280">
        <f t="shared" si="30"/>
        <v>1.0446202059393689E-3</v>
      </c>
      <c r="I998" s="275"/>
      <c r="J998" s="275" t="s">
        <v>1717</v>
      </c>
      <c r="K998" s="275" t="s">
        <v>1477</v>
      </c>
      <c r="L998" s="275">
        <v>52.7</v>
      </c>
      <c r="M998" s="280">
        <f t="shared" si="31"/>
        <v>-5.6603773584905127E-3</v>
      </c>
    </row>
    <row r="999" spans="1:13">
      <c r="A999" s="275"/>
      <c r="B999" s="275"/>
      <c r="C999" s="275"/>
      <c r="D999" s="275"/>
      <c r="E999" s="275" t="s">
        <v>479</v>
      </c>
      <c r="F999" s="275" t="s">
        <v>1478</v>
      </c>
      <c r="G999" s="278">
        <v>33672.49</v>
      </c>
      <c r="H999" s="280">
        <f t="shared" si="30"/>
        <v>-5.9898923702746973E-3</v>
      </c>
      <c r="I999" s="275"/>
      <c r="J999" s="275" t="s">
        <v>1717</v>
      </c>
      <c r="K999" s="275" t="s">
        <v>1478</v>
      </c>
      <c r="L999" s="275">
        <v>52</v>
      </c>
      <c r="M999" s="280">
        <f t="shared" si="31"/>
        <v>-1.3282732447817891E-2</v>
      </c>
    </row>
    <row r="1000" spans="1:13">
      <c r="A1000" s="275"/>
      <c r="B1000" s="275"/>
      <c r="C1000" s="275"/>
      <c r="D1000" s="275"/>
      <c r="E1000" s="275" t="s">
        <v>479</v>
      </c>
      <c r="F1000" s="275" t="s">
        <v>1479</v>
      </c>
      <c r="G1000" s="278">
        <v>32958.35</v>
      </c>
      <c r="H1000" s="280">
        <f t="shared" si="30"/>
        <v>-2.1208410782808145E-2</v>
      </c>
      <c r="I1000" s="275"/>
      <c r="J1000" s="275" t="s">
        <v>1717</v>
      </c>
      <c r="K1000" s="275" t="s">
        <v>1479</v>
      </c>
      <c r="L1000" s="275">
        <v>50</v>
      </c>
      <c r="M1000" s="280">
        <f t="shared" si="31"/>
        <v>-3.8461538461538464E-2</v>
      </c>
    </row>
    <row r="1001" spans="1:13">
      <c r="A1001" s="275"/>
      <c r="B1001" s="275"/>
      <c r="C1001" s="275"/>
      <c r="D1001" s="275"/>
      <c r="E1001" s="275" t="s">
        <v>479</v>
      </c>
      <c r="F1001" s="275" t="s">
        <v>1480</v>
      </c>
      <c r="G1001" s="278">
        <v>32972.019999999997</v>
      </c>
      <c r="H1001" s="280">
        <f t="shared" si="30"/>
        <v>4.14765909094304E-4</v>
      </c>
      <c r="I1001" s="275"/>
      <c r="J1001" s="275" t="s">
        <v>1717</v>
      </c>
      <c r="K1001" s="275" t="s">
        <v>1480</v>
      </c>
      <c r="L1001" s="275">
        <v>49.51</v>
      </c>
      <c r="M1001" s="280">
        <f t="shared" si="31"/>
        <v>-9.8000000000000396E-3</v>
      </c>
    </row>
    <row r="1002" spans="1:13">
      <c r="A1002" s="275"/>
      <c r="B1002" s="275"/>
      <c r="C1002" s="275"/>
      <c r="D1002" s="275"/>
      <c r="E1002" s="275" t="s">
        <v>479</v>
      </c>
      <c r="F1002" s="275" t="s">
        <v>1481</v>
      </c>
      <c r="G1002" s="278">
        <v>32981.99</v>
      </c>
      <c r="H1002" s="280">
        <f t="shared" si="30"/>
        <v>3.023775916671519E-4</v>
      </c>
      <c r="I1002" s="275"/>
      <c r="J1002" s="275" t="s">
        <v>1717</v>
      </c>
      <c r="K1002" s="275" t="s">
        <v>1481</v>
      </c>
      <c r="L1002" s="275">
        <v>50.05</v>
      </c>
      <c r="M1002" s="280">
        <f t="shared" si="31"/>
        <v>1.090688749747524E-2</v>
      </c>
    </row>
    <row r="1003" spans="1:13">
      <c r="A1003" s="275"/>
      <c r="B1003" s="275"/>
      <c r="C1003" s="275"/>
      <c r="D1003" s="275"/>
      <c r="E1003" s="275" t="s">
        <v>479</v>
      </c>
      <c r="F1003" s="275" t="s">
        <v>1482</v>
      </c>
      <c r="G1003" s="278">
        <v>32309.54</v>
      </c>
      <c r="H1003" s="280">
        <f t="shared" si="30"/>
        <v>-2.0388399850948872E-2</v>
      </c>
      <c r="I1003" s="275"/>
      <c r="J1003" s="275" t="s">
        <v>1717</v>
      </c>
      <c r="K1003" s="275" t="s">
        <v>1482</v>
      </c>
      <c r="L1003" s="275">
        <v>48.9</v>
      </c>
      <c r="M1003" s="280">
        <f t="shared" si="31"/>
        <v>-2.2977022977022948E-2</v>
      </c>
    </row>
    <row r="1004" spans="1:13">
      <c r="A1004" s="275"/>
      <c r="B1004" s="275"/>
      <c r="C1004" s="275"/>
      <c r="D1004" s="275"/>
      <c r="E1004" s="275" t="s">
        <v>479</v>
      </c>
      <c r="F1004" s="275" t="s">
        <v>1483</v>
      </c>
      <c r="G1004" s="278">
        <v>32458.77</v>
      </c>
      <c r="H1004" s="280">
        <f t="shared" si="30"/>
        <v>4.6187596604594051E-3</v>
      </c>
      <c r="I1004" s="275"/>
      <c r="J1004" s="275" t="s">
        <v>1717</v>
      </c>
      <c r="K1004" s="275" t="s">
        <v>1483</v>
      </c>
      <c r="L1004" s="275">
        <v>48</v>
      </c>
      <c r="M1004" s="280">
        <f t="shared" si="31"/>
        <v>-1.8404907975460093E-2</v>
      </c>
    </row>
    <row r="1005" spans="1:13">
      <c r="A1005" s="275"/>
      <c r="B1005" s="275"/>
      <c r="C1005" s="275"/>
      <c r="D1005" s="275"/>
      <c r="E1005" s="275" t="s">
        <v>479</v>
      </c>
      <c r="F1005" s="275" t="s">
        <v>1484</v>
      </c>
      <c r="G1005" s="278">
        <v>32584.55</v>
      </c>
      <c r="H1005" s="280">
        <f t="shared" si="30"/>
        <v>3.8750698193430878E-3</v>
      </c>
      <c r="I1005" s="275"/>
      <c r="J1005" s="275" t="s">
        <v>1717</v>
      </c>
      <c r="K1005" s="275" t="s">
        <v>1484</v>
      </c>
      <c r="L1005" s="275">
        <v>48</v>
      </c>
      <c r="M1005" s="280">
        <f t="shared" si="31"/>
        <v>0</v>
      </c>
    </row>
    <row r="1006" spans="1:13">
      <c r="A1006" s="275"/>
      <c r="B1006" s="275"/>
      <c r="C1006" s="275"/>
      <c r="D1006" s="275"/>
      <c r="E1006" s="275" t="s">
        <v>479</v>
      </c>
      <c r="F1006" s="275" t="s">
        <v>1485</v>
      </c>
      <c r="G1006" s="278">
        <v>32715.88</v>
      </c>
      <c r="H1006" s="280">
        <f t="shared" si="30"/>
        <v>4.0304377381305484E-3</v>
      </c>
      <c r="I1006" s="275"/>
      <c r="J1006" s="275" t="s">
        <v>1717</v>
      </c>
      <c r="K1006" s="275" t="s">
        <v>1485</v>
      </c>
      <c r="L1006" s="275">
        <v>49.75</v>
      </c>
      <c r="M1006" s="280">
        <f t="shared" si="31"/>
        <v>3.6458333333333336E-2</v>
      </c>
    </row>
    <row r="1007" spans="1:13">
      <c r="A1007" s="275"/>
      <c r="B1007" s="275"/>
      <c r="C1007" s="275"/>
      <c r="D1007" s="275"/>
      <c r="E1007" s="275" t="s">
        <v>479</v>
      </c>
      <c r="F1007" s="275" t="s">
        <v>1486</v>
      </c>
      <c r="G1007" s="278">
        <v>32401.4</v>
      </c>
      <c r="H1007" s="280">
        <f t="shared" si="30"/>
        <v>-9.6124573143072899E-3</v>
      </c>
      <c r="I1007" s="275"/>
      <c r="J1007" s="275" t="s">
        <v>1717</v>
      </c>
      <c r="K1007" s="275" t="s">
        <v>1486</v>
      </c>
      <c r="L1007" s="275">
        <v>49.35</v>
      </c>
      <c r="M1007" s="280">
        <f t="shared" si="31"/>
        <v>-8.040201005025097E-3</v>
      </c>
    </row>
    <row r="1008" spans="1:13">
      <c r="A1008" s="275"/>
      <c r="B1008" s="275"/>
      <c r="C1008" s="275"/>
      <c r="D1008" s="275"/>
      <c r="E1008" s="275" t="s">
        <v>479</v>
      </c>
      <c r="F1008" s="275" t="s">
        <v>1487</v>
      </c>
      <c r="G1008" s="278">
        <v>32446.400000000001</v>
      </c>
      <c r="H1008" s="280">
        <f t="shared" si="30"/>
        <v>1.3888288777645409E-3</v>
      </c>
      <c r="I1008" s="275"/>
      <c r="J1008" s="275" t="s">
        <v>1717</v>
      </c>
      <c r="K1008" s="275" t="s">
        <v>1487</v>
      </c>
      <c r="L1008" s="275">
        <v>48.7</v>
      </c>
      <c r="M1008" s="280">
        <f t="shared" si="31"/>
        <v>-1.3171225937183355E-2</v>
      </c>
    </row>
    <row r="1009" spans="1:13">
      <c r="A1009" s="275"/>
      <c r="B1009" s="275"/>
      <c r="C1009" s="275"/>
      <c r="D1009" s="275"/>
      <c r="E1009" s="275" t="s">
        <v>479</v>
      </c>
      <c r="F1009" s="275" t="s">
        <v>1488</v>
      </c>
      <c r="G1009" s="278">
        <v>32103.27</v>
      </c>
      <c r="H1009" s="280">
        <f t="shared" si="30"/>
        <v>-1.0575287242960729E-2</v>
      </c>
      <c r="I1009" s="275"/>
      <c r="J1009" s="275" t="s">
        <v>1717</v>
      </c>
      <c r="K1009" s="275" t="s">
        <v>1488</v>
      </c>
      <c r="L1009" s="275">
        <v>48</v>
      </c>
      <c r="M1009" s="280">
        <f t="shared" si="31"/>
        <v>-1.4373716632443589E-2</v>
      </c>
    </row>
    <row r="1010" spans="1:13">
      <c r="A1010" s="275"/>
      <c r="B1010" s="275"/>
      <c r="C1010" s="275"/>
      <c r="D1010" s="275"/>
      <c r="E1010" s="275" t="s">
        <v>479</v>
      </c>
      <c r="F1010" s="275" t="s">
        <v>1489</v>
      </c>
      <c r="G1010" s="278">
        <v>31734.23</v>
      </c>
      <c r="H1010" s="280">
        <f t="shared" si="30"/>
        <v>-1.1495402181771541E-2</v>
      </c>
      <c r="I1010" s="275"/>
      <c r="J1010" s="275" t="s">
        <v>1717</v>
      </c>
      <c r="K1010" s="275" t="s">
        <v>1489</v>
      </c>
      <c r="L1010" s="275">
        <v>45.85</v>
      </c>
      <c r="M1010" s="280">
        <f t="shared" si="31"/>
        <v>-4.4791666666666639E-2</v>
      </c>
    </row>
    <row r="1011" spans="1:13">
      <c r="A1011" s="275"/>
      <c r="B1011" s="275"/>
      <c r="C1011" s="275"/>
      <c r="D1011" s="275"/>
      <c r="E1011" s="275" t="s">
        <v>479</v>
      </c>
      <c r="F1011" s="275" t="s">
        <v>1490</v>
      </c>
      <c r="G1011" s="278">
        <v>31658.12</v>
      </c>
      <c r="H1011" s="280">
        <f t="shared" si="30"/>
        <v>-2.3983566010582448E-3</v>
      </c>
      <c r="I1011" s="275"/>
      <c r="J1011" s="275" t="s">
        <v>1717</v>
      </c>
      <c r="K1011" s="275" t="s">
        <v>1490</v>
      </c>
      <c r="L1011" s="275">
        <v>45.4</v>
      </c>
      <c r="M1011" s="280">
        <f t="shared" si="31"/>
        <v>-9.8146128680480435E-3</v>
      </c>
    </row>
    <row r="1012" spans="1:13">
      <c r="A1012" s="275"/>
      <c r="B1012" s="275"/>
      <c r="C1012" s="275"/>
      <c r="D1012" s="275"/>
      <c r="E1012" s="275" t="s">
        <v>479</v>
      </c>
      <c r="F1012" s="275" t="s">
        <v>1491</v>
      </c>
      <c r="G1012" s="278">
        <v>31938.48</v>
      </c>
      <c r="H1012" s="280">
        <f t="shared" si="30"/>
        <v>8.8558638352498695E-3</v>
      </c>
      <c r="I1012" s="275"/>
      <c r="J1012" s="275" t="s">
        <v>1717</v>
      </c>
      <c r="K1012" s="275" t="s">
        <v>1491</v>
      </c>
      <c r="L1012" s="275">
        <v>45.6</v>
      </c>
      <c r="M1012" s="280">
        <f t="shared" si="31"/>
        <v>4.4052863436123977E-3</v>
      </c>
    </row>
    <row r="1013" spans="1:13">
      <c r="A1013" s="275"/>
      <c r="B1013" s="275"/>
      <c r="C1013" s="275"/>
      <c r="D1013" s="275"/>
      <c r="E1013" s="275" t="s">
        <v>479</v>
      </c>
      <c r="F1013" s="275" t="s">
        <v>1492</v>
      </c>
      <c r="G1013" s="278">
        <v>31839.11</v>
      </c>
      <c r="H1013" s="280">
        <f t="shared" si="30"/>
        <v>-3.1112939626431499E-3</v>
      </c>
      <c r="I1013" s="275"/>
      <c r="J1013" s="275" t="s">
        <v>1717</v>
      </c>
      <c r="K1013" s="275" t="s">
        <v>1492</v>
      </c>
      <c r="L1013" s="275">
        <v>47.74</v>
      </c>
      <c r="M1013" s="280">
        <f t="shared" si="31"/>
        <v>4.6929824561403523E-2</v>
      </c>
    </row>
    <row r="1014" spans="1:13">
      <c r="A1014" s="275"/>
      <c r="B1014" s="275"/>
      <c r="C1014" s="275"/>
      <c r="D1014" s="275"/>
      <c r="E1014" s="275" t="s">
        <v>479</v>
      </c>
      <c r="F1014" s="275" t="s">
        <v>1493</v>
      </c>
      <c r="G1014" s="278">
        <v>31666.41</v>
      </c>
      <c r="H1014" s="280">
        <f t="shared" si="30"/>
        <v>-5.4241465920373006E-3</v>
      </c>
      <c r="I1014" s="275"/>
      <c r="J1014" s="275" t="s">
        <v>1717</v>
      </c>
      <c r="K1014" s="275" t="s">
        <v>1493</v>
      </c>
      <c r="L1014" s="275">
        <v>47.7</v>
      </c>
      <c r="M1014" s="280">
        <f t="shared" si="31"/>
        <v>-8.3787180561372321E-4</v>
      </c>
    </row>
    <row r="1015" spans="1:13">
      <c r="A1015" s="275"/>
      <c r="B1015" s="275"/>
      <c r="C1015" s="275"/>
      <c r="D1015" s="275"/>
      <c r="E1015" s="275" t="s">
        <v>479</v>
      </c>
      <c r="F1015" s="275" t="s">
        <v>1494</v>
      </c>
      <c r="G1015" s="278">
        <v>31180.799999999999</v>
      </c>
      <c r="H1015" s="280">
        <f t="shared" si="30"/>
        <v>-1.5335176927223533E-2</v>
      </c>
      <c r="I1015" s="275"/>
      <c r="J1015" s="275" t="s">
        <v>1717</v>
      </c>
      <c r="K1015" s="275" t="s">
        <v>1494</v>
      </c>
      <c r="L1015" s="275">
        <v>46.22</v>
      </c>
      <c r="M1015" s="280">
        <f t="shared" si="31"/>
        <v>-3.1027253668763185E-2</v>
      </c>
    </row>
    <row r="1016" spans="1:13">
      <c r="A1016" s="275"/>
      <c r="B1016" s="275"/>
      <c r="C1016" s="275"/>
      <c r="D1016" s="275"/>
      <c r="E1016" s="275" t="s">
        <v>479</v>
      </c>
      <c r="F1016" s="275" t="s">
        <v>1495</v>
      </c>
      <c r="G1016" s="278">
        <v>31000.67</v>
      </c>
      <c r="H1016" s="280">
        <f t="shared" si="30"/>
        <v>-5.7769524835796712E-3</v>
      </c>
      <c r="I1016" s="275"/>
      <c r="J1016" s="275" t="s">
        <v>1717</v>
      </c>
      <c r="K1016" s="275" t="s">
        <v>1495</v>
      </c>
      <c r="L1016" s="275">
        <v>46</v>
      </c>
      <c r="M1016" s="280">
        <f t="shared" si="31"/>
        <v>-4.7598442232799406E-3</v>
      </c>
    </row>
    <row r="1017" spans="1:13">
      <c r="A1017" s="275"/>
      <c r="B1017" s="275"/>
      <c r="C1017" s="275"/>
      <c r="D1017" s="275"/>
      <c r="E1017" s="275" t="s">
        <v>479</v>
      </c>
      <c r="F1017" s="275" t="s">
        <v>1496</v>
      </c>
      <c r="G1017" s="278">
        <v>30277.45</v>
      </c>
      <c r="H1017" s="280">
        <f t="shared" si="30"/>
        <v>-2.3329173208191875E-2</v>
      </c>
      <c r="I1017" s="275"/>
      <c r="J1017" s="275" t="s">
        <v>1717</v>
      </c>
      <c r="K1017" s="275" t="s">
        <v>1496</v>
      </c>
      <c r="L1017" s="275">
        <v>44.32</v>
      </c>
      <c r="M1017" s="280">
        <f t="shared" si="31"/>
        <v>-3.6521739130434779E-2</v>
      </c>
    </row>
    <row r="1018" spans="1:13">
      <c r="A1018" s="275"/>
      <c r="B1018" s="275"/>
      <c r="C1018" s="275"/>
      <c r="D1018" s="275"/>
      <c r="E1018" s="275" t="s">
        <v>479</v>
      </c>
      <c r="F1018" s="275" t="s">
        <v>1497</v>
      </c>
      <c r="G1018" s="278">
        <v>29737.98</v>
      </c>
      <c r="H1018" s="280">
        <f t="shared" si="30"/>
        <v>-1.7817550685411129E-2</v>
      </c>
      <c r="I1018" s="275"/>
      <c r="J1018" s="275" t="s">
        <v>1717</v>
      </c>
      <c r="K1018" s="275" t="s">
        <v>1497</v>
      </c>
      <c r="L1018" s="275">
        <v>43</v>
      </c>
      <c r="M1018" s="280">
        <f t="shared" si="31"/>
        <v>-2.9783393501805061E-2</v>
      </c>
    </row>
    <row r="1019" spans="1:13">
      <c r="A1019" s="275"/>
      <c r="B1019" s="275"/>
      <c r="C1019" s="275"/>
      <c r="D1019" s="275"/>
      <c r="E1019" s="275" t="s">
        <v>479</v>
      </c>
      <c r="F1019" s="275" t="s">
        <v>1498</v>
      </c>
      <c r="G1019" s="278">
        <v>29429.07</v>
      </c>
      <c r="H1019" s="280">
        <f t="shared" si="30"/>
        <v>-1.0387726402398545E-2</v>
      </c>
      <c r="I1019" s="275"/>
      <c r="J1019" s="275" t="s">
        <v>1717</v>
      </c>
      <c r="K1019" s="275" t="s">
        <v>1498</v>
      </c>
      <c r="L1019" s="275">
        <v>43.05</v>
      </c>
      <c r="M1019" s="280">
        <f t="shared" si="31"/>
        <v>1.1627906976743525E-3</v>
      </c>
    </row>
    <row r="1020" spans="1:13">
      <c r="A1020" s="275"/>
      <c r="B1020" s="275"/>
      <c r="C1020" s="275"/>
      <c r="D1020" s="275"/>
      <c r="E1020" s="275" t="s">
        <v>479</v>
      </c>
      <c r="F1020" s="275" t="s">
        <v>1499</v>
      </c>
      <c r="G1020" s="278">
        <v>28764.63</v>
      </c>
      <c r="H1020" s="280">
        <f t="shared" si="30"/>
        <v>-2.2577675747143852E-2</v>
      </c>
      <c r="I1020" s="275"/>
      <c r="J1020" s="275" t="s">
        <v>1717</v>
      </c>
      <c r="K1020" s="275" t="s">
        <v>1499</v>
      </c>
      <c r="L1020" s="275">
        <v>41.36</v>
      </c>
      <c r="M1020" s="280">
        <f t="shared" si="31"/>
        <v>-3.9256678281068477E-2</v>
      </c>
    </row>
    <row r="1021" spans="1:13">
      <c r="A1021" s="275"/>
      <c r="B1021" s="275"/>
      <c r="C1021" s="275"/>
      <c r="D1021" s="275"/>
      <c r="E1021" s="275" t="s">
        <v>479</v>
      </c>
      <c r="F1021" s="275" t="s">
        <v>1500</v>
      </c>
      <c r="G1021" s="278">
        <v>29562.42</v>
      </c>
      <c r="H1021" s="280">
        <f t="shared" si="30"/>
        <v>2.7735103841071387E-2</v>
      </c>
      <c r="I1021" s="275"/>
      <c r="J1021" s="275" t="s">
        <v>1717</v>
      </c>
      <c r="K1021" s="275" t="s">
        <v>1500</v>
      </c>
      <c r="L1021" s="275">
        <v>42.31</v>
      </c>
      <c r="M1021" s="280">
        <f t="shared" si="31"/>
        <v>2.2969052224371442E-2</v>
      </c>
    </row>
    <row r="1022" spans="1:13">
      <c r="A1022" s="275"/>
      <c r="B1022" s="275"/>
      <c r="C1022" s="275"/>
      <c r="D1022" s="275"/>
      <c r="E1022" s="275" t="s">
        <v>479</v>
      </c>
      <c r="F1022" s="275" t="s">
        <v>1501</v>
      </c>
      <c r="G1022" s="278">
        <v>30419.22</v>
      </c>
      <c r="H1022" s="280">
        <f t="shared" si="30"/>
        <v>2.8982742278879842E-2</v>
      </c>
      <c r="I1022" s="275"/>
      <c r="J1022" s="275" t="s">
        <v>1717</v>
      </c>
      <c r="K1022" s="275" t="s">
        <v>1501</v>
      </c>
      <c r="L1022" s="275">
        <v>44.7</v>
      </c>
      <c r="M1022" s="280">
        <f t="shared" si="31"/>
        <v>5.6487827936658012E-2</v>
      </c>
    </row>
    <row r="1023" spans="1:13">
      <c r="A1023" s="275"/>
      <c r="B1023" s="275"/>
      <c r="C1023" s="275"/>
      <c r="D1023" s="275"/>
      <c r="E1023" s="275" t="s">
        <v>479</v>
      </c>
      <c r="F1023" s="275" t="s">
        <v>1502</v>
      </c>
      <c r="G1023" s="278">
        <v>30972.75</v>
      </c>
      <c r="H1023" s="280">
        <f t="shared" si="30"/>
        <v>1.8196719048022888E-2</v>
      </c>
      <c r="I1023" s="275"/>
      <c r="J1023" s="275" t="s">
        <v>1717</v>
      </c>
      <c r="K1023" s="275" t="s">
        <v>1502</v>
      </c>
      <c r="L1023" s="275">
        <v>47.07</v>
      </c>
      <c r="M1023" s="280">
        <f t="shared" si="31"/>
        <v>5.3020134228187861E-2</v>
      </c>
    </row>
    <row r="1024" spans="1:13">
      <c r="A1024" s="275"/>
      <c r="B1024" s="275"/>
      <c r="C1024" s="275"/>
      <c r="D1024" s="275"/>
      <c r="E1024" s="275" t="s">
        <v>479</v>
      </c>
      <c r="F1024" s="275" t="s">
        <v>1503</v>
      </c>
      <c r="G1024" s="278">
        <v>31884.45</v>
      </c>
      <c r="H1024" s="280">
        <f t="shared" si="30"/>
        <v>2.9435552219289559E-2</v>
      </c>
      <c r="I1024" s="275"/>
      <c r="J1024" s="275" t="s">
        <v>1717</v>
      </c>
      <c r="K1024" s="275" t="s">
        <v>1503</v>
      </c>
      <c r="L1024" s="275">
        <v>49.01</v>
      </c>
      <c r="M1024" s="280">
        <f t="shared" si="31"/>
        <v>4.1215211387295468E-2</v>
      </c>
    </row>
    <row r="1025" spans="1:13">
      <c r="A1025" s="275"/>
      <c r="B1025" s="275"/>
      <c r="C1025" s="275"/>
      <c r="D1025" s="275"/>
      <c r="E1025" s="275" t="s">
        <v>479</v>
      </c>
      <c r="F1025" s="275" t="s">
        <v>1504</v>
      </c>
      <c r="G1025" s="278">
        <v>31350.01</v>
      </c>
      <c r="H1025" s="280">
        <f t="shared" si="30"/>
        <v>-1.6761775724530369E-2</v>
      </c>
      <c r="I1025" s="275"/>
      <c r="J1025" s="275" t="s">
        <v>1717</v>
      </c>
      <c r="K1025" s="275" t="s">
        <v>1504</v>
      </c>
      <c r="L1025" s="275">
        <v>48.25</v>
      </c>
      <c r="M1025" s="280">
        <f t="shared" si="31"/>
        <v>-1.5507039379718385E-2</v>
      </c>
    </row>
    <row r="1026" spans="1:13">
      <c r="A1026" s="275"/>
      <c r="B1026" s="275"/>
      <c r="C1026" s="275"/>
      <c r="D1026" s="275"/>
      <c r="E1026" s="275" t="s">
        <v>479</v>
      </c>
      <c r="F1026" s="275" t="s">
        <v>1505</v>
      </c>
      <c r="G1026" s="278">
        <v>30520.6</v>
      </c>
      <c r="H1026" s="280">
        <f t="shared" si="30"/>
        <v>-2.6456450891084241E-2</v>
      </c>
      <c r="I1026" s="275"/>
      <c r="J1026" s="275" t="s">
        <v>1717</v>
      </c>
      <c r="K1026" s="275" t="s">
        <v>1505</v>
      </c>
      <c r="L1026" s="275">
        <v>46</v>
      </c>
      <c r="M1026" s="280">
        <f t="shared" si="31"/>
        <v>-4.6632124352331605E-2</v>
      </c>
    </row>
    <row r="1027" spans="1:13">
      <c r="A1027" s="275"/>
      <c r="B1027" s="275"/>
      <c r="C1027" s="275"/>
      <c r="D1027" s="275"/>
      <c r="E1027" s="275" t="s">
        <v>479</v>
      </c>
      <c r="F1027" s="275" t="s">
        <v>1506</v>
      </c>
      <c r="G1027" s="278">
        <v>30584.85</v>
      </c>
      <c r="H1027" s="280">
        <f t="shared" si="30"/>
        <v>2.1051355477939493E-3</v>
      </c>
      <c r="I1027" s="275"/>
      <c r="J1027" s="275" t="s">
        <v>1717</v>
      </c>
      <c r="K1027" s="275" t="s">
        <v>1506</v>
      </c>
      <c r="L1027" s="275">
        <v>47.02</v>
      </c>
      <c r="M1027" s="280">
        <f t="shared" si="31"/>
        <v>2.2173913043478329E-2</v>
      </c>
    </row>
    <row r="1028" spans="1:13">
      <c r="A1028" s="275"/>
      <c r="B1028" s="275"/>
      <c r="C1028" s="275"/>
      <c r="D1028" s="275"/>
      <c r="E1028" s="275" t="s">
        <v>479</v>
      </c>
      <c r="F1028" s="275" t="s">
        <v>1507</v>
      </c>
      <c r="G1028" s="278">
        <v>30637.71</v>
      </c>
      <c r="H1028" s="280">
        <f t="shared" ref="H1028:H1091" si="32">(G1028-G1027)/G1027</f>
        <v>1.7283066616315132E-3</v>
      </c>
      <c r="I1028" s="275"/>
      <c r="J1028" s="275" t="s">
        <v>1717</v>
      </c>
      <c r="K1028" s="275" t="s">
        <v>1507</v>
      </c>
      <c r="L1028" s="275">
        <v>47</v>
      </c>
      <c r="M1028" s="280">
        <f t="shared" ref="M1028:M1091" si="33">(L1028-L1027)/L1027</f>
        <v>-4.2535091450453266E-4</v>
      </c>
    </row>
    <row r="1029" spans="1:13">
      <c r="A1029" s="275"/>
      <c r="B1029" s="275"/>
      <c r="C1029" s="275"/>
      <c r="D1029" s="275"/>
      <c r="E1029" s="275" t="s">
        <v>479</v>
      </c>
      <c r="F1029" s="275" t="s">
        <v>1508</v>
      </c>
      <c r="G1029" s="278">
        <v>30158.959999999999</v>
      </c>
      <c r="H1029" s="280">
        <f t="shared" si="32"/>
        <v>-1.5626167882651806E-2</v>
      </c>
      <c r="I1029" s="275"/>
      <c r="J1029" s="275" t="s">
        <v>1717</v>
      </c>
      <c r="K1029" s="275" t="s">
        <v>1508</v>
      </c>
      <c r="L1029" s="275">
        <v>44.48</v>
      </c>
      <c r="M1029" s="280">
        <f t="shared" si="33"/>
        <v>-5.361702127659581E-2</v>
      </c>
    </row>
    <row r="1030" spans="1:13">
      <c r="A1030" s="275"/>
      <c r="B1030" s="275"/>
      <c r="C1030" s="275"/>
      <c r="D1030" s="275"/>
      <c r="E1030" s="275" t="s">
        <v>479</v>
      </c>
      <c r="F1030" s="275" t="s">
        <v>1509</v>
      </c>
      <c r="G1030" s="278">
        <v>29672.12</v>
      </c>
      <c r="H1030" s="280">
        <f t="shared" si="32"/>
        <v>-1.6142466451097789E-2</v>
      </c>
      <c r="I1030" s="275"/>
      <c r="J1030" s="275" t="s">
        <v>1717</v>
      </c>
      <c r="K1030" s="275" t="s">
        <v>1509</v>
      </c>
      <c r="L1030" s="275">
        <v>43.5</v>
      </c>
      <c r="M1030" s="280">
        <f t="shared" si="33"/>
        <v>-2.2032374100719357E-2</v>
      </c>
    </row>
    <row r="1031" spans="1:13">
      <c r="A1031" s="275"/>
      <c r="B1031" s="275"/>
      <c r="C1031" s="275"/>
      <c r="D1031" s="275"/>
      <c r="E1031" s="275" t="s">
        <v>479</v>
      </c>
      <c r="F1031" s="275" t="s">
        <v>1510</v>
      </c>
      <c r="G1031" s="278">
        <v>30057.29</v>
      </c>
      <c r="H1031" s="280">
        <f t="shared" si="32"/>
        <v>1.2980872280106777E-2</v>
      </c>
      <c r="I1031" s="275"/>
      <c r="J1031" s="275" t="s">
        <v>1717</v>
      </c>
      <c r="K1031" s="275" t="s">
        <v>1510</v>
      </c>
      <c r="L1031" s="275">
        <v>44</v>
      </c>
      <c r="M1031" s="280">
        <f t="shared" si="33"/>
        <v>1.1494252873563218E-2</v>
      </c>
    </row>
    <row r="1032" spans="1:13">
      <c r="A1032" s="275"/>
      <c r="B1032" s="275"/>
      <c r="C1032" s="275"/>
      <c r="D1032" s="275"/>
      <c r="E1032" s="275" t="s">
        <v>479</v>
      </c>
      <c r="F1032" s="275" t="s">
        <v>1511</v>
      </c>
      <c r="G1032" s="278">
        <v>29809.68</v>
      </c>
      <c r="H1032" s="280">
        <f t="shared" si="32"/>
        <v>-8.2379349568773696E-3</v>
      </c>
      <c r="I1032" s="275"/>
      <c r="J1032" s="275" t="s">
        <v>1717</v>
      </c>
      <c r="K1032" s="275" t="s">
        <v>1511</v>
      </c>
      <c r="L1032" s="275">
        <v>44.48</v>
      </c>
      <c r="M1032" s="280">
        <f t="shared" si="33"/>
        <v>1.0909090909090839E-2</v>
      </c>
    </row>
    <row r="1033" spans="1:13">
      <c r="A1033" s="275"/>
      <c r="B1033" s="275"/>
      <c r="C1033" s="275"/>
      <c r="D1033" s="275"/>
      <c r="E1033" s="275" t="s">
        <v>479</v>
      </c>
      <c r="F1033" s="275" t="s">
        <v>1512</v>
      </c>
      <c r="G1033" s="278">
        <v>30244.73</v>
      </c>
      <c r="H1033" s="280">
        <f t="shared" si="32"/>
        <v>1.4594252605193992E-2</v>
      </c>
      <c r="I1033" s="275"/>
      <c r="J1033" s="275" t="s">
        <v>1717</v>
      </c>
      <c r="K1033" s="275" t="s">
        <v>1512</v>
      </c>
      <c r="L1033" s="275">
        <v>46.31</v>
      </c>
      <c r="M1033" s="280">
        <f t="shared" si="33"/>
        <v>4.1142086330935378E-2</v>
      </c>
    </row>
    <row r="1034" spans="1:13">
      <c r="A1034" s="275"/>
      <c r="B1034" s="275"/>
      <c r="C1034" s="275"/>
      <c r="D1034" s="275"/>
      <c r="E1034" s="275" t="s">
        <v>479</v>
      </c>
      <c r="F1034" s="275" t="s">
        <v>1513</v>
      </c>
      <c r="G1034" s="278">
        <v>30214.77</v>
      </c>
      <c r="H1034" s="280">
        <f t="shared" si="32"/>
        <v>-9.9058579792245228E-4</v>
      </c>
      <c r="I1034" s="275"/>
      <c r="J1034" s="275" t="s">
        <v>1717</v>
      </c>
      <c r="K1034" s="275" t="s">
        <v>1513</v>
      </c>
      <c r="L1034" s="275">
        <v>45.9</v>
      </c>
      <c r="M1034" s="280">
        <f t="shared" si="33"/>
        <v>-8.8533793996977694E-3</v>
      </c>
    </row>
    <row r="1035" spans="1:13">
      <c r="A1035" s="275"/>
      <c r="B1035" s="275"/>
      <c r="C1035" s="275"/>
      <c r="D1035" s="275"/>
      <c r="E1035" s="275" t="s">
        <v>479</v>
      </c>
      <c r="F1035" s="275" t="s">
        <v>1514</v>
      </c>
      <c r="G1035" s="278">
        <v>30467.200000000001</v>
      </c>
      <c r="H1035" s="280">
        <f t="shared" si="32"/>
        <v>8.354523301021332E-3</v>
      </c>
      <c r="I1035" s="275"/>
      <c r="J1035" s="275" t="s">
        <v>1717</v>
      </c>
      <c r="K1035" s="275" t="s">
        <v>1514</v>
      </c>
      <c r="L1035" s="275">
        <v>44.9</v>
      </c>
      <c r="M1035" s="280">
        <f t="shared" si="33"/>
        <v>-2.178649237472767E-2</v>
      </c>
    </row>
    <row r="1036" spans="1:13">
      <c r="A1036" s="275"/>
      <c r="B1036" s="275"/>
      <c r="C1036" s="275"/>
      <c r="D1036" s="275"/>
      <c r="E1036" s="275" t="s">
        <v>479</v>
      </c>
      <c r="F1036" s="275" t="s">
        <v>1515</v>
      </c>
      <c r="G1036" s="278">
        <v>30954.83</v>
      </c>
      <c r="H1036" s="280">
        <f t="shared" si="32"/>
        <v>1.6005080873857821E-2</v>
      </c>
      <c r="I1036" s="275"/>
      <c r="J1036" s="275" t="s">
        <v>1717</v>
      </c>
      <c r="K1036" s="275" t="s">
        <v>1515</v>
      </c>
      <c r="L1036" s="275">
        <v>45</v>
      </c>
      <c r="M1036" s="280">
        <f t="shared" si="33"/>
        <v>2.2271714922049313E-3</v>
      </c>
    </row>
    <row r="1037" spans="1:13">
      <c r="A1037" s="275"/>
      <c r="B1037" s="275"/>
      <c r="C1037" s="275"/>
      <c r="D1037" s="275"/>
      <c r="E1037" s="275" t="s">
        <v>479</v>
      </c>
      <c r="F1037" s="275" t="s">
        <v>1516</v>
      </c>
      <c r="G1037" s="278">
        <v>31546.61</v>
      </c>
      <c r="H1037" s="280">
        <f t="shared" si="32"/>
        <v>1.9117533515771168E-2</v>
      </c>
      <c r="I1037" s="275"/>
      <c r="J1037" s="275" t="s">
        <v>1717</v>
      </c>
      <c r="K1037" s="275" t="s">
        <v>1516</v>
      </c>
      <c r="L1037" s="275">
        <v>45.75</v>
      </c>
      <c r="M1037" s="280">
        <f t="shared" si="33"/>
        <v>1.6666666666666666E-2</v>
      </c>
    </row>
    <row r="1038" spans="1:13">
      <c r="A1038" s="275"/>
      <c r="B1038" s="275"/>
      <c r="C1038" s="275"/>
      <c r="D1038" s="275"/>
      <c r="E1038" s="275" t="s">
        <v>479</v>
      </c>
      <c r="F1038" s="275" t="s">
        <v>1517</v>
      </c>
      <c r="G1038" s="278">
        <v>31481.31</v>
      </c>
      <c r="H1038" s="280">
        <f t="shared" si="32"/>
        <v>-2.0699529997042243E-3</v>
      </c>
      <c r="I1038" s="275"/>
      <c r="J1038" s="275" t="s">
        <v>1717</v>
      </c>
      <c r="K1038" s="275" t="s">
        <v>1517</v>
      </c>
      <c r="L1038" s="275">
        <v>46.2</v>
      </c>
      <c r="M1038" s="280">
        <f t="shared" si="33"/>
        <v>9.8360655737705534E-3</v>
      </c>
    </row>
    <row r="1039" spans="1:13">
      <c r="A1039" s="275"/>
      <c r="B1039" s="275"/>
      <c r="C1039" s="275"/>
      <c r="D1039" s="275"/>
      <c r="E1039" s="275" t="s">
        <v>479</v>
      </c>
      <c r="F1039" s="275" t="s">
        <v>1518</v>
      </c>
      <c r="G1039" s="278">
        <v>31928.55</v>
      </c>
      <c r="H1039" s="280">
        <f t="shared" si="32"/>
        <v>1.4206524442597781E-2</v>
      </c>
      <c r="I1039" s="275"/>
      <c r="J1039" s="275" t="s">
        <v>1717</v>
      </c>
      <c r="K1039" s="275" t="s">
        <v>1518</v>
      </c>
      <c r="L1039" s="275">
        <v>47</v>
      </c>
      <c r="M1039" s="280">
        <f t="shared" si="33"/>
        <v>1.7316017316017254E-2</v>
      </c>
    </row>
    <row r="1040" spans="1:13">
      <c r="A1040" s="275"/>
      <c r="B1040" s="275"/>
      <c r="C1040" s="275"/>
      <c r="D1040" s="275"/>
      <c r="E1040" s="275" t="s">
        <v>479</v>
      </c>
      <c r="F1040" s="275" t="s">
        <v>1519</v>
      </c>
      <c r="G1040" s="278">
        <v>31908.92</v>
      </c>
      <c r="H1040" s="280">
        <f t="shared" si="32"/>
        <v>-6.1481025602481228E-4</v>
      </c>
      <c r="I1040" s="275"/>
      <c r="J1040" s="275" t="s">
        <v>1717</v>
      </c>
      <c r="K1040" s="275" t="s">
        <v>1519</v>
      </c>
      <c r="L1040" s="275">
        <v>47.22</v>
      </c>
      <c r="M1040" s="280">
        <f t="shared" si="33"/>
        <v>4.6808510638297633E-3</v>
      </c>
    </row>
    <row r="1041" spans="1:13">
      <c r="A1041" s="275"/>
      <c r="B1041" s="275"/>
      <c r="C1041" s="275"/>
      <c r="D1041" s="275"/>
      <c r="E1041" s="275" t="s">
        <v>479</v>
      </c>
      <c r="F1041" s="275" t="s">
        <v>1520</v>
      </c>
      <c r="G1041" s="278">
        <v>31555.47</v>
      </c>
      <c r="H1041" s="280">
        <f t="shared" si="32"/>
        <v>-1.1076839955723889E-2</v>
      </c>
      <c r="I1041" s="275"/>
      <c r="J1041" s="275" t="s">
        <v>1717</v>
      </c>
      <c r="K1041" s="275" t="s">
        <v>1520</v>
      </c>
      <c r="L1041" s="275">
        <v>47.24</v>
      </c>
      <c r="M1041" s="280">
        <f t="shared" si="33"/>
        <v>4.235493434985838E-4</v>
      </c>
    </row>
    <row r="1042" spans="1:13">
      <c r="A1042" s="275"/>
      <c r="B1042" s="275"/>
      <c r="C1042" s="275"/>
      <c r="D1042" s="275"/>
      <c r="E1042" s="275" t="s">
        <v>479</v>
      </c>
      <c r="F1042" s="275" t="s">
        <v>1521</v>
      </c>
      <c r="G1042" s="278">
        <v>32184.03</v>
      </c>
      <c r="H1042" s="280">
        <f t="shared" si="32"/>
        <v>1.9919208935883309E-2</v>
      </c>
      <c r="I1042" s="275"/>
      <c r="J1042" s="275" t="s">
        <v>1717</v>
      </c>
      <c r="K1042" s="275" t="s">
        <v>1521</v>
      </c>
      <c r="L1042" s="275">
        <v>48</v>
      </c>
      <c r="M1042" s="280">
        <f t="shared" si="33"/>
        <v>1.6088060965283615E-2</v>
      </c>
    </row>
    <row r="1043" spans="1:13">
      <c r="A1043" s="275"/>
      <c r="B1043" s="275"/>
      <c r="C1043" s="275"/>
      <c r="D1043" s="275"/>
      <c r="E1043" s="275" t="s">
        <v>479</v>
      </c>
      <c r="F1043" s="275" t="s">
        <v>1522</v>
      </c>
      <c r="G1043" s="278">
        <v>32111.1</v>
      </c>
      <c r="H1043" s="280">
        <f t="shared" si="32"/>
        <v>-2.2660306990765389E-3</v>
      </c>
      <c r="I1043" s="275"/>
      <c r="J1043" s="275" t="s">
        <v>1717</v>
      </c>
      <c r="K1043" s="275" t="s">
        <v>1522</v>
      </c>
      <c r="L1043" s="275">
        <v>47.5</v>
      </c>
      <c r="M1043" s="280">
        <f t="shared" si="33"/>
        <v>-1.0416666666666666E-2</v>
      </c>
    </row>
    <row r="1044" spans="1:13">
      <c r="A1044" s="275"/>
      <c r="B1044" s="275"/>
      <c r="C1044" s="275"/>
      <c r="D1044" s="275"/>
      <c r="E1044" s="275" t="s">
        <v>479</v>
      </c>
      <c r="F1044" s="275" t="s">
        <v>1523</v>
      </c>
      <c r="G1044" s="278">
        <v>31751.21</v>
      </c>
      <c r="H1044" s="280">
        <f t="shared" si="32"/>
        <v>-1.1207650936903421E-2</v>
      </c>
      <c r="I1044" s="275"/>
      <c r="J1044" s="275" t="s">
        <v>1717</v>
      </c>
      <c r="K1044" s="275" t="s">
        <v>1523</v>
      </c>
      <c r="L1044" s="275">
        <v>45.62</v>
      </c>
      <c r="M1044" s="280">
        <f t="shared" si="33"/>
        <v>-3.9578947368421109E-2</v>
      </c>
    </row>
    <row r="1045" spans="1:13">
      <c r="A1045" s="275"/>
      <c r="B1045" s="275"/>
      <c r="C1045" s="275"/>
      <c r="D1045" s="275"/>
      <c r="E1045" s="275" t="s">
        <v>479</v>
      </c>
      <c r="F1045" s="275" t="s">
        <v>1524</v>
      </c>
      <c r="G1045" s="278">
        <v>31829.24</v>
      </c>
      <c r="H1045" s="280">
        <f t="shared" si="32"/>
        <v>2.4575441376880592E-3</v>
      </c>
      <c r="I1045" s="275"/>
      <c r="J1045" s="275" t="s">
        <v>1717</v>
      </c>
      <c r="K1045" s="275" t="s">
        <v>1524</v>
      </c>
      <c r="L1045" s="275">
        <v>45.72</v>
      </c>
      <c r="M1045" s="280">
        <f t="shared" si="33"/>
        <v>2.1920210434020477E-3</v>
      </c>
    </row>
    <row r="1046" spans="1:13">
      <c r="A1046" s="275"/>
      <c r="B1046" s="275"/>
      <c r="C1046" s="275"/>
      <c r="D1046" s="275"/>
      <c r="E1046" s="275" t="s">
        <v>479</v>
      </c>
      <c r="F1046" s="275" t="s">
        <v>1525</v>
      </c>
      <c r="G1046" s="278">
        <v>31565.21</v>
      </c>
      <c r="H1046" s="280">
        <f t="shared" si="32"/>
        <v>-8.295202775812506E-3</v>
      </c>
      <c r="I1046" s="275"/>
      <c r="J1046" s="275" t="s">
        <v>1717</v>
      </c>
      <c r="K1046" s="275" t="s">
        <v>1525</v>
      </c>
      <c r="L1046" s="275">
        <v>46</v>
      </c>
      <c r="M1046" s="280">
        <f t="shared" si="33"/>
        <v>6.1242344706911884E-3</v>
      </c>
    </row>
    <row r="1047" spans="1:13">
      <c r="A1047" s="275"/>
      <c r="B1047" s="275"/>
      <c r="C1047" s="275"/>
      <c r="D1047" s="275"/>
      <c r="E1047" s="275" t="s">
        <v>479</v>
      </c>
      <c r="F1047" s="275" t="s">
        <v>1526</v>
      </c>
      <c r="G1047" s="278">
        <v>31433.89</v>
      </c>
      <c r="H1047" s="280">
        <f t="shared" si="32"/>
        <v>-4.1602764562630725E-3</v>
      </c>
      <c r="I1047" s="275"/>
      <c r="J1047" s="275" t="s">
        <v>1717</v>
      </c>
      <c r="K1047" s="275" t="s">
        <v>1526</v>
      </c>
      <c r="L1047" s="275">
        <v>45.7</v>
      </c>
      <c r="M1047" s="280">
        <f t="shared" si="33"/>
        <v>-6.5217391304347207E-3</v>
      </c>
    </row>
    <row r="1048" spans="1:13">
      <c r="A1048" s="275"/>
      <c r="B1048" s="275"/>
      <c r="C1048" s="275"/>
      <c r="D1048" s="275"/>
      <c r="E1048" s="275" t="s">
        <v>479</v>
      </c>
      <c r="F1048" s="275" t="s">
        <v>1527</v>
      </c>
      <c r="G1048" s="278">
        <v>32070.81</v>
      </c>
      <c r="H1048" s="280">
        <f t="shared" si="32"/>
        <v>2.0262207445530984E-2</v>
      </c>
      <c r="I1048" s="275"/>
      <c r="J1048" s="275" t="s">
        <v>1717</v>
      </c>
      <c r="K1048" s="275" t="s">
        <v>1527</v>
      </c>
      <c r="L1048" s="275">
        <v>46.99</v>
      </c>
      <c r="M1048" s="280">
        <f t="shared" si="33"/>
        <v>2.822757111597372E-2</v>
      </c>
    </row>
    <row r="1049" spans="1:13">
      <c r="A1049" s="275"/>
      <c r="B1049" s="275"/>
      <c r="C1049" s="275"/>
      <c r="D1049" s="275"/>
      <c r="E1049" s="275" t="s">
        <v>479</v>
      </c>
      <c r="F1049" s="275" t="s">
        <v>1528</v>
      </c>
      <c r="G1049" s="278">
        <v>32078.85</v>
      </c>
      <c r="H1049" s="280">
        <f t="shared" si="32"/>
        <v>2.5069525839843877E-4</v>
      </c>
      <c r="I1049" s="275"/>
      <c r="J1049" s="275" t="s">
        <v>1717</v>
      </c>
      <c r="K1049" s="275" t="s">
        <v>1528</v>
      </c>
      <c r="L1049" s="275">
        <v>45.5</v>
      </c>
      <c r="M1049" s="280">
        <f t="shared" si="33"/>
        <v>-3.1708874228559308E-2</v>
      </c>
    </row>
    <row r="1050" spans="1:13">
      <c r="A1050" s="275"/>
      <c r="B1050" s="275"/>
      <c r="C1050" s="275"/>
      <c r="D1050" s="275"/>
      <c r="E1050" s="275" t="s">
        <v>479</v>
      </c>
      <c r="F1050" s="275" t="s">
        <v>1529</v>
      </c>
      <c r="G1050" s="278">
        <v>32254.32</v>
      </c>
      <c r="H1050" s="280">
        <f t="shared" si="32"/>
        <v>5.4699591787112437E-3</v>
      </c>
      <c r="I1050" s="275"/>
      <c r="J1050" s="275" t="s">
        <v>1717</v>
      </c>
      <c r="K1050" s="275" t="s">
        <v>1529</v>
      </c>
      <c r="L1050" s="275">
        <v>48.32</v>
      </c>
      <c r="M1050" s="280">
        <f t="shared" si="33"/>
        <v>6.1978021978021984E-2</v>
      </c>
    </row>
    <row r="1051" spans="1:13">
      <c r="A1051" s="275"/>
      <c r="B1051" s="275"/>
      <c r="C1051" s="275"/>
      <c r="D1051" s="275"/>
      <c r="E1051" s="275" t="s">
        <v>479</v>
      </c>
      <c r="F1051" s="275" t="s">
        <v>1530</v>
      </c>
      <c r="G1051" s="278">
        <v>32363.35</v>
      </c>
      <c r="H1051" s="280">
        <f t="shared" si="32"/>
        <v>3.3803223878227425E-3</v>
      </c>
      <c r="I1051" s="275"/>
      <c r="J1051" s="275" t="s">
        <v>1717</v>
      </c>
      <c r="K1051" s="275" t="s">
        <v>1530</v>
      </c>
      <c r="L1051" s="275">
        <v>50.21</v>
      </c>
      <c r="M1051" s="280">
        <f t="shared" si="33"/>
        <v>3.9114238410596039E-2</v>
      </c>
    </row>
    <row r="1052" spans="1:13">
      <c r="A1052" s="275"/>
      <c r="B1052" s="275"/>
      <c r="C1052" s="275"/>
      <c r="D1052" s="275"/>
      <c r="E1052" s="275" t="s">
        <v>479</v>
      </c>
      <c r="F1052" s="275" t="s">
        <v>1531</v>
      </c>
      <c r="G1052" s="278">
        <v>32752.25</v>
      </c>
      <c r="H1052" s="280">
        <f t="shared" si="32"/>
        <v>1.2016679361067427E-2</v>
      </c>
      <c r="I1052" s="275"/>
      <c r="J1052" s="275" t="s">
        <v>1717</v>
      </c>
      <c r="K1052" s="275" t="s">
        <v>1531</v>
      </c>
      <c r="L1052" s="275">
        <v>52.79</v>
      </c>
      <c r="M1052" s="280">
        <f t="shared" si="33"/>
        <v>5.1384186417048359E-2</v>
      </c>
    </row>
    <row r="1053" spans="1:13">
      <c r="A1053" s="275"/>
      <c r="B1053" s="275"/>
      <c r="C1053" s="275"/>
      <c r="D1053" s="275"/>
      <c r="E1053" s="275" t="s">
        <v>479</v>
      </c>
      <c r="F1053" s="275" t="s">
        <v>1532</v>
      </c>
      <c r="G1053" s="278">
        <v>33033.32</v>
      </c>
      <c r="H1053" s="280">
        <f t="shared" si="32"/>
        <v>8.5817004938591908E-3</v>
      </c>
      <c r="I1053" s="275"/>
      <c r="J1053" s="275" t="s">
        <v>1717</v>
      </c>
      <c r="K1053" s="275" t="s">
        <v>1532</v>
      </c>
      <c r="L1053" s="275">
        <v>53.66</v>
      </c>
      <c r="M1053" s="280">
        <f t="shared" si="33"/>
        <v>1.6480394014017758E-2</v>
      </c>
    </row>
    <row r="1054" spans="1:13">
      <c r="A1054" s="275"/>
      <c r="B1054" s="275"/>
      <c r="C1054" s="275"/>
      <c r="D1054" s="275"/>
      <c r="E1054" s="275" t="s">
        <v>479</v>
      </c>
      <c r="F1054" s="275" t="s">
        <v>1533</v>
      </c>
      <c r="G1054" s="278">
        <v>33636.82</v>
      </c>
      <c r="H1054" s="280">
        <f t="shared" si="32"/>
        <v>1.8269432197550835E-2</v>
      </c>
      <c r="I1054" s="275"/>
      <c r="J1054" s="275" t="s">
        <v>1717</v>
      </c>
      <c r="K1054" s="275" t="s">
        <v>1533</v>
      </c>
      <c r="L1054" s="275">
        <v>56.34</v>
      </c>
      <c r="M1054" s="280">
        <f t="shared" si="33"/>
        <v>4.9944092433842846E-2</v>
      </c>
    </row>
    <row r="1055" spans="1:13">
      <c r="A1055" s="275"/>
      <c r="B1055" s="275"/>
      <c r="C1055" s="275"/>
      <c r="D1055" s="275"/>
      <c r="E1055" s="275" t="s">
        <v>479</v>
      </c>
      <c r="F1055" s="275" t="s">
        <v>1534</v>
      </c>
      <c r="G1055" s="278">
        <v>33476.620000000003</v>
      </c>
      <c r="H1055" s="280">
        <f t="shared" si="32"/>
        <v>-4.7626380852885944E-3</v>
      </c>
      <c r="I1055" s="275"/>
      <c r="J1055" s="275" t="s">
        <v>1717</v>
      </c>
      <c r="K1055" s="275" t="s">
        <v>1534</v>
      </c>
      <c r="L1055" s="275">
        <v>55.3</v>
      </c>
      <c r="M1055" s="280">
        <f t="shared" si="33"/>
        <v>-1.8459353922612817E-2</v>
      </c>
    </row>
    <row r="1056" spans="1:13">
      <c r="A1056" s="275"/>
      <c r="B1056" s="275"/>
      <c r="C1056" s="275"/>
      <c r="D1056" s="275"/>
      <c r="E1056" s="275" t="s">
        <v>479</v>
      </c>
      <c r="F1056" s="275" t="s">
        <v>1535</v>
      </c>
      <c r="G1056" s="278">
        <v>33523.74</v>
      </c>
      <c r="H1056" s="280">
        <f t="shared" si="32"/>
        <v>1.4075495076861207E-3</v>
      </c>
      <c r="I1056" s="275"/>
      <c r="J1056" s="275" t="s">
        <v>1717</v>
      </c>
      <c r="K1056" s="275" t="s">
        <v>1535</v>
      </c>
      <c r="L1056" s="275">
        <v>54.45</v>
      </c>
      <c r="M1056" s="280">
        <f t="shared" si="33"/>
        <v>-1.5370705244122864E-2</v>
      </c>
    </row>
    <row r="1057" spans="1:13">
      <c r="A1057" s="275"/>
      <c r="B1057" s="275"/>
      <c r="C1057" s="275"/>
      <c r="D1057" s="275"/>
      <c r="E1057" s="275" t="s">
        <v>479</v>
      </c>
      <c r="F1057" s="275" t="s">
        <v>1536</v>
      </c>
      <c r="G1057" s="278">
        <v>34027.699999999997</v>
      </c>
      <c r="H1057" s="280">
        <f t="shared" si="32"/>
        <v>1.5032928903517304E-2</v>
      </c>
      <c r="I1057" s="275"/>
      <c r="J1057" s="275" t="s">
        <v>1717</v>
      </c>
      <c r="K1057" s="275" t="s">
        <v>1536</v>
      </c>
      <c r="L1057" s="275">
        <v>55.5</v>
      </c>
      <c r="M1057" s="280">
        <f t="shared" si="33"/>
        <v>1.9283746556473778E-2</v>
      </c>
    </row>
    <row r="1058" spans="1:13">
      <c r="A1058" s="275"/>
      <c r="B1058" s="275"/>
      <c r="C1058" s="275"/>
      <c r="D1058" s="275"/>
      <c r="E1058" s="275" t="s">
        <v>479</v>
      </c>
      <c r="F1058" s="275" t="s">
        <v>1537</v>
      </c>
      <c r="G1058" s="278">
        <v>34475.69</v>
      </c>
      <c r="H1058" s="280">
        <f t="shared" si="32"/>
        <v>1.3165450500621708E-2</v>
      </c>
      <c r="I1058" s="275"/>
      <c r="J1058" s="275" t="s">
        <v>1717</v>
      </c>
      <c r="K1058" s="275" t="s">
        <v>1537</v>
      </c>
      <c r="L1058" s="275">
        <v>56.25</v>
      </c>
      <c r="M1058" s="280">
        <f t="shared" si="33"/>
        <v>1.3513513513513514E-2</v>
      </c>
    </row>
    <row r="1059" spans="1:13">
      <c r="A1059" s="275"/>
      <c r="B1059" s="275"/>
      <c r="C1059" s="275"/>
      <c r="D1059" s="275"/>
      <c r="E1059" s="275" t="s">
        <v>479</v>
      </c>
      <c r="F1059" s="275" t="s">
        <v>1538</v>
      </c>
      <c r="G1059" s="278">
        <v>34186.26</v>
      </c>
      <c r="H1059" s="280">
        <f t="shared" si="32"/>
        <v>-8.3951909301887874E-3</v>
      </c>
      <c r="I1059" s="275"/>
      <c r="J1059" s="275" t="s">
        <v>1717</v>
      </c>
      <c r="K1059" s="275" t="s">
        <v>1538</v>
      </c>
      <c r="L1059" s="275">
        <v>54.11</v>
      </c>
      <c r="M1059" s="280">
        <f t="shared" si="33"/>
        <v>-3.8044444444444457E-2</v>
      </c>
    </row>
    <row r="1060" spans="1:13">
      <c r="A1060" s="275"/>
      <c r="B1060" s="275"/>
      <c r="C1060" s="275"/>
      <c r="D1060" s="275"/>
      <c r="E1060" s="275" t="s">
        <v>479</v>
      </c>
      <c r="F1060" s="275" t="s">
        <v>1539</v>
      </c>
      <c r="G1060" s="278">
        <v>34083.53</v>
      </c>
      <c r="H1060" s="280">
        <f t="shared" si="32"/>
        <v>-3.0050084449133423E-3</v>
      </c>
      <c r="I1060" s="275"/>
      <c r="J1060" s="275" t="s">
        <v>1717</v>
      </c>
      <c r="K1060" s="275" t="s">
        <v>1539</v>
      </c>
      <c r="L1060" s="275">
        <v>55.35</v>
      </c>
      <c r="M1060" s="280">
        <f t="shared" si="33"/>
        <v>2.2916281648493846E-2</v>
      </c>
    </row>
    <row r="1061" spans="1:13">
      <c r="A1061" s="275"/>
      <c r="B1061" s="275"/>
      <c r="C1061" s="275"/>
      <c r="D1061" s="275"/>
      <c r="E1061" s="275" t="s">
        <v>479</v>
      </c>
      <c r="F1061" s="275" t="s">
        <v>1540</v>
      </c>
      <c r="G1061" s="278">
        <v>34281.089999999997</v>
      </c>
      <c r="H1061" s="280">
        <f t="shared" si="32"/>
        <v>5.7963479721730021E-3</v>
      </c>
      <c r="I1061" s="275"/>
      <c r="J1061" s="275" t="s">
        <v>1717</v>
      </c>
      <c r="K1061" s="275" t="s">
        <v>1540</v>
      </c>
      <c r="L1061" s="275">
        <v>57</v>
      </c>
      <c r="M1061" s="280">
        <f t="shared" si="33"/>
        <v>2.9810298102981005E-2</v>
      </c>
    </row>
    <row r="1062" spans="1:13">
      <c r="A1062" s="275"/>
      <c r="B1062" s="275"/>
      <c r="C1062" s="275"/>
      <c r="D1062" s="275"/>
      <c r="E1062" s="275" t="s">
        <v>479</v>
      </c>
      <c r="F1062" s="275" t="s">
        <v>1541</v>
      </c>
      <c r="G1062" s="278">
        <v>33898.559999999998</v>
      </c>
      <c r="H1062" s="280">
        <f t="shared" si="32"/>
        <v>-1.1158630020223945E-2</v>
      </c>
      <c r="I1062" s="275"/>
      <c r="J1062" s="275" t="s">
        <v>1717</v>
      </c>
      <c r="K1062" s="275" t="s">
        <v>1541</v>
      </c>
      <c r="L1062" s="275">
        <v>53.5</v>
      </c>
      <c r="M1062" s="280">
        <f t="shared" si="33"/>
        <v>-6.1403508771929821E-2</v>
      </c>
    </row>
    <row r="1063" spans="1:13">
      <c r="A1063" s="275"/>
      <c r="B1063" s="275"/>
      <c r="C1063" s="275"/>
      <c r="D1063" s="275"/>
      <c r="E1063" s="275" t="s">
        <v>479</v>
      </c>
      <c r="F1063" s="275" t="s">
        <v>1542</v>
      </c>
      <c r="G1063" s="278">
        <v>33870.15</v>
      </c>
      <c r="H1063" s="280">
        <f t="shared" si="32"/>
        <v>-8.3808869757288267E-4</v>
      </c>
      <c r="I1063" s="275"/>
      <c r="J1063" s="275" t="s">
        <v>1717</v>
      </c>
      <c r="K1063" s="275" t="s">
        <v>1542</v>
      </c>
      <c r="L1063" s="275">
        <v>53.51</v>
      </c>
      <c r="M1063" s="280">
        <f t="shared" si="33"/>
        <v>1.8691588785043009E-4</v>
      </c>
    </row>
    <row r="1064" spans="1:13">
      <c r="A1064" s="275"/>
      <c r="B1064" s="275"/>
      <c r="C1064" s="275"/>
      <c r="D1064" s="275"/>
      <c r="E1064" s="275" t="s">
        <v>479</v>
      </c>
      <c r="F1064" s="275" t="s">
        <v>1543</v>
      </c>
      <c r="G1064" s="278">
        <v>33084.730000000003</v>
      </c>
      <c r="H1064" s="280">
        <f t="shared" si="32"/>
        <v>-2.318915032853407E-2</v>
      </c>
      <c r="I1064" s="275"/>
      <c r="J1064" s="275" t="s">
        <v>1717</v>
      </c>
      <c r="K1064" s="275" t="s">
        <v>1543</v>
      </c>
      <c r="L1064" s="275">
        <v>50.73</v>
      </c>
      <c r="M1064" s="280">
        <f t="shared" si="33"/>
        <v>-5.1952905998878737E-2</v>
      </c>
    </row>
    <row r="1065" spans="1:13">
      <c r="A1065" s="275"/>
      <c r="B1065" s="275"/>
      <c r="C1065" s="275"/>
      <c r="D1065" s="275"/>
      <c r="E1065" s="275" t="s">
        <v>479</v>
      </c>
      <c r="F1065" s="275" t="s">
        <v>1544</v>
      </c>
      <c r="G1065" s="278">
        <v>33198.959999999999</v>
      </c>
      <c r="H1065" s="280">
        <f t="shared" si="32"/>
        <v>3.4526502105350692E-3</v>
      </c>
      <c r="I1065" s="275"/>
      <c r="J1065" s="275" t="s">
        <v>1717</v>
      </c>
      <c r="K1065" s="275" t="s">
        <v>1544</v>
      </c>
      <c r="L1065" s="275">
        <v>51.05</v>
      </c>
      <c r="M1065" s="280">
        <f t="shared" si="33"/>
        <v>6.307904592943038E-3</v>
      </c>
    </row>
    <row r="1066" spans="1:13">
      <c r="A1066" s="275"/>
      <c r="B1066" s="275"/>
      <c r="C1066" s="275"/>
      <c r="D1066" s="275"/>
      <c r="E1066" s="275" t="s">
        <v>479</v>
      </c>
      <c r="F1066" s="275" t="s">
        <v>1545</v>
      </c>
      <c r="G1066" s="278">
        <v>33439.69</v>
      </c>
      <c r="H1066" s="280">
        <f t="shared" si="32"/>
        <v>7.2511307583130076E-3</v>
      </c>
      <c r="I1066" s="275"/>
      <c r="J1066" s="275" t="s">
        <v>1717</v>
      </c>
      <c r="K1066" s="275" t="s">
        <v>1545</v>
      </c>
      <c r="L1066" s="275">
        <v>51.92</v>
      </c>
      <c r="M1066" s="280">
        <f t="shared" si="33"/>
        <v>1.704211557296777E-2</v>
      </c>
    </row>
    <row r="1067" spans="1:13">
      <c r="A1067" s="275"/>
      <c r="B1067" s="275"/>
      <c r="C1067" s="275"/>
      <c r="D1067" s="275"/>
      <c r="E1067" s="275" t="s">
        <v>479</v>
      </c>
      <c r="F1067" s="275" t="s">
        <v>1546</v>
      </c>
      <c r="G1067" s="278">
        <v>33762.480000000003</v>
      </c>
      <c r="H1067" s="280">
        <f t="shared" si="32"/>
        <v>9.65290049040529E-3</v>
      </c>
      <c r="I1067" s="275"/>
      <c r="J1067" s="275" t="s">
        <v>1717</v>
      </c>
      <c r="K1067" s="275" t="s">
        <v>1546</v>
      </c>
      <c r="L1067" s="275">
        <v>52.3</v>
      </c>
      <c r="M1067" s="280">
        <f t="shared" si="33"/>
        <v>7.3189522342063836E-3</v>
      </c>
    </row>
    <row r="1068" spans="1:13">
      <c r="A1068" s="275"/>
      <c r="B1068" s="275"/>
      <c r="C1068" s="275"/>
      <c r="D1068" s="275"/>
      <c r="E1068" s="275" t="s">
        <v>479</v>
      </c>
      <c r="F1068" s="275" t="s">
        <v>1547</v>
      </c>
      <c r="G1068" s="278">
        <v>33657.46</v>
      </c>
      <c r="H1068" s="280">
        <f t="shared" si="32"/>
        <v>-3.110553490146579E-3</v>
      </c>
      <c r="I1068" s="275"/>
      <c r="J1068" s="275" t="s">
        <v>1717</v>
      </c>
      <c r="K1068" s="275" t="s">
        <v>1547</v>
      </c>
      <c r="L1068" s="275">
        <v>53</v>
      </c>
      <c r="M1068" s="280">
        <f t="shared" si="33"/>
        <v>1.3384321223709424E-2</v>
      </c>
    </row>
    <row r="1069" spans="1:13">
      <c r="A1069" s="275"/>
      <c r="B1069" s="275"/>
      <c r="C1069" s="275"/>
      <c r="D1069" s="275"/>
      <c r="E1069" s="275" t="s">
        <v>479</v>
      </c>
      <c r="F1069" s="275" t="s">
        <v>1548</v>
      </c>
      <c r="G1069" s="278">
        <v>33861.589999999997</v>
      </c>
      <c r="H1069" s="280">
        <f t="shared" si="32"/>
        <v>6.0649258737883781E-3</v>
      </c>
      <c r="I1069" s="275"/>
      <c r="J1069" s="275" t="s">
        <v>1717</v>
      </c>
      <c r="K1069" s="275" t="s">
        <v>1548</v>
      </c>
      <c r="L1069" s="275">
        <v>55.14</v>
      </c>
      <c r="M1069" s="280">
        <f t="shared" si="33"/>
        <v>4.0377358490566048E-2</v>
      </c>
    </row>
    <row r="1070" spans="1:13">
      <c r="A1070" s="275"/>
      <c r="B1070" s="275"/>
      <c r="C1070" s="275"/>
      <c r="D1070" s="275"/>
      <c r="E1070" s="275" t="s">
        <v>479</v>
      </c>
      <c r="F1070" s="275" t="s">
        <v>1549</v>
      </c>
      <c r="G1070" s="278">
        <v>33797.51</v>
      </c>
      <c r="H1070" s="280">
        <f t="shared" si="32"/>
        <v>-1.8924096594399281E-3</v>
      </c>
      <c r="I1070" s="275"/>
      <c r="J1070" s="275" t="s">
        <v>1717</v>
      </c>
      <c r="K1070" s="275" t="s">
        <v>1549</v>
      </c>
      <c r="L1070" s="275">
        <v>57</v>
      </c>
      <c r="M1070" s="280">
        <f t="shared" si="33"/>
        <v>3.3732317736670285E-2</v>
      </c>
    </row>
    <row r="1071" spans="1:13">
      <c r="A1071" s="275"/>
      <c r="B1071" s="275"/>
      <c r="C1071" s="275"/>
      <c r="D1071" s="275"/>
      <c r="E1071" s="275" t="s">
        <v>479</v>
      </c>
      <c r="F1071" s="275" t="s">
        <v>1550</v>
      </c>
      <c r="G1071" s="278">
        <v>33761.410000000003</v>
      </c>
      <c r="H1071" s="280">
        <f t="shared" si="32"/>
        <v>-1.0681260246686382E-3</v>
      </c>
      <c r="I1071" s="275"/>
      <c r="J1071" s="275" t="s">
        <v>1717</v>
      </c>
      <c r="K1071" s="275" t="s">
        <v>1550</v>
      </c>
      <c r="L1071" s="275">
        <v>55.6</v>
      </c>
      <c r="M1071" s="280">
        <f t="shared" si="33"/>
        <v>-2.4561403508771906E-2</v>
      </c>
    </row>
    <row r="1072" spans="1:13">
      <c r="A1072" s="275"/>
      <c r="B1072" s="275"/>
      <c r="C1072" s="275"/>
      <c r="D1072" s="275"/>
      <c r="E1072" s="275" t="s">
        <v>479</v>
      </c>
      <c r="F1072" s="275" t="s">
        <v>1551</v>
      </c>
      <c r="G1072" s="278">
        <v>34203.68</v>
      </c>
      <c r="H1072" s="280">
        <f t="shared" si="32"/>
        <v>1.3099867570696744E-2</v>
      </c>
      <c r="I1072" s="275"/>
      <c r="J1072" s="275" t="s">
        <v>1717</v>
      </c>
      <c r="K1072" s="275" t="s">
        <v>1551</v>
      </c>
      <c r="L1072" s="275">
        <v>58.35</v>
      </c>
      <c r="M1072" s="280">
        <f t="shared" si="33"/>
        <v>4.9460431654676257E-2</v>
      </c>
    </row>
    <row r="1073" spans="1:13">
      <c r="A1073" s="275"/>
      <c r="B1073" s="275"/>
      <c r="C1073" s="275"/>
      <c r="D1073" s="275"/>
      <c r="E1073" s="275" t="s">
        <v>479</v>
      </c>
      <c r="F1073" s="275" t="s">
        <v>1552</v>
      </c>
      <c r="G1073" s="278">
        <v>34377.61</v>
      </c>
      <c r="H1073" s="280">
        <f t="shared" si="32"/>
        <v>5.0851253432379288E-3</v>
      </c>
      <c r="I1073" s="275"/>
      <c r="J1073" s="275" t="s">
        <v>1717</v>
      </c>
      <c r="K1073" s="275" t="s">
        <v>1552</v>
      </c>
      <c r="L1073" s="275">
        <v>61.26</v>
      </c>
      <c r="M1073" s="280">
        <f t="shared" si="33"/>
        <v>4.987146529562976E-2</v>
      </c>
    </row>
    <row r="1074" spans="1:13">
      <c r="A1074" s="275"/>
      <c r="B1074" s="275"/>
      <c r="C1074" s="275"/>
      <c r="D1074" s="275"/>
      <c r="E1074" s="275" t="s">
        <v>479</v>
      </c>
      <c r="F1074" s="275" t="s">
        <v>1553</v>
      </c>
      <c r="G1074" s="278">
        <v>35277.46</v>
      </c>
      <c r="H1074" s="280">
        <f t="shared" si="32"/>
        <v>2.6175467113624201E-2</v>
      </c>
      <c r="I1074" s="275"/>
      <c r="J1074" s="275" t="s">
        <v>1717</v>
      </c>
      <c r="K1074" s="275" t="s">
        <v>1553</v>
      </c>
      <c r="L1074" s="275">
        <v>64.319999999999993</v>
      </c>
      <c r="M1074" s="280">
        <f t="shared" si="33"/>
        <v>4.9951028403525881E-2</v>
      </c>
    </row>
    <row r="1075" spans="1:13">
      <c r="A1075" s="275"/>
      <c r="B1075" s="275"/>
      <c r="C1075" s="275"/>
      <c r="D1075" s="275"/>
      <c r="E1075" s="275" t="s">
        <v>479</v>
      </c>
      <c r="F1075" s="275" t="s">
        <v>1554</v>
      </c>
      <c r="G1075" s="278">
        <v>35358.31</v>
      </c>
      <c r="H1075" s="280">
        <f t="shared" si="32"/>
        <v>2.2918316681529382E-3</v>
      </c>
      <c r="I1075" s="275"/>
      <c r="J1075" s="275" t="s">
        <v>1717</v>
      </c>
      <c r="K1075" s="275" t="s">
        <v>1554</v>
      </c>
      <c r="L1075" s="275">
        <v>67.17</v>
      </c>
      <c r="M1075" s="280">
        <f t="shared" si="33"/>
        <v>4.4309701492537448E-2</v>
      </c>
    </row>
    <row r="1076" spans="1:13">
      <c r="A1076" s="275"/>
      <c r="B1076" s="275"/>
      <c r="C1076" s="275"/>
      <c r="D1076" s="275"/>
      <c r="E1076" s="275" t="s">
        <v>479</v>
      </c>
      <c r="F1076" s="275" t="s">
        <v>1555</v>
      </c>
      <c r="G1076" s="278">
        <v>35653.33</v>
      </c>
      <c r="H1076" s="280">
        <f t="shared" si="32"/>
        <v>8.3437245728091667E-3</v>
      </c>
      <c r="I1076" s="275"/>
      <c r="J1076" s="275" t="s">
        <v>1717</v>
      </c>
      <c r="K1076" s="275" t="s">
        <v>1555</v>
      </c>
      <c r="L1076" s="275">
        <v>68</v>
      </c>
      <c r="M1076" s="280">
        <f t="shared" si="33"/>
        <v>1.2356706863182942E-2</v>
      </c>
    </row>
    <row r="1077" spans="1:13">
      <c r="A1077" s="275"/>
      <c r="B1077" s="275"/>
      <c r="C1077" s="275"/>
      <c r="D1077" s="275"/>
      <c r="E1077" s="275" t="s">
        <v>479</v>
      </c>
      <c r="F1077" s="275" t="s">
        <v>1556</v>
      </c>
      <c r="G1077" s="278">
        <v>35758.519999999997</v>
      </c>
      <c r="H1077" s="280">
        <f t="shared" si="32"/>
        <v>2.9503555488363934E-3</v>
      </c>
      <c r="I1077" s="275"/>
      <c r="J1077" s="275" t="s">
        <v>1717</v>
      </c>
      <c r="K1077" s="275" t="s">
        <v>1556</v>
      </c>
      <c r="L1077" s="275">
        <v>67.03</v>
      </c>
      <c r="M1077" s="280">
        <f t="shared" si="33"/>
        <v>-1.4264705882352924E-2</v>
      </c>
    </row>
    <row r="1078" spans="1:13">
      <c r="A1078" s="275"/>
      <c r="B1078" s="275"/>
      <c r="C1078" s="275"/>
      <c r="D1078" s="275"/>
      <c r="E1078" s="275" t="s">
        <v>479</v>
      </c>
      <c r="F1078" s="275" t="s">
        <v>1557</v>
      </c>
      <c r="G1078" s="278">
        <v>35978.160000000003</v>
      </c>
      <c r="H1078" s="280">
        <f t="shared" si="32"/>
        <v>6.14231237758181E-3</v>
      </c>
      <c r="I1078" s="275"/>
      <c r="J1078" s="275" t="s">
        <v>1717</v>
      </c>
      <c r="K1078" s="275" t="s">
        <v>1557</v>
      </c>
      <c r="L1078" s="275">
        <v>66.400000000000006</v>
      </c>
      <c r="M1078" s="280">
        <f t="shared" si="33"/>
        <v>-9.3987766671638877E-3</v>
      </c>
    </row>
    <row r="1079" spans="1:13">
      <c r="A1079" s="275"/>
      <c r="B1079" s="275"/>
      <c r="C1079" s="275"/>
      <c r="D1079" s="275"/>
      <c r="E1079" s="275" t="s">
        <v>479</v>
      </c>
      <c r="F1079" s="275" t="s">
        <v>1558</v>
      </c>
      <c r="G1079" s="278">
        <v>36803.1</v>
      </c>
      <c r="H1079" s="280">
        <f t="shared" si="32"/>
        <v>2.2928910205524546E-2</v>
      </c>
      <c r="I1079" s="275"/>
      <c r="J1079" s="275" t="s">
        <v>1717</v>
      </c>
      <c r="K1079" s="275" t="s">
        <v>1558</v>
      </c>
      <c r="L1079" s="275">
        <v>69.25</v>
      </c>
      <c r="M1079" s="280">
        <f t="shared" si="33"/>
        <v>4.2921686746987861E-2</v>
      </c>
    </row>
    <row r="1080" spans="1:13">
      <c r="A1080" s="275"/>
      <c r="B1080" s="275"/>
      <c r="C1080" s="275"/>
      <c r="D1080" s="275"/>
      <c r="E1080" s="275" t="s">
        <v>479</v>
      </c>
      <c r="F1080" s="275" t="s">
        <v>1559</v>
      </c>
      <c r="G1080" s="278">
        <v>36765.56</v>
      </c>
      <c r="H1080" s="280">
        <f t="shared" si="32"/>
        <v>-1.0200227698210444E-3</v>
      </c>
      <c r="I1080" s="275"/>
      <c r="J1080" s="275" t="s">
        <v>1717</v>
      </c>
      <c r="K1080" s="275" t="s">
        <v>1559</v>
      </c>
      <c r="L1080" s="275">
        <v>69.5</v>
      </c>
      <c r="M1080" s="280">
        <f t="shared" si="33"/>
        <v>3.6101083032490976E-3</v>
      </c>
    </row>
    <row r="1081" spans="1:13">
      <c r="A1081" s="275"/>
      <c r="B1081" s="275"/>
      <c r="C1081" s="275"/>
      <c r="D1081" s="275"/>
      <c r="E1081" s="275" t="s">
        <v>479</v>
      </c>
      <c r="F1081" s="275" t="s">
        <v>1560</v>
      </c>
      <c r="G1081" s="278">
        <v>37166.959999999999</v>
      </c>
      <c r="H1081" s="280">
        <f t="shared" si="32"/>
        <v>1.0917826357058113E-2</v>
      </c>
      <c r="I1081" s="275"/>
      <c r="J1081" s="275" t="s">
        <v>1717</v>
      </c>
      <c r="K1081" s="275" t="s">
        <v>1560</v>
      </c>
      <c r="L1081" s="275">
        <v>72</v>
      </c>
      <c r="M1081" s="280">
        <f t="shared" si="33"/>
        <v>3.5971223021582732E-2</v>
      </c>
    </row>
    <row r="1082" spans="1:13">
      <c r="A1082" s="275"/>
      <c r="B1082" s="275"/>
      <c r="C1082" s="275"/>
      <c r="D1082" s="275"/>
      <c r="E1082" s="275" t="s">
        <v>479</v>
      </c>
      <c r="F1082" s="275" t="s">
        <v>1561</v>
      </c>
      <c r="G1082" s="278">
        <v>37243.199999999997</v>
      </c>
      <c r="H1082" s="280">
        <f t="shared" si="32"/>
        <v>2.0512842589223861E-3</v>
      </c>
      <c r="I1082" s="275"/>
      <c r="J1082" s="275" t="s">
        <v>1717</v>
      </c>
      <c r="K1082" s="275" t="s">
        <v>1561</v>
      </c>
      <c r="L1082" s="275">
        <v>75</v>
      </c>
      <c r="M1082" s="280">
        <f t="shared" si="33"/>
        <v>4.1666666666666664E-2</v>
      </c>
    </row>
    <row r="1083" spans="1:13">
      <c r="A1083" s="275"/>
      <c r="B1083" s="275"/>
      <c r="C1083" s="275"/>
      <c r="D1083" s="275"/>
      <c r="E1083" s="275" t="s">
        <v>479</v>
      </c>
      <c r="F1083" s="275" t="s">
        <v>1562</v>
      </c>
      <c r="G1083" s="278">
        <v>37583.89</v>
      </c>
      <c r="H1083" s="280">
        <f t="shared" si="32"/>
        <v>9.1477101860205981E-3</v>
      </c>
      <c r="I1083" s="275"/>
      <c r="J1083" s="275" t="s">
        <v>1717</v>
      </c>
      <c r="K1083" s="275" t="s">
        <v>1562</v>
      </c>
      <c r="L1083" s="275">
        <v>74.16</v>
      </c>
      <c r="M1083" s="280">
        <f t="shared" si="33"/>
        <v>-1.1200000000000045E-2</v>
      </c>
    </row>
    <row r="1084" spans="1:13">
      <c r="A1084" s="275"/>
      <c r="B1084" s="275"/>
      <c r="C1084" s="275"/>
      <c r="D1084" s="275"/>
      <c r="E1084" s="275" t="s">
        <v>479</v>
      </c>
      <c r="F1084" s="275" t="s">
        <v>1563</v>
      </c>
      <c r="G1084" s="278">
        <v>38411.56</v>
      </c>
      <c r="H1084" s="280">
        <f t="shared" si="32"/>
        <v>2.2021935462241887E-2</v>
      </c>
      <c r="I1084" s="275"/>
      <c r="J1084" s="275" t="s">
        <v>1717</v>
      </c>
      <c r="K1084" s="275" t="s">
        <v>1563</v>
      </c>
      <c r="L1084" s="275">
        <v>78.19</v>
      </c>
      <c r="M1084" s="280">
        <f t="shared" si="33"/>
        <v>5.4341963322545865E-2</v>
      </c>
    </row>
    <row r="1085" spans="1:13">
      <c r="A1085" s="275"/>
      <c r="B1085" s="275"/>
      <c r="C1085" s="275"/>
      <c r="D1085" s="275"/>
      <c r="E1085" s="275" t="s">
        <v>479</v>
      </c>
      <c r="F1085" s="275" t="s">
        <v>1564</v>
      </c>
      <c r="G1085" s="278">
        <v>38564.370000000003</v>
      </c>
      <c r="H1085" s="280">
        <f t="shared" si="32"/>
        <v>3.9782294705032794E-3</v>
      </c>
      <c r="I1085" s="275"/>
      <c r="J1085" s="275" t="s">
        <v>1717</v>
      </c>
      <c r="K1085" s="275" t="s">
        <v>1564</v>
      </c>
      <c r="L1085" s="275">
        <v>82.07</v>
      </c>
      <c r="M1085" s="280">
        <f t="shared" si="33"/>
        <v>4.9622713902033454E-2</v>
      </c>
    </row>
    <row r="1086" spans="1:13">
      <c r="A1086" s="275"/>
      <c r="B1086" s="275"/>
      <c r="C1086" s="275"/>
      <c r="D1086" s="275"/>
      <c r="E1086" s="275" t="s">
        <v>479</v>
      </c>
      <c r="F1086" s="275" t="s">
        <v>1565</v>
      </c>
      <c r="G1086" s="278">
        <v>38037.68</v>
      </c>
      <c r="H1086" s="280">
        <f t="shared" si="32"/>
        <v>-1.3657425234743944E-2</v>
      </c>
      <c r="I1086" s="275"/>
      <c r="J1086" s="275" t="s">
        <v>1717</v>
      </c>
      <c r="K1086" s="275" t="s">
        <v>1565</v>
      </c>
      <c r="L1086" s="275">
        <v>81.5</v>
      </c>
      <c r="M1086" s="280">
        <f t="shared" si="33"/>
        <v>-6.9452906055805196E-3</v>
      </c>
    </row>
    <row r="1087" spans="1:13">
      <c r="A1087" s="275"/>
      <c r="B1087" s="275"/>
      <c r="C1087" s="275"/>
      <c r="D1087" s="275"/>
      <c r="E1087" s="275" t="s">
        <v>479</v>
      </c>
      <c r="F1087" s="275" t="s">
        <v>1566</v>
      </c>
      <c r="G1087" s="278">
        <v>37101.31</v>
      </c>
      <c r="H1087" s="280">
        <f t="shared" si="32"/>
        <v>-2.4616906183552799E-2</v>
      </c>
      <c r="I1087" s="275"/>
      <c r="J1087" s="275" t="s">
        <v>1717</v>
      </c>
      <c r="K1087" s="275" t="s">
        <v>1566</v>
      </c>
      <c r="L1087" s="275">
        <v>77.84</v>
      </c>
      <c r="M1087" s="280">
        <f t="shared" si="33"/>
        <v>-4.4907975460122658E-2</v>
      </c>
    </row>
    <row r="1088" spans="1:13">
      <c r="A1088" s="275"/>
      <c r="B1088" s="275"/>
      <c r="C1088" s="275"/>
      <c r="D1088" s="275"/>
      <c r="E1088" s="275" t="s">
        <v>479</v>
      </c>
      <c r="F1088" s="275" t="s">
        <v>1567</v>
      </c>
      <c r="G1088" s="278">
        <v>37925.79</v>
      </c>
      <c r="H1088" s="280">
        <f t="shared" si="32"/>
        <v>2.2222395920791026E-2</v>
      </c>
      <c r="I1088" s="275"/>
      <c r="J1088" s="275" t="s">
        <v>1717</v>
      </c>
      <c r="K1088" s="275" t="s">
        <v>1567</v>
      </c>
      <c r="L1088" s="275">
        <v>80.11</v>
      </c>
      <c r="M1088" s="280">
        <f t="shared" si="33"/>
        <v>2.9162384378211663E-2</v>
      </c>
    </row>
    <row r="1089" spans="1:13">
      <c r="A1089" s="275"/>
      <c r="B1089" s="275"/>
      <c r="C1089" s="275"/>
      <c r="D1089" s="275"/>
      <c r="E1089" s="275" t="s">
        <v>479</v>
      </c>
      <c r="F1089" s="275" t="s">
        <v>1568</v>
      </c>
      <c r="G1089" s="278">
        <v>38212.28</v>
      </c>
      <c r="H1089" s="280">
        <f t="shared" si="32"/>
        <v>7.5539626201589459E-3</v>
      </c>
      <c r="I1089" s="275"/>
      <c r="J1089" s="275" t="s">
        <v>1717</v>
      </c>
      <c r="K1089" s="275" t="s">
        <v>1568</v>
      </c>
      <c r="L1089" s="275">
        <v>81.650000000000006</v>
      </c>
      <c r="M1089" s="280">
        <f t="shared" si="33"/>
        <v>1.9223567594557563E-2</v>
      </c>
    </row>
    <row r="1090" spans="1:13">
      <c r="A1090" s="275"/>
      <c r="B1090" s="275"/>
      <c r="C1090" s="275"/>
      <c r="D1090" s="275"/>
      <c r="E1090" s="275" t="s">
        <v>479</v>
      </c>
      <c r="F1090" s="275" t="s">
        <v>1569</v>
      </c>
      <c r="G1090" s="278">
        <v>37795.050000000003</v>
      </c>
      <c r="H1090" s="280">
        <f t="shared" si="32"/>
        <v>-1.0918741305151013E-2</v>
      </c>
      <c r="I1090" s="275"/>
      <c r="J1090" s="275" t="s">
        <v>1717</v>
      </c>
      <c r="K1090" s="275" t="s">
        <v>1569</v>
      </c>
      <c r="L1090" s="275">
        <v>80</v>
      </c>
      <c r="M1090" s="280">
        <f t="shared" si="33"/>
        <v>-2.020820575627686E-2</v>
      </c>
    </row>
    <row r="1091" spans="1:13">
      <c r="A1091" s="275"/>
      <c r="B1091" s="275"/>
      <c r="C1091" s="275"/>
      <c r="D1091" s="275"/>
      <c r="E1091" s="275" t="s">
        <v>479</v>
      </c>
      <c r="F1091" s="275" t="s">
        <v>1570</v>
      </c>
      <c r="G1091" s="278">
        <v>38122.720000000001</v>
      </c>
      <c r="H1091" s="280">
        <f t="shared" si="32"/>
        <v>8.6696538303295857E-3</v>
      </c>
      <c r="I1091" s="275"/>
      <c r="J1091" s="275" t="s">
        <v>1717</v>
      </c>
      <c r="K1091" s="275" t="s">
        <v>1570</v>
      </c>
      <c r="L1091" s="275">
        <v>78.569999999999993</v>
      </c>
      <c r="M1091" s="280">
        <f t="shared" si="33"/>
        <v>-1.7875000000000085E-2</v>
      </c>
    </row>
    <row r="1092" spans="1:13">
      <c r="A1092" s="275"/>
      <c r="B1092" s="275"/>
      <c r="C1092" s="275"/>
      <c r="D1092" s="275"/>
      <c r="E1092" s="275" t="s">
        <v>479</v>
      </c>
      <c r="F1092" s="275" t="s">
        <v>1571</v>
      </c>
      <c r="G1092" s="278">
        <v>38706.269999999997</v>
      </c>
      <c r="H1092" s="280">
        <f t="shared" ref="H1092:H1155" si="34">(G1092-G1091)/G1091</f>
        <v>1.5307144925650521E-2</v>
      </c>
      <c r="I1092" s="275"/>
      <c r="J1092" s="275" t="s">
        <v>1717</v>
      </c>
      <c r="K1092" s="275" t="s">
        <v>1571</v>
      </c>
      <c r="L1092" s="275">
        <v>80.5</v>
      </c>
      <c r="M1092" s="280">
        <f t="shared" ref="M1092:M1155" si="35">(L1092-L1091)/L1091</f>
        <v>2.456408298332706E-2</v>
      </c>
    </row>
    <row r="1093" spans="1:13">
      <c r="A1093" s="275"/>
      <c r="B1093" s="275"/>
      <c r="C1093" s="275"/>
      <c r="D1093" s="275"/>
      <c r="E1093" s="275" t="s">
        <v>479</v>
      </c>
      <c r="F1093" s="275" t="s">
        <v>1572</v>
      </c>
      <c r="G1093" s="278">
        <v>39287.65</v>
      </c>
      <c r="H1093" s="280">
        <f t="shared" si="34"/>
        <v>1.5020305495724716E-2</v>
      </c>
      <c r="I1093" s="275"/>
      <c r="J1093" s="275" t="s">
        <v>1717</v>
      </c>
      <c r="K1093" s="275" t="s">
        <v>1572</v>
      </c>
      <c r="L1093" s="275">
        <v>81.58</v>
      </c>
      <c r="M1093" s="280">
        <f t="shared" si="35"/>
        <v>1.3416149068322961E-2</v>
      </c>
    </row>
    <row r="1094" spans="1:13">
      <c r="A1094" s="275"/>
      <c r="B1094" s="275"/>
      <c r="C1094" s="275"/>
      <c r="D1094" s="275"/>
      <c r="E1094" s="275" t="s">
        <v>479</v>
      </c>
      <c r="F1094" s="275" t="s">
        <v>1573</v>
      </c>
      <c r="G1094" s="278">
        <v>40124.22</v>
      </c>
      <c r="H1094" s="280">
        <f t="shared" si="34"/>
        <v>2.1293459904066538E-2</v>
      </c>
      <c r="I1094" s="275"/>
      <c r="J1094" s="275" t="s">
        <v>1717</v>
      </c>
      <c r="K1094" s="275" t="s">
        <v>1573</v>
      </c>
      <c r="L1094" s="275">
        <v>81.12</v>
      </c>
      <c r="M1094" s="280">
        <f t="shared" si="35"/>
        <v>-5.6386369208138486E-3</v>
      </c>
    </row>
    <row r="1095" spans="1:13">
      <c r="A1095" s="275"/>
      <c r="B1095" s="275"/>
      <c r="C1095" s="275"/>
      <c r="D1095" s="275"/>
      <c r="E1095" s="275" t="s">
        <v>479</v>
      </c>
      <c r="F1095" s="275" t="s">
        <v>1574</v>
      </c>
      <c r="G1095" s="278">
        <v>39788.730000000003</v>
      </c>
      <c r="H1095" s="280">
        <f t="shared" si="34"/>
        <v>-8.3612840324372145E-3</v>
      </c>
      <c r="I1095" s="275"/>
      <c r="J1095" s="275" t="s">
        <v>1717</v>
      </c>
      <c r="K1095" s="275" t="s">
        <v>1574</v>
      </c>
      <c r="L1095" s="275">
        <v>78.099999999999994</v>
      </c>
      <c r="M1095" s="280">
        <f t="shared" si="35"/>
        <v>-3.722879684418158E-2</v>
      </c>
    </row>
    <row r="1096" spans="1:13">
      <c r="A1096" s="275"/>
      <c r="B1096" s="275"/>
      <c r="C1096" s="275"/>
      <c r="D1096" s="275"/>
      <c r="E1096" s="275" t="s">
        <v>479</v>
      </c>
      <c r="F1096" s="275" t="s">
        <v>1575</v>
      </c>
      <c r="G1096" s="278">
        <v>40270.519999999997</v>
      </c>
      <c r="H1096" s="280">
        <f t="shared" si="34"/>
        <v>1.2108705153444041E-2</v>
      </c>
      <c r="I1096" s="275"/>
      <c r="J1096" s="275" t="s">
        <v>1717</v>
      </c>
      <c r="K1096" s="275" t="s">
        <v>1575</v>
      </c>
      <c r="L1096" s="275">
        <v>80.5</v>
      </c>
      <c r="M1096" s="280">
        <f t="shared" si="35"/>
        <v>3.072983354673503E-2</v>
      </c>
    </row>
    <row r="1097" spans="1:13">
      <c r="A1097" s="275"/>
      <c r="B1097" s="275"/>
      <c r="C1097" s="275"/>
      <c r="D1097" s="275"/>
      <c r="E1097" s="275" t="s">
        <v>479</v>
      </c>
      <c r="F1097" s="275" t="s">
        <v>1576</v>
      </c>
      <c r="G1097" s="278">
        <v>40641.1</v>
      </c>
      <c r="H1097" s="280">
        <f t="shared" si="34"/>
        <v>9.2022650812555139E-3</v>
      </c>
      <c r="I1097" s="275"/>
      <c r="J1097" s="275" t="s">
        <v>1717</v>
      </c>
      <c r="K1097" s="275" t="s">
        <v>1576</v>
      </c>
      <c r="L1097" s="275">
        <v>78.5</v>
      </c>
      <c r="M1097" s="280">
        <f t="shared" si="35"/>
        <v>-2.4844720496894408E-2</v>
      </c>
    </row>
    <row r="1098" spans="1:13">
      <c r="A1098" s="275"/>
      <c r="B1098" s="275"/>
      <c r="C1098" s="275"/>
      <c r="D1098" s="275"/>
      <c r="E1098" s="275" t="s">
        <v>479</v>
      </c>
      <c r="F1098" s="275" t="s">
        <v>1577</v>
      </c>
      <c r="G1098" s="278">
        <v>40732.25</v>
      </c>
      <c r="H1098" s="280">
        <f t="shared" si="34"/>
        <v>2.2428034674258682E-3</v>
      </c>
      <c r="I1098" s="275"/>
      <c r="J1098" s="275" t="s">
        <v>1717</v>
      </c>
      <c r="K1098" s="275" t="s">
        <v>1577</v>
      </c>
      <c r="L1098" s="275">
        <v>78</v>
      </c>
      <c r="M1098" s="280">
        <f t="shared" si="35"/>
        <v>-6.369426751592357E-3</v>
      </c>
    </row>
    <row r="1099" spans="1:13">
      <c r="A1099" s="275"/>
      <c r="B1099" s="275"/>
      <c r="C1099" s="275"/>
      <c r="D1099" s="275"/>
      <c r="E1099" s="275" t="s">
        <v>479</v>
      </c>
      <c r="F1099" s="275" t="s">
        <v>1578</v>
      </c>
      <c r="G1099" s="278">
        <v>40442.800000000003</v>
      </c>
      <c r="H1099" s="280">
        <f t="shared" si="34"/>
        <v>-7.1061628071122287E-3</v>
      </c>
      <c r="I1099" s="275"/>
      <c r="J1099" s="275" t="s">
        <v>1717</v>
      </c>
      <c r="K1099" s="275" t="s">
        <v>1578</v>
      </c>
      <c r="L1099" s="275">
        <v>76.05</v>
      </c>
      <c r="M1099" s="280">
        <f t="shared" si="35"/>
        <v>-2.5000000000000036E-2</v>
      </c>
    </row>
    <row r="1100" spans="1:13">
      <c r="A1100" s="275"/>
      <c r="B1100" s="275"/>
      <c r="C1100" s="275"/>
      <c r="D1100" s="275"/>
      <c r="E1100" s="275" t="s">
        <v>479</v>
      </c>
      <c r="F1100" s="275" t="s">
        <v>1579</v>
      </c>
      <c r="G1100" s="278">
        <v>40664.6</v>
      </c>
      <c r="H1100" s="280">
        <f t="shared" si="34"/>
        <v>5.4842889216373649E-3</v>
      </c>
      <c r="I1100" s="275"/>
      <c r="J1100" s="275" t="s">
        <v>1717</v>
      </c>
      <c r="K1100" s="275" t="s">
        <v>1579</v>
      </c>
      <c r="L1100" s="275">
        <v>77.05</v>
      </c>
      <c r="M1100" s="280">
        <f t="shared" si="35"/>
        <v>1.3149243918474688E-2</v>
      </c>
    </row>
    <row r="1101" spans="1:13">
      <c r="A1101" s="275"/>
      <c r="B1101" s="275"/>
      <c r="C1101" s="275"/>
      <c r="D1101" s="275"/>
      <c r="E1101" s="275" t="s">
        <v>479</v>
      </c>
      <c r="F1101" s="275" t="s">
        <v>1580</v>
      </c>
      <c r="G1101" s="278">
        <v>40531.42</v>
      </c>
      <c r="H1101" s="280">
        <f t="shared" si="34"/>
        <v>-3.2750844715059364E-3</v>
      </c>
      <c r="I1101" s="275"/>
      <c r="J1101" s="275" t="s">
        <v>1717</v>
      </c>
      <c r="K1101" s="275" t="s">
        <v>1580</v>
      </c>
      <c r="L1101" s="275">
        <v>74.75</v>
      </c>
      <c r="M1101" s="280">
        <f t="shared" si="35"/>
        <v>-2.9850746268656681E-2</v>
      </c>
    </row>
    <row r="1102" spans="1:13">
      <c r="A1102" s="275"/>
      <c r="B1102" s="275"/>
      <c r="C1102" s="275"/>
      <c r="D1102" s="275"/>
      <c r="E1102" s="275" t="s">
        <v>479</v>
      </c>
      <c r="F1102" s="275" t="s">
        <v>1581</v>
      </c>
      <c r="G1102" s="278">
        <v>40514.17</v>
      </c>
      <c r="H1102" s="280">
        <f t="shared" si="34"/>
        <v>-4.2559574769401122E-4</v>
      </c>
      <c r="I1102" s="275"/>
      <c r="J1102" s="275" t="s">
        <v>1717</v>
      </c>
      <c r="K1102" s="275" t="s">
        <v>1581</v>
      </c>
      <c r="L1102" s="275">
        <v>74.7</v>
      </c>
      <c r="M1102" s="280">
        <f t="shared" si="35"/>
        <v>-6.6889632107019613E-4</v>
      </c>
    </row>
    <row r="1103" spans="1:13">
      <c r="A1103" s="275"/>
      <c r="B1103" s="275"/>
      <c r="C1103" s="275"/>
      <c r="D1103" s="275"/>
      <c r="E1103" s="275" t="s">
        <v>479</v>
      </c>
      <c r="F1103" s="275" t="s">
        <v>1582</v>
      </c>
      <c r="G1103" s="278">
        <v>40916.589999999997</v>
      </c>
      <c r="H1103" s="280">
        <f t="shared" si="34"/>
        <v>9.9328210352081329E-3</v>
      </c>
      <c r="I1103" s="275"/>
      <c r="J1103" s="275" t="s">
        <v>1717</v>
      </c>
      <c r="K1103" s="275" t="s">
        <v>1582</v>
      </c>
      <c r="L1103" s="275">
        <v>74.5</v>
      </c>
      <c r="M1103" s="280">
        <f t="shared" si="35"/>
        <v>-2.677376171352113E-3</v>
      </c>
    </row>
    <row r="1104" spans="1:13">
      <c r="A1104" s="275"/>
      <c r="B1104" s="275"/>
      <c r="C1104" s="275"/>
      <c r="D1104" s="275"/>
      <c r="E1104" s="275" t="s">
        <v>479</v>
      </c>
      <c r="F1104" s="275" t="s">
        <v>1583</v>
      </c>
      <c r="G1104" s="278">
        <v>41644.879999999997</v>
      </c>
      <c r="H1104" s="280">
        <f t="shared" si="34"/>
        <v>1.7799381620022609E-2</v>
      </c>
      <c r="I1104" s="275"/>
      <c r="J1104" s="275" t="s">
        <v>1717</v>
      </c>
      <c r="K1104" s="275" t="s">
        <v>1583</v>
      </c>
      <c r="L1104" s="275">
        <v>78.13</v>
      </c>
      <c r="M1104" s="280">
        <f t="shared" si="35"/>
        <v>4.8724832214765042E-2</v>
      </c>
    </row>
    <row r="1105" spans="1:13">
      <c r="A1105" s="275"/>
      <c r="B1105" s="275"/>
      <c r="C1105" s="275"/>
      <c r="D1105" s="275"/>
      <c r="E1105" s="275" t="s">
        <v>479</v>
      </c>
      <c r="F1105" s="275" t="s">
        <v>1584</v>
      </c>
      <c r="G1105" s="278">
        <v>41768.660000000003</v>
      </c>
      <c r="H1105" s="280">
        <f t="shared" si="34"/>
        <v>2.9722741427038839E-3</v>
      </c>
      <c r="I1105" s="275"/>
      <c r="J1105" s="275" t="s">
        <v>1717</v>
      </c>
      <c r="K1105" s="275" t="s">
        <v>1584</v>
      </c>
      <c r="L1105" s="275">
        <v>77.61</v>
      </c>
      <c r="M1105" s="280">
        <f t="shared" si="35"/>
        <v>-6.6555740432611811E-3</v>
      </c>
    </row>
    <row r="1106" spans="1:13">
      <c r="A1106" s="275"/>
      <c r="B1106" s="275"/>
      <c r="C1106" s="275"/>
      <c r="D1106" s="275"/>
      <c r="E1106" s="275" t="s">
        <v>479</v>
      </c>
      <c r="F1106" s="275" t="s">
        <v>1585</v>
      </c>
      <c r="G1106" s="278">
        <v>41603.71</v>
      </c>
      <c r="H1106" s="280">
        <f t="shared" si="34"/>
        <v>-3.9491331539006601E-3</v>
      </c>
      <c r="I1106" s="275"/>
      <c r="J1106" s="275" t="s">
        <v>1717</v>
      </c>
      <c r="K1106" s="275" t="s">
        <v>1585</v>
      </c>
      <c r="L1106" s="275">
        <v>78</v>
      </c>
      <c r="M1106" s="280">
        <f t="shared" si="35"/>
        <v>5.0251256281407105E-3</v>
      </c>
    </row>
    <row r="1107" spans="1:13">
      <c r="A1107" s="275"/>
      <c r="B1107" s="275"/>
      <c r="C1107" s="275"/>
      <c r="D1107" s="275"/>
      <c r="E1107" s="275" t="s">
        <v>479</v>
      </c>
      <c r="F1107" s="275" t="s">
        <v>1586</v>
      </c>
      <c r="G1107" s="278">
        <v>40655.370000000003</v>
      </c>
      <c r="H1107" s="280">
        <f t="shared" si="34"/>
        <v>-2.2794601731432041E-2</v>
      </c>
      <c r="I1107" s="275"/>
      <c r="J1107" s="275" t="s">
        <v>1717</v>
      </c>
      <c r="K1107" s="275" t="s">
        <v>1586</v>
      </c>
      <c r="L1107" s="275">
        <v>77.010000000000005</v>
      </c>
      <c r="M1107" s="280">
        <f t="shared" si="35"/>
        <v>-1.2692307692307626E-2</v>
      </c>
    </row>
    <row r="1108" spans="1:13">
      <c r="A1108" s="275"/>
      <c r="B1108" s="275"/>
      <c r="C1108" s="275"/>
      <c r="D1108" s="275"/>
      <c r="E1108" s="275" t="s">
        <v>479</v>
      </c>
      <c r="F1108" s="275" t="s">
        <v>1587</v>
      </c>
      <c r="G1108" s="278">
        <v>40832.99</v>
      </c>
      <c r="H1108" s="280">
        <f t="shared" si="34"/>
        <v>4.3689185463075438E-3</v>
      </c>
      <c r="I1108" s="275"/>
      <c r="J1108" s="275" t="s">
        <v>1717</v>
      </c>
      <c r="K1108" s="275" t="s">
        <v>1587</v>
      </c>
      <c r="L1108" s="275">
        <v>77.95</v>
      </c>
      <c r="M1108" s="280">
        <f t="shared" si="35"/>
        <v>1.220620698610567E-2</v>
      </c>
    </row>
    <row r="1109" spans="1:13">
      <c r="A1109" s="275"/>
      <c r="B1109" s="275"/>
      <c r="C1109" s="275"/>
      <c r="D1109" s="275"/>
      <c r="E1109" s="275" t="s">
        <v>479</v>
      </c>
      <c r="F1109" s="275" t="s">
        <v>1588</v>
      </c>
      <c r="G1109" s="278">
        <v>40008.29</v>
      </c>
      <c r="H1109" s="280">
        <f t="shared" si="34"/>
        <v>-2.0196904512748078E-2</v>
      </c>
      <c r="I1109" s="275"/>
      <c r="J1109" s="275" t="s">
        <v>1717</v>
      </c>
      <c r="K1109" s="275" t="s">
        <v>1588</v>
      </c>
      <c r="L1109" s="275">
        <v>77.5</v>
      </c>
      <c r="M1109" s="280">
        <f t="shared" si="35"/>
        <v>-5.7729313662604597E-3</v>
      </c>
    </row>
    <row r="1110" spans="1:13">
      <c r="A1110" s="275"/>
      <c r="B1110" s="275"/>
      <c r="C1110" s="275"/>
      <c r="D1110" s="275"/>
      <c r="E1110" s="275" t="s">
        <v>479</v>
      </c>
      <c r="F1110" s="275" t="s">
        <v>1589</v>
      </c>
      <c r="G1110" s="278">
        <v>40328.32</v>
      </c>
      <c r="H1110" s="280">
        <f t="shared" si="34"/>
        <v>7.9990921881439771E-3</v>
      </c>
      <c r="I1110" s="275"/>
      <c r="J1110" s="275" t="s">
        <v>1717</v>
      </c>
      <c r="K1110" s="275" t="s">
        <v>1589</v>
      </c>
      <c r="L1110" s="275">
        <v>78.25</v>
      </c>
      <c r="M1110" s="280">
        <f t="shared" si="35"/>
        <v>9.6774193548387101E-3</v>
      </c>
    </row>
    <row r="1111" spans="1:13">
      <c r="A1111" s="275"/>
      <c r="B1111" s="275"/>
      <c r="C1111" s="275"/>
      <c r="D1111" s="275"/>
      <c r="E1111" s="275" t="s">
        <v>479</v>
      </c>
      <c r="F1111" s="275" t="s">
        <v>1590</v>
      </c>
      <c r="G1111" s="278">
        <v>41127.79</v>
      </c>
      <c r="H1111" s="280">
        <f t="shared" si="34"/>
        <v>1.9824034326250167E-2</v>
      </c>
      <c r="I1111" s="275"/>
      <c r="J1111" s="275" t="s">
        <v>1717</v>
      </c>
      <c r="K1111" s="275" t="s">
        <v>1590</v>
      </c>
      <c r="L1111" s="275">
        <v>79</v>
      </c>
      <c r="M1111" s="280">
        <f t="shared" si="35"/>
        <v>9.5846645367412137E-3</v>
      </c>
    </row>
    <row r="1112" spans="1:13">
      <c r="A1112" s="275"/>
      <c r="B1112" s="275"/>
      <c r="C1112" s="275"/>
      <c r="D1112" s="275"/>
      <c r="E1112" s="275" t="s">
        <v>479</v>
      </c>
      <c r="F1112" s="275" t="s">
        <v>1591</v>
      </c>
      <c r="G1112" s="278">
        <v>40848.53</v>
      </c>
      <c r="H1112" s="280">
        <f t="shared" si="34"/>
        <v>-6.7900560667130917E-3</v>
      </c>
      <c r="I1112" s="275"/>
      <c r="J1112" s="275" t="s">
        <v>1717</v>
      </c>
      <c r="K1112" s="275" t="s">
        <v>1591</v>
      </c>
      <c r="L1112" s="275">
        <v>79</v>
      </c>
      <c r="M1112" s="280">
        <f t="shared" si="35"/>
        <v>0</v>
      </c>
    </row>
    <row r="1113" spans="1:13">
      <c r="A1113" s="275"/>
      <c r="B1113" s="275"/>
      <c r="C1113" s="275"/>
      <c r="D1113" s="275"/>
      <c r="E1113" s="275" t="s">
        <v>479</v>
      </c>
      <c r="F1113" s="275" t="s">
        <v>1592</v>
      </c>
      <c r="G1113" s="278">
        <v>40887.620000000003</v>
      </c>
      <c r="H1113" s="280">
        <f t="shared" si="34"/>
        <v>9.5694998081947589E-4</v>
      </c>
      <c r="I1113" s="275"/>
      <c r="J1113" s="275" t="s">
        <v>1717</v>
      </c>
      <c r="K1113" s="275" t="s">
        <v>1592</v>
      </c>
      <c r="L1113" s="275">
        <v>78.489999999999995</v>
      </c>
      <c r="M1113" s="280">
        <f t="shared" si="35"/>
        <v>-6.4556962025317105E-3</v>
      </c>
    </row>
    <row r="1114" spans="1:13">
      <c r="A1114" s="275"/>
      <c r="B1114" s="275"/>
      <c r="C1114" s="275"/>
      <c r="D1114" s="275"/>
      <c r="E1114" s="275" t="s">
        <v>479</v>
      </c>
      <c r="F1114" s="275" t="s">
        <v>1593</v>
      </c>
      <c r="G1114" s="278">
        <v>40735.08</v>
      </c>
      <c r="H1114" s="280">
        <f t="shared" si="34"/>
        <v>-3.7307135998622776E-3</v>
      </c>
      <c r="I1114" s="275"/>
      <c r="J1114" s="275" t="s">
        <v>1717</v>
      </c>
      <c r="K1114" s="275" t="s">
        <v>1593</v>
      </c>
      <c r="L1114" s="275">
        <v>79</v>
      </c>
      <c r="M1114" s="280">
        <f t="shared" si="35"/>
        <v>6.4976430118487086E-3</v>
      </c>
    </row>
    <row r="1115" spans="1:13">
      <c r="A1115" s="275"/>
      <c r="B1115" s="275"/>
      <c r="C1115" s="275"/>
      <c r="D1115" s="275"/>
      <c r="E1115" s="275" t="s">
        <v>479</v>
      </c>
      <c r="F1115" s="275" t="s">
        <v>1594</v>
      </c>
      <c r="G1115" s="278">
        <v>41400</v>
      </c>
      <c r="H1115" s="280">
        <f t="shared" si="34"/>
        <v>1.6323031647415404E-2</v>
      </c>
      <c r="I1115" s="275"/>
      <c r="J1115" s="275" t="s">
        <v>1717</v>
      </c>
      <c r="K1115" s="275" t="s">
        <v>1594</v>
      </c>
      <c r="L1115" s="275">
        <v>78</v>
      </c>
      <c r="M1115" s="280">
        <f t="shared" si="35"/>
        <v>-1.2658227848101266E-2</v>
      </c>
    </row>
    <row r="1116" spans="1:13">
      <c r="A1116" s="275"/>
      <c r="B1116" s="275"/>
      <c r="C1116" s="275"/>
      <c r="D1116" s="275"/>
      <c r="E1116" s="275" t="s">
        <v>479</v>
      </c>
      <c r="F1116" s="275" t="s">
        <v>1595</v>
      </c>
      <c r="G1116" s="278">
        <v>42480.76</v>
      </c>
      <c r="H1116" s="280">
        <f t="shared" si="34"/>
        <v>2.6105314009661883E-2</v>
      </c>
      <c r="I1116" s="275"/>
      <c r="J1116" s="275" t="s">
        <v>1717</v>
      </c>
      <c r="K1116" s="275" t="s">
        <v>1595</v>
      </c>
      <c r="L1116" s="275">
        <v>80</v>
      </c>
      <c r="M1116" s="280">
        <f t="shared" si="35"/>
        <v>2.564102564102564E-2</v>
      </c>
    </row>
    <row r="1117" spans="1:13">
      <c r="A1117" s="275"/>
      <c r="B1117" s="275"/>
      <c r="C1117" s="275"/>
      <c r="D1117" s="275"/>
      <c r="E1117" s="275" t="s">
        <v>479</v>
      </c>
      <c r="F1117" s="275" t="s">
        <v>1596</v>
      </c>
      <c r="G1117" s="278">
        <v>42323.3</v>
      </c>
      <c r="H1117" s="280">
        <f t="shared" si="34"/>
        <v>-3.7066191847791594E-3</v>
      </c>
      <c r="I1117" s="275"/>
      <c r="J1117" s="275" t="s">
        <v>1717</v>
      </c>
      <c r="K1117" s="275" t="s">
        <v>1596</v>
      </c>
      <c r="L1117" s="275">
        <v>78.099999999999994</v>
      </c>
      <c r="M1117" s="280">
        <f t="shared" si="35"/>
        <v>-2.375000000000007E-2</v>
      </c>
    </row>
    <row r="1118" spans="1:13">
      <c r="A1118" s="275"/>
      <c r="B1118" s="275"/>
      <c r="C1118" s="275"/>
      <c r="D1118" s="275"/>
      <c r="E1118" s="275" t="s">
        <v>479</v>
      </c>
      <c r="F1118" s="275" t="s">
        <v>1597</v>
      </c>
      <c r="G1118" s="278">
        <v>41296.239999999998</v>
      </c>
      <c r="H1118" s="280">
        <f t="shared" si="34"/>
        <v>-2.4267011315280352E-2</v>
      </c>
      <c r="I1118" s="275"/>
      <c r="J1118" s="275" t="s">
        <v>1717</v>
      </c>
      <c r="K1118" s="275" t="s">
        <v>1597</v>
      </c>
      <c r="L1118" s="275">
        <v>74.48</v>
      </c>
      <c r="M1118" s="280">
        <f t="shared" si="35"/>
        <v>-4.6350832266325102E-2</v>
      </c>
    </row>
    <row r="1119" spans="1:13">
      <c r="A1119" s="275"/>
      <c r="B1119" s="275"/>
      <c r="C1119" s="275"/>
      <c r="D1119" s="275"/>
      <c r="E1119" s="275" t="s">
        <v>479</v>
      </c>
      <c r="F1119" s="275" t="s">
        <v>1598</v>
      </c>
      <c r="G1119" s="278">
        <v>41904.47</v>
      </c>
      <c r="H1119" s="280">
        <f t="shared" si="34"/>
        <v>1.4728459540142232E-2</v>
      </c>
      <c r="I1119" s="275"/>
      <c r="J1119" s="275" t="s">
        <v>1717</v>
      </c>
      <c r="K1119" s="275" t="s">
        <v>1598</v>
      </c>
      <c r="L1119" s="275">
        <v>74</v>
      </c>
      <c r="M1119" s="280">
        <f t="shared" si="35"/>
        <v>-6.4446831364125129E-3</v>
      </c>
    </row>
    <row r="1120" spans="1:13">
      <c r="A1120" s="275"/>
      <c r="B1120" s="275"/>
      <c r="C1120" s="275"/>
      <c r="D1120" s="275"/>
      <c r="E1120" s="275" t="s">
        <v>479</v>
      </c>
      <c r="F1120" s="275" t="s">
        <v>1599</v>
      </c>
      <c r="G1120" s="278">
        <v>41357.56</v>
      </c>
      <c r="H1120" s="280">
        <f t="shared" si="34"/>
        <v>-1.305135227816993E-2</v>
      </c>
      <c r="I1120" s="275"/>
      <c r="J1120" s="275" t="s">
        <v>1717</v>
      </c>
      <c r="K1120" s="275" t="s">
        <v>1599</v>
      </c>
      <c r="L1120" s="275">
        <v>71.349999999999994</v>
      </c>
      <c r="M1120" s="280">
        <f t="shared" si="35"/>
        <v>-3.5810810810810889E-2</v>
      </c>
    </row>
    <row r="1121" spans="1:13">
      <c r="A1121" s="275"/>
      <c r="B1121" s="275"/>
      <c r="C1121" s="275"/>
      <c r="D1121" s="275"/>
      <c r="E1121" s="275" t="s">
        <v>479</v>
      </c>
      <c r="F1121" s="275" t="s">
        <v>1600</v>
      </c>
      <c r="G1121" s="278">
        <v>42523.07</v>
      </c>
      <c r="H1121" s="280">
        <f t="shared" si="34"/>
        <v>2.8181304699793751E-2</v>
      </c>
      <c r="I1121" s="275"/>
      <c r="J1121" s="275" t="s">
        <v>1717</v>
      </c>
      <c r="K1121" s="275" t="s">
        <v>1600</v>
      </c>
      <c r="L1121" s="275">
        <v>74.150000000000006</v>
      </c>
      <c r="M1121" s="280">
        <f t="shared" si="35"/>
        <v>3.9243167484232816E-2</v>
      </c>
    </row>
    <row r="1122" spans="1:13">
      <c r="A1122" s="275"/>
      <c r="B1122" s="275"/>
      <c r="C1122" s="275"/>
      <c r="D1122" s="275"/>
      <c r="E1122" s="275" t="s">
        <v>479</v>
      </c>
      <c r="F1122" s="275" t="s">
        <v>1601</v>
      </c>
      <c r="G1122" s="278">
        <v>43207.05</v>
      </c>
      <c r="H1122" s="280">
        <f t="shared" si="34"/>
        <v>1.6084915788065236E-2</v>
      </c>
      <c r="I1122" s="275"/>
      <c r="J1122" s="275" t="s">
        <v>1717</v>
      </c>
      <c r="K1122" s="275" t="s">
        <v>1601</v>
      </c>
      <c r="L1122" s="275">
        <v>76.489999999999995</v>
      </c>
      <c r="M1122" s="280">
        <f t="shared" si="35"/>
        <v>3.1557653405259463E-2</v>
      </c>
    </row>
    <row r="1123" spans="1:13">
      <c r="A1123" s="275"/>
      <c r="B1123" s="275"/>
      <c r="C1123" s="275"/>
      <c r="D1123" s="275"/>
      <c r="E1123" s="275" t="s">
        <v>479</v>
      </c>
      <c r="F1123" s="275" t="s">
        <v>1602</v>
      </c>
      <c r="G1123" s="278">
        <v>43218.67</v>
      </c>
      <c r="H1123" s="280">
        <f t="shared" si="34"/>
        <v>2.6893759236039816E-4</v>
      </c>
      <c r="I1123" s="275"/>
      <c r="J1123" s="275" t="s">
        <v>1717</v>
      </c>
      <c r="K1123" s="275" t="s">
        <v>1602</v>
      </c>
      <c r="L1123" s="275">
        <v>76.75</v>
      </c>
      <c r="M1123" s="280">
        <f t="shared" si="35"/>
        <v>3.399137142110147E-3</v>
      </c>
    </row>
    <row r="1124" spans="1:13">
      <c r="A1124" s="275"/>
      <c r="B1124" s="275"/>
      <c r="C1124" s="275"/>
      <c r="D1124" s="275"/>
      <c r="E1124" s="275" t="s">
        <v>479</v>
      </c>
      <c r="F1124" s="275" t="s">
        <v>1603</v>
      </c>
      <c r="G1124" s="278">
        <v>43207.040000000001</v>
      </c>
      <c r="H1124" s="280">
        <f t="shared" si="34"/>
        <v>-2.6909666586216979E-4</v>
      </c>
      <c r="I1124" s="275"/>
      <c r="J1124" s="275" t="s">
        <v>1717</v>
      </c>
      <c r="K1124" s="275" t="s">
        <v>1603</v>
      </c>
      <c r="L1124" s="275">
        <v>77.7</v>
      </c>
      <c r="M1124" s="280">
        <f t="shared" si="35"/>
        <v>1.2377850162866487E-2</v>
      </c>
    </row>
    <row r="1125" spans="1:13">
      <c r="A1125" s="275"/>
      <c r="B1125" s="275"/>
      <c r="C1125" s="275"/>
      <c r="D1125" s="275"/>
      <c r="E1125" s="275" t="s">
        <v>479</v>
      </c>
      <c r="F1125" s="275" t="s">
        <v>1604</v>
      </c>
      <c r="G1125" s="278">
        <v>42993.03</v>
      </c>
      <c r="H1125" s="280">
        <f t="shared" si="34"/>
        <v>-4.9531280087689884E-3</v>
      </c>
      <c r="I1125" s="275"/>
      <c r="J1125" s="275" t="s">
        <v>1717</v>
      </c>
      <c r="K1125" s="275" t="s">
        <v>1604</v>
      </c>
      <c r="L1125" s="275">
        <v>77.3</v>
      </c>
      <c r="M1125" s="280">
        <f t="shared" si="35"/>
        <v>-5.1480051480052207E-3</v>
      </c>
    </row>
    <row r="1126" spans="1:13">
      <c r="A1126" s="275"/>
      <c r="B1126" s="275"/>
      <c r="C1126" s="275"/>
      <c r="D1126" s="275"/>
      <c r="E1126" s="275" t="s">
        <v>479</v>
      </c>
      <c r="F1126" s="275" t="s">
        <v>1605</v>
      </c>
      <c r="G1126" s="278">
        <v>43065.1</v>
      </c>
      <c r="H1126" s="280">
        <f t="shared" si="34"/>
        <v>1.676318231117921E-3</v>
      </c>
      <c r="I1126" s="275"/>
      <c r="J1126" s="275" t="s">
        <v>1717</v>
      </c>
      <c r="K1126" s="275" t="s">
        <v>1605</v>
      </c>
      <c r="L1126" s="275">
        <v>79.209999999999994</v>
      </c>
      <c r="M1126" s="280">
        <f t="shared" si="35"/>
        <v>2.4708926261319489E-2</v>
      </c>
    </row>
    <row r="1127" spans="1:13">
      <c r="A1127" s="275"/>
      <c r="B1127" s="275"/>
      <c r="C1127" s="275"/>
      <c r="D1127" s="275"/>
      <c r="E1127" s="275" t="s">
        <v>479</v>
      </c>
      <c r="F1127" s="275" t="s">
        <v>1606</v>
      </c>
      <c r="G1127" s="278">
        <v>43167.77</v>
      </c>
      <c r="H1127" s="280">
        <f t="shared" si="34"/>
        <v>2.3840650549980902E-3</v>
      </c>
      <c r="I1127" s="275"/>
      <c r="J1127" s="275" t="s">
        <v>1717</v>
      </c>
      <c r="K1127" s="275" t="s">
        <v>1606</v>
      </c>
      <c r="L1127" s="275">
        <v>80</v>
      </c>
      <c r="M1127" s="280">
        <f t="shared" si="35"/>
        <v>9.9734881959349358E-3</v>
      </c>
    </row>
    <row r="1128" spans="1:13">
      <c r="A1128" s="275"/>
      <c r="B1128" s="275"/>
      <c r="C1128" s="275"/>
      <c r="D1128" s="275"/>
      <c r="E1128" s="275" t="s">
        <v>479</v>
      </c>
      <c r="F1128" s="275" t="s">
        <v>1607</v>
      </c>
      <c r="G1128" s="278">
        <v>42747.63</v>
      </c>
      <c r="H1128" s="280">
        <f t="shared" si="34"/>
        <v>-9.7327242060453768E-3</v>
      </c>
      <c r="I1128" s="275"/>
      <c r="J1128" s="275" t="s">
        <v>1717</v>
      </c>
      <c r="K1128" s="275" t="s">
        <v>1607</v>
      </c>
      <c r="L1128" s="275">
        <v>77.55</v>
      </c>
      <c r="M1128" s="280">
        <f t="shared" si="35"/>
        <v>-3.0625000000000034E-2</v>
      </c>
    </row>
    <row r="1129" spans="1:13">
      <c r="A1129" s="275"/>
      <c r="B1129" s="275"/>
      <c r="C1129" s="275"/>
      <c r="D1129" s="275"/>
      <c r="E1129" s="275" t="s">
        <v>479</v>
      </c>
      <c r="F1129" s="275" t="s">
        <v>1608</v>
      </c>
      <c r="G1129" s="278">
        <v>42626.48</v>
      </c>
      <c r="H1129" s="280">
        <f t="shared" si="34"/>
        <v>-2.8340752458088131E-3</v>
      </c>
      <c r="I1129" s="275"/>
      <c r="J1129" s="275" t="s">
        <v>1717</v>
      </c>
      <c r="K1129" s="275" t="s">
        <v>1608</v>
      </c>
      <c r="L1129" s="275">
        <v>77</v>
      </c>
      <c r="M1129" s="280">
        <f t="shared" si="35"/>
        <v>-7.0921985815602471E-3</v>
      </c>
    </row>
    <row r="1130" spans="1:13">
      <c r="A1130" s="275"/>
      <c r="B1130" s="275"/>
      <c r="C1130" s="275"/>
      <c r="D1130" s="275"/>
      <c r="E1130" s="275" t="s">
        <v>479</v>
      </c>
      <c r="F1130" s="275" t="s">
        <v>1609</v>
      </c>
      <c r="G1130" s="278">
        <v>42561.27</v>
      </c>
      <c r="H1130" s="280">
        <f t="shared" si="34"/>
        <v>-1.5298002556159082E-3</v>
      </c>
      <c r="I1130" s="275"/>
      <c r="J1130" s="275" t="s">
        <v>1717</v>
      </c>
      <c r="K1130" s="275" t="s">
        <v>1609</v>
      </c>
      <c r="L1130" s="275">
        <v>80</v>
      </c>
      <c r="M1130" s="280">
        <f t="shared" si="35"/>
        <v>3.896103896103896E-2</v>
      </c>
    </row>
    <row r="1131" spans="1:13">
      <c r="A1131" s="275"/>
      <c r="B1131" s="275"/>
      <c r="C1131" s="275"/>
      <c r="D1131" s="275"/>
      <c r="E1131" s="275" t="s">
        <v>479</v>
      </c>
      <c r="F1131" s="275" t="s">
        <v>1610</v>
      </c>
      <c r="G1131" s="278">
        <v>42506.95</v>
      </c>
      <c r="H1131" s="280">
        <f t="shared" si="34"/>
        <v>-1.2762777050590764E-3</v>
      </c>
      <c r="I1131" s="275"/>
      <c r="J1131" s="275" t="s">
        <v>1717</v>
      </c>
      <c r="K1131" s="275" t="s">
        <v>1610</v>
      </c>
      <c r="L1131" s="275">
        <v>79</v>
      </c>
      <c r="M1131" s="280">
        <f t="shared" si="35"/>
        <v>-1.2500000000000001E-2</v>
      </c>
    </row>
    <row r="1132" spans="1:13">
      <c r="A1132" s="275"/>
      <c r="B1132" s="275"/>
      <c r="C1132" s="275"/>
      <c r="D1132" s="275"/>
      <c r="E1132" s="275" t="s">
        <v>479</v>
      </c>
      <c r="F1132" s="275" t="s">
        <v>1611</v>
      </c>
      <c r="G1132" s="278">
        <v>42633.03</v>
      </c>
      <c r="H1132" s="280">
        <f t="shared" si="34"/>
        <v>2.9661031901842346E-3</v>
      </c>
      <c r="I1132" s="275"/>
      <c r="J1132" s="275" t="s">
        <v>1717</v>
      </c>
      <c r="K1132" s="275" t="s">
        <v>1611</v>
      </c>
      <c r="L1132" s="275">
        <v>83.02</v>
      </c>
      <c r="M1132" s="280">
        <f t="shared" si="35"/>
        <v>5.0886075949367039E-2</v>
      </c>
    </row>
    <row r="1133" spans="1:13">
      <c r="A1133" s="275"/>
      <c r="B1133" s="275"/>
      <c r="C1133" s="275"/>
      <c r="D1133" s="275"/>
      <c r="E1133" s="275" t="s">
        <v>479</v>
      </c>
      <c r="F1133" s="275" t="s">
        <v>1612</v>
      </c>
      <c r="G1133" s="278">
        <v>42539.23</v>
      </c>
      <c r="H1133" s="280">
        <f t="shared" si="34"/>
        <v>-2.2001720262433996E-3</v>
      </c>
      <c r="I1133" s="275"/>
      <c r="J1133" s="275" t="s">
        <v>1717</v>
      </c>
      <c r="K1133" s="275" t="s">
        <v>1612</v>
      </c>
      <c r="L1133" s="275">
        <v>87.58</v>
      </c>
      <c r="M1133" s="280">
        <f t="shared" si="35"/>
        <v>5.4926523729221903E-2</v>
      </c>
    </row>
    <row r="1134" spans="1:13">
      <c r="A1134" s="275"/>
      <c r="B1134" s="275"/>
      <c r="C1134" s="275"/>
      <c r="D1134" s="275"/>
      <c r="E1134" s="275" t="s">
        <v>479</v>
      </c>
      <c r="F1134" s="275" t="s">
        <v>1613</v>
      </c>
      <c r="G1134" s="278">
        <v>42299.19</v>
      </c>
      <c r="H1134" s="280">
        <f t="shared" si="34"/>
        <v>-5.6427913716350971E-3</v>
      </c>
      <c r="I1134" s="275"/>
      <c r="J1134" s="275" t="s">
        <v>1717</v>
      </c>
      <c r="K1134" s="275" t="s">
        <v>1613</v>
      </c>
      <c r="L1134" s="275">
        <v>90.99</v>
      </c>
      <c r="M1134" s="280">
        <f t="shared" si="35"/>
        <v>3.8935830098195894E-2</v>
      </c>
    </row>
    <row r="1135" spans="1:13">
      <c r="A1135" s="275"/>
      <c r="B1135" s="275"/>
      <c r="C1135" s="275"/>
      <c r="D1135" s="275"/>
      <c r="E1135" s="275" t="s">
        <v>479</v>
      </c>
      <c r="F1135" s="275" t="s">
        <v>1614</v>
      </c>
      <c r="G1135" s="278">
        <v>41898.699999999997</v>
      </c>
      <c r="H1135" s="280">
        <f t="shared" si="34"/>
        <v>-9.4680300024658909E-3</v>
      </c>
      <c r="I1135" s="275"/>
      <c r="J1135" s="275" t="s">
        <v>1717</v>
      </c>
      <c r="K1135" s="275" t="s">
        <v>1614</v>
      </c>
      <c r="L1135" s="275">
        <v>88.1</v>
      </c>
      <c r="M1135" s="280">
        <f t="shared" si="35"/>
        <v>-3.1761732058467974E-2</v>
      </c>
    </row>
    <row r="1136" spans="1:13">
      <c r="A1136" s="275"/>
      <c r="B1136" s="275"/>
      <c r="C1136" s="275"/>
      <c r="D1136" s="275"/>
      <c r="E1136" s="275" t="s">
        <v>479</v>
      </c>
      <c r="F1136" s="275" t="s">
        <v>1615</v>
      </c>
      <c r="G1136" s="278">
        <v>41903.51</v>
      </c>
      <c r="H1136" s="280">
        <f t="shared" si="34"/>
        <v>1.1480069787379914E-4</v>
      </c>
      <c r="I1136" s="275"/>
      <c r="J1136" s="275" t="s">
        <v>1717</v>
      </c>
      <c r="K1136" s="275" t="s">
        <v>1615</v>
      </c>
      <c r="L1136" s="275">
        <v>90.5</v>
      </c>
      <c r="M1136" s="280">
        <f t="shared" si="35"/>
        <v>2.7241770715096546E-2</v>
      </c>
    </row>
    <row r="1137" spans="1:13">
      <c r="A1137" s="275"/>
      <c r="B1137" s="275"/>
      <c r="C1137" s="275"/>
      <c r="D1137" s="275"/>
      <c r="E1137" s="275" t="s">
        <v>479</v>
      </c>
      <c r="F1137" s="275" t="s">
        <v>1616</v>
      </c>
      <c r="G1137" s="278">
        <v>41630.94</v>
      </c>
      <c r="H1137" s="280">
        <f t="shared" si="34"/>
        <v>-6.5047056917188961E-3</v>
      </c>
      <c r="I1137" s="275"/>
      <c r="J1137" s="275" t="s">
        <v>1717</v>
      </c>
      <c r="K1137" s="275" t="s">
        <v>1616</v>
      </c>
      <c r="L1137" s="275">
        <v>89.2</v>
      </c>
      <c r="M1137" s="280">
        <f t="shared" si="35"/>
        <v>-1.436464088397787E-2</v>
      </c>
    </row>
    <row r="1138" spans="1:13">
      <c r="A1138" s="275"/>
      <c r="B1138" s="275"/>
      <c r="C1138" s="275"/>
      <c r="D1138" s="275"/>
      <c r="E1138" s="275" t="s">
        <v>479</v>
      </c>
      <c r="F1138" s="275" t="s">
        <v>1617</v>
      </c>
      <c r="G1138" s="278">
        <v>40409.379999999997</v>
      </c>
      <c r="H1138" s="280">
        <f t="shared" si="34"/>
        <v>-2.9342599518531288E-2</v>
      </c>
      <c r="I1138" s="275"/>
      <c r="J1138" s="275" t="s">
        <v>1717</v>
      </c>
      <c r="K1138" s="275" t="s">
        <v>1617</v>
      </c>
      <c r="L1138" s="275">
        <v>87.1</v>
      </c>
      <c r="M1138" s="280">
        <f t="shared" si="35"/>
        <v>-2.3542600896861082E-2</v>
      </c>
    </row>
    <row r="1139" spans="1:13">
      <c r="A1139" s="275"/>
      <c r="B1139" s="275"/>
      <c r="C1139" s="275"/>
      <c r="D1139" s="275"/>
      <c r="E1139" s="275" t="s">
        <v>479</v>
      </c>
      <c r="F1139" s="275" t="s">
        <v>1618</v>
      </c>
      <c r="G1139" s="278">
        <v>40884.25</v>
      </c>
      <c r="H1139" s="280">
        <f t="shared" si="34"/>
        <v>1.1751479483228959E-2</v>
      </c>
      <c r="I1139" s="275"/>
      <c r="J1139" s="275" t="s">
        <v>1717</v>
      </c>
      <c r="K1139" s="275" t="s">
        <v>1618</v>
      </c>
      <c r="L1139" s="275">
        <v>87</v>
      </c>
      <c r="M1139" s="280">
        <f t="shared" si="35"/>
        <v>-1.1481056257175008E-3</v>
      </c>
    </row>
    <row r="1140" spans="1:13">
      <c r="A1140" s="275"/>
      <c r="B1140" s="275"/>
      <c r="C1140" s="275"/>
      <c r="D1140" s="275"/>
      <c r="E1140" s="275" t="s">
        <v>479</v>
      </c>
      <c r="F1140" s="275" t="s">
        <v>1619</v>
      </c>
      <c r="G1140" s="278">
        <v>40724.410000000003</v>
      </c>
      <c r="H1140" s="280">
        <f t="shared" si="34"/>
        <v>-3.9095739802001142E-3</v>
      </c>
      <c r="I1140" s="275"/>
      <c r="J1140" s="275" t="s">
        <v>1717</v>
      </c>
      <c r="K1140" s="275" t="s">
        <v>1619</v>
      </c>
      <c r="L1140" s="275">
        <v>84.61</v>
      </c>
      <c r="M1140" s="280">
        <f t="shared" si="35"/>
        <v>-2.7471264367816099E-2</v>
      </c>
    </row>
    <row r="1141" spans="1:13">
      <c r="A1141" s="275"/>
      <c r="B1141" s="275"/>
      <c r="C1141" s="275"/>
      <c r="D1141" s="275"/>
      <c r="E1141" s="275" t="s">
        <v>479</v>
      </c>
      <c r="F1141" s="275" t="s">
        <v>1620</v>
      </c>
      <c r="G1141" s="278">
        <v>40143.629999999997</v>
      </c>
      <c r="H1141" s="280">
        <f t="shared" si="34"/>
        <v>-1.4261225638382632E-2</v>
      </c>
      <c r="I1141" s="275"/>
      <c r="J1141" s="275" t="s">
        <v>1717</v>
      </c>
      <c r="K1141" s="275" t="s">
        <v>1620</v>
      </c>
      <c r="L1141" s="275">
        <v>83.1</v>
      </c>
      <c r="M1141" s="280">
        <f t="shared" si="35"/>
        <v>-1.7846590237560633E-2</v>
      </c>
    </row>
    <row r="1142" spans="1:13">
      <c r="A1142" s="275"/>
      <c r="B1142" s="275"/>
      <c r="C1142" s="275"/>
      <c r="D1142" s="275"/>
      <c r="E1142" s="275" t="s">
        <v>479</v>
      </c>
      <c r="F1142" s="275" t="s">
        <v>1621</v>
      </c>
      <c r="G1142" s="278">
        <v>39296.699999999997</v>
      </c>
      <c r="H1142" s="280">
        <f t="shared" si="34"/>
        <v>-2.109749417279903E-2</v>
      </c>
      <c r="I1142" s="275"/>
      <c r="J1142" s="275" t="s">
        <v>1717</v>
      </c>
      <c r="K1142" s="275" t="s">
        <v>1621</v>
      </c>
      <c r="L1142" s="275">
        <v>81.010000000000005</v>
      </c>
      <c r="M1142" s="280">
        <f t="shared" si="35"/>
        <v>-2.5150421179301916E-2</v>
      </c>
    </row>
    <row r="1143" spans="1:13">
      <c r="A1143" s="275"/>
      <c r="B1143" s="275"/>
      <c r="C1143" s="275"/>
      <c r="D1143" s="275"/>
      <c r="E1143" s="275" t="s">
        <v>479</v>
      </c>
      <c r="F1143" s="275" t="s">
        <v>1622</v>
      </c>
      <c r="G1143" s="278">
        <v>39714.46</v>
      </c>
      <c r="H1143" s="280">
        <f t="shared" si="34"/>
        <v>1.0630918117806382E-2</v>
      </c>
      <c r="I1143" s="275"/>
      <c r="J1143" s="275" t="s">
        <v>1717</v>
      </c>
      <c r="K1143" s="275" t="s">
        <v>1622</v>
      </c>
      <c r="L1143" s="275">
        <v>85.3</v>
      </c>
      <c r="M1143" s="280">
        <f t="shared" si="35"/>
        <v>5.2956425132699568E-2</v>
      </c>
    </row>
    <row r="1144" spans="1:13">
      <c r="A1144" s="275"/>
      <c r="B1144" s="275"/>
      <c r="C1144" s="275"/>
      <c r="D1144" s="275"/>
      <c r="E1144" s="275" t="s">
        <v>479</v>
      </c>
      <c r="F1144" s="275" t="s">
        <v>1623</v>
      </c>
      <c r="G1144" s="278">
        <v>40531.129999999997</v>
      </c>
      <c r="H1144" s="280">
        <f t="shared" si="34"/>
        <v>2.0563542850639244E-2</v>
      </c>
      <c r="I1144" s="275"/>
      <c r="J1144" s="275" t="s">
        <v>1717</v>
      </c>
      <c r="K1144" s="275" t="s">
        <v>1623</v>
      </c>
      <c r="L1144" s="275">
        <v>89.2</v>
      </c>
      <c r="M1144" s="280">
        <f t="shared" si="35"/>
        <v>4.5720984759671818E-2</v>
      </c>
    </row>
    <row r="1145" spans="1:13">
      <c r="A1145" s="275"/>
      <c r="B1145" s="275"/>
      <c r="C1145" s="275"/>
      <c r="D1145" s="275"/>
      <c r="E1145" s="275" t="s">
        <v>479</v>
      </c>
      <c r="F1145" s="275" t="s">
        <v>1624</v>
      </c>
      <c r="G1145" s="278">
        <v>40455.440000000002</v>
      </c>
      <c r="H1145" s="280">
        <f t="shared" si="34"/>
        <v>-1.867453485752681E-3</v>
      </c>
      <c r="I1145" s="275"/>
      <c r="J1145" s="275" t="s">
        <v>1717</v>
      </c>
      <c r="K1145" s="275" t="s">
        <v>1624</v>
      </c>
      <c r="L1145" s="275">
        <v>91</v>
      </c>
      <c r="M1145" s="280">
        <f t="shared" si="35"/>
        <v>2.0179372197309385E-2</v>
      </c>
    </row>
    <row r="1146" spans="1:13">
      <c r="A1146" s="275"/>
      <c r="B1146" s="275"/>
      <c r="C1146" s="275"/>
      <c r="D1146" s="275"/>
      <c r="E1146" s="275" t="s">
        <v>479</v>
      </c>
      <c r="F1146" s="275" t="s">
        <v>1625</v>
      </c>
      <c r="G1146" s="278">
        <v>40243.26</v>
      </c>
      <c r="H1146" s="280">
        <f t="shared" si="34"/>
        <v>-5.2447829018792101E-3</v>
      </c>
      <c r="I1146" s="275"/>
      <c r="J1146" s="275" t="s">
        <v>1717</v>
      </c>
      <c r="K1146" s="275" t="s">
        <v>1625</v>
      </c>
      <c r="L1146" s="275">
        <v>89.09</v>
      </c>
      <c r="M1146" s="280">
        <f t="shared" si="35"/>
        <v>-2.0989010989010952E-2</v>
      </c>
    </row>
    <row r="1147" spans="1:13">
      <c r="A1147" s="275"/>
      <c r="B1147" s="275"/>
      <c r="C1147" s="275"/>
      <c r="D1147" s="275"/>
      <c r="E1147" s="275" t="s">
        <v>479</v>
      </c>
      <c r="F1147" s="275" t="s">
        <v>1626</v>
      </c>
      <c r="G1147" s="278">
        <v>40276.93</v>
      </c>
      <c r="H1147" s="280">
        <f t="shared" si="34"/>
        <v>8.3666184101383067E-4</v>
      </c>
      <c r="I1147" s="275"/>
      <c r="J1147" s="275" t="s">
        <v>1717</v>
      </c>
      <c r="K1147" s="275" t="s">
        <v>1626</v>
      </c>
      <c r="L1147" s="275">
        <v>91</v>
      </c>
      <c r="M1147" s="280">
        <f t="shared" si="35"/>
        <v>2.1438994275451751E-2</v>
      </c>
    </row>
    <row r="1148" spans="1:13">
      <c r="A1148" s="275"/>
      <c r="B1148" s="275"/>
      <c r="C1148" s="275"/>
      <c r="D1148" s="275"/>
      <c r="E1148" s="275" t="s">
        <v>479</v>
      </c>
      <c r="F1148" s="275" t="s">
        <v>1627</v>
      </c>
      <c r="G1148" s="278">
        <v>40175.35</v>
      </c>
      <c r="H1148" s="280">
        <f t="shared" si="34"/>
        <v>-2.5220392914753371E-3</v>
      </c>
      <c r="I1148" s="275"/>
      <c r="J1148" s="275" t="s">
        <v>1717</v>
      </c>
      <c r="K1148" s="275" t="s">
        <v>1627</v>
      </c>
      <c r="L1148" s="275">
        <v>90</v>
      </c>
      <c r="M1148" s="280">
        <f t="shared" si="35"/>
        <v>-1.098901098901099E-2</v>
      </c>
    </row>
    <row r="1149" spans="1:13">
      <c r="A1149" s="275"/>
      <c r="B1149" s="275"/>
      <c r="C1149" s="275"/>
      <c r="D1149" s="275"/>
      <c r="E1149" s="275" t="s">
        <v>479</v>
      </c>
      <c r="F1149" s="275" t="s">
        <v>1628</v>
      </c>
      <c r="G1149" s="278">
        <v>40574.519999999997</v>
      </c>
      <c r="H1149" s="280">
        <f t="shared" si="34"/>
        <v>9.9356943996753797E-3</v>
      </c>
      <c r="I1149" s="275"/>
      <c r="J1149" s="275" t="s">
        <v>1717</v>
      </c>
      <c r="K1149" s="275" t="s">
        <v>1628</v>
      </c>
      <c r="L1149" s="275">
        <v>92</v>
      </c>
      <c r="M1149" s="280">
        <f t="shared" si="35"/>
        <v>2.2222222222222223E-2</v>
      </c>
    </row>
    <row r="1150" spans="1:13">
      <c r="A1150" s="275"/>
      <c r="B1150" s="275"/>
      <c r="C1150" s="275"/>
      <c r="D1150" s="275"/>
      <c r="E1150" s="275" t="s">
        <v>479</v>
      </c>
      <c r="F1150" s="275" t="s">
        <v>1629</v>
      </c>
      <c r="G1150" s="278">
        <v>40481.65</v>
      </c>
      <c r="H1150" s="280">
        <f t="shared" si="34"/>
        <v>-2.2888748899554537E-3</v>
      </c>
      <c r="I1150" s="275"/>
      <c r="J1150" s="275" t="s">
        <v>1717</v>
      </c>
      <c r="K1150" s="275" t="s">
        <v>1629</v>
      </c>
      <c r="L1150" s="275">
        <v>90.84</v>
      </c>
      <c r="M1150" s="280">
        <f t="shared" si="35"/>
        <v>-1.2608695652173875E-2</v>
      </c>
    </row>
    <row r="1151" spans="1:13">
      <c r="A1151" s="275"/>
      <c r="B1151" s="275"/>
      <c r="C1151" s="275"/>
      <c r="D1151" s="275"/>
      <c r="E1151" s="275" t="s">
        <v>479</v>
      </c>
      <c r="F1151" s="275" t="s">
        <v>1630</v>
      </c>
      <c r="G1151" s="278">
        <v>40249.22</v>
      </c>
      <c r="H1151" s="280">
        <f t="shared" si="34"/>
        <v>-5.7416137929160562E-3</v>
      </c>
      <c r="I1151" s="275"/>
      <c r="J1151" s="275" t="s">
        <v>1717</v>
      </c>
      <c r="K1151" s="275" t="s">
        <v>1630</v>
      </c>
      <c r="L1151" s="275">
        <v>92.95</v>
      </c>
      <c r="M1151" s="280">
        <f t="shared" si="35"/>
        <v>2.3227653016292375E-2</v>
      </c>
    </row>
    <row r="1152" spans="1:13">
      <c r="A1152" s="275"/>
      <c r="B1152" s="275"/>
      <c r="C1152" s="275"/>
      <c r="D1152" s="275"/>
      <c r="E1152" s="275" t="s">
        <v>479</v>
      </c>
      <c r="F1152" s="275" t="s">
        <v>1631</v>
      </c>
      <c r="G1152" s="278">
        <v>39143.730000000003</v>
      </c>
      <c r="H1152" s="280">
        <f t="shared" si="34"/>
        <v>-2.7466122324854941E-2</v>
      </c>
      <c r="I1152" s="275"/>
      <c r="J1152" s="275" t="s">
        <v>1717</v>
      </c>
      <c r="K1152" s="275" t="s">
        <v>1631</v>
      </c>
      <c r="L1152" s="275">
        <v>89.1</v>
      </c>
      <c r="M1152" s="280">
        <f t="shared" si="35"/>
        <v>-4.142011834319536E-2</v>
      </c>
    </row>
    <row r="1153" spans="1:13">
      <c r="A1153" s="275"/>
      <c r="B1153" s="275"/>
      <c r="C1153" s="275"/>
      <c r="D1153" s="275"/>
      <c r="E1153" s="275" t="s">
        <v>479</v>
      </c>
      <c r="F1153" s="275" t="s">
        <v>1632</v>
      </c>
      <c r="G1153" s="278">
        <v>38858.449999999997</v>
      </c>
      <c r="H1153" s="280">
        <f t="shared" si="34"/>
        <v>-7.2880126651191923E-3</v>
      </c>
      <c r="I1153" s="275"/>
      <c r="J1153" s="275" t="s">
        <v>1717</v>
      </c>
      <c r="K1153" s="275" t="s">
        <v>1632</v>
      </c>
      <c r="L1153" s="275">
        <v>95.12</v>
      </c>
      <c r="M1153" s="280">
        <f t="shared" si="35"/>
        <v>6.7564534231201012E-2</v>
      </c>
    </row>
    <row r="1154" spans="1:13">
      <c r="A1154" s="275"/>
      <c r="B1154" s="275"/>
      <c r="C1154" s="275"/>
      <c r="D1154" s="275"/>
      <c r="E1154" s="275" t="s">
        <v>479</v>
      </c>
      <c r="F1154" s="275" t="s">
        <v>1633</v>
      </c>
      <c r="G1154" s="278">
        <v>38338.33</v>
      </c>
      <c r="H1154" s="280">
        <f t="shared" si="34"/>
        <v>-1.3384990909313043E-2</v>
      </c>
      <c r="I1154" s="275"/>
      <c r="J1154" s="275" t="s">
        <v>1717</v>
      </c>
      <c r="K1154" s="275" t="s">
        <v>1633</v>
      </c>
      <c r="L1154" s="275">
        <v>93</v>
      </c>
      <c r="M1154" s="280">
        <f t="shared" si="35"/>
        <v>-2.2287636669470191E-2</v>
      </c>
    </row>
    <row r="1155" spans="1:13">
      <c r="A1155" s="275"/>
      <c r="B1155" s="275"/>
      <c r="C1155" s="275"/>
      <c r="D1155" s="275"/>
      <c r="E1155" s="275" t="s">
        <v>479</v>
      </c>
      <c r="F1155" s="275" t="s">
        <v>1634</v>
      </c>
      <c r="G1155" s="278">
        <v>38087.32</v>
      </c>
      <c r="H1155" s="280">
        <f t="shared" si="34"/>
        <v>-6.5472335388631177E-3</v>
      </c>
      <c r="I1155" s="275"/>
      <c r="J1155" s="275" t="s">
        <v>1717</v>
      </c>
      <c r="K1155" s="275" t="s">
        <v>1634</v>
      </c>
      <c r="L1155" s="275">
        <v>89</v>
      </c>
      <c r="M1155" s="280">
        <f t="shared" si="35"/>
        <v>-4.3010752688172046E-2</v>
      </c>
    </row>
    <row r="1156" spans="1:13">
      <c r="A1156" s="275"/>
      <c r="B1156" s="275"/>
      <c r="C1156" s="275"/>
      <c r="D1156" s="275"/>
      <c r="E1156" s="275" t="s">
        <v>479</v>
      </c>
      <c r="F1156" s="275" t="s">
        <v>1635</v>
      </c>
      <c r="G1156" s="278">
        <v>37983.620000000003</v>
      </c>
      <c r="H1156" s="280">
        <f t="shared" ref="H1156:H1219" si="36">(G1156-G1155)/G1155</f>
        <v>-2.7226909113058383E-3</v>
      </c>
      <c r="I1156" s="275"/>
      <c r="J1156" s="275" t="s">
        <v>1717</v>
      </c>
      <c r="K1156" s="275" t="s">
        <v>1635</v>
      </c>
      <c r="L1156" s="275">
        <v>94.81</v>
      </c>
      <c r="M1156" s="280">
        <f t="shared" ref="M1156:M1219" si="37">(L1156-L1155)/L1155</f>
        <v>6.5280898876404522E-2</v>
      </c>
    </row>
    <row r="1157" spans="1:13">
      <c r="A1157" s="275"/>
      <c r="B1157" s="275"/>
      <c r="C1157" s="275"/>
      <c r="D1157" s="275"/>
      <c r="E1157" s="275" t="s">
        <v>479</v>
      </c>
      <c r="F1157" s="275" t="s">
        <v>1636</v>
      </c>
      <c r="G1157" s="278">
        <v>39296.300000000003</v>
      </c>
      <c r="H1157" s="280">
        <f t="shared" si="36"/>
        <v>3.4559107320471301E-2</v>
      </c>
      <c r="I1157" s="275"/>
      <c r="J1157" s="275" t="s">
        <v>1717</v>
      </c>
      <c r="K1157" s="275" t="s">
        <v>1636</v>
      </c>
      <c r="L1157" s="275">
        <v>101.25</v>
      </c>
      <c r="M1157" s="280">
        <f t="shared" si="37"/>
        <v>6.792532433287625E-2</v>
      </c>
    </row>
    <row r="1158" spans="1:13">
      <c r="A1158" s="275"/>
      <c r="B1158" s="275"/>
      <c r="C1158" s="275"/>
      <c r="D1158" s="275"/>
      <c r="E1158" s="275" t="s">
        <v>479</v>
      </c>
      <c r="F1158" s="275" t="s">
        <v>1637</v>
      </c>
      <c r="G1158" s="278">
        <v>39199.68</v>
      </c>
      <c r="H1158" s="280">
        <f t="shared" si="36"/>
        <v>-2.4587556589297874E-3</v>
      </c>
      <c r="I1158" s="275"/>
      <c r="J1158" s="275" t="s">
        <v>1717</v>
      </c>
      <c r="K1158" s="275" t="s">
        <v>1637</v>
      </c>
      <c r="L1158" s="275">
        <v>105.44</v>
      </c>
      <c r="M1158" s="280">
        <f t="shared" si="37"/>
        <v>4.1382716049382692E-2</v>
      </c>
    </row>
    <row r="1159" spans="1:13">
      <c r="A1159" s="275"/>
      <c r="B1159" s="275"/>
      <c r="C1159" s="275"/>
      <c r="D1159" s="275"/>
      <c r="E1159" s="275" t="s">
        <v>479</v>
      </c>
      <c r="F1159" s="275" t="s">
        <v>1638</v>
      </c>
      <c r="G1159" s="278">
        <v>38906.400000000001</v>
      </c>
      <c r="H1159" s="280">
        <f t="shared" si="36"/>
        <v>-7.4816937281120361E-3</v>
      </c>
      <c r="I1159" s="275"/>
      <c r="J1159" s="275" t="s">
        <v>1717</v>
      </c>
      <c r="K1159" s="275" t="s">
        <v>1638</v>
      </c>
      <c r="L1159" s="275">
        <v>111.69</v>
      </c>
      <c r="M1159" s="280">
        <f t="shared" si="37"/>
        <v>5.9275417298937788E-2</v>
      </c>
    </row>
    <row r="1160" spans="1:13">
      <c r="A1160" s="275"/>
      <c r="B1160" s="275"/>
      <c r="C1160" s="275"/>
      <c r="D1160" s="275"/>
      <c r="E1160" s="275" t="s">
        <v>479</v>
      </c>
      <c r="F1160" s="275" t="s">
        <v>1639</v>
      </c>
      <c r="G1160" s="278">
        <v>39382.11</v>
      </c>
      <c r="H1160" s="280">
        <f t="shared" si="36"/>
        <v>1.2227037196965001E-2</v>
      </c>
      <c r="I1160" s="275"/>
      <c r="J1160" s="275" t="s">
        <v>1717</v>
      </c>
      <c r="K1160" s="275" t="s">
        <v>1639</v>
      </c>
      <c r="L1160" s="275">
        <v>119.28</v>
      </c>
      <c r="M1160" s="280">
        <f t="shared" si="37"/>
        <v>6.7955949503088933E-2</v>
      </c>
    </row>
    <row r="1161" spans="1:13">
      <c r="A1161" s="275"/>
      <c r="B1161" s="275"/>
      <c r="C1161" s="275"/>
      <c r="D1161" s="275"/>
      <c r="E1161" s="275" t="s">
        <v>479</v>
      </c>
      <c r="F1161" s="275" t="s">
        <v>1640</v>
      </c>
      <c r="G1161" s="278">
        <v>38219.67</v>
      </c>
      <c r="H1161" s="280">
        <f t="shared" si="36"/>
        <v>-2.9516955795410717E-2</v>
      </c>
      <c r="I1161" s="275"/>
      <c r="J1161" s="275" t="s">
        <v>1717</v>
      </c>
      <c r="K1161" s="275" t="s">
        <v>1640</v>
      </c>
      <c r="L1161" s="275">
        <v>111.03</v>
      </c>
      <c r="M1161" s="280">
        <f t="shared" si="37"/>
        <v>-6.9164989939637822E-2</v>
      </c>
    </row>
    <row r="1162" spans="1:13">
      <c r="A1162" s="275"/>
      <c r="B1162" s="275"/>
      <c r="C1162" s="275"/>
      <c r="D1162" s="275"/>
      <c r="E1162" s="275" t="s">
        <v>479</v>
      </c>
      <c r="F1162" s="275" t="s">
        <v>1641</v>
      </c>
      <c r="G1162" s="278">
        <v>37058.949999999997</v>
      </c>
      <c r="H1162" s="280">
        <f t="shared" si="36"/>
        <v>-3.0369702302505523E-2</v>
      </c>
      <c r="I1162" s="275"/>
      <c r="J1162" s="275" t="s">
        <v>1717</v>
      </c>
      <c r="K1162" s="275" t="s">
        <v>1641</v>
      </c>
      <c r="L1162" s="275">
        <v>118.8</v>
      </c>
      <c r="M1162" s="280">
        <f t="shared" si="37"/>
        <v>6.9981086192920802E-2</v>
      </c>
    </row>
    <row r="1163" spans="1:13">
      <c r="A1163" s="275"/>
      <c r="B1163" s="275"/>
      <c r="C1163" s="275"/>
      <c r="D1163" s="275"/>
      <c r="E1163" s="275" t="s">
        <v>479</v>
      </c>
      <c r="F1163" s="275" t="s">
        <v>1642</v>
      </c>
      <c r="G1163" s="278">
        <v>37695.75</v>
      </c>
      <c r="H1163" s="280">
        <f t="shared" si="36"/>
        <v>1.7183433421616181E-2</v>
      </c>
      <c r="I1163" s="275"/>
      <c r="J1163" s="275" t="s">
        <v>1717</v>
      </c>
      <c r="K1163" s="275" t="s">
        <v>1642</v>
      </c>
      <c r="L1163" s="275">
        <v>126</v>
      </c>
      <c r="M1163" s="280">
        <f t="shared" si="37"/>
        <v>6.0606060606060629E-2</v>
      </c>
    </row>
    <row r="1164" spans="1:13">
      <c r="A1164" s="275"/>
      <c r="B1164" s="275"/>
      <c r="C1164" s="275"/>
      <c r="D1164" s="275"/>
      <c r="E1164" s="275" t="s">
        <v>479</v>
      </c>
      <c r="F1164" s="275" t="s">
        <v>1643</v>
      </c>
      <c r="G1164" s="278">
        <v>37673.25</v>
      </c>
      <c r="H1164" s="280">
        <f t="shared" si="36"/>
        <v>-5.9688426414118299E-4</v>
      </c>
      <c r="I1164" s="275"/>
      <c r="J1164" s="275" t="s">
        <v>1717</v>
      </c>
      <c r="K1164" s="275" t="s">
        <v>1643</v>
      </c>
      <c r="L1164" s="275">
        <v>125</v>
      </c>
      <c r="M1164" s="280">
        <f t="shared" si="37"/>
        <v>-7.9365079365079361E-3</v>
      </c>
    </row>
    <row r="1165" spans="1:13">
      <c r="A1165" s="275"/>
      <c r="B1165" s="275"/>
      <c r="C1165" s="275"/>
      <c r="D1165" s="275"/>
      <c r="E1165" s="275" t="s">
        <v>479</v>
      </c>
      <c r="F1165" s="275" t="s">
        <v>1644</v>
      </c>
      <c r="G1165" s="278">
        <v>35956.69</v>
      </c>
      <c r="H1165" s="280">
        <f t="shared" si="36"/>
        <v>-4.55644256866609E-2</v>
      </c>
      <c r="I1165" s="275"/>
      <c r="J1165" s="275" t="s">
        <v>1717</v>
      </c>
      <c r="K1165" s="275" t="s">
        <v>1644</v>
      </c>
      <c r="L1165" s="275">
        <v>116.57</v>
      </c>
      <c r="M1165" s="280">
        <f t="shared" si="37"/>
        <v>-6.7440000000000055E-2</v>
      </c>
    </row>
    <row r="1166" spans="1:13">
      <c r="A1166" s="275"/>
      <c r="B1166" s="275"/>
      <c r="C1166" s="275"/>
      <c r="D1166" s="275"/>
      <c r="E1166" s="275" t="s">
        <v>479</v>
      </c>
      <c r="F1166" s="275" t="s">
        <v>1645</v>
      </c>
      <c r="G1166" s="278">
        <v>36060.879999999997</v>
      </c>
      <c r="H1166" s="280">
        <f t="shared" si="36"/>
        <v>2.8976527038499663E-3</v>
      </c>
      <c r="I1166" s="275"/>
      <c r="J1166" s="275" t="s">
        <v>1717</v>
      </c>
      <c r="K1166" s="275" t="s">
        <v>1645</v>
      </c>
      <c r="L1166" s="275">
        <v>123.11</v>
      </c>
      <c r="M1166" s="280">
        <f t="shared" si="37"/>
        <v>5.6103628720940261E-2</v>
      </c>
    </row>
    <row r="1167" spans="1:13">
      <c r="A1167" s="275"/>
      <c r="B1167" s="275"/>
      <c r="C1167" s="275"/>
      <c r="D1167" s="275"/>
      <c r="E1167" s="275" t="s">
        <v>479</v>
      </c>
      <c r="F1167" s="275" t="s">
        <v>1646</v>
      </c>
      <c r="G1167" s="278">
        <v>33684.910000000003</v>
      </c>
      <c r="H1167" s="280">
        <f t="shared" si="36"/>
        <v>-6.5887743172102123E-2</v>
      </c>
      <c r="I1167" s="275"/>
      <c r="J1167" s="275" t="s">
        <v>1717</v>
      </c>
      <c r="K1167" s="275" t="s">
        <v>1646</v>
      </c>
      <c r="L1167" s="275">
        <v>113.88</v>
      </c>
      <c r="M1167" s="280">
        <f t="shared" si="37"/>
        <v>-7.4973600844773003E-2</v>
      </c>
    </row>
    <row r="1168" spans="1:13">
      <c r="A1168" s="275"/>
      <c r="B1168" s="275"/>
      <c r="C1168" s="275"/>
      <c r="D1168" s="275"/>
      <c r="E1168" s="275" t="s">
        <v>479</v>
      </c>
      <c r="F1168" s="275" t="s">
        <v>1647</v>
      </c>
      <c r="G1168" s="278">
        <v>32616.93</v>
      </c>
      <c r="H1168" s="280">
        <f t="shared" si="36"/>
        <v>-3.1704997875903577E-2</v>
      </c>
      <c r="I1168" s="275"/>
      <c r="J1168" s="275" t="s">
        <v>1717</v>
      </c>
      <c r="K1168" s="275" t="s">
        <v>1647</v>
      </c>
      <c r="L1168" s="275">
        <v>116</v>
      </c>
      <c r="M1168" s="280">
        <f t="shared" si="37"/>
        <v>1.8616087109237834E-2</v>
      </c>
    </row>
    <row r="1169" spans="1:13">
      <c r="A1169" s="275"/>
      <c r="B1169" s="275"/>
      <c r="C1169" s="275"/>
      <c r="D1169" s="275"/>
      <c r="E1169" s="275" t="s">
        <v>479</v>
      </c>
      <c r="F1169" s="275" t="s">
        <v>1648</v>
      </c>
      <c r="G1169" s="278">
        <v>30416.05</v>
      </c>
      <c r="H1169" s="280">
        <f t="shared" si="36"/>
        <v>-6.7476614138731045E-2</v>
      </c>
      <c r="I1169" s="275"/>
      <c r="J1169" s="275" t="s">
        <v>1717</v>
      </c>
      <c r="K1169" s="275" t="s">
        <v>1648</v>
      </c>
      <c r="L1169" s="275">
        <v>107.26</v>
      </c>
      <c r="M1169" s="280">
        <f t="shared" si="37"/>
        <v>-7.534482758620685E-2</v>
      </c>
    </row>
    <row r="1170" spans="1:13">
      <c r="A1170" s="275"/>
      <c r="B1170" s="275"/>
      <c r="C1170" s="275"/>
      <c r="D1170" s="275"/>
      <c r="E1170" s="275" t="s">
        <v>479</v>
      </c>
      <c r="F1170" s="275" t="s">
        <v>1649</v>
      </c>
      <c r="G1170" s="278">
        <v>30129.83</v>
      </c>
      <c r="H1170" s="280">
        <f t="shared" si="36"/>
        <v>-9.4101633841342826E-3</v>
      </c>
      <c r="I1170" s="275"/>
      <c r="J1170" s="275" t="s">
        <v>1717</v>
      </c>
      <c r="K1170" s="275" t="s">
        <v>1649</v>
      </c>
      <c r="L1170" s="275">
        <v>99.22</v>
      </c>
      <c r="M1170" s="280">
        <f t="shared" si="37"/>
        <v>-7.4958045869849013E-2</v>
      </c>
    </row>
    <row r="1171" spans="1:13">
      <c r="A1171" s="275"/>
      <c r="B1171" s="275"/>
      <c r="C1171" s="275"/>
      <c r="D1171" s="275"/>
      <c r="E1171" s="275" t="s">
        <v>479</v>
      </c>
      <c r="F1171" s="275" t="s">
        <v>1650</v>
      </c>
      <c r="G1171" s="278">
        <v>30667.41</v>
      </c>
      <c r="H1171" s="280">
        <f t="shared" si="36"/>
        <v>1.7842118591442371E-2</v>
      </c>
      <c r="I1171" s="275"/>
      <c r="J1171" s="275" t="s">
        <v>1717</v>
      </c>
      <c r="K1171" s="275" t="s">
        <v>1650</v>
      </c>
      <c r="L1171" s="275">
        <v>91.78</v>
      </c>
      <c r="M1171" s="280">
        <f t="shared" si="37"/>
        <v>-7.4984882080225745E-2</v>
      </c>
    </row>
    <row r="1172" spans="1:13">
      <c r="A1172" s="275"/>
      <c r="B1172" s="275"/>
      <c r="C1172" s="275"/>
      <c r="D1172" s="275"/>
      <c r="E1172" s="275" t="s">
        <v>479</v>
      </c>
      <c r="F1172" s="275" t="s">
        <v>1651</v>
      </c>
      <c r="G1172" s="278">
        <v>28564.83</v>
      </c>
      <c r="H1172" s="280">
        <f t="shared" si="36"/>
        <v>-6.8560729451883878E-2</v>
      </c>
      <c r="I1172" s="275"/>
      <c r="J1172" s="275" t="s">
        <v>1717</v>
      </c>
      <c r="K1172" s="275" t="s">
        <v>1651</v>
      </c>
      <c r="L1172" s="275">
        <v>84.9</v>
      </c>
      <c r="M1172" s="280">
        <f t="shared" si="37"/>
        <v>-7.496186533013724E-2</v>
      </c>
    </row>
    <row r="1173" spans="1:13">
      <c r="A1173" s="275"/>
      <c r="B1173" s="275"/>
      <c r="C1173" s="275"/>
      <c r="D1173" s="275"/>
      <c r="E1173" s="275" t="s">
        <v>479</v>
      </c>
      <c r="F1173" s="275" t="s">
        <v>1652</v>
      </c>
      <c r="G1173" s="278">
        <v>27228.799999999999</v>
      </c>
      <c r="H1173" s="280">
        <f t="shared" si="36"/>
        <v>-4.6771851959210062E-2</v>
      </c>
      <c r="I1173" s="275"/>
      <c r="J1173" s="275" t="s">
        <v>1717</v>
      </c>
      <c r="K1173" s="275" t="s">
        <v>1652</v>
      </c>
      <c r="L1173" s="275">
        <v>78.540000000000006</v>
      </c>
      <c r="M1173" s="280">
        <f t="shared" si="37"/>
        <v>-7.4911660777385147E-2</v>
      </c>
    </row>
    <row r="1174" spans="1:13">
      <c r="A1174" s="275"/>
      <c r="B1174" s="275"/>
      <c r="C1174" s="275"/>
      <c r="D1174" s="275"/>
      <c r="E1174" s="275" t="s">
        <v>479</v>
      </c>
      <c r="F1174" s="275" t="s">
        <v>1653</v>
      </c>
      <c r="G1174" s="278">
        <v>27267.200000000001</v>
      </c>
      <c r="H1174" s="280">
        <f t="shared" si="36"/>
        <v>1.4102714772594258E-3</v>
      </c>
      <c r="I1174" s="275"/>
      <c r="J1174" s="275" t="s">
        <v>1717</v>
      </c>
      <c r="K1174" s="275" t="s">
        <v>1653</v>
      </c>
      <c r="L1174" s="275">
        <v>72.650000000000006</v>
      </c>
      <c r="M1174" s="280">
        <f t="shared" si="37"/>
        <v>-7.499363381716323E-2</v>
      </c>
    </row>
    <row r="1175" spans="1:13">
      <c r="A1175" s="275"/>
      <c r="B1175" s="275"/>
      <c r="C1175" s="275"/>
      <c r="D1175" s="275"/>
      <c r="E1175" s="275" t="s">
        <v>479</v>
      </c>
      <c r="F1175" s="275" t="s">
        <v>1654</v>
      </c>
      <c r="G1175" s="278">
        <v>28109.57</v>
      </c>
      <c r="H1175" s="280">
        <f t="shared" si="36"/>
        <v>3.089316101396546E-2</v>
      </c>
      <c r="I1175" s="275"/>
      <c r="J1175" s="275" t="s">
        <v>1717</v>
      </c>
      <c r="K1175" s="275" t="s">
        <v>1654</v>
      </c>
      <c r="L1175" s="275">
        <v>78.09</v>
      </c>
      <c r="M1175" s="280">
        <f t="shared" si="37"/>
        <v>7.4879559532002718E-2</v>
      </c>
    </row>
    <row r="1176" spans="1:13">
      <c r="A1176" s="275"/>
      <c r="B1176" s="275"/>
      <c r="C1176" s="275"/>
      <c r="D1176" s="275"/>
      <c r="E1176" s="275" t="s">
        <v>479</v>
      </c>
      <c r="F1176" s="275" t="s">
        <v>1655</v>
      </c>
      <c r="G1176" s="278">
        <v>28023.39</v>
      </c>
      <c r="H1176" s="280">
        <f t="shared" si="36"/>
        <v>-3.0658597765814378E-3</v>
      </c>
      <c r="I1176" s="275"/>
      <c r="J1176" s="275" t="s">
        <v>1717</v>
      </c>
      <c r="K1176" s="275" t="s">
        <v>1655</v>
      </c>
      <c r="L1176" s="275">
        <v>81.17</v>
      </c>
      <c r="M1176" s="280">
        <f t="shared" si="37"/>
        <v>3.9441669868100888E-2</v>
      </c>
    </row>
    <row r="1177" spans="1:13">
      <c r="A1177" s="275"/>
      <c r="B1177" s="275"/>
      <c r="C1177" s="275"/>
      <c r="D1177" s="275"/>
      <c r="E1177" s="275" t="s">
        <v>479</v>
      </c>
      <c r="F1177" s="275" t="s">
        <v>1656</v>
      </c>
      <c r="G1177" s="278">
        <v>29231.63</v>
      </c>
      <c r="H1177" s="280">
        <f t="shared" si="36"/>
        <v>4.3115411804210753E-2</v>
      </c>
      <c r="I1177" s="275"/>
      <c r="J1177" s="275" t="s">
        <v>1717</v>
      </c>
      <c r="K1177" s="275" t="s">
        <v>1656</v>
      </c>
      <c r="L1177" s="275">
        <v>87.25</v>
      </c>
      <c r="M1177" s="280">
        <f t="shared" si="37"/>
        <v>7.4904521374892175E-2</v>
      </c>
    </row>
    <row r="1178" spans="1:13">
      <c r="A1178" s="275"/>
      <c r="B1178" s="275"/>
      <c r="C1178" s="275"/>
      <c r="D1178" s="275"/>
      <c r="E1178" s="275" t="s">
        <v>479</v>
      </c>
      <c r="F1178" s="275" t="s">
        <v>1657</v>
      </c>
      <c r="G1178" s="278">
        <v>29505.57</v>
      </c>
      <c r="H1178" s="280">
        <f t="shared" si="36"/>
        <v>9.3713556171858593E-3</v>
      </c>
      <c r="I1178" s="275"/>
      <c r="J1178" s="275" t="s">
        <v>1717</v>
      </c>
      <c r="K1178" s="275" t="s">
        <v>1657</v>
      </c>
      <c r="L1178" s="275">
        <v>93.79</v>
      </c>
      <c r="M1178" s="280">
        <f t="shared" si="37"/>
        <v>7.4957020057306659E-2</v>
      </c>
    </row>
    <row r="1179" spans="1:13">
      <c r="A1179" s="275"/>
      <c r="B1179" s="275"/>
      <c r="C1179" s="275"/>
      <c r="D1179" s="275"/>
      <c r="E1179" s="275" t="s">
        <v>479</v>
      </c>
      <c r="F1179" s="275" t="s">
        <v>1658</v>
      </c>
      <c r="G1179" s="278">
        <v>30782.66</v>
      </c>
      <c r="H1179" s="280">
        <f t="shared" si="36"/>
        <v>4.3283014020742527E-2</v>
      </c>
      <c r="I1179" s="275"/>
      <c r="J1179" s="275" t="s">
        <v>1717</v>
      </c>
      <c r="K1179" s="275" t="s">
        <v>1658</v>
      </c>
      <c r="L1179" s="275">
        <v>100.29</v>
      </c>
      <c r="M1179" s="280">
        <f t="shared" si="37"/>
        <v>6.9303763727476278E-2</v>
      </c>
    </row>
    <row r="1180" spans="1:13">
      <c r="A1180" s="275"/>
      <c r="B1180" s="275"/>
      <c r="C1180" s="275"/>
      <c r="D1180" s="275"/>
      <c r="E1180" s="275" t="s">
        <v>479</v>
      </c>
      <c r="F1180" s="275" t="s">
        <v>1659</v>
      </c>
      <c r="G1180" s="278">
        <v>31621.79</v>
      </c>
      <c r="H1180" s="280">
        <f t="shared" si="36"/>
        <v>2.7259827448310219E-2</v>
      </c>
      <c r="I1180" s="275"/>
      <c r="J1180" s="275" t="s">
        <v>1717</v>
      </c>
      <c r="K1180" s="275" t="s">
        <v>1659</v>
      </c>
      <c r="L1180" s="275">
        <v>107.81</v>
      </c>
      <c r="M1180" s="280">
        <f t="shared" si="37"/>
        <v>7.4982550603250528E-2</v>
      </c>
    </row>
    <row r="1181" spans="1:13">
      <c r="A1181" s="275"/>
      <c r="B1181" s="275"/>
      <c r="C1181" s="275"/>
      <c r="D1181" s="275"/>
      <c r="E1181" s="275" t="s">
        <v>479</v>
      </c>
      <c r="F1181" s="275" t="s">
        <v>1660</v>
      </c>
      <c r="G1181" s="278">
        <v>30579.15</v>
      </c>
      <c r="H1181" s="280">
        <f t="shared" si="36"/>
        <v>-3.2972200498453737E-2</v>
      </c>
      <c r="I1181" s="275"/>
      <c r="J1181" s="275" t="s">
        <v>1717</v>
      </c>
      <c r="K1181" s="275" t="s">
        <v>1660</v>
      </c>
      <c r="L1181" s="275">
        <v>103.5</v>
      </c>
      <c r="M1181" s="280">
        <f t="shared" si="37"/>
        <v>-3.9977738614228757E-2</v>
      </c>
    </row>
    <row r="1182" spans="1:13">
      <c r="A1182" s="275"/>
      <c r="B1182" s="275"/>
      <c r="C1182" s="275"/>
      <c r="D1182" s="275"/>
      <c r="E1182" s="275" t="s">
        <v>479</v>
      </c>
      <c r="F1182" s="275" t="s">
        <v>1661</v>
      </c>
      <c r="G1182" s="278">
        <v>31231.55</v>
      </c>
      <c r="H1182" s="280">
        <f t="shared" si="36"/>
        <v>2.1334798383866059E-2</v>
      </c>
      <c r="I1182" s="275"/>
      <c r="J1182" s="275" t="s">
        <v>1717</v>
      </c>
      <c r="K1182" s="275" t="s">
        <v>1661</v>
      </c>
      <c r="L1182" s="275">
        <v>111.11</v>
      </c>
      <c r="M1182" s="280">
        <f t="shared" si="37"/>
        <v>7.3526570048309176E-2</v>
      </c>
    </row>
    <row r="1183" spans="1:13">
      <c r="A1183" s="275"/>
      <c r="B1183" s="275"/>
      <c r="C1183" s="275"/>
      <c r="D1183" s="275"/>
      <c r="E1183" s="275" t="s">
        <v>479</v>
      </c>
      <c r="F1183" s="275" t="s">
        <v>1662</v>
      </c>
      <c r="G1183" s="278">
        <v>30971.27</v>
      </c>
      <c r="H1183" s="280">
        <f t="shared" si="36"/>
        <v>-8.3338803229426276E-3</v>
      </c>
      <c r="I1183" s="275"/>
      <c r="J1183" s="275" t="s">
        <v>1717</v>
      </c>
      <c r="K1183" s="275" t="s">
        <v>1662</v>
      </c>
      <c r="L1183" s="275">
        <v>115.5</v>
      </c>
      <c r="M1183" s="280">
        <f t="shared" si="37"/>
        <v>3.9510395103951046E-2</v>
      </c>
    </row>
    <row r="1184" spans="1:13">
      <c r="A1184" s="275"/>
      <c r="B1184" s="275"/>
      <c r="C1184" s="275"/>
      <c r="D1184" s="275"/>
      <c r="E1184" s="275" t="s">
        <v>479</v>
      </c>
      <c r="F1184" s="275" t="s">
        <v>1663</v>
      </c>
      <c r="G1184" s="278">
        <v>31837.3</v>
      </c>
      <c r="H1184" s="280">
        <f t="shared" si="36"/>
        <v>2.7962366412484823E-2</v>
      </c>
      <c r="I1184" s="275"/>
      <c r="J1184" s="275" t="s">
        <v>1717</v>
      </c>
      <c r="K1184" s="275" t="s">
        <v>1663</v>
      </c>
      <c r="L1184" s="275">
        <v>124</v>
      </c>
      <c r="M1184" s="280">
        <f t="shared" si="37"/>
        <v>7.3593073593073599E-2</v>
      </c>
    </row>
    <row r="1185" spans="1:13">
      <c r="A1185" s="275"/>
      <c r="B1185" s="275"/>
      <c r="C1185" s="275"/>
      <c r="D1185" s="275"/>
      <c r="E1185" s="275" t="s">
        <v>479</v>
      </c>
      <c r="F1185" s="275" t="s">
        <v>1664</v>
      </c>
      <c r="G1185" s="278">
        <v>32033.200000000001</v>
      </c>
      <c r="H1185" s="280">
        <f t="shared" si="36"/>
        <v>6.1531599727364271E-3</v>
      </c>
      <c r="I1185" s="275"/>
      <c r="J1185" s="275" t="s">
        <v>1717</v>
      </c>
      <c r="K1185" s="275" t="s">
        <v>1664</v>
      </c>
      <c r="L1185" s="275">
        <v>116.7</v>
      </c>
      <c r="M1185" s="280">
        <f t="shared" si="37"/>
        <v>-5.8870967741935461E-2</v>
      </c>
    </row>
    <row r="1186" spans="1:13">
      <c r="A1186" s="275"/>
      <c r="B1186" s="275"/>
      <c r="C1186" s="275"/>
      <c r="D1186" s="275"/>
      <c r="E1186" s="275" t="s">
        <v>479</v>
      </c>
      <c r="F1186" s="275" t="s">
        <v>1665</v>
      </c>
      <c r="G1186" s="278">
        <v>31032.99</v>
      </c>
      <c r="H1186" s="280">
        <f t="shared" si="36"/>
        <v>-3.1224167426295191E-2</v>
      </c>
      <c r="I1186" s="275"/>
      <c r="J1186" s="275" t="s">
        <v>1717</v>
      </c>
      <c r="K1186" s="275" t="s">
        <v>1665</v>
      </c>
      <c r="L1186" s="275">
        <v>113.38</v>
      </c>
      <c r="M1186" s="280">
        <f t="shared" si="37"/>
        <v>-2.8449014567266558E-2</v>
      </c>
    </row>
    <row r="1187" spans="1:13">
      <c r="A1187" s="275"/>
      <c r="B1187" s="275"/>
      <c r="C1187" s="275"/>
      <c r="D1187" s="275"/>
      <c r="E1187" s="275" t="s">
        <v>479</v>
      </c>
      <c r="F1187" s="275" t="s">
        <v>1666</v>
      </c>
      <c r="G1187" s="278">
        <v>31222.74</v>
      </c>
      <c r="H1187" s="280">
        <f t="shared" si="36"/>
        <v>6.1144607722298109E-3</v>
      </c>
      <c r="I1187" s="275"/>
      <c r="J1187" s="275" t="s">
        <v>1717</v>
      </c>
      <c r="K1187" s="275" t="s">
        <v>1666</v>
      </c>
      <c r="L1187" s="275">
        <v>115.5</v>
      </c>
      <c r="M1187" s="280">
        <f t="shared" si="37"/>
        <v>1.8698183101076068E-2</v>
      </c>
    </row>
    <row r="1188" spans="1:13">
      <c r="A1188" s="275"/>
      <c r="B1188" s="275"/>
      <c r="C1188" s="275"/>
      <c r="D1188" s="275"/>
      <c r="E1188" s="275" t="s">
        <v>479</v>
      </c>
      <c r="F1188" s="275" t="s">
        <v>1667</v>
      </c>
      <c r="G1188" s="278">
        <v>31242.19</v>
      </c>
      <c r="H1188" s="280">
        <f t="shared" si="36"/>
        <v>6.2294340599182158E-4</v>
      </c>
      <c r="I1188" s="275"/>
      <c r="J1188" s="275" t="s">
        <v>1717</v>
      </c>
      <c r="K1188" s="275" t="s">
        <v>1667</v>
      </c>
      <c r="L1188" s="275">
        <v>116.85</v>
      </c>
      <c r="M1188" s="280">
        <f t="shared" si="37"/>
        <v>1.1688311688311638E-2</v>
      </c>
    </row>
    <row r="1189" spans="1:13">
      <c r="A1189" s="275"/>
      <c r="B1189" s="275"/>
      <c r="C1189" s="275"/>
      <c r="D1189" s="275"/>
      <c r="E1189" s="275" t="s">
        <v>479</v>
      </c>
      <c r="F1189" s="275" t="s">
        <v>1668</v>
      </c>
      <c r="G1189" s="278">
        <v>31329.46</v>
      </c>
      <c r="H1189" s="280">
        <f t="shared" si="36"/>
        <v>2.7933381110607303E-3</v>
      </c>
      <c r="I1189" s="275"/>
      <c r="J1189" s="275" t="s">
        <v>1717</v>
      </c>
      <c r="K1189" s="275" t="s">
        <v>1668</v>
      </c>
      <c r="L1189" s="275">
        <v>118.02</v>
      </c>
      <c r="M1189" s="280">
        <f t="shared" si="37"/>
        <v>1.0012836970474982E-2</v>
      </c>
    </row>
    <row r="1190" spans="1:13">
      <c r="A1190" s="275"/>
      <c r="B1190" s="275"/>
      <c r="C1190" s="275"/>
      <c r="D1190" s="275"/>
      <c r="E1190" s="275" t="s">
        <v>479</v>
      </c>
      <c r="F1190" s="275" t="s">
        <v>1669</v>
      </c>
      <c r="G1190" s="278">
        <v>32831.83</v>
      </c>
      <c r="H1190" s="280">
        <f t="shared" si="36"/>
        <v>4.7953906642502063E-2</v>
      </c>
      <c r="I1190" s="275"/>
      <c r="J1190" s="275" t="s">
        <v>1717</v>
      </c>
      <c r="K1190" s="275" t="s">
        <v>1669</v>
      </c>
      <c r="L1190" s="275">
        <v>127.29</v>
      </c>
      <c r="M1190" s="280">
        <f t="shared" si="37"/>
        <v>7.8546009150991442E-2</v>
      </c>
    </row>
    <row r="1191" spans="1:13">
      <c r="A1191" s="275"/>
      <c r="B1191" s="275"/>
      <c r="C1191" s="275"/>
      <c r="D1191" s="275"/>
      <c r="E1191" s="275" t="s">
        <v>479</v>
      </c>
      <c r="F1191" s="275" t="s">
        <v>1670</v>
      </c>
      <c r="G1191" s="278">
        <v>33499.65</v>
      </c>
      <c r="H1191" s="280">
        <f t="shared" si="36"/>
        <v>2.0340626763722877E-2</v>
      </c>
      <c r="I1191" s="275"/>
      <c r="J1191" s="275" t="s">
        <v>1717</v>
      </c>
      <c r="K1191" s="275" t="s">
        <v>1670</v>
      </c>
      <c r="L1191" s="275">
        <v>136.83000000000001</v>
      </c>
      <c r="M1191" s="280">
        <f t="shared" si="37"/>
        <v>7.4946971482441713E-2</v>
      </c>
    </row>
    <row r="1192" spans="1:13">
      <c r="A1192" s="275"/>
      <c r="B1192" s="275"/>
      <c r="C1192" s="275"/>
      <c r="D1192" s="275"/>
      <c r="E1192" s="275" t="s">
        <v>479</v>
      </c>
      <c r="F1192" s="275" t="s">
        <v>1671</v>
      </c>
      <c r="G1192" s="278">
        <v>32422.83</v>
      </c>
      <c r="H1192" s="280">
        <f t="shared" si="36"/>
        <v>-3.2144216432111967E-2</v>
      </c>
      <c r="I1192" s="275"/>
      <c r="J1192" s="275" t="s">
        <v>1717</v>
      </c>
      <c r="K1192" s="275" t="s">
        <v>1671</v>
      </c>
      <c r="L1192" s="275">
        <v>146.1</v>
      </c>
      <c r="M1192" s="280">
        <f t="shared" si="37"/>
        <v>6.7748300811225473E-2</v>
      </c>
    </row>
    <row r="1193" spans="1:13">
      <c r="A1193" s="275"/>
      <c r="B1193" s="275"/>
      <c r="C1193" s="275"/>
      <c r="D1193" s="275"/>
      <c r="E1193" s="275" t="s">
        <v>479</v>
      </c>
      <c r="F1193" s="275" t="s">
        <v>1672</v>
      </c>
      <c r="G1193" s="278">
        <v>32464.23</v>
      </c>
      <c r="H1193" s="280">
        <f t="shared" si="36"/>
        <v>1.2768780516690806E-3</v>
      </c>
      <c r="I1193" s="275"/>
      <c r="J1193" s="275" t="s">
        <v>1717</v>
      </c>
      <c r="K1193" s="275" t="s">
        <v>1672</v>
      </c>
      <c r="L1193" s="275">
        <v>147</v>
      </c>
      <c r="M1193" s="280">
        <f t="shared" si="37"/>
        <v>6.1601642710472672E-3</v>
      </c>
    </row>
    <row r="1194" spans="1:13">
      <c r="A1194" s="275"/>
      <c r="B1194" s="275"/>
      <c r="C1194" s="275"/>
      <c r="D1194" s="275"/>
      <c r="E1194" s="275" t="s">
        <v>479</v>
      </c>
      <c r="F1194" s="275" t="s">
        <v>1673</v>
      </c>
      <c r="G1194" s="278">
        <v>32850.83</v>
      </c>
      <c r="H1194" s="280">
        <f t="shared" si="36"/>
        <v>1.190849128409952E-2</v>
      </c>
      <c r="I1194" s="275"/>
      <c r="J1194" s="275" t="s">
        <v>1717</v>
      </c>
      <c r="K1194" s="275" t="s">
        <v>1673</v>
      </c>
      <c r="L1194" s="275">
        <v>136.55000000000001</v>
      </c>
      <c r="M1194" s="280">
        <f t="shared" si="37"/>
        <v>-7.1088435374149578E-2</v>
      </c>
    </row>
    <row r="1195" spans="1:13">
      <c r="A1195" s="275"/>
      <c r="B1195" s="275"/>
      <c r="C1195" s="275"/>
      <c r="D1195" s="275"/>
      <c r="E1195" s="275" t="s">
        <v>479</v>
      </c>
      <c r="F1195" s="275" t="s">
        <v>1674</v>
      </c>
      <c r="G1195" s="278">
        <v>32806.379999999997</v>
      </c>
      <c r="H1195" s="280">
        <f t="shared" si="36"/>
        <v>-1.3530860559688861E-3</v>
      </c>
      <c r="I1195" s="275"/>
      <c r="J1195" s="275" t="s">
        <v>1717</v>
      </c>
      <c r="K1195" s="275" t="s">
        <v>1674</v>
      </c>
      <c r="L1195" s="275">
        <v>131.1</v>
      </c>
      <c r="M1195" s="280">
        <f t="shared" si="37"/>
        <v>-3.991212010252667E-2</v>
      </c>
    </row>
    <row r="1196" spans="1:13">
      <c r="A1196" s="275"/>
      <c r="B1196" s="275"/>
      <c r="C1196" s="275"/>
      <c r="D1196" s="275"/>
      <c r="E1196" s="275" t="s">
        <v>479</v>
      </c>
      <c r="F1196" s="275" t="s">
        <v>1675</v>
      </c>
      <c r="G1196" s="278">
        <v>32314.57</v>
      </c>
      <c r="H1196" s="280">
        <f t="shared" si="36"/>
        <v>-1.4991291328089162E-2</v>
      </c>
      <c r="I1196" s="275"/>
      <c r="J1196" s="275" t="s">
        <v>1717</v>
      </c>
      <c r="K1196" s="275" t="s">
        <v>1675</v>
      </c>
      <c r="L1196" s="275">
        <v>121.17</v>
      </c>
      <c r="M1196" s="280">
        <f t="shared" si="37"/>
        <v>-7.5743707093821458E-2</v>
      </c>
    </row>
    <row r="1197" spans="1:13">
      <c r="A1197" s="275"/>
      <c r="B1197" s="275"/>
      <c r="C1197" s="275"/>
      <c r="D1197" s="275"/>
      <c r="E1197" s="275" t="s">
        <v>479</v>
      </c>
      <c r="F1197" s="275" t="s">
        <v>1676</v>
      </c>
      <c r="G1197" s="278">
        <v>32553.39</v>
      </c>
      <c r="H1197" s="280">
        <f t="shared" si="36"/>
        <v>7.3904743278341541E-3</v>
      </c>
      <c r="I1197" s="275"/>
      <c r="J1197" s="275" t="s">
        <v>1717</v>
      </c>
      <c r="K1197" s="275" t="s">
        <v>1676</v>
      </c>
      <c r="L1197" s="275">
        <v>130.25</v>
      </c>
      <c r="M1197" s="280">
        <f t="shared" si="37"/>
        <v>7.4936040273995197E-2</v>
      </c>
    </row>
    <row r="1198" spans="1:13">
      <c r="A1198" s="275"/>
      <c r="B1198" s="275"/>
      <c r="C1198" s="275"/>
      <c r="D1198" s="275"/>
      <c r="E1198" s="275" t="s">
        <v>479</v>
      </c>
      <c r="F1198" s="275" t="s">
        <v>1677</v>
      </c>
      <c r="G1198" s="278">
        <v>33158.839999999997</v>
      </c>
      <c r="H1198" s="280">
        <f t="shared" si="36"/>
        <v>1.859867743420876E-2</v>
      </c>
      <c r="I1198" s="275"/>
      <c r="J1198" s="275" t="s">
        <v>1717</v>
      </c>
      <c r="K1198" s="275" t="s">
        <v>1677</v>
      </c>
      <c r="L1198" s="275">
        <v>139.5</v>
      </c>
      <c r="M1198" s="280">
        <f t="shared" si="37"/>
        <v>7.1017274472168906E-2</v>
      </c>
    </row>
    <row r="1199" spans="1:13">
      <c r="A1199" s="275"/>
      <c r="B1199" s="275"/>
      <c r="C1199" s="275"/>
      <c r="D1199" s="275"/>
      <c r="E1199" s="275" t="s">
        <v>479</v>
      </c>
      <c r="F1199" s="275" t="s">
        <v>1678</v>
      </c>
      <c r="G1199" s="278">
        <v>34111.64</v>
      </c>
      <c r="H1199" s="280">
        <f t="shared" si="36"/>
        <v>2.873441893624756E-2</v>
      </c>
      <c r="I1199" s="275"/>
      <c r="J1199" s="275" t="s">
        <v>1717</v>
      </c>
      <c r="K1199" s="275" t="s">
        <v>1678</v>
      </c>
      <c r="L1199" s="275">
        <v>146</v>
      </c>
      <c r="M1199" s="280">
        <f t="shared" si="37"/>
        <v>4.6594982078853049E-2</v>
      </c>
    </row>
    <row r="1200" spans="1:13">
      <c r="A1200" s="275"/>
      <c r="B1200" s="275"/>
      <c r="C1200" s="275"/>
      <c r="D1200" s="275"/>
      <c r="E1200" s="275" t="s">
        <v>479</v>
      </c>
      <c r="F1200" s="275" t="s">
        <v>1679</v>
      </c>
      <c r="G1200" s="278">
        <v>33916.639999999999</v>
      </c>
      <c r="H1200" s="280">
        <f t="shared" si="36"/>
        <v>-5.7165237438012361E-3</v>
      </c>
      <c r="I1200" s="275"/>
      <c r="J1200" s="275" t="s">
        <v>1717</v>
      </c>
      <c r="K1200" s="275" t="s">
        <v>1679</v>
      </c>
      <c r="L1200" s="275">
        <v>141.85</v>
      </c>
      <c r="M1200" s="280">
        <f t="shared" si="37"/>
        <v>-2.8424657534246615E-2</v>
      </c>
    </row>
    <row r="1201" spans="1:13">
      <c r="A1201" s="275"/>
      <c r="B1201" s="275"/>
      <c r="C1201" s="275"/>
      <c r="D1201" s="275"/>
      <c r="E1201" s="275" t="s">
        <v>479</v>
      </c>
      <c r="F1201" s="275" t="s">
        <v>1680</v>
      </c>
      <c r="G1201" s="278">
        <v>33992.75</v>
      </c>
      <c r="H1201" s="280">
        <f t="shared" si="36"/>
        <v>2.2440312483783943E-3</v>
      </c>
      <c r="I1201" s="275"/>
      <c r="J1201" s="275" t="s">
        <v>1717</v>
      </c>
      <c r="K1201" s="275" t="s">
        <v>1680</v>
      </c>
      <c r="L1201" s="275">
        <v>134.99</v>
      </c>
      <c r="M1201" s="280">
        <f t="shared" si="37"/>
        <v>-4.8360944659851857E-2</v>
      </c>
    </row>
    <row r="1202" spans="1:13">
      <c r="A1202" s="275"/>
      <c r="B1202" s="275"/>
      <c r="C1202" s="275"/>
      <c r="D1202" s="275"/>
      <c r="E1202" s="275" t="s">
        <v>479</v>
      </c>
      <c r="F1202" s="275" t="s">
        <v>1681</v>
      </c>
      <c r="G1202" s="278">
        <v>33728.18</v>
      </c>
      <c r="H1202" s="280">
        <f t="shared" si="36"/>
        <v>-7.7831302262982459E-3</v>
      </c>
      <c r="I1202" s="275"/>
      <c r="J1202" s="275" t="s">
        <v>1717</v>
      </c>
      <c r="K1202" s="275" t="s">
        <v>1681</v>
      </c>
      <c r="L1202" s="275">
        <v>135</v>
      </c>
      <c r="M1202" s="280">
        <f t="shared" si="37"/>
        <v>7.4079561448928846E-5</v>
      </c>
    </row>
    <row r="1203" spans="1:13">
      <c r="A1203" s="275"/>
      <c r="B1203" s="275"/>
      <c r="C1203" s="275"/>
      <c r="D1203" s="275"/>
      <c r="E1203" s="275" t="s">
        <v>479</v>
      </c>
      <c r="F1203" s="275" t="s">
        <v>1682</v>
      </c>
      <c r="G1203" s="278">
        <v>33304.160000000003</v>
      </c>
      <c r="H1203" s="280">
        <f t="shared" si="36"/>
        <v>-1.2571683381670662E-2</v>
      </c>
      <c r="I1203" s="275"/>
      <c r="J1203" s="275" t="s">
        <v>1717</v>
      </c>
      <c r="K1203" s="275" t="s">
        <v>1682</v>
      </c>
      <c r="L1203" s="275">
        <v>135</v>
      </c>
      <c r="M1203" s="280">
        <f t="shared" si="37"/>
        <v>0</v>
      </c>
    </row>
    <row r="1204" spans="1:13">
      <c r="A1204" s="275"/>
      <c r="B1204" s="275"/>
      <c r="C1204" s="275"/>
      <c r="D1204" s="275"/>
      <c r="E1204" s="275" t="s">
        <v>479</v>
      </c>
      <c r="F1204" s="275" t="s">
        <v>1683</v>
      </c>
      <c r="G1204" s="278">
        <v>33267.69</v>
      </c>
      <c r="H1204" s="280">
        <f t="shared" si="36"/>
        <v>-1.0950583951074328E-3</v>
      </c>
      <c r="I1204" s="275"/>
      <c r="J1204" s="275" t="s">
        <v>1717</v>
      </c>
      <c r="K1204" s="275" t="s">
        <v>1683</v>
      </c>
      <c r="L1204" s="275">
        <v>134.05000000000001</v>
      </c>
      <c r="M1204" s="280">
        <f t="shared" si="37"/>
        <v>-7.0370370370369528E-3</v>
      </c>
    </row>
    <row r="1205" spans="1:13">
      <c r="A1205" s="275"/>
      <c r="B1205" s="275"/>
      <c r="C1205" s="275"/>
      <c r="D1205" s="275"/>
      <c r="E1205" s="275" t="s">
        <v>479</v>
      </c>
      <c r="F1205" s="275" t="s">
        <v>1684</v>
      </c>
      <c r="G1205" s="278">
        <v>33283.79</v>
      </c>
      <c r="H1205" s="280">
        <f t="shared" si="36"/>
        <v>4.8395304873883769E-4</v>
      </c>
      <c r="I1205" s="275"/>
      <c r="J1205" s="275" t="s">
        <v>1717</v>
      </c>
      <c r="K1205" s="275" t="s">
        <v>1684</v>
      </c>
      <c r="L1205" s="275">
        <v>133</v>
      </c>
      <c r="M1205" s="280">
        <f t="shared" si="37"/>
        <v>-7.832898172323844E-3</v>
      </c>
    </row>
    <row r="1206" spans="1:13">
      <c r="A1206" s="275"/>
      <c r="B1206" s="275"/>
      <c r="C1206" s="275"/>
      <c r="D1206" s="275"/>
      <c r="E1206" s="275" t="s">
        <v>479</v>
      </c>
      <c r="F1206" s="275" t="s">
        <v>1685</v>
      </c>
      <c r="G1206" s="278">
        <v>33603.019999999997</v>
      </c>
      <c r="H1206" s="280">
        <f t="shared" si="36"/>
        <v>9.5911553341730595E-3</v>
      </c>
      <c r="I1206" s="275"/>
      <c r="J1206" s="275" t="s">
        <v>1717</v>
      </c>
      <c r="K1206" s="275" t="s">
        <v>1685</v>
      </c>
      <c r="L1206" s="275">
        <v>142.49</v>
      </c>
      <c r="M1206" s="280">
        <f t="shared" si="37"/>
        <v>7.1353383458646683E-2</v>
      </c>
    </row>
    <row r="1207" spans="1:13">
      <c r="A1207" s="275"/>
      <c r="B1207" s="275"/>
      <c r="C1207" s="275"/>
      <c r="D1207" s="275"/>
      <c r="E1207" s="275" t="s">
        <v>479</v>
      </c>
      <c r="F1207" s="275" t="s">
        <v>1686</v>
      </c>
      <c r="G1207" s="278">
        <v>33693.040000000001</v>
      </c>
      <c r="H1207" s="280">
        <f t="shared" si="36"/>
        <v>2.6789258822571328E-3</v>
      </c>
      <c r="I1207" s="275"/>
      <c r="J1207" s="275" t="s">
        <v>1717</v>
      </c>
      <c r="K1207" s="275" t="s">
        <v>1686</v>
      </c>
      <c r="L1207" s="275">
        <v>140.25</v>
      </c>
      <c r="M1207" s="280">
        <f t="shared" si="37"/>
        <v>-1.5720401431679479E-2</v>
      </c>
    </row>
    <row r="1208" spans="1:13">
      <c r="A1208" s="275"/>
      <c r="B1208" s="275"/>
      <c r="C1208" s="275"/>
      <c r="D1208" s="275"/>
      <c r="E1208" s="275" t="s">
        <v>479</v>
      </c>
      <c r="F1208" s="275" t="s">
        <v>1687</v>
      </c>
      <c r="G1208" s="278">
        <v>33804.9</v>
      </c>
      <c r="H1208" s="280">
        <f t="shared" si="36"/>
        <v>3.3199735019458195E-3</v>
      </c>
      <c r="I1208" s="275"/>
      <c r="J1208" s="275" t="s">
        <v>1717</v>
      </c>
      <c r="K1208" s="275" t="s">
        <v>1687</v>
      </c>
      <c r="L1208" s="275">
        <v>137</v>
      </c>
      <c r="M1208" s="280">
        <f t="shared" si="37"/>
        <v>-2.3172905525846704E-2</v>
      </c>
    </row>
    <row r="1209" spans="1:13">
      <c r="A1209" s="275"/>
      <c r="B1209" s="275"/>
      <c r="C1209" s="275"/>
      <c r="D1209" s="275"/>
      <c r="E1209" s="275" t="s">
        <v>479</v>
      </c>
      <c r="F1209" s="275" t="s">
        <v>1688</v>
      </c>
      <c r="G1209" s="278">
        <v>34008.33</v>
      </c>
      <c r="H1209" s="280">
        <f t="shared" si="36"/>
        <v>6.017766655129886E-3</v>
      </c>
      <c r="I1209" s="275"/>
      <c r="J1209" s="275" t="s">
        <v>1717</v>
      </c>
      <c r="K1209" s="275" t="s">
        <v>1688</v>
      </c>
      <c r="L1209" s="275">
        <v>141</v>
      </c>
      <c r="M1209" s="280">
        <f t="shared" si="37"/>
        <v>2.9197080291970802E-2</v>
      </c>
    </row>
    <row r="1210" spans="1:13">
      <c r="A1210" s="275"/>
      <c r="B1210" s="275"/>
      <c r="C1210" s="275"/>
      <c r="D1210" s="275"/>
      <c r="E1210" s="275" t="s">
        <v>479</v>
      </c>
      <c r="F1210" s="275" t="s">
        <v>1689</v>
      </c>
      <c r="G1210" s="278">
        <v>33804.97</v>
      </c>
      <c r="H1210" s="280">
        <f t="shared" si="36"/>
        <v>-5.9797114412851373E-3</v>
      </c>
      <c r="I1210" s="275"/>
      <c r="J1210" s="275" t="s">
        <v>1717</v>
      </c>
      <c r="K1210" s="275" t="s">
        <v>1689</v>
      </c>
      <c r="L1210" s="275">
        <v>137.01</v>
      </c>
      <c r="M1210" s="280">
        <f t="shared" si="37"/>
        <v>-2.8297872340425596E-2</v>
      </c>
    </row>
    <row r="1211" spans="1:13">
      <c r="A1211" s="275"/>
      <c r="B1211" s="275"/>
      <c r="C1211" s="275"/>
      <c r="D1211" s="275"/>
      <c r="E1211" s="275" t="s">
        <v>479</v>
      </c>
      <c r="F1211" s="275" t="s">
        <v>1690</v>
      </c>
      <c r="G1211" s="278">
        <v>34158.550000000003</v>
      </c>
      <c r="H1211" s="280">
        <f t="shared" si="36"/>
        <v>1.0459408779241683E-2</v>
      </c>
      <c r="I1211" s="275"/>
      <c r="J1211" s="275" t="s">
        <v>1717</v>
      </c>
      <c r="K1211" s="275" t="s">
        <v>1690</v>
      </c>
      <c r="L1211" s="275">
        <v>135</v>
      </c>
      <c r="M1211" s="280">
        <f t="shared" si="37"/>
        <v>-1.4670462010072192E-2</v>
      </c>
    </row>
    <row r="1212" spans="1:13">
      <c r="A1212" s="275"/>
      <c r="B1212" s="275"/>
      <c r="C1212" s="275"/>
      <c r="D1212" s="275"/>
      <c r="E1212" s="275" t="s">
        <v>479</v>
      </c>
      <c r="F1212" s="275" t="s">
        <v>1691</v>
      </c>
      <c r="G1212" s="278">
        <v>33932.81</v>
      </c>
      <c r="H1212" s="280">
        <f t="shared" si="36"/>
        <v>-6.6085943343615356E-3</v>
      </c>
      <c r="I1212" s="275"/>
      <c r="J1212" s="275" t="s">
        <v>1717</v>
      </c>
      <c r="K1212" s="275" t="s">
        <v>1691</v>
      </c>
      <c r="L1212" s="275">
        <v>133.94999999999999</v>
      </c>
      <c r="M1212" s="280">
        <f t="shared" si="37"/>
        <v>-7.7777777777778617E-3</v>
      </c>
    </row>
    <row r="1213" spans="1:13">
      <c r="A1213" s="275"/>
      <c r="B1213" s="275"/>
      <c r="C1213" s="275"/>
      <c r="D1213" s="275"/>
      <c r="E1213" s="275" t="s">
        <v>479</v>
      </c>
      <c r="F1213" s="275" t="s">
        <v>1692</v>
      </c>
      <c r="G1213" s="278">
        <v>33836.61</v>
      </c>
      <c r="H1213" s="280">
        <f t="shared" si="36"/>
        <v>-2.8350142531666871E-3</v>
      </c>
      <c r="I1213" s="275"/>
      <c r="J1213" s="275" t="s">
        <v>1717</v>
      </c>
      <c r="K1213" s="275" t="s">
        <v>1692</v>
      </c>
      <c r="L1213" s="275">
        <v>135.6</v>
      </c>
      <c r="M1213" s="280">
        <f t="shared" si="37"/>
        <v>1.2318029115341588E-2</v>
      </c>
    </row>
    <row r="1214" spans="1:13">
      <c r="A1214" s="275"/>
      <c r="B1214" s="275"/>
      <c r="C1214" s="275"/>
      <c r="D1214" s="275"/>
      <c r="E1214" s="275" t="s">
        <v>479</v>
      </c>
      <c r="F1214" s="275" t="s">
        <v>1693</v>
      </c>
      <c r="G1214" s="278">
        <v>33695.42</v>
      </c>
      <c r="H1214" s="280">
        <f t="shared" si="36"/>
        <v>-4.1726993336508094E-3</v>
      </c>
      <c r="I1214" s="275"/>
      <c r="J1214" s="275" t="s">
        <v>1717</v>
      </c>
      <c r="K1214" s="275" t="s">
        <v>1693</v>
      </c>
      <c r="L1214" s="275">
        <v>136</v>
      </c>
      <c r="M1214" s="280">
        <f t="shared" si="37"/>
        <v>2.9498525073746733E-3</v>
      </c>
    </row>
    <row r="1215" spans="1:13">
      <c r="A1215" s="275"/>
      <c r="B1215" s="275"/>
      <c r="C1215" s="275"/>
      <c r="D1215" s="275"/>
      <c r="E1215" s="275" t="s">
        <v>479</v>
      </c>
      <c r="F1215" s="275" t="s">
        <v>1694</v>
      </c>
      <c r="G1215" s="278">
        <v>33931.230000000003</v>
      </c>
      <c r="H1215" s="280">
        <f t="shared" si="36"/>
        <v>6.9982804784746696E-3</v>
      </c>
      <c r="I1215" s="275"/>
      <c r="J1215" s="275" t="s">
        <v>1717</v>
      </c>
      <c r="K1215" s="275" t="s">
        <v>1694</v>
      </c>
      <c r="L1215" s="275">
        <v>135.51</v>
      </c>
      <c r="M1215" s="280">
        <f t="shared" si="37"/>
        <v>-3.6029411764706551E-3</v>
      </c>
    </row>
    <row r="1216" spans="1:13">
      <c r="A1216" s="275"/>
      <c r="B1216" s="275"/>
      <c r="C1216" s="275"/>
      <c r="D1216" s="275"/>
      <c r="E1216" s="275" t="s">
        <v>479</v>
      </c>
      <c r="F1216" s="275" t="s">
        <v>1695</v>
      </c>
      <c r="G1216" s="278">
        <v>34021.97</v>
      </c>
      <c r="H1216" s="280">
        <f t="shared" si="36"/>
        <v>2.6742325580298137E-3</v>
      </c>
      <c r="I1216" s="275"/>
      <c r="J1216" s="275" t="s">
        <v>1717</v>
      </c>
      <c r="K1216" s="275" t="s">
        <v>1695</v>
      </c>
      <c r="L1216" s="275">
        <v>135.30000000000001</v>
      </c>
      <c r="M1216" s="280">
        <f t="shared" si="37"/>
        <v>-1.5497011290678145E-3</v>
      </c>
    </row>
    <row r="1217" spans="1:13">
      <c r="A1217" s="275"/>
      <c r="B1217" s="275"/>
      <c r="C1217" s="275"/>
      <c r="D1217" s="275"/>
      <c r="E1217" s="275" t="s">
        <v>479</v>
      </c>
      <c r="F1217" s="275" t="s">
        <v>1696</v>
      </c>
      <c r="G1217" s="278">
        <v>34408.050000000003</v>
      </c>
      <c r="H1217" s="280">
        <f t="shared" si="36"/>
        <v>1.1347961332045197E-2</v>
      </c>
      <c r="I1217" s="275"/>
      <c r="J1217" s="275" t="s">
        <v>1717</v>
      </c>
      <c r="K1217" s="275" t="s">
        <v>1696</v>
      </c>
      <c r="L1217" s="275">
        <v>134.76</v>
      </c>
      <c r="M1217" s="280">
        <f t="shared" si="37"/>
        <v>-3.991130820399264E-3</v>
      </c>
    </row>
    <row r="1218" spans="1:13">
      <c r="A1218" s="275"/>
      <c r="B1218" s="275"/>
      <c r="C1218" s="275"/>
      <c r="D1218" s="275"/>
      <c r="E1218" s="275" t="s">
        <v>479</v>
      </c>
      <c r="F1218" s="275" t="s">
        <v>1697</v>
      </c>
      <c r="G1218" s="278">
        <v>34401.42</v>
      </c>
      <c r="H1218" s="280">
        <f t="shared" si="36"/>
        <v>-1.9268746703183284E-4</v>
      </c>
      <c r="I1218" s="275"/>
      <c r="J1218" s="275" t="s">
        <v>1717</v>
      </c>
      <c r="K1218" s="275" t="s">
        <v>1697</v>
      </c>
      <c r="L1218" s="275">
        <v>133.85</v>
      </c>
      <c r="M1218" s="280">
        <f t="shared" si="37"/>
        <v>-6.7527456218462205E-3</v>
      </c>
    </row>
    <row r="1219" spans="1:13">
      <c r="A1219" s="275"/>
      <c r="B1219" s="275"/>
      <c r="C1219" s="275"/>
      <c r="D1219" s="275"/>
      <c r="E1219" s="275" t="s">
        <v>479</v>
      </c>
      <c r="F1219" s="275" t="s">
        <v>1698</v>
      </c>
      <c r="G1219" s="278">
        <v>34119.39</v>
      </c>
      <c r="H1219" s="280">
        <f t="shared" si="36"/>
        <v>-8.1982080972238594E-3</v>
      </c>
      <c r="I1219" s="275"/>
      <c r="J1219" s="275" t="s">
        <v>1717</v>
      </c>
      <c r="K1219" s="275" t="s">
        <v>1698</v>
      </c>
      <c r="L1219" s="275">
        <v>136</v>
      </c>
      <c r="M1219" s="280">
        <f t="shared" si="37"/>
        <v>1.6062756817332879E-2</v>
      </c>
    </row>
    <row r="1220" spans="1:13">
      <c r="A1220" s="275"/>
      <c r="B1220" s="275"/>
      <c r="C1220" s="275"/>
      <c r="D1220" s="275"/>
      <c r="E1220" s="275" t="s">
        <v>479</v>
      </c>
      <c r="F1220" s="275" t="s">
        <v>1699</v>
      </c>
      <c r="G1220" s="278">
        <v>34350.42</v>
      </c>
      <c r="H1220" s="280">
        <f t="shared" ref="H1220:H1237" si="38">(G1220-G1219)/G1219</f>
        <v>6.7712230494155626E-3</v>
      </c>
      <c r="I1220" s="275"/>
      <c r="J1220" s="275" t="s">
        <v>1717</v>
      </c>
      <c r="K1220" s="275" t="s">
        <v>1699</v>
      </c>
      <c r="L1220" s="275">
        <v>145.5</v>
      </c>
      <c r="M1220" s="280">
        <f t="shared" ref="M1220:M1238" si="39">(L1220-L1219)/L1219</f>
        <v>6.985294117647059E-2</v>
      </c>
    </row>
    <row r="1221" spans="1:13">
      <c r="A1221" s="275"/>
      <c r="B1221" s="275"/>
      <c r="C1221" s="275"/>
      <c r="D1221" s="275"/>
      <c r="E1221" s="275" t="s">
        <v>479</v>
      </c>
      <c r="F1221" s="275" t="s">
        <v>1700</v>
      </c>
      <c r="G1221" s="278">
        <v>34749.57</v>
      </c>
      <c r="H1221" s="280">
        <f t="shared" si="38"/>
        <v>1.1619945258311296E-2</v>
      </c>
      <c r="I1221" s="275"/>
      <c r="J1221" s="275" t="s">
        <v>1717</v>
      </c>
      <c r="K1221" s="275" t="s">
        <v>1700</v>
      </c>
      <c r="L1221" s="275">
        <v>145</v>
      </c>
      <c r="M1221" s="280">
        <f t="shared" si="39"/>
        <v>-3.4364261168384879E-3</v>
      </c>
    </row>
    <row r="1222" spans="1:13">
      <c r="A1222" s="275"/>
      <c r="B1222" s="275"/>
      <c r="C1222" s="275"/>
      <c r="D1222" s="275"/>
      <c r="E1222" s="275" t="s">
        <v>479</v>
      </c>
      <c r="F1222" s="275" t="s">
        <v>1701</v>
      </c>
      <c r="G1222" s="278">
        <v>34803.599999999999</v>
      </c>
      <c r="H1222" s="280">
        <f t="shared" si="38"/>
        <v>1.554839383623994E-3</v>
      </c>
      <c r="I1222" s="275"/>
      <c r="J1222" s="275" t="s">
        <v>1717</v>
      </c>
      <c r="K1222" s="275" t="s">
        <v>1701</v>
      </c>
      <c r="L1222" s="275">
        <v>144</v>
      </c>
      <c r="M1222" s="280">
        <f t="shared" si="39"/>
        <v>-6.8965517241379309E-3</v>
      </c>
    </row>
    <row r="1223" spans="1:13">
      <c r="A1223" s="275"/>
      <c r="B1223" s="275"/>
      <c r="C1223" s="275"/>
      <c r="D1223" s="275"/>
      <c r="E1223" s="275" t="s">
        <v>479</v>
      </c>
      <c r="F1223" s="275" t="s">
        <v>1702</v>
      </c>
      <c r="G1223" s="278">
        <v>35065.08</v>
      </c>
      <c r="H1223" s="280">
        <f t="shared" si="38"/>
        <v>7.5130158949075158E-3</v>
      </c>
      <c r="I1223" s="275"/>
      <c r="J1223" s="275" t="s">
        <v>1717</v>
      </c>
      <c r="K1223" s="275" t="s">
        <v>1702</v>
      </c>
      <c r="L1223" s="275">
        <v>143.61000000000001</v>
      </c>
      <c r="M1223" s="280">
        <f t="shared" si="39"/>
        <v>-2.7083333333332384E-3</v>
      </c>
    </row>
    <row r="1224" spans="1:13">
      <c r="A1224" s="275"/>
      <c r="B1224" s="275"/>
      <c r="C1224" s="275"/>
      <c r="D1224" s="275"/>
      <c r="E1224" s="275" t="s">
        <v>479</v>
      </c>
      <c r="F1224" s="275" t="s">
        <v>1703</v>
      </c>
      <c r="G1224" s="278">
        <v>35128.58</v>
      </c>
      <c r="H1224" s="280">
        <f t="shared" si="38"/>
        <v>1.8109184407963704E-3</v>
      </c>
      <c r="I1224" s="275"/>
      <c r="J1224" s="275" t="s">
        <v>1717</v>
      </c>
      <c r="K1224" s="275" t="s">
        <v>1703</v>
      </c>
      <c r="L1224" s="275">
        <v>147.5</v>
      </c>
      <c r="M1224" s="280">
        <f t="shared" si="39"/>
        <v>2.7087250191490747E-2</v>
      </c>
    </row>
    <row r="1225" spans="1:13">
      <c r="A1225" s="275"/>
      <c r="B1225" s="275"/>
      <c r="C1225" s="275"/>
      <c r="D1225" s="275"/>
      <c r="E1225" s="275" t="s">
        <v>479</v>
      </c>
      <c r="F1225" s="275" t="s">
        <v>1704</v>
      </c>
      <c r="G1225" s="278">
        <v>34609.089999999997</v>
      </c>
      <c r="H1225" s="280">
        <f t="shared" si="38"/>
        <v>-1.4788243646626342E-2</v>
      </c>
      <c r="I1225" s="275"/>
      <c r="J1225" s="275" t="s">
        <v>1717</v>
      </c>
      <c r="K1225" s="275" t="s">
        <v>1704</v>
      </c>
      <c r="L1225" s="275">
        <v>145.5</v>
      </c>
      <c r="M1225" s="280">
        <f t="shared" si="39"/>
        <v>-1.3559322033898305E-2</v>
      </c>
    </row>
    <row r="1226" spans="1:13">
      <c r="A1226" s="275"/>
      <c r="B1226" s="275"/>
      <c r="C1226" s="275"/>
      <c r="D1226" s="275"/>
      <c r="E1226" s="275" t="s">
        <v>479</v>
      </c>
      <c r="F1226" s="275" t="s">
        <v>1705</v>
      </c>
      <c r="G1226" s="278">
        <v>33824.51</v>
      </c>
      <c r="H1226" s="280">
        <f t="shared" si="38"/>
        <v>-2.2669766815596553E-2</v>
      </c>
      <c r="I1226" s="275"/>
      <c r="J1226" s="275" t="s">
        <v>1717</v>
      </c>
      <c r="K1226" s="275" t="s">
        <v>1705</v>
      </c>
      <c r="L1226" s="275">
        <v>144</v>
      </c>
      <c r="M1226" s="280">
        <f t="shared" si="39"/>
        <v>-1.0309278350515464E-2</v>
      </c>
    </row>
    <row r="1227" spans="1:13">
      <c r="A1227" s="275"/>
      <c r="B1227" s="275"/>
      <c r="C1227" s="275"/>
      <c r="D1227" s="275"/>
      <c r="E1227" s="275" t="s">
        <v>479</v>
      </c>
      <c r="F1227" s="275" t="s">
        <v>1706</v>
      </c>
      <c r="G1227" s="278">
        <v>34019.120000000003</v>
      </c>
      <c r="H1227" s="280">
        <f t="shared" si="38"/>
        <v>5.7535201544678862E-3</v>
      </c>
      <c r="I1227" s="275"/>
      <c r="J1227" s="275" t="s">
        <v>1717</v>
      </c>
      <c r="K1227" s="275" t="s">
        <v>1706</v>
      </c>
      <c r="L1227" s="275">
        <v>141</v>
      </c>
      <c r="M1227" s="280">
        <f t="shared" si="39"/>
        <v>-2.0833333333333332E-2</v>
      </c>
    </row>
    <row r="1228" spans="1:13">
      <c r="A1228" s="275"/>
      <c r="B1228" s="275"/>
      <c r="C1228" s="275"/>
      <c r="D1228" s="275"/>
      <c r="E1228" s="275" t="s">
        <v>479</v>
      </c>
      <c r="F1228" s="275" t="s">
        <v>1707</v>
      </c>
      <c r="G1228" s="278">
        <v>33848.68</v>
      </c>
      <c r="H1228" s="280">
        <f t="shared" si="38"/>
        <v>-5.0101237186618089E-3</v>
      </c>
      <c r="I1228" s="275"/>
      <c r="J1228" s="275" t="s">
        <v>1717</v>
      </c>
      <c r="K1228" s="275" t="s">
        <v>1707</v>
      </c>
      <c r="L1228" s="275">
        <v>137</v>
      </c>
      <c r="M1228" s="280">
        <f t="shared" si="39"/>
        <v>-2.8368794326241134E-2</v>
      </c>
    </row>
    <row r="1229" spans="1:13">
      <c r="A1229" s="275"/>
      <c r="B1229" s="275"/>
      <c r="C1229" s="275"/>
      <c r="D1229" s="275"/>
      <c r="E1229" s="275" t="s">
        <v>479</v>
      </c>
      <c r="F1229" s="275" t="s">
        <v>1708</v>
      </c>
      <c r="G1229" s="278">
        <v>33539.85</v>
      </c>
      <c r="H1229" s="280">
        <f t="shared" si="38"/>
        <v>-9.1238417569016496E-3</v>
      </c>
      <c r="I1229" s="275"/>
      <c r="J1229" s="275" t="s">
        <v>1717</v>
      </c>
      <c r="K1229" s="275" t="s">
        <v>1708</v>
      </c>
      <c r="L1229" s="275">
        <v>135.01</v>
      </c>
      <c r="M1229" s="280">
        <f t="shared" si="39"/>
        <v>-1.4525547445255541E-2</v>
      </c>
    </row>
    <row r="1230" spans="1:13">
      <c r="A1230" s="275"/>
      <c r="B1230" s="275"/>
      <c r="C1230" s="275"/>
      <c r="D1230" s="275"/>
      <c r="E1230" s="275" t="s">
        <v>479</v>
      </c>
      <c r="F1230" s="275" t="s">
        <v>1709</v>
      </c>
      <c r="G1230" s="278">
        <v>33438.94</v>
      </c>
      <c r="H1230" s="280">
        <f t="shared" si="38"/>
        <v>-3.0086598479121471E-3</v>
      </c>
      <c r="I1230" s="275"/>
      <c r="J1230" s="275" t="s">
        <v>1717</v>
      </c>
      <c r="K1230" s="275" t="s">
        <v>1709</v>
      </c>
      <c r="L1230" s="275">
        <v>137.01</v>
      </c>
      <c r="M1230" s="280">
        <f t="shared" si="39"/>
        <v>1.4813717502407231E-2</v>
      </c>
    </row>
    <row r="1231" spans="1:13">
      <c r="A1231" s="275"/>
      <c r="B1231" s="275"/>
      <c r="C1231" s="275"/>
      <c r="D1231" s="275"/>
      <c r="E1231" s="275" t="s">
        <v>479</v>
      </c>
      <c r="F1231" s="275" t="s">
        <v>1710</v>
      </c>
      <c r="G1231" s="278">
        <v>33737.919999999998</v>
      </c>
      <c r="H1231" s="280">
        <f t="shared" si="38"/>
        <v>8.9410728928607155E-3</v>
      </c>
      <c r="I1231" s="275"/>
      <c r="J1231" s="275" t="s">
        <v>1717</v>
      </c>
      <c r="K1231" s="275" t="s">
        <v>1710</v>
      </c>
      <c r="L1231" s="275">
        <v>137</v>
      </c>
      <c r="M1231" s="280">
        <f t="shared" si="39"/>
        <v>-7.2987373184372711E-5</v>
      </c>
    </row>
    <row r="1232" spans="1:13">
      <c r="A1232" s="275"/>
      <c r="B1232" s="275"/>
      <c r="C1232" s="275"/>
      <c r="D1232" s="275"/>
      <c r="E1232" s="275" t="s">
        <v>479</v>
      </c>
      <c r="F1232" s="275" t="s">
        <v>1711</v>
      </c>
      <c r="G1232" s="278">
        <v>34052.61</v>
      </c>
      <c r="H1232" s="280">
        <f t="shared" si="38"/>
        <v>9.3274866974609686E-3</v>
      </c>
      <c r="I1232" s="275"/>
      <c r="J1232" s="275" t="s">
        <v>1717</v>
      </c>
      <c r="K1232" s="275" t="s">
        <v>1711</v>
      </c>
      <c r="L1232" s="275">
        <v>135</v>
      </c>
      <c r="M1232" s="280">
        <f t="shared" si="39"/>
        <v>-1.4598540145985401E-2</v>
      </c>
    </row>
    <row r="1233" spans="1:13">
      <c r="A1233" s="275"/>
      <c r="B1233" s="275"/>
      <c r="C1233" s="275"/>
      <c r="D1233" s="275"/>
      <c r="E1233" s="275" t="s">
        <v>479</v>
      </c>
      <c r="F1233" s="275" t="s">
        <v>1712</v>
      </c>
      <c r="G1233" s="278">
        <v>34034.65</v>
      </c>
      <c r="H1233" s="280">
        <f t="shared" si="38"/>
        <v>-5.2741919048199617E-4</v>
      </c>
      <c r="I1233" s="275"/>
      <c r="J1233" s="275" t="s">
        <v>1717</v>
      </c>
      <c r="K1233" s="275" t="s">
        <v>1712</v>
      </c>
      <c r="L1233" s="275">
        <v>137.5</v>
      </c>
      <c r="M1233" s="280">
        <f t="shared" si="39"/>
        <v>1.8518518518518517E-2</v>
      </c>
    </row>
    <row r="1234" spans="1:13">
      <c r="A1234" s="275"/>
      <c r="B1234" s="275"/>
      <c r="C1234" s="275"/>
      <c r="D1234" s="275"/>
      <c r="E1234" s="275" t="s">
        <v>479</v>
      </c>
      <c r="F1234" s="275" t="s">
        <v>1713</v>
      </c>
      <c r="G1234" s="278">
        <v>33709.629999999997</v>
      </c>
      <c r="H1234" s="280">
        <f t="shared" si="38"/>
        <v>-9.5496795177856704E-3</v>
      </c>
      <c r="I1234" s="275"/>
      <c r="J1234" s="275" t="s">
        <v>1717</v>
      </c>
      <c r="K1234" s="275" t="s">
        <v>1713</v>
      </c>
      <c r="L1234" s="275">
        <v>136.5</v>
      </c>
      <c r="M1234" s="280">
        <f t="shared" si="39"/>
        <v>-7.2727272727272727E-3</v>
      </c>
    </row>
    <row r="1235" spans="1:13">
      <c r="A1235" s="275"/>
      <c r="B1235" s="275"/>
      <c r="C1235" s="275"/>
      <c r="D1235" s="275"/>
      <c r="E1235" s="275" t="s">
        <v>479</v>
      </c>
      <c r="F1235" s="275" t="s">
        <v>1714</v>
      </c>
      <c r="G1235" s="278">
        <v>33939.49</v>
      </c>
      <c r="H1235" s="280">
        <f t="shared" si="38"/>
        <v>6.8188229891577154E-3</v>
      </c>
      <c r="I1235" s="275"/>
      <c r="J1235" s="275" t="s">
        <v>1717</v>
      </c>
      <c r="K1235" s="275" t="s">
        <v>1714</v>
      </c>
      <c r="L1235" s="275">
        <v>140.75</v>
      </c>
      <c r="M1235" s="280">
        <f t="shared" si="39"/>
        <v>3.1135531135531136E-2</v>
      </c>
    </row>
    <row r="1236" spans="1:13">
      <c r="A1236" s="275"/>
      <c r="B1236" s="275"/>
      <c r="C1236" s="275"/>
      <c r="D1236" s="275"/>
      <c r="E1236" s="275" t="s">
        <v>479</v>
      </c>
      <c r="F1236" s="275" t="s">
        <v>1715</v>
      </c>
      <c r="G1236" s="278">
        <v>34181.800000000003</v>
      </c>
      <c r="H1236" s="280">
        <f t="shared" si="38"/>
        <v>7.1394708641763609E-3</v>
      </c>
      <c r="I1236" s="275"/>
      <c r="J1236" s="275" t="s">
        <v>1717</v>
      </c>
      <c r="K1236" s="275" t="s">
        <v>1715</v>
      </c>
      <c r="L1236" s="275">
        <v>142</v>
      </c>
      <c r="M1236" s="280">
        <f t="shared" si="39"/>
        <v>8.8809946714031966E-3</v>
      </c>
    </row>
    <row r="1237" spans="1:13">
      <c r="A1237" s="275"/>
      <c r="B1237" s="275"/>
      <c r="C1237" s="275"/>
      <c r="D1237" s="275"/>
      <c r="E1237" s="275" t="s">
        <v>479</v>
      </c>
      <c r="F1237" s="275" t="s">
        <v>1716</v>
      </c>
      <c r="G1237" s="278">
        <v>34421.919999999998</v>
      </c>
      <c r="H1237" s="280">
        <f t="shared" si="38"/>
        <v>7.0247909706333579E-3</v>
      </c>
      <c r="I1237" s="275"/>
      <c r="J1237" s="275" t="s">
        <v>1717</v>
      </c>
      <c r="K1237" s="275" t="s">
        <v>1716</v>
      </c>
      <c r="L1237" s="275">
        <v>137</v>
      </c>
      <c r="M1237" s="280">
        <f t="shared" si="39"/>
        <v>-3.5211267605633804E-2</v>
      </c>
    </row>
    <row r="1238" spans="1:13">
      <c r="A1238" s="275"/>
      <c r="B1238" s="275"/>
      <c r="C1238" s="275"/>
      <c r="D1238" s="275"/>
      <c r="E1238" s="275"/>
      <c r="F1238" s="275"/>
      <c r="G1238" s="275"/>
      <c r="H1238" s="275"/>
      <c r="I1238" s="275"/>
      <c r="J1238" s="275" t="s">
        <v>1717</v>
      </c>
      <c r="K1238" s="275"/>
      <c r="L1238" s="275"/>
      <c r="M1238" s="280">
        <f t="shared" si="39"/>
        <v>-1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Details</vt:lpstr>
      <vt:lpstr>Assumptions</vt:lpstr>
      <vt:lpstr>Prices</vt:lpstr>
      <vt:lpstr>Sales &amp; Dispatches</vt:lpstr>
      <vt:lpstr>COGS</vt:lpstr>
      <vt:lpstr>AD&amp;S Exp</vt:lpstr>
      <vt:lpstr>Fixed Assets</vt:lpstr>
      <vt:lpstr>N.BS</vt:lpstr>
      <vt:lpstr>N.PL</vt:lpstr>
      <vt:lpstr>BS</vt:lpstr>
      <vt:lpstr>PNL</vt:lpstr>
      <vt:lpstr>Cash Flow</vt:lpstr>
      <vt:lpstr>Ammortization Schedule</vt:lpstr>
      <vt:lpstr>Finance Schedule</vt:lpstr>
      <vt:lpstr>Stock Prices</vt:lpstr>
      <vt:lpstr>Valuation</vt:lpstr>
      <vt:lpstr>Regression</vt:lpstr>
      <vt:lpstr>Market Prices</vt:lpstr>
      <vt:lpstr>Workings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Rashid Ali</cp:lastModifiedBy>
  <cp:lastPrinted>2023-08-01T23:08:58Z</cp:lastPrinted>
  <dcterms:created xsi:type="dcterms:W3CDTF">2021-06-03T15:38:58Z</dcterms:created>
  <dcterms:modified xsi:type="dcterms:W3CDTF">2023-08-01T23:09:01Z</dcterms:modified>
</cp:coreProperties>
</file>