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5F26BFF3-3777-4885-AD87-12BABACDBCB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2" l="1"/>
  <c r="F29" i="2"/>
  <c r="G28" i="2"/>
  <c r="F28" i="2"/>
  <c r="F8" i="2"/>
  <c r="H80" i="1" l="1"/>
  <c r="G80" i="1"/>
  <c r="G81" i="1" s="1"/>
  <c r="G123" i="1" s="1"/>
  <c r="D80" i="1"/>
  <c r="C80" i="1"/>
  <c r="C81" i="1" s="1"/>
  <c r="C123" i="1" s="1"/>
  <c r="G79" i="1"/>
  <c r="F79" i="1"/>
  <c r="E79" i="1"/>
  <c r="D79" i="1"/>
  <c r="C79" i="1"/>
  <c r="G78" i="1"/>
  <c r="G124" i="1" s="1"/>
  <c r="F78" i="1"/>
  <c r="F124" i="1" s="1"/>
  <c r="E78" i="1"/>
  <c r="E124" i="1" s="1"/>
  <c r="D78" i="1"/>
  <c r="D124" i="1" s="1"/>
  <c r="C78" i="1"/>
  <c r="C124" i="1" s="1"/>
  <c r="E77" i="1"/>
  <c r="E119" i="1" s="1"/>
  <c r="E120" i="1" s="1"/>
  <c r="G77" i="1"/>
  <c r="G119" i="1" s="1"/>
  <c r="G120" i="1" s="1"/>
  <c r="F77" i="1"/>
  <c r="F119" i="1" s="1"/>
  <c r="F120" i="1" s="1"/>
  <c r="D77" i="1"/>
  <c r="D119" i="1" s="1"/>
  <c r="D120" i="1" s="1"/>
  <c r="C77" i="1"/>
  <c r="C119" i="1" s="1"/>
  <c r="C120" i="1" s="1"/>
  <c r="G75" i="1"/>
  <c r="F75" i="1"/>
  <c r="E75" i="1"/>
  <c r="D75" i="1"/>
  <c r="C75" i="1"/>
  <c r="G74" i="1"/>
  <c r="G117" i="1" s="1"/>
  <c r="G118" i="1" s="1"/>
  <c r="F74" i="1"/>
  <c r="F117" i="1" s="1"/>
  <c r="F118" i="1" s="1"/>
  <c r="E74" i="1"/>
  <c r="E117" i="1" s="1"/>
  <c r="E118" i="1" s="1"/>
  <c r="D74" i="1"/>
  <c r="D117" i="1" s="1"/>
  <c r="D118" i="1" s="1"/>
  <c r="C74" i="1"/>
  <c r="C117" i="1" s="1"/>
  <c r="C118" i="1" s="1"/>
  <c r="H112" i="1"/>
  <c r="G112" i="1"/>
  <c r="F112" i="1"/>
  <c r="E112" i="1"/>
  <c r="D112" i="1"/>
  <c r="C112" i="1"/>
  <c r="G125" i="1"/>
  <c r="G93" i="1"/>
  <c r="H113" i="1"/>
  <c r="G113" i="1"/>
  <c r="F113" i="1"/>
  <c r="D113" i="1"/>
  <c r="C113" i="1"/>
  <c r="H114" i="1"/>
  <c r="G114" i="1"/>
  <c r="F114" i="1"/>
  <c r="E114" i="1"/>
  <c r="D114" i="1"/>
  <c r="C114" i="1"/>
  <c r="F121" i="1" l="1"/>
  <c r="F122" i="1" s="1"/>
  <c r="E121" i="1"/>
  <c r="E122" i="1" s="1"/>
  <c r="E89" i="1" s="1"/>
  <c r="D121" i="1"/>
  <c r="D122" i="1" s="1"/>
  <c r="D89" i="1" s="1"/>
  <c r="C121" i="1"/>
  <c r="C122" i="1" s="1"/>
  <c r="C89" i="1" s="1"/>
  <c r="G121" i="1"/>
  <c r="G122" i="1" s="1"/>
  <c r="G89" i="1" s="1"/>
  <c r="F89" i="1"/>
  <c r="H111" i="1"/>
  <c r="G111" i="1"/>
  <c r="F111" i="1"/>
  <c r="D111" i="1"/>
  <c r="C111" i="1"/>
  <c r="H110" i="1"/>
  <c r="G110" i="1"/>
  <c r="F110" i="1"/>
  <c r="E110" i="1"/>
  <c r="C110" i="1"/>
  <c r="D110" i="1"/>
  <c r="C109" i="1"/>
  <c r="D109" i="1"/>
  <c r="H109" i="1"/>
  <c r="G109" i="1"/>
  <c r="F109" i="1"/>
  <c r="E109" i="1"/>
  <c r="G68" i="1"/>
  <c r="G95" i="1" s="1"/>
  <c r="F68" i="1"/>
  <c r="F105" i="1" s="1"/>
  <c r="C68" i="1"/>
  <c r="C105" i="1" s="1"/>
  <c r="G105" i="1" l="1"/>
  <c r="G104" i="1"/>
  <c r="D104" i="1"/>
  <c r="C104" i="1"/>
  <c r="G103" i="1"/>
  <c r="G102" i="1"/>
  <c r="F51" i="1"/>
  <c r="E51" i="1"/>
  <c r="E125" i="1" s="1"/>
  <c r="C51" i="1"/>
  <c r="D51" i="1"/>
  <c r="D125" i="1" s="1"/>
  <c r="G101" i="1"/>
  <c r="F101" i="1"/>
  <c r="E101" i="1"/>
  <c r="D101" i="1"/>
  <c r="H100" i="1"/>
  <c r="G100" i="1"/>
  <c r="F100" i="1"/>
  <c r="E100" i="1"/>
  <c r="D100" i="1"/>
  <c r="C100" i="1"/>
  <c r="D99" i="1"/>
  <c r="H99" i="1"/>
  <c r="G99" i="1"/>
  <c r="F99" i="1"/>
  <c r="E99" i="1"/>
  <c r="C99" i="1"/>
  <c r="H98" i="1"/>
  <c r="G98" i="1"/>
  <c r="F98" i="1"/>
  <c r="E98" i="1"/>
  <c r="D98" i="1"/>
  <c r="C98" i="1"/>
  <c r="H94" i="1"/>
  <c r="G94" i="1"/>
  <c r="D94" i="1"/>
  <c r="C94" i="1"/>
  <c r="D93" i="1"/>
  <c r="C93" i="1"/>
  <c r="H92" i="1"/>
  <c r="G92" i="1"/>
  <c r="F92" i="1"/>
  <c r="D92" i="1"/>
  <c r="C92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D86" i="1"/>
  <c r="C86" i="1"/>
  <c r="F95" i="1" l="1"/>
  <c r="F125" i="1"/>
  <c r="C95" i="1"/>
  <c r="C125" i="1"/>
  <c r="C102" i="1"/>
  <c r="E102" i="1"/>
  <c r="D103" i="1"/>
  <c r="F103" i="1"/>
  <c r="D102" i="1"/>
  <c r="F102" i="1"/>
  <c r="E103" i="1"/>
  <c r="F28" i="1"/>
  <c r="F80" i="1" s="1"/>
  <c r="F81" i="1" s="1"/>
  <c r="F123" i="1" s="1"/>
  <c r="E28" i="1"/>
  <c r="E80" i="1" s="1"/>
  <c r="G85" i="1"/>
  <c r="D85" i="1"/>
  <c r="C85" i="1"/>
  <c r="E85" i="1" l="1"/>
  <c r="F85" i="1"/>
  <c r="E81" i="1"/>
  <c r="E123" i="1" s="1"/>
  <c r="D81" i="1"/>
  <c r="D123" i="1" s="1"/>
  <c r="E92" i="1"/>
  <c r="F94" i="1"/>
  <c r="F86" i="1"/>
  <c r="E86" i="1"/>
  <c r="E8" i="1"/>
  <c r="E113" i="1" l="1"/>
  <c r="E111" i="1"/>
  <c r="E68" i="1"/>
  <c r="D68" i="1"/>
  <c r="E94" i="1"/>
  <c r="E29" i="1"/>
  <c r="F29" i="1"/>
  <c r="F93" i="1" s="1"/>
  <c r="E104" i="1" l="1"/>
  <c r="E93" i="1"/>
  <c r="D95" i="1"/>
  <c r="D105" i="1"/>
  <c r="E95" i="1"/>
  <c r="E105" i="1"/>
  <c r="F104" i="1"/>
</calcChain>
</file>

<file path=xl/sharedStrings.xml><?xml version="1.0" encoding="utf-8"?>
<sst xmlns="http://schemas.openxmlformats.org/spreadsheetml/2006/main" count="250" uniqueCount="120">
  <si>
    <r>
      <rPr>
        <b/>
        <sz val="7.5"/>
        <color rgb="FF1D1D1B"/>
        <rFont val="Arial"/>
        <family val="2"/>
      </rPr>
      <t>SHARE CAPITAL AND RESERVES</t>
    </r>
  </si>
  <si>
    <r>
      <rPr>
        <b/>
        <sz val="7.5"/>
        <color rgb="FF1D1D1B"/>
        <rFont val="Arial"/>
        <family val="2"/>
      </rPr>
      <t>Total equity</t>
    </r>
  </si>
  <si>
    <r>
      <rPr>
        <b/>
        <sz val="7.5"/>
        <color rgb="FF1D1D1B"/>
        <rFont val="Arial"/>
        <family val="2"/>
      </rPr>
      <t>CURRENT LIABILITIES</t>
    </r>
  </si>
  <si>
    <r>
      <rPr>
        <b/>
        <sz val="7.5"/>
        <color rgb="FF1D1D1B"/>
        <rFont val="Arial"/>
        <family val="2"/>
      </rPr>
      <t>Current liabilities</t>
    </r>
  </si>
  <si>
    <r>
      <rPr>
        <b/>
        <sz val="7.5"/>
        <color rgb="FF1D1D1B"/>
        <rFont val="Arial"/>
        <family val="2"/>
      </rPr>
      <t>Total Equity and Liabilities</t>
    </r>
  </si>
  <si>
    <r>
      <rPr>
        <b/>
        <sz val="7.5"/>
        <color rgb="FF1D1D1B"/>
        <rFont val="Arial"/>
        <family val="2"/>
      </rPr>
      <t>NON - CURRENT ASSETS</t>
    </r>
  </si>
  <si>
    <r>
      <rPr>
        <b/>
        <sz val="7.5"/>
        <color rgb="FF1D1D1B"/>
        <rFont val="Arial"/>
        <family val="2"/>
      </rPr>
      <t>Non-current assets</t>
    </r>
  </si>
  <si>
    <r>
      <rPr>
        <b/>
        <sz val="7.5"/>
        <color rgb="FF1D1D1B"/>
        <rFont val="Arial"/>
        <family val="2"/>
      </rPr>
      <t>CURRENT ASSETS</t>
    </r>
  </si>
  <si>
    <r>
      <rPr>
        <b/>
        <sz val="7.5"/>
        <color rgb="FF1D1D1B"/>
        <rFont val="Arial"/>
        <family val="2"/>
      </rPr>
      <t>Current Assets</t>
    </r>
  </si>
  <si>
    <r>
      <rPr>
        <b/>
        <sz val="7.5"/>
        <color rgb="FF1D1D1B"/>
        <rFont val="Arial"/>
        <family val="2"/>
      </rPr>
      <t>Total Assets</t>
    </r>
  </si>
  <si>
    <t>Share capital</t>
  </si>
  <si>
    <t>Rupees'000</t>
  </si>
  <si>
    <t>NON - CURRENT LIABILITIES</t>
  </si>
  <si>
    <r>
      <rPr>
        <sz val="7.5"/>
        <color rgb="FF1D1D1B"/>
        <rFont val="Arial"/>
        <family val="2"/>
      </rPr>
      <t>-</t>
    </r>
  </si>
  <si>
    <t>Payable to employees' provident fund trust</t>
  </si>
  <si>
    <t>-</t>
  </si>
  <si>
    <r>
      <rPr>
        <b/>
        <sz val="7.5"/>
        <color rgb="FF1D1D1B"/>
        <rFont val="Arial"/>
        <family val="2"/>
      </rPr>
      <t>Turnover - net</t>
    </r>
  </si>
  <si>
    <r>
      <rPr>
        <sz val="7.5"/>
        <color rgb="FF1D1D1B"/>
        <rFont val="Arial"/>
        <family val="2"/>
      </rPr>
      <t>Cost of sales</t>
    </r>
  </si>
  <si>
    <r>
      <rPr>
        <b/>
        <sz val="7.5"/>
        <color rgb="FF1D1D1B"/>
        <rFont val="Arial"/>
        <family val="2"/>
      </rPr>
      <t>Gross profit</t>
    </r>
  </si>
  <si>
    <r>
      <rPr>
        <sz val="7.5"/>
        <color rgb="FF1D1D1B"/>
        <rFont val="Arial"/>
        <family val="2"/>
      </rPr>
      <t>Selling and distribution expenses</t>
    </r>
  </si>
  <si>
    <r>
      <rPr>
        <sz val="7.5"/>
        <color rgb="FF1D1D1B"/>
        <rFont val="Arial"/>
        <family val="2"/>
      </rPr>
      <t>Administrative expenses</t>
    </r>
  </si>
  <si>
    <r>
      <rPr>
        <sz val="7.5"/>
        <color rgb="FF1D1D1B"/>
        <rFont val="Arial"/>
        <family val="2"/>
      </rPr>
      <t>Other expenses</t>
    </r>
  </si>
  <si>
    <r>
      <rPr>
        <b/>
        <sz val="7.5"/>
        <color rgb="FF1D1D1B"/>
        <rFont val="Arial"/>
        <family val="2"/>
      </rPr>
      <t>Operating profit</t>
    </r>
  </si>
  <si>
    <r>
      <rPr>
        <sz val="7.5"/>
        <color rgb="FF1D1D1B"/>
        <rFont val="Arial"/>
        <family val="2"/>
      </rPr>
      <t>Finance cost</t>
    </r>
  </si>
  <si>
    <r>
      <rPr>
        <sz val="7.5"/>
        <color rgb="FF1D1D1B"/>
        <rFont val="Arial"/>
        <family val="2"/>
      </rPr>
      <t>Finance income</t>
    </r>
  </si>
  <si>
    <r>
      <rPr>
        <b/>
        <sz val="7.5"/>
        <color rgb="FF1D1D1B"/>
        <rFont val="Arial"/>
        <family val="2"/>
      </rPr>
      <t>Net finance cost</t>
    </r>
  </si>
  <si>
    <r>
      <rPr>
        <b/>
        <sz val="7.5"/>
        <color rgb="FF1D1D1B"/>
        <rFont val="Arial"/>
        <family val="2"/>
      </rPr>
      <t>(Loss) / profit before taxation</t>
    </r>
  </si>
  <si>
    <r>
      <rPr>
        <sz val="7.5"/>
        <color rgb="FF1D1D1B"/>
        <rFont val="Arial"/>
        <family val="2"/>
      </rPr>
      <t>Income tax credit / (expense)</t>
    </r>
  </si>
  <si>
    <r>
      <rPr>
        <b/>
        <sz val="7.5"/>
        <color rgb="FF1D1D1B"/>
        <rFont val="Arial"/>
        <family val="2"/>
      </rPr>
      <t>(Loss) / profit for the year</t>
    </r>
  </si>
  <si>
    <r>
      <rPr>
        <sz val="7.5"/>
        <color rgb="FF1D1D1B"/>
        <rFont val="Arial"/>
        <family val="2"/>
      </rPr>
      <t>(Loss) / earnings per share - Basic (Rupees)</t>
    </r>
  </si>
  <si>
    <r>
      <rPr>
        <sz val="7.5"/>
        <color rgb="FF1D1D1B"/>
        <rFont val="Arial"/>
        <family val="2"/>
      </rPr>
      <t>(Loss) / earnings per share - Diluted (Rupees)</t>
    </r>
  </si>
  <si>
    <t xml:space="preserve">Liquidity Ratios </t>
  </si>
  <si>
    <t xml:space="preserve">Current Ratio </t>
  </si>
  <si>
    <t xml:space="preserve">Quick Ratio </t>
  </si>
  <si>
    <t xml:space="preserve">Cash Ratio </t>
  </si>
  <si>
    <t xml:space="preserve">Defensive Interval Ratio </t>
  </si>
  <si>
    <t xml:space="preserve">Cash Coversion Cycle </t>
  </si>
  <si>
    <t xml:space="preserve">Solvency Ratios </t>
  </si>
  <si>
    <t>Debt to assets ratio</t>
  </si>
  <si>
    <t>debt to capital ratio</t>
  </si>
  <si>
    <t>debt to equity ratio</t>
  </si>
  <si>
    <t xml:space="preserve">financial leverage ratio </t>
  </si>
  <si>
    <t xml:space="preserve">Profitability Ratios </t>
  </si>
  <si>
    <t xml:space="preserve">Gross Profit Margin </t>
  </si>
  <si>
    <t xml:space="preserve">Operating Profit margin </t>
  </si>
  <si>
    <t>Pretax Margin</t>
  </si>
  <si>
    <t>Net Profit Margin</t>
  </si>
  <si>
    <t>Operating ROA</t>
  </si>
  <si>
    <t xml:space="preserve">ROA </t>
  </si>
  <si>
    <t xml:space="preserve">Return on total capital </t>
  </si>
  <si>
    <t>ROE</t>
  </si>
  <si>
    <t>Valuation Ratios</t>
  </si>
  <si>
    <t>P/E</t>
  </si>
  <si>
    <t>P/CF</t>
  </si>
  <si>
    <t>P/S</t>
  </si>
  <si>
    <t xml:space="preserve">Basic EPS </t>
  </si>
  <si>
    <t>Cash Flow per share</t>
  </si>
  <si>
    <t xml:space="preserve">EBITDA per share </t>
  </si>
  <si>
    <t>Avg total assets</t>
  </si>
  <si>
    <t>avg total equity</t>
  </si>
  <si>
    <t>price per share</t>
  </si>
  <si>
    <t>Shareholders’ Equity</t>
  </si>
  <si>
    <t>net income</t>
  </si>
  <si>
    <t>net cash from operating activities</t>
  </si>
  <si>
    <t>comprehensive income</t>
  </si>
  <si>
    <t xml:space="preserve">Activity Ratios </t>
  </si>
  <si>
    <t xml:space="preserve">Invebtory turover </t>
  </si>
  <si>
    <t>Days on Invetory on hand</t>
  </si>
  <si>
    <t>Receivables turnover</t>
  </si>
  <si>
    <t xml:space="preserve">Days on Inveotory Outstanding </t>
  </si>
  <si>
    <t xml:space="preserve">Paybles Turnover </t>
  </si>
  <si>
    <t>Number of Days Payble</t>
  </si>
  <si>
    <t xml:space="preserve">Working Capital Turover </t>
  </si>
  <si>
    <t xml:space="preserve">Fixed Asset Turnover </t>
  </si>
  <si>
    <t xml:space="preserve">Total Asset Turnover </t>
  </si>
  <si>
    <t>avg inventories</t>
  </si>
  <si>
    <t>avg trade payables</t>
  </si>
  <si>
    <t>sales revenue</t>
  </si>
  <si>
    <t>avg receivables</t>
  </si>
  <si>
    <t>avg fixed assets</t>
  </si>
  <si>
    <t>purchases</t>
  </si>
  <si>
    <t>working capital</t>
  </si>
  <si>
    <t>avg working capital</t>
  </si>
  <si>
    <r>
      <rPr>
        <sz val="7.5"/>
        <color rgb="FF1D1D1B"/>
        <rFont val="Arial"/>
        <family val="2"/>
      </rPr>
      <t>Discount on issue of shares</t>
    </r>
  </si>
  <si>
    <r>
      <rPr>
        <sz val="7.5"/>
        <color rgb="FF1D1D1B"/>
        <rFont val="Arial"/>
        <family val="2"/>
      </rPr>
      <t>Unappropriated profits</t>
    </r>
  </si>
  <si>
    <r>
      <rPr>
        <sz val="7.5"/>
        <color rgb="FF1D1D1B"/>
        <rFont val="Arial"/>
        <family val="2"/>
      </rPr>
      <t>Long term loans</t>
    </r>
  </si>
  <si>
    <r>
      <rPr>
        <sz val="7.5"/>
        <color rgb="FF1D1D1B"/>
        <rFont val="Arial"/>
        <family val="2"/>
      </rPr>
      <t>Employee benefits</t>
    </r>
  </si>
  <si>
    <r>
      <rPr>
        <sz val="7.5"/>
        <color rgb="FF1D1D1B"/>
        <rFont val="Arial"/>
        <family val="2"/>
      </rPr>
      <t>Lease Liability</t>
    </r>
  </si>
  <si>
    <r>
      <rPr>
        <sz val="7.5"/>
        <color rgb="FF1D1D1B"/>
        <rFont val="Arial"/>
        <family val="2"/>
      </rPr>
      <t>Deferred tax liabilities - net</t>
    </r>
  </si>
  <si>
    <r>
      <rPr>
        <sz val="7.5"/>
        <color rgb="FF1D1D1B"/>
        <rFont val="Arial"/>
        <family val="2"/>
      </rPr>
      <t>Trade and other payables</t>
    </r>
  </si>
  <si>
    <r>
      <rPr>
        <sz val="7.5"/>
        <color rgb="FF1D1D1B"/>
        <rFont val="Arial"/>
        <family val="2"/>
      </rPr>
      <t>Accrued liabilities</t>
    </r>
  </si>
  <si>
    <r>
      <rPr>
        <sz val="7.5"/>
        <color rgb="FF1D1D1B"/>
        <rFont val="Arial"/>
        <family val="2"/>
      </rPr>
      <t>Security deposits payable</t>
    </r>
  </si>
  <si>
    <r>
      <rPr>
        <sz val="7.5"/>
        <color rgb="FF1D1D1B"/>
        <rFont val="Arial"/>
        <family val="2"/>
      </rPr>
      <t>Contract liabilities</t>
    </r>
  </si>
  <si>
    <r>
      <rPr>
        <sz val="7.5"/>
        <color rgb="FF1D1D1B"/>
        <rFont val="Arial"/>
        <family val="2"/>
      </rPr>
      <t>Employee benefits - current portion</t>
    </r>
  </si>
  <si>
    <r>
      <rPr>
        <sz val="7.5"/>
        <color rgb="FF1D1D1B"/>
        <rFont val="Arial"/>
        <family val="2"/>
      </rPr>
      <t>Unclaimed dividend</t>
    </r>
  </si>
  <si>
    <r>
      <rPr>
        <sz val="7.5"/>
        <color rgb="FF1D1D1B"/>
        <rFont val="Arial"/>
        <family val="2"/>
      </rPr>
      <t>Markup accrued</t>
    </r>
  </si>
  <si>
    <r>
      <rPr>
        <sz val="7.5"/>
        <color rgb="FF1D1D1B"/>
        <rFont val="Arial"/>
        <family val="2"/>
      </rPr>
      <t>Short term borrowings</t>
    </r>
  </si>
  <si>
    <r>
      <rPr>
        <sz val="7.5"/>
        <color rgb="FF1D1D1B"/>
        <rFont val="Arial"/>
        <family val="2"/>
      </rPr>
      <t>Current portion of lease liability</t>
    </r>
  </si>
  <si>
    <r>
      <rPr>
        <sz val="7.5"/>
        <color rgb="FF1D1D1B"/>
        <rFont val="Arial"/>
        <family val="2"/>
      </rPr>
      <t>Current portion of long term loans</t>
    </r>
  </si>
  <si>
    <r>
      <rPr>
        <sz val="7.5"/>
        <color rgb="FF1D1D1B"/>
        <rFont val="Arial"/>
        <family val="2"/>
      </rPr>
      <t>Provision for taxation - net</t>
    </r>
  </si>
  <si>
    <r>
      <rPr>
        <sz val="7.5"/>
        <color rgb="FF1D1D1B"/>
        <rFont val="Arial"/>
        <family val="2"/>
      </rPr>
      <t>Property, plant and equipment</t>
    </r>
  </si>
  <si>
    <r>
      <rPr>
        <sz val="7.5"/>
        <color rgb="FF1D1D1B"/>
        <rFont val="Arial"/>
        <family val="2"/>
      </rPr>
      <t>Right of use asset</t>
    </r>
  </si>
  <si>
    <r>
      <rPr>
        <sz val="7.5"/>
        <color rgb="FF1D1D1B"/>
        <rFont val="Arial"/>
        <family val="2"/>
      </rPr>
      <t>Long term deposits</t>
    </r>
  </si>
  <si>
    <r>
      <rPr>
        <sz val="7.5"/>
        <color rgb="FF1D1D1B"/>
        <rFont val="Arial"/>
        <family val="2"/>
      </rPr>
      <t>Advance against issue of shares</t>
    </r>
  </si>
  <si>
    <r>
      <rPr>
        <sz val="7.5"/>
        <color rgb="FF1D1D1B"/>
        <rFont val="Arial"/>
        <family val="2"/>
      </rPr>
      <t>Long term advance</t>
    </r>
  </si>
  <si>
    <r>
      <rPr>
        <u/>
        <sz val="7.5"/>
        <rFont val="Arial"/>
        <family val="2"/>
      </rPr>
      <t>            </t>
    </r>
    <r>
      <rPr>
        <b/>
        <u/>
        <sz val="7.5"/>
        <rFont val="Arial"/>
        <family val="2"/>
      </rPr>
      <t>4,339,510</t>
    </r>
  </si>
  <si>
    <r>
      <rPr>
        <sz val="7.5"/>
        <color rgb="FF1D1D1B"/>
        <rFont val="Arial"/>
        <family val="2"/>
      </rPr>
      <t>Stores, spares and loose tools</t>
    </r>
  </si>
  <si>
    <r>
      <rPr>
        <sz val="7.5"/>
        <color rgb="FF1D1D1B"/>
        <rFont val="Arial"/>
        <family val="2"/>
      </rPr>
      <t>Stock in trade</t>
    </r>
  </si>
  <si>
    <r>
      <rPr>
        <sz val="7.5"/>
        <color rgb="FF1D1D1B"/>
        <rFont val="Arial"/>
        <family val="2"/>
      </rPr>
      <t>Trade debts</t>
    </r>
  </si>
  <si>
    <r>
      <rPr>
        <sz val="7.5"/>
        <color rgb="FF1D1D1B"/>
        <rFont val="Arial"/>
        <family val="2"/>
      </rPr>
      <t>Advances</t>
    </r>
  </si>
  <si>
    <r>
      <rPr>
        <sz val="7.5"/>
        <color rgb="FF1D1D1B"/>
        <rFont val="Arial"/>
        <family val="2"/>
      </rPr>
      <t>Interest accrued</t>
    </r>
  </si>
  <si>
    <r>
      <rPr>
        <sz val="7.5"/>
        <color rgb="FF1D1D1B"/>
        <rFont val="Arial"/>
        <family val="2"/>
      </rPr>
      <t>Advance tax - net</t>
    </r>
  </si>
  <si>
    <r>
      <rPr>
        <sz val="7.5"/>
        <color rgb="FF1D1D1B"/>
        <rFont val="Arial"/>
        <family val="2"/>
      </rPr>
      <t>Other receivables</t>
    </r>
  </si>
  <si>
    <r>
      <rPr>
        <sz val="7.5"/>
        <color rgb="FF1D1D1B"/>
        <rFont val="Arial"/>
        <family val="2"/>
      </rPr>
      <t>Cash and bank balances</t>
    </r>
  </si>
  <si>
    <r>
      <rPr>
        <sz val="7.5"/>
        <color rgb="FF1D1D1B"/>
        <rFont val="Arial"/>
        <family val="2"/>
      </rPr>
      <t>Short term Investments</t>
    </r>
  </si>
  <si>
    <r>
      <rPr>
        <u/>
        <sz val="7.5"/>
        <rFont val="Arial"/>
        <family val="2"/>
      </rPr>
      <t>  511,615,2616</t>
    </r>
  </si>
  <si>
    <r>
      <rPr>
        <sz val="7.5"/>
        <rFont val="Arial"/>
        <family val="2"/>
      </rPr>
      <t>       4,116,165  </t>
    </r>
  </si>
  <si>
    <r>
      <rPr>
        <sz val="7.5"/>
        <rFont val="Arial"/>
        <family val="2"/>
      </rPr>
      <t>                 2091</t>
    </r>
  </si>
  <si>
    <t xml:space="preserve"> - </t>
  </si>
  <si>
    <t>Trade deposits, short term prepayments and balances with statutory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</si>
</sst>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_);\(0\)"/>
    <numFmt numFmtId="166" formatCode="0.00_);\(0.00\)"/>
  </numFmts>
  <fonts count="18" x14ac:knownFonts="1">
    <font>
      <sz val="10"/>
      <color rgb="FF000000"/>
      <name val="Times New Roman"/>
      <charset val="204"/>
    </font>
    <font>
      <b/>
      <sz val="7.5"/>
      <color rgb="FF1D1D1B"/>
      <name val="Arial"/>
      <family val="2"/>
    </font>
    <font>
      <sz val="7.5"/>
      <color rgb="FF1D1D1B"/>
      <name val="Arial MT"/>
      <family val="2"/>
    </font>
    <font>
      <sz val="7.5"/>
      <name val="Arial MT"/>
    </font>
    <font>
      <b/>
      <sz val="7.5"/>
      <name val="Arial"/>
    </font>
    <font>
      <b/>
      <sz val="7.5"/>
      <color theme="1"/>
      <name val="Arial"/>
      <family val="2"/>
    </font>
    <font>
      <b/>
      <sz val="7.5"/>
      <color theme="1"/>
      <name val="Arial MT"/>
    </font>
    <font>
      <sz val="7.5"/>
      <color rgb="FF1D1D1B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0000"/>
      <name val="Times New Roman"/>
      <family val="1"/>
    </font>
    <font>
      <sz val="7.5"/>
      <color rgb="FF000000"/>
      <name val="Arial"/>
      <family val="2"/>
    </font>
    <font>
      <b/>
      <u/>
      <sz val="7.5"/>
      <name val="Arial"/>
      <family val="2"/>
    </font>
    <font>
      <b/>
      <sz val="7.5"/>
      <color rgb="FF000000"/>
      <name val="Arial"/>
      <family val="2"/>
    </font>
    <font>
      <u/>
      <sz val="7.5"/>
      <name val="Arial"/>
      <family val="2"/>
    </font>
    <font>
      <sz val="7.5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DEDE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53">
    <xf numFmtId="0" fontId="0" fillId="0" borderId="0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3" fontId="1" fillId="2" borderId="2" xfId="0" applyNumberFormat="1" applyFont="1" applyFill="1" applyBorder="1" applyAlignment="1">
      <alignment horizontal="center" vertical="top" shrinkToFit="1"/>
    </xf>
    <xf numFmtId="0" fontId="0" fillId="2" borderId="7" xfId="0" applyFill="1" applyBorder="1" applyAlignment="1">
      <alignment horizontal="left" vertical="center" wrapText="1"/>
    </xf>
    <xf numFmtId="3" fontId="7" fillId="2" borderId="24" xfId="0" applyNumberFormat="1" applyFont="1" applyFill="1" applyBorder="1" applyAlignment="1">
      <alignment horizontal="center" vertical="center" shrinkToFit="1"/>
    </xf>
    <xf numFmtId="3" fontId="7" fillId="2" borderId="21" xfId="0" applyNumberFormat="1" applyFont="1" applyFill="1" applyBorder="1" applyAlignment="1">
      <alignment horizontal="center" vertical="center" shrinkToFit="1"/>
    </xf>
    <xf numFmtId="3" fontId="7" fillId="2" borderId="19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" fontId="1" fillId="2" borderId="6" xfId="0" applyNumberFormat="1" applyFont="1" applyFill="1" applyBorder="1" applyAlignment="1">
      <alignment horizontal="center" vertical="center" shrinkToFit="1"/>
    </xf>
    <xf numFmtId="1" fontId="2" fillId="2" borderId="6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shrinkToFit="1"/>
    </xf>
    <xf numFmtId="37" fontId="7" fillId="2" borderId="2" xfId="0" applyNumberFormat="1" applyFont="1" applyFill="1" applyBorder="1" applyAlignment="1">
      <alignment horizontal="center" vertical="center" shrinkToFit="1"/>
    </xf>
    <xf numFmtId="3" fontId="7" fillId="2" borderId="6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shrinkToFi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3" fontId="7" fillId="2" borderId="3" xfId="0" applyNumberFormat="1" applyFont="1" applyFill="1" applyBorder="1" applyAlignment="1">
      <alignment horizontal="center" vertical="center" shrinkToFit="1"/>
    </xf>
    <xf numFmtId="37" fontId="7" fillId="2" borderId="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0" fillId="2" borderId="8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/>
    </xf>
    <xf numFmtId="3" fontId="9" fillId="0" borderId="2" xfId="0" applyNumberFormat="1" applyFont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3" fontId="7" fillId="2" borderId="12" xfId="0" applyNumberFormat="1" applyFont="1" applyFill="1" applyBorder="1" applyAlignment="1">
      <alignment horizontal="center" vertical="center" shrinkToFit="1"/>
    </xf>
    <xf numFmtId="0" fontId="9" fillId="2" borderId="3" xfId="0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center" vertical="center" wrapText="1"/>
    </xf>
    <xf numFmtId="3" fontId="9" fillId="0" borderId="22" xfId="0" applyNumberFormat="1" applyFont="1" applyBorder="1" applyAlignment="1">
      <alignment horizontal="center" vertical="center" wrapText="1"/>
    </xf>
    <xf numFmtId="3" fontId="9" fillId="2" borderId="22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shrinkToFit="1"/>
    </xf>
    <xf numFmtId="0" fontId="8" fillId="2" borderId="7" xfId="0" applyFont="1" applyFill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26" xfId="0" applyNumberFormat="1" applyFont="1" applyBorder="1" applyAlignment="1">
      <alignment horizontal="center" vertical="center" wrapText="1"/>
    </xf>
    <xf numFmtId="3" fontId="9" fillId="0" borderId="27" xfId="0" applyNumberFormat="1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3" fontId="7" fillId="2" borderId="28" xfId="0" applyNumberFormat="1" applyFont="1" applyFill="1" applyBorder="1" applyAlignment="1">
      <alignment horizontal="center" vertical="center" shrinkToFit="1"/>
    </xf>
    <xf numFmtId="0" fontId="0" fillId="0" borderId="9" xfId="0" applyFill="1" applyBorder="1" applyAlignment="1">
      <alignment horizontal="left" vertical="top"/>
    </xf>
    <xf numFmtId="0" fontId="0" fillId="0" borderId="10" xfId="0" applyFill="1" applyBorder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7" xfId="0" applyFill="1" applyBorder="1" applyAlignment="1">
      <alignment horizontal="left" vertical="top"/>
    </xf>
    <xf numFmtId="3" fontId="1" fillId="2" borderId="2" xfId="0" applyNumberFormat="1" applyFont="1" applyFill="1" applyBorder="1" applyAlignment="1">
      <alignment horizontal="center" vertical="center" shrinkToFit="1"/>
    </xf>
    <xf numFmtId="37" fontId="1" fillId="2" borderId="2" xfId="0" applyNumberFormat="1" applyFont="1" applyFill="1" applyBorder="1" applyAlignment="1">
      <alignment horizontal="center" vertical="center" shrinkToFit="1"/>
    </xf>
    <xf numFmtId="37" fontId="7" fillId="2" borderId="3" xfId="0" applyNumberFormat="1" applyFont="1" applyFill="1" applyBorder="1" applyAlignment="1">
      <alignment horizontal="center" vertical="top" shrinkToFit="1"/>
    </xf>
    <xf numFmtId="166" fontId="7" fillId="2" borderId="3" xfId="0" applyNumberFormat="1" applyFont="1" applyFill="1" applyBorder="1" applyAlignment="1">
      <alignment horizontal="center" vertical="center" shrinkToFit="1"/>
    </xf>
    <xf numFmtId="2" fontId="1" fillId="2" borderId="2" xfId="0" applyNumberFormat="1" applyFont="1" applyFill="1" applyBorder="1" applyAlignment="1">
      <alignment horizontal="center" vertical="center" shrinkToFit="1"/>
    </xf>
    <xf numFmtId="166" fontId="7" fillId="2" borderId="3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10" fillId="0" borderId="0" xfId="0" applyFont="1" applyFill="1" applyBorder="1" applyAlignment="1">
      <alignment horizontal="center" vertical="center"/>
    </xf>
    <xf numFmtId="3" fontId="7" fillId="2" borderId="30" xfId="0" applyNumberFormat="1" applyFont="1" applyFill="1" applyBorder="1" applyAlignment="1">
      <alignment horizontal="center" vertical="center" shrinkToFit="1"/>
    </xf>
    <xf numFmtId="3" fontId="11" fillId="0" borderId="31" xfId="0" applyNumberFormat="1" applyFont="1" applyFill="1" applyBorder="1" applyAlignment="1">
      <alignment horizontal="center" vertical="center"/>
    </xf>
    <xf numFmtId="3" fontId="11" fillId="2" borderId="30" xfId="0" applyNumberFormat="1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shrinkToFit="1"/>
    </xf>
    <xf numFmtId="3" fontId="11" fillId="0" borderId="0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 shrinkToFit="1"/>
    </xf>
    <xf numFmtId="3" fontId="13" fillId="3" borderId="0" xfId="0" applyNumberFormat="1" applyFont="1" applyFill="1" applyBorder="1" applyAlignment="1">
      <alignment horizontal="center" vertical="center" shrinkToFit="1"/>
    </xf>
    <xf numFmtId="0" fontId="11" fillId="0" borderId="9" xfId="0" applyFont="1" applyFill="1" applyBorder="1" applyAlignment="1">
      <alignment horizontal="center" vertical="center"/>
    </xf>
    <xf numFmtId="3" fontId="9" fillId="0" borderId="32" xfId="0" applyNumberFormat="1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3" fontId="7" fillId="2" borderId="14" xfId="0" applyNumberFormat="1" applyFont="1" applyFill="1" applyBorder="1" applyAlignment="1">
      <alignment horizontal="center" vertical="center" shrinkToFit="1"/>
    </xf>
    <xf numFmtId="3" fontId="7" fillId="2" borderId="15" xfId="0" applyNumberFormat="1" applyFont="1" applyFill="1" applyBorder="1" applyAlignment="1">
      <alignment horizontal="center" vertical="center" shrinkToFi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shrinkToFit="1"/>
    </xf>
    <xf numFmtId="0" fontId="11" fillId="0" borderId="7" xfId="0" applyFont="1" applyFill="1" applyBorder="1" applyAlignment="1">
      <alignment horizontal="center" vertical="center"/>
    </xf>
    <xf numFmtId="3" fontId="11" fillId="0" borderId="9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/>
    </xf>
    <xf numFmtId="3" fontId="11" fillId="0" borderId="6" xfId="0" applyNumberFormat="1" applyFont="1" applyFill="1" applyBorder="1" applyAlignment="1">
      <alignment horizontal="left" vertical="center"/>
    </xf>
    <xf numFmtId="3" fontId="11" fillId="0" borderId="0" xfId="0" applyNumberFormat="1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/>
    </xf>
    <xf numFmtId="0" fontId="5" fillId="0" borderId="0" xfId="0" applyFont="1"/>
    <xf numFmtId="0" fontId="15" fillId="0" borderId="0" xfId="0" applyFont="1"/>
    <xf numFmtId="0" fontId="11" fillId="0" borderId="0" xfId="0" applyFont="1"/>
    <xf numFmtId="0" fontId="5" fillId="4" borderId="33" xfId="0" applyFont="1" applyFill="1" applyBorder="1"/>
    <xf numFmtId="0" fontId="15" fillId="0" borderId="34" xfId="0" applyFont="1" applyBorder="1"/>
    <xf numFmtId="0" fontId="15" fillId="4" borderId="34" xfId="0" applyFont="1" applyFill="1" applyBorder="1"/>
    <xf numFmtId="37" fontId="11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top" wrapText="1"/>
    </xf>
    <xf numFmtId="0" fontId="8" fillId="0" borderId="29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29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top"/>
    </xf>
    <xf numFmtId="0" fontId="11" fillId="0" borderId="1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2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vertical="center" wrapText="1"/>
    </xf>
    <xf numFmtId="1" fontId="7" fillId="2" borderId="6" xfId="0" applyNumberFormat="1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top" wrapText="1"/>
    </xf>
    <xf numFmtId="0" fontId="16" fillId="2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7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9" fillId="2" borderId="35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25"/>
  <sheetViews>
    <sheetView topLeftCell="A37" zoomScale="92" zoomScaleNormal="80" workbookViewId="0">
      <selection activeCell="G50" sqref="A1:H50"/>
    </sheetView>
  </sheetViews>
  <sheetFormatPr defaultRowHeight="12.75" x14ac:dyDescent="0.2"/>
  <cols>
    <col min="1" max="1" width="38.33203125" customWidth="1"/>
    <col min="2" max="2" width="0.5" customWidth="1"/>
    <col min="3" max="3" width="22.5" customWidth="1"/>
    <col min="4" max="4" width="21.83203125" customWidth="1"/>
    <col min="5" max="5" width="18.33203125" customWidth="1"/>
    <col min="6" max="7" width="19.1640625" customWidth="1"/>
    <col min="8" max="8" width="19.6640625" customWidth="1"/>
  </cols>
  <sheetData>
    <row r="1" spans="1:9" ht="14.25" customHeight="1" x14ac:dyDescent="0.2">
      <c r="A1" s="9"/>
      <c r="B1" s="9"/>
      <c r="C1" s="36">
        <v>2020</v>
      </c>
      <c r="D1" s="36">
        <v>2019</v>
      </c>
      <c r="E1" s="36">
        <v>2018</v>
      </c>
      <c r="F1" s="37">
        <v>2017</v>
      </c>
      <c r="G1" s="37">
        <v>2016</v>
      </c>
      <c r="H1" s="64">
        <v>2015</v>
      </c>
    </row>
    <row r="2" spans="1:9" ht="13.5" customHeight="1" x14ac:dyDescent="0.2">
      <c r="A2" s="10"/>
      <c r="B2" s="10"/>
      <c r="C2" s="11"/>
      <c r="D2" s="12"/>
      <c r="E2" s="13"/>
      <c r="F2" s="3"/>
      <c r="G2" s="1"/>
      <c r="H2" s="2"/>
      <c r="I2" s="2"/>
    </row>
    <row r="3" spans="1:9" ht="15" customHeight="1" x14ac:dyDescent="0.2">
      <c r="A3" s="10"/>
      <c r="B3" s="10"/>
      <c r="C3" s="14" t="s">
        <v>11</v>
      </c>
      <c r="D3" s="15" t="s">
        <v>11</v>
      </c>
      <c r="E3" s="14" t="s">
        <v>11</v>
      </c>
      <c r="F3" s="14" t="s">
        <v>11</v>
      </c>
      <c r="G3" s="1"/>
      <c r="H3" s="2"/>
      <c r="I3" s="2"/>
    </row>
    <row r="4" spans="1:9" ht="21" customHeight="1" x14ac:dyDescent="0.2">
      <c r="A4" s="26" t="s">
        <v>0</v>
      </c>
      <c r="B4" s="27"/>
      <c r="C4" s="27"/>
      <c r="D4" s="28"/>
      <c r="E4" s="32"/>
      <c r="F4" s="5"/>
      <c r="G4" s="1"/>
      <c r="H4" s="33"/>
      <c r="I4" s="2"/>
    </row>
    <row r="5" spans="1:9" ht="15.2" customHeight="1" x14ac:dyDescent="0.2">
      <c r="A5" s="126" t="s">
        <v>10</v>
      </c>
      <c r="B5" s="119"/>
      <c r="C5" s="16">
        <v>13798150</v>
      </c>
      <c r="D5" s="29">
        <v>13798150</v>
      </c>
      <c r="E5" s="34">
        <v>12433765</v>
      </c>
      <c r="F5" s="35">
        <v>12433765</v>
      </c>
      <c r="G5" s="95">
        <v>13798150</v>
      </c>
    </row>
    <row r="6" spans="1:9" ht="12.2" customHeight="1" x14ac:dyDescent="0.2">
      <c r="A6" s="119" t="s">
        <v>83</v>
      </c>
      <c r="B6" s="119"/>
      <c r="C6" s="17">
        <v>-1364385</v>
      </c>
      <c r="D6" s="30">
        <v>-1364385</v>
      </c>
      <c r="E6" s="34">
        <v>8055175</v>
      </c>
      <c r="F6" s="35">
        <v>7247360</v>
      </c>
      <c r="G6" s="96">
        <v>-1364385</v>
      </c>
    </row>
    <row r="7" spans="1:9" ht="12.2" customHeight="1" thickBot="1" x14ac:dyDescent="0.25">
      <c r="A7" s="119" t="s">
        <v>84</v>
      </c>
      <c r="B7" s="119"/>
      <c r="C7" s="79">
        <v>7370555</v>
      </c>
      <c r="D7" s="31">
        <v>8464797</v>
      </c>
      <c r="E7" s="41">
        <v>20488940</v>
      </c>
      <c r="F7" s="42">
        <v>19681125</v>
      </c>
      <c r="G7" s="95">
        <v>10841906</v>
      </c>
    </row>
    <row r="8" spans="1:9" ht="15" customHeight="1" thickTop="1" x14ac:dyDescent="0.2">
      <c r="A8" s="121" t="s">
        <v>1</v>
      </c>
      <c r="B8" s="121"/>
      <c r="C8" s="18">
        <v>19804320</v>
      </c>
      <c r="D8" s="38">
        <v>20898562</v>
      </c>
      <c r="E8" s="97">
        <f>E5+E6+E7</f>
        <v>40977880</v>
      </c>
      <c r="F8" s="98">
        <v>19681125</v>
      </c>
      <c r="G8" s="95">
        <v>23275671</v>
      </c>
    </row>
    <row r="9" spans="1:9" ht="12.75" customHeight="1" x14ac:dyDescent="0.15">
      <c r="A9" s="23" t="s">
        <v>12</v>
      </c>
      <c r="B9" s="24"/>
      <c r="C9" s="24"/>
      <c r="D9" s="24"/>
      <c r="E9" s="25"/>
      <c r="F9" s="99"/>
      <c r="G9" s="95"/>
    </row>
    <row r="10" spans="1:9" ht="12.2" customHeight="1" x14ac:dyDescent="0.2">
      <c r="A10" s="119" t="s">
        <v>85</v>
      </c>
      <c r="B10" s="119"/>
      <c r="C10" s="16">
        <v>447327</v>
      </c>
      <c r="D10" s="29">
        <v>317835</v>
      </c>
      <c r="E10" s="34">
        <v>636868</v>
      </c>
      <c r="F10" s="34">
        <v>1063045</v>
      </c>
      <c r="G10" s="95">
        <v>491502</v>
      </c>
    </row>
    <row r="11" spans="1:9" ht="12.2" customHeight="1" x14ac:dyDescent="0.2">
      <c r="A11" s="119" t="s">
        <v>86</v>
      </c>
      <c r="B11" s="119"/>
      <c r="C11" s="16">
        <v>72547</v>
      </c>
      <c r="D11" s="29">
        <v>71216</v>
      </c>
      <c r="E11" s="34" t="s">
        <v>15</v>
      </c>
      <c r="F11" s="34" t="s">
        <v>15</v>
      </c>
      <c r="G11" s="95">
        <v>82380</v>
      </c>
    </row>
    <row r="12" spans="1:9" ht="12.2" customHeight="1" x14ac:dyDescent="0.2">
      <c r="A12" s="119" t="s">
        <v>87</v>
      </c>
      <c r="B12" s="119"/>
      <c r="C12" s="16">
        <v>57656</v>
      </c>
      <c r="D12" s="39" t="s">
        <v>13</v>
      </c>
      <c r="E12" s="34" t="s">
        <v>15</v>
      </c>
      <c r="F12" s="34" t="s">
        <v>15</v>
      </c>
      <c r="G12" s="95">
        <v>73593</v>
      </c>
    </row>
    <row r="13" spans="1:9" ht="12.2" customHeight="1" thickBot="1" x14ac:dyDescent="0.25">
      <c r="A13" s="119" t="s">
        <v>88</v>
      </c>
      <c r="B13" s="119"/>
      <c r="C13" s="79">
        <v>3812837</v>
      </c>
      <c r="D13" s="31">
        <v>3925740</v>
      </c>
      <c r="E13" s="41">
        <v>3600638</v>
      </c>
      <c r="F13" s="41">
        <v>4281496</v>
      </c>
      <c r="G13" s="95">
        <v>3960489</v>
      </c>
    </row>
    <row r="14" spans="1:9" ht="12" customHeight="1" thickTop="1" x14ac:dyDescent="0.2">
      <c r="A14" s="129"/>
      <c r="B14" s="129"/>
      <c r="C14" s="18">
        <v>4390367</v>
      </c>
      <c r="D14" s="38">
        <v>4314791</v>
      </c>
      <c r="E14" s="40">
        <v>4301684</v>
      </c>
      <c r="F14" s="40">
        <v>5402555</v>
      </c>
      <c r="G14" s="95">
        <v>4630225</v>
      </c>
    </row>
    <row r="15" spans="1:9" ht="15.75" customHeight="1" x14ac:dyDescent="0.2">
      <c r="A15" s="80" t="s">
        <v>2</v>
      </c>
      <c r="B15" s="81"/>
      <c r="C15" s="81"/>
      <c r="D15" s="81"/>
      <c r="E15" s="44"/>
      <c r="F15" s="49"/>
      <c r="G15" s="95"/>
    </row>
    <row r="16" spans="1:9" ht="12.75" customHeight="1" x14ac:dyDescent="0.2">
      <c r="A16" s="119" t="s">
        <v>89</v>
      </c>
      <c r="B16" s="120"/>
      <c r="C16" s="82">
        <v>1244933</v>
      </c>
      <c r="D16" s="20">
        <v>948864</v>
      </c>
      <c r="E16" s="46">
        <v>1024758</v>
      </c>
      <c r="F16" s="46">
        <v>595672</v>
      </c>
      <c r="G16" s="95">
        <v>1822642</v>
      </c>
    </row>
    <row r="17" spans="1:9" ht="12.2" customHeight="1" x14ac:dyDescent="0.2">
      <c r="A17" s="119" t="s">
        <v>90</v>
      </c>
      <c r="B17" s="120"/>
      <c r="C17" s="83">
        <v>1040530</v>
      </c>
      <c r="D17" s="8">
        <v>834816</v>
      </c>
      <c r="E17" s="47">
        <v>573347</v>
      </c>
      <c r="F17" s="47">
        <v>539085</v>
      </c>
      <c r="G17" s="95">
        <v>1554895</v>
      </c>
    </row>
    <row r="18" spans="1:9" ht="12.2" customHeight="1" x14ac:dyDescent="0.2">
      <c r="A18" s="119" t="s">
        <v>91</v>
      </c>
      <c r="B18" s="120"/>
      <c r="C18" s="83">
        <v>253940</v>
      </c>
      <c r="D18" s="8">
        <v>219704</v>
      </c>
      <c r="E18" s="47">
        <v>176339</v>
      </c>
      <c r="F18" s="47">
        <v>137904</v>
      </c>
      <c r="G18" s="95">
        <v>260652</v>
      </c>
    </row>
    <row r="19" spans="1:9" ht="12.2" customHeight="1" x14ac:dyDescent="0.2">
      <c r="A19" s="119" t="s">
        <v>92</v>
      </c>
      <c r="B19" s="120"/>
      <c r="C19" s="83">
        <v>367952</v>
      </c>
      <c r="D19" s="8">
        <v>324300</v>
      </c>
      <c r="E19" s="47"/>
      <c r="F19" s="47" t="s">
        <v>15</v>
      </c>
      <c r="G19" s="95">
        <v>435097</v>
      </c>
    </row>
    <row r="20" spans="1:9" ht="12.2" customHeight="1" x14ac:dyDescent="0.2">
      <c r="A20" s="119" t="s">
        <v>93</v>
      </c>
      <c r="B20" s="120"/>
      <c r="C20" s="83">
        <v>24708</v>
      </c>
      <c r="D20" s="8">
        <v>20399</v>
      </c>
      <c r="E20" s="47"/>
      <c r="F20" s="47" t="s">
        <v>15</v>
      </c>
      <c r="G20" s="95">
        <v>20862</v>
      </c>
    </row>
    <row r="21" spans="1:9" ht="12" customHeight="1" x14ac:dyDescent="0.2">
      <c r="A21" s="126" t="s">
        <v>14</v>
      </c>
      <c r="B21" s="120"/>
      <c r="C21" s="83">
        <v>13528</v>
      </c>
      <c r="D21" s="8">
        <v>11832</v>
      </c>
      <c r="E21" s="47">
        <v>9534</v>
      </c>
      <c r="F21" s="47">
        <v>8625</v>
      </c>
      <c r="G21" s="95">
        <v>10714</v>
      </c>
    </row>
    <row r="22" spans="1:9" ht="12.2" customHeight="1" x14ac:dyDescent="0.2">
      <c r="A22" s="119" t="s">
        <v>94</v>
      </c>
      <c r="B22" s="120"/>
      <c r="C22" s="83">
        <v>40051</v>
      </c>
      <c r="D22" s="8">
        <v>43747</v>
      </c>
      <c r="E22" s="47" t="s">
        <v>15</v>
      </c>
      <c r="F22" s="47" t="s">
        <v>15</v>
      </c>
      <c r="G22" s="95">
        <v>38479</v>
      </c>
    </row>
    <row r="23" spans="1:9" ht="12.2" customHeight="1" x14ac:dyDescent="0.2">
      <c r="A23" s="119" t="s">
        <v>95</v>
      </c>
      <c r="B23" s="120"/>
      <c r="C23" s="84" t="s">
        <v>13</v>
      </c>
      <c r="D23" s="21" t="s">
        <v>13</v>
      </c>
      <c r="E23" s="47">
        <v>35980</v>
      </c>
      <c r="F23" s="47">
        <v>43991</v>
      </c>
      <c r="G23" t="s">
        <v>15</v>
      </c>
    </row>
    <row r="24" spans="1:9" ht="12.2" customHeight="1" x14ac:dyDescent="0.2">
      <c r="A24" s="119" t="s">
        <v>96</v>
      </c>
      <c r="B24" s="120"/>
      <c r="C24" s="83">
        <v>1869167</v>
      </c>
      <c r="D24" s="8">
        <v>997701</v>
      </c>
      <c r="E24" s="47"/>
      <c r="F24" s="50"/>
      <c r="G24" s="95">
        <v>1616787</v>
      </c>
    </row>
    <row r="25" spans="1:9" ht="12.2" customHeight="1" x14ac:dyDescent="0.2">
      <c r="A25" s="119" t="s">
        <v>97</v>
      </c>
      <c r="B25" s="120"/>
      <c r="C25" s="83">
        <v>23737</v>
      </c>
      <c r="D25" s="21" t="s">
        <v>13</v>
      </c>
      <c r="E25" s="47"/>
      <c r="F25" s="47" t="s">
        <v>15</v>
      </c>
      <c r="G25" s="95">
        <v>24686</v>
      </c>
    </row>
    <row r="26" spans="1:9" ht="12.2" customHeight="1" x14ac:dyDescent="0.2">
      <c r="A26" s="119" t="s">
        <v>98</v>
      </c>
      <c r="B26" s="120"/>
      <c r="C26" s="83">
        <v>303912</v>
      </c>
      <c r="D26" s="8">
        <v>350466</v>
      </c>
      <c r="E26" s="47">
        <v>426177</v>
      </c>
      <c r="F26" s="47">
        <v>426177</v>
      </c>
      <c r="G26" s="95">
        <v>361521</v>
      </c>
    </row>
    <row r="27" spans="1:9" ht="12" customHeight="1" x14ac:dyDescent="0.2">
      <c r="A27" s="119" t="s">
        <v>99</v>
      </c>
      <c r="B27" s="120"/>
      <c r="C27" s="85" t="s">
        <v>13</v>
      </c>
      <c r="D27" s="22" t="s">
        <v>13</v>
      </c>
      <c r="E27" s="48"/>
      <c r="F27" s="48" t="s">
        <v>15</v>
      </c>
      <c r="G27" t="s">
        <v>15</v>
      </c>
    </row>
    <row r="28" spans="1:9" ht="18" customHeight="1" x14ac:dyDescent="0.2">
      <c r="A28" s="121" t="s">
        <v>3</v>
      </c>
      <c r="B28" s="121"/>
      <c r="C28" s="43">
        <v>5182458</v>
      </c>
      <c r="D28" s="43">
        <v>3751829</v>
      </c>
      <c r="E28" s="45">
        <f>E16+E17+E18+E21+E23+E26</f>
        <v>2246135</v>
      </c>
      <c r="F28" s="45">
        <f>F16+F17+F18+F21+F23+F26</f>
        <v>1751454</v>
      </c>
      <c r="G28" s="95">
        <v>6146335</v>
      </c>
    </row>
    <row r="29" spans="1:9" ht="13.35" customHeight="1" x14ac:dyDescent="0.2">
      <c r="A29" s="121" t="s">
        <v>4</v>
      </c>
      <c r="B29" s="114"/>
      <c r="C29" s="65">
        <v>29377145</v>
      </c>
      <c r="D29" s="65">
        <v>28965182</v>
      </c>
      <c r="E29" s="66">
        <f>SUM(E16:E26)</f>
        <v>2246135</v>
      </c>
      <c r="F29" s="67">
        <f>SUM(F16:F27)</f>
        <v>1751454</v>
      </c>
      <c r="G29" s="95">
        <v>34052231</v>
      </c>
      <c r="H29" s="95"/>
    </row>
    <row r="30" spans="1:9" ht="20.45" customHeight="1" x14ac:dyDescent="0.2">
      <c r="A30" s="123" t="s">
        <v>5</v>
      </c>
      <c r="B30" s="124"/>
      <c r="C30" s="124"/>
      <c r="D30" s="124"/>
      <c r="E30" s="124"/>
      <c r="F30" s="124"/>
      <c r="G30" s="124"/>
      <c r="H30" s="125"/>
      <c r="I30" s="95"/>
    </row>
    <row r="31" spans="1:9" ht="15.2" customHeight="1" x14ac:dyDescent="0.2">
      <c r="A31" s="119" t="s">
        <v>100</v>
      </c>
      <c r="B31" s="122"/>
      <c r="C31" s="18">
        <v>22065172</v>
      </c>
      <c r="D31" s="18">
        <v>23202930</v>
      </c>
      <c r="E31" s="71">
        <v>22624413</v>
      </c>
      <c r="F31" s="86"/>
      <c r="G31" s="87">
        <v>21422215</v>
      </c>
      <c r="H31" s="72"/>
    </row>
    <row r="32" spans="1:9" ht="12.2" customHeight="1" x14ac:dyDescent="0.2">
      <c r="A32" s="119" t="s">
        <v>101</v>
      </c>
      <c r="B32" s="119"/>
      <c r="C32" s="16">
        <v>60322</v>
      </c>
      <c r="D32" s="19" t="s">
        <v>13</v>
      </c>
      <c r="E32" s="74"/>
      <c r="F32" s="73"/>
      <c r="G32" s="72">
        <v>89334</v>
      </c>
      <c r="H32" s="72"/>
    </row>
    <row r="33" spans="1:9" ht="12.2" customHeight="1" x14ac:dyDescent="0.2">
      <c r="A33" s="119" t="s">
        <v>102</v>
      </c>
      <c r="B33" s="119"/>
      <c r="C33" s="16">
        <v>86601</v>
      </c>
      <c r="D33" s="16">
        <v>86601</v>
      </c>
      <c r="E33" s="71">
        <v>86601</v>
      </c>
      <c r="F33" s="73">
        <v>1063045</v>
      </c>
      <c r="G33" s="100">
        <v>86601</v>
      </c>
      <c r="H33" s="100"/>
    </row>
    <row r="34" spans="1:9" ht="12.2" customHeight="1" x14ac:dyDescent="0.2">
      <c r="A34" s="119" t="s">
        <v>103</v>
      </c>
      <c r="B34" s="119"/>
      <c r="C34" s="16">
        <v>12500</v>
      </c>
      <c r="D34" s="19" t="s">
        <v>13</v>
      </c>
      <c r="E34" s="74"/>
      <c r="F34" s="73"/>
      <c r="G34" s="72" t="s">
        <v>118</v>
      </c>
      <c r="H34" s="72"/>
    </row>
    <row r="35" spans="1:9" ht="12.2" customHeight="1" x14ac:dyDescent="0.2">
      <c r="A35" s="119" t="s">
        <v>104</v>
      </c>
      <c r="B35" s="119"/>
      <c r="C35" s="88"/>
      <c r="D35" s="88"/>
      <c r="E35" s="74"/>
      <c r="F35" s="89" t="s">
        <v>105</v>
      </c>
      <c r="G35">
        <v>15349</v>
      </c>
    </row>
    <row r="36" spans="1:9" ht="15.2" customHeight="1" x14ac:dyDescent="0.2">
      <c r="A36" s="121" t="s">
        <v>6</v>
      </c>
      <c r="B36" s="121"/>
      <c r="C36" s="6">
        <v>22224595</v>
      </c>
      <c r="D36" s="6">
        <v>23289531</v>
      </c>
      <c r="E36" s="71">
        <v>22711014</v>
      </c>
      <c r="F36" s="76">
        <v>5402555</v>
      </c>
      <c r="G36">
        <v>21613499</v>
      </c>
    </row>
    <row r="37" spans="1:9" ht="16.5" customHeight="1" x14ac:dyDescent="0.2">
      <c r="A37" s="80" t="s">
        <v>7</v>
      </c>
      <c r="B37" s="81"/>
      <c r="C37" s="127"/>
      <c r="D37" s="127"/>
      <c r="E37" s="127"/>
      <c r="F37" s="127"/>
      <c r="G37" s="127"/>
      <c r="H37" s="128"/>
      <c r="I37" s="72"/>
    </row>
    <row r="38" spans="1:9" ht="12.75" customHeight="1" x14ac:dyDescent="0.2">
      <c r="A38" s="119" t="s">
        <v>106</v>
      </c>
      <c r="B38" s="120"/>
      <c r="C38" s="20">
        <v>3505809</v>
      </c>
      <c r="D38" s="20">
        <v>3055041</v>
      </c>
      <c r="E38" s="71">
        <v>3067684</v>
      </c>
      <c r="F38" s="71">
        <v>2194451</v>
      </c>
      <c r="G38" s="72">
        <v>4250754</v>
      </c>
    </row>
    <row r="39" spans="1:9" ht="12.2" customHeight="1" x14ac:dyDescent="0.2">
      <c r="A39" s="119" t="s">
        <v>107</v>
      </c>
      <c r="B39" s="120"/>
      <c r="C39" s="8">
        <v>1187752</v>
      </c>
      <c r="D39" s="8">
        <v>944022</v>
      </c>
      <c r="E39" s="71">
        <v>1244805</v>
      </c>
      <c r="F39" s="71">
        <v>1071970</v>
      </c>
      <c r="G39" s="72">
        <v>1189198</v>
      </c>
    </row>
    <row r="40" spans="1:9" ht="12.2" customHeight="1" x14ac:dyDescent="0.2">
      <c r="A40" s="119" t="s">
        <v>108</v>
      </c>
      <c r="B40" s="120"/>
      <c r="C40" s="8">
        <v>1050640</v>
      </c>
      <c r="D40" s="8">
        <v>947046</v>
      </c>
      <c r="E40" s="71">
        <v>1168343</v>
      </c>
      <c r="F40" s="71">
        <v>1148618</v>
      </c>
      <c r="G40" s="72">
        <v>1449600</v>
      </c>
    </row>
    <row r="41" spans="1:9" ht="12.2" customHeight="1" x14ac:dyDescent="0.2">
      <c r="A41" s="119" t="s">
        <v>109</v>
      </c>
      <c r="B41" s="120"/>
      <c r="C41" s="8">
        <v>73695</v>
      </c>
      <c r="D41" s="8">
        <v>36176</v>
      </c>
      <c r="E41" s="71">
        <v>37927</v>
      </c>
      <c r="F41" s="71">
        <v>83001</v>
      </c>
      <c r="G41" s="72">
        <v>45593</v>
      </c>
    </row>
    <row r="42" spans="1:9" ht="12.2" customHeight="1" x14ac:dyDescent="0.2">
      <c r="A42" s="119"/>
      <c r="B42" s="120"/>
      <c r="C42" s="90"/>
      <c r="D42" s="90"/>
      <c r="E42" s="74"/>
      <c r="F42" s="91"/>
      <c r="G42" s="72"/>
    </row>
    <row r="43" spans="1:9" ht="12.2" customHeight="1" x14ac:dyDescent="0.2">
      <c r="A43" s="126" t="s">
        <v>119</v>
      </c>
      <c r="B43" s="120"/>
      <c r="C43" s="8">
        <v>19843</v>
      </c>
      <c r="D43" s="8">
        <v>20463</v>
      </c>
      <c r="E43" s="71">
        <v>66669</v>
      </c>
      <c r="F43" s="71">
        <v>53374</v>
      </c>
      <c r="G43" s="72">
        <v>26147</v>
      </c>
    </row>
    <row r="44" spans="1:9" ht="12.2" customHeight="1" x14ac:dyDescent="0.2">
      <c r="A44" s="119" t="s">
        <v>110</v>
      </c>
      <c r="B44" s="120"/>
      <c r="C44" s="21" t="s">
        <v>13</v>
      </c>
      <c r="D44" s="21" t="s">
        <v>13</v>
      </c>
      <c r="E44" s="71">
        <v>1031</v>
      </c>
      <c r="F44" s="71">
        <v>2663</v>
      </c>
      <c r="G44" s="72" t="s">
        <v>15</v>
      </c>
    </row>
    <row r="45" spans="1:9" ht="12.2" customHeight="1" x14ac:dyDescent="0.2">
      <c r="A45" s="119" t="s">
        <v>111</v>
      </c>
      <c r="B45" s="120"/>
      <c r="C45" s="8">
        <v>731468</v>
      </c>
      <c r="D45" s="8">
        <v>261998</v>
      </c>
      <c r="E45" s="71">
        <v>115550</v>
      </c>
      <c r="F45" s="92"/>
      <c r="G45" s="72">
        <v>90073</v>
      </c>
    </row>
    <row r="46" spans="1:9" ht="12.2" customHeight="1" x14ac:dyDescent="0.2">
      <c r="A46" s="119" t="s">
        <v>112</v>
      </c>
      <c r="B46" s="120"/>
      <c r="C46" s="8">
        <v>22169</v>
      </c>
      <c r="D46" s="8">
        <v>7660</v>
      </c>
      <c r="E46" s="71">
        <v>104664</v>
      </c>
      <c r="F46" s="71">
        <v>589761</v>
      </c>
      <c r="G46" s="72">
        <v>88890</v>
      </c>
    </row>
    <row r="47" spans="1:9" ht="12.2" customHeight="1" x14ac:dyDescent="0.2">
      <c r="A47" s="119" t="s">
        <v>113</v>
      </c>
      <c r="B47" s="120"/>
      <c r="C47" s="8">
        <v>561174</v>
      </c>
      <c r="D47" s="8">
        <v>403245</v>
      </c>
      <c r="E47" s="71">
        <v>531759</v>
      </c>
      <c r="F47" s="71">
        <v>517837</v>
      </c>
      <c r="G47" s="72">
        <v>4397699</v>
      </c>
    </row>
    <row r="48" spans="1:9" ht="12" customHeight="1" x14ac:dyDescent="0.2">
      <c r="A48" s="119" t="s">
        <v>114</v>
      </c>
      <c r="B48" s="120"/>
      <c r="C48" s="22" t="s">
        <v>13</v>
      </c>
      <c r="D48" s="22" t="s">
        <v>13</v>
      </c>
      <c r="E48" s="74"/>
      <c r="F48" s="19"/>
      <c r="G48" s="72">
        <v>900778</v>
      </c>
    </row>
    <row r="49" spans="1:61" ht="23.85" customHeight="1" x14ac:dyDescent="0.2">
      <c r="A49" s="121" t="s">
        <v>8</v>
      </c>
      <c r="B49" s="121"/>
      <c r="C49" s="7">
        <v>7152550</v>
      </c>
      <c r="D49" s="7">
        <v>5675651</v>
      </c>
      <c r="E49" s="71">
        <v>6338432</v>
      </c>
      <c r="F49" s="71">
        <v>5661675</v>
      </c>
      <c r="G49" s="72">
        <v>12438732</v>
      </c>
    </row>
    <row r="50" spans="1:61" ht="12.2" customHeight="1" x14ac:dyDescent="0.2">
      <c r="A50" s="114" t="s">
        <v>9</v>
      </c>
      <c r="B50" s="114"/>
      <c r="C50" s="51">
        <v>29377145</v>
      </c>
      <c r="D50" s="51">
        <v>28965182</v>
      </c>
      <c r="E50" s="71">
        <v>29049446</v>
      </c>
      <c r="F50" s="71">
        <v>27752219</v>
      </c>
      <c r="G50" s="72">
        <v>34052232</v>
      </c>
      <c r="H50" s="93"/>
    </row>
    <row r="51" spans="1:61" ht="14.25" customHeight="1" x14ac:dyDescent="0.2">
      <c r="A51" s="115" t="s">
        <v>58</v>
      </c>
      <c r="B51" s="116"/>
      <c r="C51" s="94">
        <f xml:space="preserve"> (C50+D50)/2</f>
        <v>29171163.5</v>
      </c>
      <c r="D51" s="77">
        <f>(D50+E50)/2</f>
        <v>29007314</v>
      </c>
      <c r="E51" s="77">
        <f>(E50+F50)/2</f>
        <v>28400832.5</v>
      </c>
      <c r="F51" s="72" t="e">
        <f>(F50+#REF!)/2</f>
        <v>#REF!</v>
      </c>
      <c r="G51" s="72"/>
      <c r="H51" s="7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3"/>
    </row>
    <row r="52" spans="1:61" ht="15" customHeight="1" x14ac:dyDescent="0.2">
      <c r="A52" s="117" t="s">
        <v>16</v>
      </c>
      <c r="B52" s="118"/>
      <c r="C52" s="29">
        <v>17231709</v>
      </c>
      <c r="D52" s="16">
        <v>20798082</v>
      </c>
      <c r="E52" s="71">
        <v>21160878</v>
      </c>
      <c r="F52" s="71">
        <v>20423356</v>
      </c>
      <c r="G52" s="71">
        <v>20044438</v>
      </c>
      <c r="H52" s="68">
        <v>18642358</v>
      </c>
      <c r="I52" s="72"/>
      <c r="BI52" s="54"/>
    </row>
    <row r="53" spans="1:61" ht="15" customHeight="1" x14ac:dyDescent="0.2">
      <c r="A53" s="110" t="s">
        <v>17</v>
      </c>
      <c r="B53" s="111"/>
      <c r="C53" s="30">
        <v>-16582605</v>
      </c>
      <c r="D53" s="17">
        <v>-15474771</v>
      </c>
      <c r="E53" s="71">
        <v>-16124517</v>
      </c>
      <c r="F53" s="71">
        <v>-15985679</v>
      </c>
      <c r="G53" s="71">
        <v>-10879156</v>
      </c>
      <c r="H53" s="69" t="s">
        <v>115</v>
      </c>
      <c r="I53" s="72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6"/>
    </row>
    <row r="54" spans="1:61" ht="12.75" customHeight="1" x14ac:dyDescent="0.2">
      <c r="A54" s="108" t="s">
        <v>18</v>
      </c>
      <c r="B54" s="109"/>
      <c r="C54" s="29">
        <v>649104</v>
      </c>
      <c r="D54" s="16">
        <v>5323311</v>
      </c>
      <c r="E54" s="71">
        <v>5036361</v>
      </c>
      <c r="F54" s="71">
        <v>4437677</v>
      </c>
      <c r="G54" s="71">
        <v>9165282</v>
      </c>
      <c r="H54" s="68">
        <v>7027097</v>
      </c>
      <c r="I54" s="87"/>
    </row>
    <row r="55" spans="1:61" ht="12.75" customHeight="1" x14ac:dyDescent="0.2">
      <c r="A55" s="110" t="s">
        <v>10</v>
      </c>
      <c r="B55" s="111"/>
      <c r="C55" s="29">
        <v>36134</v>
      </c>
      <c r="D55" s="16">
        <v>92947</v>
      </c>
      <c r="E55" s="74"/>
      <c r="F55" s="72"/>
      <c r="G55" s="72"/>
      <c r="H55" s="72"/>
      <c r="I55" s="72"/>
    </row>
    <row r="56" spans="1:61" x14ac:dyDescent="0.2">
      <c r="A56" s="112" t="s">
        <v>19</v>
      </c>
      <c r="B56" s="113"/>
      <c r="C56" s="30">
        <v>-204344</v>
      </c>
      <c r="D56" s="17">
        <v>-210335</v>
      </c>
      <c r="E56" s="71">
        <v>-197707</v>
      </c>
      <c r="F56" s="71">
        <v>-166361</v>
      </c>
      <c r="G56" s="71">
        <v>-208777</v>
      </c>
      <c r="H56" s="72"/>
      <c r="I56" s="72"/>
    </row>
    <row r="57" spans="1:61" x14ac:dyDescent="0.2">
      <c r="A57" s="112" t="s">
        <v>20</v>
      </c>
      <c r="B57" s="113"/>
      <c r="C57" s="30">
        <v>-468651</v>
      </c>
      <c r="D57" s="17">
        <v>-415979</v>
      </c>
      <c r="E57" s="71">
        <v>-385602</v>
      </c>
      <c r="F57" s="71">
        <v>-339766</v>
      </c>
      <c r="G57" s="71">
        <v>-312108</v>
      </c>
      <c r="H57" s="72"/>
      <c r="I57" s="72"/>
    </row>
    <row r="58" spans="1:61" x14ac:dyDescent="0.2">
      <c r="A58" s="112" t="s">
        <v>21</v>
      </c>
      <c r="B58" s="113"/>
      <c r="C58" s="75">
        <v>-567</v>
      </c>
      <c r="D58" s="17">
        <v>-326689</v>
      </c>
      <c r="E58" s="71">
        <v>-311184</v>
      </c>
      <c r="F58" s="57"/>
      <c r="G58" s="71">
        <v>-578543</v>
      </c>
      <c r="H58" s="72"/>
      <c r="I58" s="72"/>
    </row>
    <row r="59" spans="1:61" x14ac:dyDescent="0.2">
      <c r="A59" s="108" t="s">
        <v>22</v>
      </c>
      <c r="B59" s="109"/>
      <c r="C59" s="29">
        <v>11676</v>
      </c>
      <c r="D59" s="16">
        <v>4463255</v>
      </c>
      <c r="E59" s="30">
        <v>4246</v>
      </c>
      <c r="F59" s="58">
        <v>3777</v>
      </c>
      <c r="G59" s="72">
        <v>268798</v>
      </c>
      <c r="H59" s="72">
        <v>191386</v>
      </c>
      <c r="I59" s="72"/>
    </row>
    <row r="60" spans="1:61" x14ac:dyDescent="0.2">
      <c r="A60" s="110" t="s">
        <v>23</v>
      </c>
      <c r="B60" s="111"/>
      <c r="C60" s="30">
        <v>-233800</v>
      </c>
      <c r="D60" s="17">
        <v>-106758</v>
      </c>
      <c r="E60" s="29"/>
      <c r="F60" s="71">
        <v>-291095</v>
      </c>
      <c r="G60" s="71">
        <v>-503346</v>
      </c>
      <c r="H60" s="72"/>
      <c r="I60" s="72"/>
    </row>
    <row r="61" spans="1:61" x14ac:dyDescent="0.2">
      <c r="A61" s="112" t="s">
        <v>24</v>
      </c>
      <c r="B61" s="113"/>
      <c r="C61" s="29">
        <v>48857</v>
      </c>
      <c r="D61" s="16">
        <v>55411</v>
      </c>
      <c r="E61" s="29"/>
      <c r="F61" s="57"/>
      <c r="G61" s="72"/>
      <c r="H61" s="72"/>
      <c r="I61" s="72"/>
    </row>
    <row r="62" spans="1:61" ht="29.25" customHeight="1" x14ac:dyDescent="0.2">
      <c r="A62" s="108" t="s">
        <v>25</v>
      </c>
      <c r="B62" s="109"/>
      <c r="C62" s="29">
        <v>184943</v>
      </c>
      <c r="D62" s="16">
        <v>51347</v>
      </c>
      <c r="E62" s="30"/>
      <c r="F62" s="58"/>
      <c r="G62" s="98"/>
      <c r="H62" s="72"/>
      <c r="I62" s="72"/>
    </row>
    <row r="63" spans="1:61" ht="19.5" customHeight="1" x14ac:dyDescent="0.2">
      <c r="A63" s="108" t="s">
        <v>26</v>
      </c>
      <c r="B63" s="109"/>
      <c r="C63" s="30">
        <v>-173267</v>
      </c>
      <c r="D63" s="16">
        <v>4411908</v>
      </c>
      <c r="E63" s="71">
        <v>4098149</v>
      </c>
      <c r="F63" s="71">
        <v>3930221</v>
      </c>
      <c r="G63" s="71">
        <v>7831306</v>
      </c>
      <c r="H63" s="68">
        <v>5679891</v>
      </c>
      <c r="I63" s="72"/>
    </row>
    <row r="64" spans="1:61" x14ac:dyDescent="0.2">
      <c r="A64" s="110" t="s">
        <v>27</v>
      </c>
      <c r="B64" s="111"/>
      <c r="C64" s="29">
        <v>113886</v>
      </c>
      <c r="D64" s="17">
        <v>-1587610</v>
      </c>
      <c r="E64" s="71">
        <v>-668685</v>
      </c>
      <c r="F64" s="71">
        <v>-1317010</v>
      </c>
      <c r="G64" s="71">
        <v>-2464106</v>
      </c>
      <c r="H64" s="78">
        <v>515637266</v>
      </c>
      <c r="I64" s="72"/>
    </row>
    <row r="65" spans="1:9" x14ac:dyDescent="0.2">
      <c r="A65" s="108" t="s">
        <v>28</v>
      </c>
      <c r="B65" s="109"/>
      <c r="C65" s="30" t="s">
        <v>15</v>
      </c>
      <c r="D65" s="16">
        <v>2824298</v>
      </c>
      <c r="E65" s="71">
        <v>3429464</v>
      </c>
      <c r="F65" s="71">
        <v>2613211</v>
      </c>
      <c r="G65" s="71">
        <v>5367200</v>
      </c>
      <c r="H65" s="69" t="s">
        <v>116</v>
      </c>
      <c r="I65" s="72"/>
    </row>
    <row r="66" spans="1:9" x14ac:dyDescent="0.2">
      <c r="A66" s="110" t="s">
        <v>29</v>
      </c>
      <c r="B66" s="111"/>
      <c r="C66" s="60">
        <v>-0.04</v>
      </c>
      <c r="D66" s="70">
        <v>2.0499999999999998</v>
      </c>
      <c r="E66" s="74">
        <v>2.4900000000000002</v>
      </c>
      <c r="F66" s="74">
        <v>1.89</v>
      </c>
      <c r="G66" s="74">
        <v>3.98</v>
      </c>
      <c r="H66" s="69" t="s">
        <v>117</v>
      </c>
      <c r="I66" s="72"/>
    </row>
    <row r="67" spans="1:9" ht="12.75" customHeight="1" x14ac:dyDescent="0.2">
      <c r="A67" s="112" t="s">
        <v>30</v>
      </c>
      <c r="B67" s="113"/>
      <c r="C67" s="60">
        <v>-0.04</v>
      </c>
      <c r="D67" s="70">
        <v>2.0499999999999998</v>
      </c>
      <c r="E67" s="74">
        <v>2.4900000000000002</v>
      </c>
      <c r="F67" s="74">
        <v>1.89</v>
      </c>
      <c r="G67" s="74">
        <v>3.98</v>
      </c>
      <c r="H67" s="69" t="s">
        <v>117</v>
      </c>
      <c r="I67" s="72"/>
    </row>
    <row r="68" spans="1:9" ht="12.75" customHeight="1" x14ac:dyDescent="0.2">
      <c r="A68" s="100" t="s">
        <v>59</v>
      </c>
      <c r="B68" s="100"/>
      <c r="C68" s="74">
        <f>(C8+D8)/2</f>
        <v>20351441</v>
      </c>
      <c r="D68" s="74">
        <f>(E8+D8)/2</f>
        <v>30938221</v>
      </c>
      <c r="E68" s="29">
        <f>(E8+F8)/2</f>
        <v>30329502.5</v>
      </c>
      <c r="F68" s="57" t="e">
        <f>(F8+#REF!)/2</f>
        <v>#REF!</v>
      </c>
      <c r="G68" s="72" t="e">
        <f>(#REF!+#REF!)/2</f>
        <v>#REF!</v>
      </c>
      <c r="H68" s="72" t="s">
        <v>15</v>
      </c>
      <c r="I68" s="95"/>
    </row>
    <row r="69" spans="1:9" x14ac:dyDescent="0.2">
      <c r="A69" s="100" t="s">
        <v>60</v>
      </c>
      <c r="B69" s="100"/>
      <c r="C69" s="74">
        <v>15.51</v>
      </c>
      <c r="D69" s="74">
        <v>21.28</v>
      </c>
      <c r="E69" s="74">
        <v>28.86</v>
      </c>
      <c r="F69" s="74">
        <v>41.22</v>
      </c>
      <c r="G69" s="74">
        <v>36.76</v>
      </c>
      <c r="H69" s="74">
        <v>26.46</v>
      </c>
      <c r="I69" s="95"/>
    </row>
    <row r="70" spans="1:9" ht="14.25" customHeight="1" x14ac:dyDescent="0.2">
      <c r="A70" s="100" t="s">
        <v>61</v>
      </c>
      <c r="B70" s="100"/>
      <c r="C70" s="71">
        <v>19804</v>
      </c>
      <c r="D70" s="71">
        <v>20899</v>
      </c>
      <c r="E70" s="71">
        <v>20489</v>
      </c>
      <c r="F70" s="71">
        <v>19681</v>
      </c>
      <c r="G70" s="71">
        <v>18428</v>
      </c>
      <c r="H70" s="71">
        <v>17419</v>
      </c>
      <c r="I70" s="95"/>
    </row>
    <row r="71" spans="1:9" ht="13.5" customHeight="1" x14ac:dyDescent="0.2">
      <c r="A71" s="100" t="s">
        <v>62</v>
      </c>
      <c r="B71" s="100"/>
      <c r="C71" s="71">
        <v>-59381</v>
      </c>
      <c r="D71" s="71">
        <v>2824298</v>
      </c>
      <c r="E71" s="71">
        <v>3429464</v>
      </c>
      <c r="F71" s="71">
        <v>2613211</v>
      </c>
      <c r="G71" s="71">
        <v>5367200</v>
      </c>
      <c r="H71" s="71">
        <v>4116165</v>
      </c>
      <c r="I71" s="95"/>
    </row>
    <row r="72" spans="1:9" ht="12.75" customHeight="1" x14ac:dyDescent="0.2">
      <c r="A72" s="100" t="s">
        <v>63</v>
      </c>
      <c r="B72" s="100"/>
      <c r="C72" s="71">
        <v>1013426</v>
      </c>
      <c r="D72" s="71">
        <v>5557926</v>
      </c>
      <c r="E72" s="74">
        <v>5222688</v>
      </c>
      <c r="F72" s="74">
        <v>4329820</v>
      </c>
      <c r="G72" s="74">
        <v>7899501</v>
      </c>
      <c r="H72" s="74">
        <v>7408740</v>
      </c>
      <c r="I72" s="100"/>
    </row>
    <row r="73" spans="1:9" ht="15.75" customHeight="1" x14ac:dyDescent="0.2">
      <c r="A73" s="100" t="s">
        <v>64</v>
      </c>
      <c r="B73" s="100"/>
      <c r="C73" s="71">
        <v>-59381</v>
      </c>
      <c r="D73" s="71">
        <v>2824298</v>
      </c>
      <c r="E73" s="74">
        <v>3429464</v>
      </c>
      <c r="F73" s="74">
        <v>2613211</v>
      </c>
      <c r="G73" s="74">
        <v>5367200</v>
      </c>
      <c r="H73" s="74">
        <v>4116165</v>
      </c>
      <c r="I73" s="100"/>
    </row>
    <row r="74" spans="1:9" ht="13.5" customHeight="1" x14ac:dyDescent="0.2">
      <c r="A74" s="100" t="s">
        <v>75</v>
      </c>
      <c r="B74" s="100"/>
      <c r="C74" s="74">
        <f>(C39+D39)/2</f>
        <v>1065887</v>
      </c>
      <c r="D74" s="74">
        <f>(D39+E39)/2</f>
        <v>1094413.5</v>
      </c>
      <c r="E74" s="74">
        <f>(E39+F39)/2</f>
        <v>1158387.5</v>
      </c>
      <c r="F74" s="74" t="e">
        <f>(F39+#REF!)/2</f>
        <v>#REF!</v>
      </c>
      <c r="G74" s="74" t="e">
        <f>(#REF!+#REF!)/2</f>
        <v>#REF!</v>
      </c>
      <c r="H74" s="74" t="s">
        <v>15</v>
      </c>
      <c r="I74" s="100"/>
    </row>
    <row r="75" spans="1:9" x14ac:dyDescent="0.2">
      <c r="A75" s="100" t="s">
        <v>76</v>
      </c>
      <c r="B75" s="100"/>
      <c r="C75" s="74">
        <f>(C16+D16)/2</f>
        <v>1096898.5</v>
      </c>
      <c r="D75" s="74">
        <f>(D16+E16)/2</f>
        <v>986811</v>
      </c>
      <c r="E75" s="74">
        <f>(E16+F16)/2</f>
        <v>810215</v>
      </c>
      <c r="F75" s="74" t="e">
        <f>(F16+#REF!)/2</f>
        <v>#REF!</v>
      </c>
      <c r="G75" s="74" t="e">
        <f>(#REF!+#REF!)/2</f>
        <v>#REF!</v>
      </c>
      <c r="H75" s="74" t="s">
        <v>15</v>
      </c>
      <c r="I75" s="100"/>
    </row>
    <row r="76" spans="1:9" x14ac:dyDescent="0.2">
      <c r="A76" s="100" t="s">
        <v>77</v>
      </c>
      <c r="B76" s="100"/>
      <c r="C76" s="71">
        <v>27083146</v>
      </c>
      <c r="D76" s="71">
        <v>29648675</v>
      </c>
      <c r="E76" s="71">
        <v>21160878</v>
      </c>
      <c r="F76" s="71">
        <v>20423356</v>
      </c>
      <c r="G76" s="71">
        <v>20044438</v>
      </c>
      <c r="H76" s="71">
        <v>18642358</v>
      </c>
      <c r="I76" s="100"/>
    </row>
    <row r="77" spans="1:9" x14ac:dyDescent="0.2">
      <c r="A77" s="100" t="s">
        <v>78</v>
      </c>
      <c r="B77" s="100"/>
      <c r="C77" s="74">
        <f>(C46+D46)/2</f>
        <v>14914.5</v>
      </c>
      <c r="D77" s="74">
        <f>(D46+E46)/2</f>
        <v>56162</v>
      </c>
      <c r="E77" s="74">
        <f>(E46+F46)/2</f>
        <v>347212.5</v>
      </c>
      <c r="F77" s="74" t="e">
        <f>(F46+#REF!)/2</f>
        <v>#REF!</v>
      </c>
      <c r="G77" s="74" t="e">
        <f>(#REF!+#REF!)/2</f>
        <v>#REF!</v>
      </c>
      <c r="H77" s="74" t="s">
        <v>15</v>
      </c>
      <c r="I77" s="100"/>
    </row>
    <row r="78" spans="1:9" x14ac:dyDescent="0.2">
      <c r="A78" s="100" t="s">
        <v>79</v>
      </c>
      <c r="B78" s="100"/>
      <c r="C78" s="74">
        <f>(C36+D36)/2</f>
        <v>22757063</v>
      </c>
      <c r="D78" s="74">
        <f>(D36+E36)/2</f>
        <v>23000272.5</v>
      </c>
      <c r="E78" s="74">
        <f>(E36+F36)/2</f>
        <v>14056784.5</v>
      </c>
      <c r="F78" s="74" t="e">
        <f>(F36+#REF!)/2</f>
        <v>#REF!</v>
      </c>
      <c r="G78" s="74" t="e">
        <f>(#REF!+#REF!)/2</f>
        <v>#REF!</v>
      </c>
      <c r="H78" s="74" t="s">
        <v>15</v>
      </c>
      <c r="I78" s="100"/>
    </row>
    <row r="79" spans="1:9" x14ac:dyDescent="0.2">
      <c r="A79" s="100" t="s">
        <v>80</v>
      </c>
      <c r="B79" s="100"/>
      <c r="C79" s="107">
        <f>(D39-C39)+C53</f>
        <v>-16826335</v>
      </c>
      <c r="D79" s="107">
        <f>(E39-D39)+D53</f>
        <v>-15173988</v>
      </c>
      <c r="E79" s="71">
        <f>(F39-E39)+E53</f>
        <v>-16297352</v>
      </c>
      <c r="F79" s="71" t="e">
        <f>(#REF!-F39)+F53</f>
        <v>#REF!</v>
      </c>
      <c r="G79" s="71" t="e">
        <f>(#REF!-#REF!)+G53</f>
        <v>#REF!</v>
      </c>
      <c r="H79" s="74" t="s">
        <v>15</v>
      </c>
      <c r="I79" s="100"/>
    </row>
    <row r="80" spans="1:9" x14ac:dyDescent="0.2">
      <c r="A80" s="100" t="s">
        <v>81</v>
      </c>
      <c r="B80" s="100"/>
      <c r="C80" s="71">
        <f t="shared" ref="C80:F80" si="0">C49-C28</f>
        <v>1970092</v>
      </c>
      <c r="D80" s="71">
        <f t="shared" si="0"/>
        <v>1923822</v>
      </c>
      <c r="E80" s="71">
        <f t="shared" si="0"/>
        <v>4092297</v>
      </c>
      <c r="F80" s="71">
        <f t="shared" si="0"/>
        <v>3910221</v>
      </c>
      <c r="G80" s="71" t="e">
        <f>#REF!-#REF!</f>
        <v>#REF!</v>
      </c>
      <c r="H80" s="71" t="e">
        <f>#REF!-#REF!</f>
        <v>#REF!</v>
      </c>
      <c r="I80" s="100"/>
    </row>
    <row r="81" spans="1:9" x14ac:dyDescent="0.2">
      <c r="A81" s="100" t="s">
        <v>82</v>
      </c>
      <c r="B81" s="100"/>
      <c r="C81" s="74">
        <f>(C80+D80)/2</f>
        <v>1946957</v>
      </c>
      <c r="D81" s="74">
        <f>(D80+E80)/2</f>
        <v>3008059.5</v>
      </c>
      <c r="E81" s="74">
        <f>(E80+F80)/2</f>
        <v>4001259</v>
      </c>
      <c r="F81" s="74" t="e">
        <f>(F80+G80)/2</f>
        <v>#REF!</v>
      </c>
      <c r="G81" s="74" t="e">
        <f>(G80+H80)/2</f>
        <v>#REF!</v>
      </c>
      <c r="H81" s="74" t="s">
        <v>15</v>
      </c>
      <c r="I81" s="100"/>
    </row>
    <row r="82" spans="1:9" x14ac:dyDescent="0.2">
      <c r="A82" s="100"/>
      <c r="B82" s="100"/>
      <c r="C82" s="100"/>
      <c r="D82" s="100"/>
      <c r="E82" s="100"/>
      <c r="F82" s="100"/>
      <c r="G82" s="100"/>
      <c r="H82" s="100"/>
      <c r="I82" s="100"/>
    </row>
    <row r="83" spans="1:9" x14ac:dyDescent="0.2">
      <c r="A83" s="100"/>
      <c r="B83" s="100"/>
      <c r="C83" s="100"/>
      <c r="D83" s="100"/>
      <c r="E83" s="100"/>
      <c r="F83" s="100"/>
      <c r="G83" s="100"/>
      <c r="H83" s="100"/>
      <c r="I83" s="100"/>
    </row>
    <row r="84" spans="1:9" x14ac:dyDescent="0.15">
      <c r="A84" s="101" t="s">
        <v>31</v>
      </c>
      <c r="B84" s="100"/>
      <c r="C84" s="100"/>
      <c r="D84" s="100"/>
      <c r="E84" s="39"/>
      <c r="F84" s="19"/>
      <c r="G84" s="95"/>
      <c r="H84" s="95"/>
      <c r="I84" s="100"/>
    </row>
    <row r="85" spans="1:9" x14ac:dyDescent="0.15">
      <c r="A85" s="102" t="s">
        <v>32</v>
      </c>
      <c r="B85" s="100"/>
      <c r="C85" s="100">
        <f>C49/C28</f>
        <v>1.3801462549238219</v>
      </c>
      <c r="D85" s="100">
        <f>D49/D28</f>
        <v>1.5127691054149857</v>
      </c>
      <c r="E85" s="59">
        <f>E49/E28</f>
        <v>2.8219283346726711</v>
      </c>
      <c r="F85" s="4">
        <f>F49/F28</f>
        <v>3.2325570640165258</v>
      </c>
      <c r="G85" s="95" t="e">
        <f>#REF!/#REF!</f>
        <v>#REF!</v>
      </c>
      <c r="H85" s="100" t="s">
        <v>15</v>
      </c>
      <c r="I85" s="100"/>
    </row>
    <row r="86" spans="1:9" x14ac:dyDescent="0.15">
      <c r="A86" s="102" t="s">
        <v>33</v>
      </c>
      <c r="B86" s="100"/>
      <c r="C86" s="98">
        <f>(C49-C39)/C28</f>
        <v>1.1509592552414318</v>
      </c>
      <c r="D86" s="100">
        <f>(D49-D39)/D28</f>
        <v>1.2611526271586471</v>
      </c>
      <c r="E86" s="29">
        <f>(E49-39)/E28</f>
        <v>2.8219109715132884</v>
      </c>
      <c r="F86" s="58">
        <f>(F49-F39)/F28</f>
        <v>2.6205113008962839</v>
      </c>
      <c r="G86" s="95" t="e">
        <f>(#REF!-#REF!)/#REF!</f>
        <v>#REF!</v>
      </c>
      <c r="H86" s="100" t="e">
        <f>(#REF!-#REF!)/#REF!</f>
        <v>#REF!</v>
      </c>
      <c r="I86" s="100"/>
    </row>
    <row r="87" spans="1:9" x14ac:dyDescent="0.15">
      <c r="A87" s="102" t="s">
        <v>34</v>
      </c>
      <c r="B87" s="100"/>
      <c r="C87" s="98">
        <f>(C43+C47)/C28</f>
        <v>0.11211224480738677</v>
      </c>
      <c r="D87" s="100">
        <f>(C43+C47)/C28</f>
        <v>0.11211224480738677</v>
      </c>
      <c r="E87" s="59">
        <f>(C43+C47)/C28</f>
        <v>0.11211224480738677</v>
      </c>
      <c r="F87" s="4">
        <f>(C43+C47)/C28</f>
        <v>0.11211224480738677</v>
      </c>
      <c r="G87" s="100">
        <f>(43+C47)/C28</f>
        <v>0.10829166391700618</v>
      </c>
      <c r="H87" s="100">
        <f>(C43+C47)/C28</f>
        <v>0.11211224480738677</v>
      </c>
      <c r="I87" s="100"/>
    </row>
    <row r="88" spans="1:9" x14ac:dyDescent="0.15">
      <c r="A88" s="102" t="s">
        <v>35</v>
      </c>
      <c r="B88" s="100"/>
      <c r="C88" s="100">
        <f>(C47+C46+C43)/(C58+C57+C56)</f>
        <v>-0.89551667107111155</v>
      </c>
      <c r="D88" s="100">
        <f>(D47+D43+D46)/(D58+D57+D56)</f>
        <v>-0.45264075768911538</v>
      </c>
      <c r="E88" s="60">
        <f>(E47+E46+43)/(E56+E57+E58)</f>
        <v>-0.7115382680468153</v>
      </c>
      <c r="F88" s="61">
        <f>(F43+F46+F47)/(F56+F57+F58)</f>
        <v>-2.2938353417225321</v>
      </c>
      <c r="G88" s="100" t="e">
        <f>(#REF!+#REF!+#REF!)/(F56+F57+F58)</f>
        <v>#REF!</v>
      </c>
      <c r="H88" s="100" t="e">
        <f>(#REF!+#REF!+#REF!)/(G56+G57+G58)</f>
        <v>#REF!</v>
      </c>
      <c r="I88" s="100"/>
    </row>
    <row r="89" spans="1:9" x14ac:dyDescent="0.15">
      <c r="A89" s="102" t="s">
        <v>36</v>
      </c>
      <c r="B89" s="100"/>
      <c r="C89" s="100">
        <f>C118+C120-C122</f>
        <v>0.53387315202852648</v>
      </c>
      <c r="D89" s="100">
        <f>D118+D120-D122</f>
        <v>-1.3852179051218982</v>
      </c>
      <c r="E89" s="62">
        <f>E118+E120-E122</f>
        <v>-2.0868476546353207</v>
      </c>
      <c r="F89" s="63" t="e">
        <f>F118+F120-F122</f>
        <v>#REF!</v>
      </c>
      <c r="G89" s="100" t="e">
        <f>G118+G120-G122</f>
        <v>#REF!</v>
      </c>
      <c r="H89" s="100" t="s">
        <v>15</v>
      </c>
      <c r="I89" s="100"/>
    </row>
    <row r="90" spans="1:9" x14ac:dyDescent="0.15">
      <c r="A90" s="102"/>
      <c r="B90" s="100"/>
      <c r="C90" s="100"/>
      <c r="D90" s="100"/>
      <c r="E90" s="100"/>
      <c r="F90" s="100"/>
      <c r="G90" s="100"/>
      <c r="H90" s="100"/>
      <c r="I90" s="100"/>
    </row>
    <row r="91" spans="1:9" x14ac:dyDescent="0.15">
      <c r="A91" s="101" t="s">
        <v>37</v>
      </c>
      <c r="B91" s="100"/>
      <c r="C91" s="100"/>
      <c r="D91" s="100"/>
      <c r="E91" s="100"/>
      <c r="F91" s="100"/>
      <c r="G91" s="100"/>
      <c r="H91" s="100"/>
      <c r="I91" s="100"/>
    </row>
    <row r="92" spans="1:9" x14ac:dyDescent="0.15">
      <c r="A92" s="102" t="s">
        <v>38</v>
      </c>
      <c r="B92" s="100"/>
      <c r="C92" s="100">
        <f>C28/C50</f>
        <v>0.17641122035514342</v>
      </c>
      <c r="D92" s="100">
        <f>D28/D50</f>
        <v>0.12952892890505574</v>
      </c>
      <c r="E92" s="100">
        <f>F28/F50</f>
        <v>6.3110412900676524E-2</v>
      </c>
      <c r="F92" s="100" t="e">
        <f>#REF!/#REF!</f>
        <v>#REF!</v>
      </c>
      <c r="G92" s="100" t="e">
        <f>#REF!/50</f>
        <v>#REF!</v>
      </c>
      <c r="H92" s="100" t="e">
        <f>#REF!/50</f>
        <v>#REF!</v>
      </c>
      <c r="I92" s="100"/>
    </row>
    <row r="93" spans="1:9" x14ac:dyDescent="0.15">
      <c r="A93" s="102" t="s">
        <v>39</v>
      </c>
      <c r="B93" s="100"/>
      <c r="C93" s="100">
        <f>C28/C29</f>
        <v>0.17641122035514342</v>
      </c>
      <c r="D93" s="100">
        <f>D28/D29</f>
        <v>0.12952892890505574</v>
      </c>
      <c r="E93" s="100">
        <f>E28/E29</f>
        <v>1</v>
      </c>
      <c r="F93" s="100">
        <f>F28/F29</f>
        <v>1</v>
      </c>
      <c r="G93" s="100" t="e">
        <f>#REF!/#REF!</f>
        <v>#REF!</v>
      </c>
      <c r="H93" s="100" t="s">
        <v>15</v>
      </c>
      <c r="I93" s="100"/>
    </row>
    <row r="94" spans="1:9" x14ac:dyDescent="0.15">
      <c r="A94" s="102" t="s">
        <v>40</v>
      </c>
      <c r="B94" s="100"/>
      <c r="C94" s="100">
        <f>(C28+C14)/C8</f>
        <v>0.48337054743611496</v>
      </c>
      <c r="D94" s="100">
        <f>(D14+D28)/D8</f>
        <v>0.38598923696281112</v>
      </c>
      <c r="E94" s="100">
        <f>(E14+E28)/E8</f>
        <v>0.1597891106128477</v>
      </c>
      <c r="F94" s="100">
        <f>(F14+F28)/F8</f>
        <v>0.36349593836734434</v>
      </c>
      <c r="G94" s="100" t="e">
        <f>(#REF!+#REF!)/#REF!</f>
        <v>#REF!</v>
      </c>
      <c r="H94" s="100" t="e">
        <f>(#REF!+#REF!)/#REF!</f>
        <v>#REF!</v>
      </c>
      <c r="I94" s="100"/>
    </row>
    <row r="95" spans="1:9" x14ac:dyDescent="0.15">
      <c r="A95" s="102" t="s">
        <v>41</v>
      </c>
      <c r="B95" s="100"/>
      <c r="C95" s="100">
        <f>C51/C68</f>
        <v>1.4333709097060989</v>
      </c>
      <c r="D95" s="100">
        <f>D51/D68</f>
        <v>0.93758829895228946</v>
      </c>
      <c r="E95" s="100">
        <f>E51/E68</f>
        <v>0.93640944159898432</v>
      </c>
      <c r="F95" s="100" t="e">
        <f>F51/F68</f>
        <v>#REF!</v>
      </c>
      <c r="G95" s="100" t="e">
        <f>#REF!/G68</f>
        <v>#REF!</v>
      </c>
      <c r="H95" s="100" t="s">
        <v>15</v>
      </c>
      <c r="I95" s="100"/>
    </row>
    <row r="96" spans="1:9" x14ac:dyDescent="0.15">
      <c r="A96" s="103"/>
      <c r="B96" s="100"/>
      <c r="C96" s="100"/>
      <c r="D96" s="100"/>
      <c r="E96" s="100"/>
      <c r="F96" s="100"/>
      <c r="G96" s="100"/>
      <c r="H96" s="100"/>
      <c r="I96" s="100"/>
    </row>
    <row r="97" spans="1:9" x14ac:dyDescent="0.15">
      <c r="A97" s="101" t="s">
        <v>42</v>
      </c>
      <c r="B97" s="100"/>
      <c r="C97" s="100"/>
      <c r="D97" s="100"/>
      <c r="E97" s="100"/>
      <c r="F97" s="100"/>
      <c r="G97" s="100"/>
      <c r="H97" s="100"/>
      <c r="I97" s="100"/>
    </row>
    <row r="98" spans="1:9" x14ac:dyDescent="0.15">
      <c r="A98" s="102" t="s">
        <v>43</v>
      </c>
      <c r="B98" s="100"/>
      <c r="C98" s="100">
        <f t="shared" ref="C98:H98" si="1">C54/C52</f>
        <v>3.7669159803011991E-2</v>
      </c>
      <c r="D98" s="100">
        <f t="shared" si="1"/>
        <v>0.25595201519063154</v>
      </c>
      <c r="E98" s="100">
        <f t="shared" si="1"/>
        <v>0.23800340420657404</v>
      </c>
      <c r="F98" s="100">
        <f t="shared" si="1"/>
        <v>0.21728441691953077</v>
      </c>
      <c r="G98" s="100">
        <f t="shared" si="1"/>
        <v>0.45724814035694089</v>
      </c>
      <c r="H98" s="100">
        <f t="shared" si="1"/>
        <v>0.37694249836850036</v>
      </c>
      <c r="I98" s="100"/>
    </row>
    <row r="99" spans="1:9" x14ac:dyDescent="0.15">
      <c r="A99" s="102" t="s">
        <v>44</v>
      </c>
      <c r="B99" s="100"/>
      <c r="C99" s="100">
        <f>C59/C52</f>
        <v>6.7758804422706994E-4</v>
      </c>
      <c r="D99" s="100">
        <f>D59/D52</f>
        <v>0.21459935584444759</v>
      </c>
      <c r="E99" s="100">
        <f>E59/E52</f>
        <v>2.0065329992451165E-4</v>
      </c>
      <c r="F99" s="100">
        <f>F59/52</f>
        <v>72.634615384615387</v>
      </c>
      <c r="G99" s="100">
        <f>G59/G52</f>
        <v>1.3410104089723044E-2</v>
      </c>
      <c r="H99" s="100">
        <f>H59/H52</f>
        <v>1.0266190575248045E-2</v>
      </c>
      <c r="I99" s="100"/>
    </row>
    <row r="100" spans="1:9" x14ac:dyDescent="0.15">
      <c r="A100" s="102" t="s">
        <v>45</v>
      </c>
      <c r="B100" s="100"/>
      <c r="C100" s="100">
        <f t="shared" ref="C100:H100" si="2">C63/C52</f>
        <v>-1.0055125698791688E-2</v>
      </c>
      <c r="D100" s="100">
        <f t="shared" si="2"/>
        <v>0.21213052242028857</v>
      </c>
      <c r="E100" s="100">
        <f t="shared" si="2"/>
        <v>0.19366630250408323</v>
      </c>
      <c r="F100" s="100">
        <f t="shared" si="2"/>
        <v>0.19243757000563472</v>
      </c>
      <c r="G100" s="100">
        <f t="shared" si="2"/>
        <v>0.39069720986939122</v>
      </c>
      <c r="H100" s="100">
        <f t="shared" si="2"/>
        <v>0.30467664015464141</v>
      </c>
      <c r="I100" s="100"/>
    </row>
    <row r="101" spans="1:9" x14ac:dyDescent="0.15">
      <c r="A101" s="102" t="s">
        <v>46</v>
      </c>
      <c r="B101" s="100"/>
      <c r="C101" s="100"/>
      <c r="D101" s="100">
        <f>D65/D52</f>
        <v>0.13579607965772997</v>
      </c>
      <c r="E101" s="100">
        <f>E65/E52</f>
        <v>0.1620662431870738</v>
      </c>
      <c r="F101" s="100">
        <f>F65/F52</f>
        <v>0.12795208583741086</v>
      </c>
      <c r="G101" s="100">
        <f>G65/G52</f>
        <v>0.267765052829119</v>
      </c>
      <c r="H101" s="100" t="s">
        <v>15</v>
      </c>
      <c r="I101" s="100"/>
    </row>
    <row r="102" spans="1:9" x14ac:dyDescent="0.15">
      <c r="A102" s="102" t="s">
        <v>47</v>
      </c>
      <c r="B102" s="100"/>
      <c r="C102" s="100">
        <f>C59/C51</f>
        <v>4.0025828932054768E-4</v>
      </c>
      <c r="D102" s="100">
        <f>D59/D51</f>
        <v>0.15386653862539634</v>
      </c>
      <c r="E102" s="100">
        <f>E59/E51</f>
        <v>1.4950265982520056E-4</v>
      </c>
      <c r="F102" s="100" t="e">
        <f>F59/F51</f>
        <v>#REF!</v>
      </c>
      <c r="G102" s="100" t="e">
        <f>G59/#REF!</f>
        <v>#REF!</v>
      </c>
      <c r="H102" s="100" t="s">
        <v>15</v>
      </c>
      <c r="I102" s="100"/>
    </row>
    <row r="103" spans="1:9" x14ac:dyDescent="0.15">
      <c r="A103" s="102" t="s">
        <v>48</v>
      </c>
      <c r="B103" s="100"/>
      <c r="C103" s="100"/>
      <c r="D103" s="100">
        <f>D65/D51</f>
        <v>9.7365030074828718E-2</v>
      </c>
      <c r="E103" s="100">
        <f>E65/E51</f>
        <v>0.12075223499170315</v>
      </c>
      <c r="F103" s="100" t="e">
        <f>F65/F51</f>
        <v>#REF!</v>
      </c>
      <c r="G103" s="100" t="e">
        <f>G65/#REF!</f>
        <v>#REF!</v>
      </c>
      <c r="H103" s="100" t="s">
        <v>15</v>
      </c>
      <c r="I103" s="100"/>
    </row>
    <row r="104" spans="1:9" x14ac:dyDescent="0.15">
      <c r="A104" s="102" t="s">
        <v>49</v>
      </c>
      <c r="B104" s="100"/>
      <c r="C104" s="100">
        <f>C63/C29</f>
        <v>-5.8980203828520438E-3</v>
      </c>
      <c r="D104" s="100">
        <f>D63/D29</f>
        <v>0.1523176343238582</v>
      </c>
      <c r="E104" s="100">
        <f>E63/E29</f>
        <v>1.8245336989985019</v>
      </c>
      <c r="F104" s="100">
        <f>F63/F29</f>
        <v>2.2439761478177558</v>
      </c>
      <c r="G104" s="100" t="e">
        <f>G63/#REF!</f>
        <v>#REF!</v>
      </c>
      <c r="H104" s="100" t="s">
        <v>15</v>
      </c>
      <c r="I104" s="100"/>
    </row>
    <row r="105" spans="1:9" x14ac:dyDescent="0.15">
      <c r="A105" s="102" t="s">
        <v>50</v>
      </c>
      <c r="B105" s="100"/>
      <c r="C105" s="100">
        <f>C71/C68</f>
        <v>-2.9177786477134469E-3</v>
      </c>
      <c r="D105" s="100">
        <f>D71/D68</f>
        <v>9.1288312925297155E-2</v>
      </c>
      <c r="E105" s="100">
        <f>E71/E68</f>
        <v>0.11307353294041009</v>
      </c>
      <c r="F105" s="100" t="e">
        <f>F71/F68</f>
        <v>#REF!</v>
      </c>
      <c r="G105" s="100" t="e">
        <f>G71/G68</f>
        <v>#REF!</v>
      </c>
      <c r="H105" s="100" t="s">
        <v>15</v>
      </c>
      <c r="I105" s="100"/>
    </row>
    <row r="106" spans="1:9" x14ac:dyDescent="0.15">
      <c r="A106" s="102"/>
      <c r="B106" s="100"/>
      <c r="C106" s="100"/>
      <c r="D106" s="100"/>
      <c r="E106" s="100"/>
      <c r="F106" s="100"/>
      <c r="G106" s="100"/>
      <c r="H106" s="100"/>
      <c r="I106" s="100"/>
    </row>
    <row r="107" spans="1:9" x14ac:dyDescent="0.15">
      <c r="A107" s="103"/>
      <c r="B107" s="100"/>
      <c r="C107" s="100"/>
      <c r="D107" s="100"/>
      <c r="E107" s="100"/>
      <c r="F107" s="100"/>
      <c r="G107" s="100"/>
      <c r="H107" s="100"/>
      <c r="I107" s="100"/>
    </row>
    <row r="108" spans="1:9" x14ac:dyDescent="0.15">
      <c r="A108" s="101" t="s">
        <v>51</v>
      </c>
      <c r="B108" s="100"/>
      <c r="C108" s="100"/>
      <c r="D108" s="100"/>
      <c r="E108" s="100"/>
      <c r="F108" s="100"/>
      <c r="G108" s="100"/>
      <c r="H108" s="100"/>
      <c r="I108" s="100"/>
    </row>
    <row r="109" spans="1:9" x14ac:dyDescent="0.15">
      <c r="A109" s="102" t="s">
        <v>52</v>
      </c>
      <c r="B109" s="100"/>
      <c r="C109" s="100">
        <f>C69/C67</f>
        <v>-387.75</v>
      </c>
      <c r="D109" s="100">
        <f>D69/D67</f>
        <v>10.380487804878051</v>
      </c>
      <c r="E109" s="100">
        <f>E69/E67</f>
        <v>11.590361445783131</v>
      </c>
      <c r="F109" s="100">
        <f>F69/F67</f>
        <v>21.80952380952381</v>
      </c>
      <c r="G109" s="100">
        <f>G69/G67</f>
        <v>9.2361809045226124</v>
      </c>
      <c r="H109" s="100">
        <f>H69/G67</f>
        <v>6.6482412060301508</v>
      </c>
      <c r="I109" s="100"/>
    </row>
    <row r="110" spans="1:9" x14ac:dyDescent="0.15">
      <c r="A110" s="102" t="s">
        <v>53</v>
      </c>
      <c r="B110" s="100"/>
      <c r="C110" s="100">
        <f t="shared" ref="C110:H110" si="3">C70/C72</f>
        <v>1.9541634021625655E-2</v>
      </c>
      <c r="D110" s="100">
        <f t="shared" si="3"/>
        <v>3.7602155912115419E-3</v>
      </c>
      <c r="E110" s="100">
        <f t="shared" si="3"/>
        <v>3.9230756269568465E-3</v>
      </c>
      <c r="F110" s="100">
        <f t="shared" si="3"/>
        <v>4.5454545454545452E-3</v>
      </c>
      <c r="G110" s="100">
        <f t="shared" si="3"/>
        <v>2.3328055784789443E-3</v>
      </c>
      <c r="H110" s="100">
        <f t="shared" si="3"/>
        <v>2.3511420295488842E-3</v>
      </c>
      <c r="I110" s="100"/>
    </row>
    <row r="111" spans="1:9" x14ac:dyDescent="0.15">
      <c r="A111" s="102" t="s">
        <v>54</v>
      </c>
      <c r="B111" s="100"/>
      <c r="C111" s="100">
        <f t="shared" ref="C111:F111" si="4">C72/C8</f>
        <v>5.1171966520435944E-2</v>
      </c>
      <c r="D111" s="100">
        <f t="shared" si="4"/>
        <v>0.26594777190889979</v>
      </c>
      <c r="E111" s="100">
        <f t="shared" si="4"/>
        <v>0.12745139572862238</v>
      </c>
      <c r="F111" s="100">
        <f t="shared" si="4"/>
        <v>0.2199986027221513</v>
      </c>
      <c r="G111" s="100" t="e">
        <f>G72/#REF!</f>
        <v>#REF!</v>
      </c>
      <c r="H111" s="100" t="e">
        <f>H72/#REF!</f>
        <v>#REF!</v>
      </c>
      <c r="I111" s="100"/>
    </row>
    <row r="112" spans="1:9" x14ac:dyDescent="0.15">
      <c r="A112" s="102" t="s">
        <v>55</v>
      </c>
      <c r="B112" s="100"/>
      <c r="C112" s="100">
        <f t="shared" ref="C112:H112" si="5">C73/C70</f>
        <v>-2.998434659664714</v>
      </c>
      <c r="D112" s="100">
        <f t="shared" si="5"/>
        <v>135.14034164314083</v>
      </c>
      <c r="E112" s="100">
        <f t="shared" si="5"/>
        <v>167.38074088535311</v>
      </c>
      <c r="F112" s="100">
        <f t="shared" si="5"/>
        <v>132.77836492048169</v>
      </c>
      <c r="G112" s="100">
        <f t="shared" si="5"/>
        <v>291.25244193618408</v>
      </c>
      <c r="H112" s="100">
        <f t="shared" si="5"/>
        <v>236.30317469429932</v>
      </c>
      <c r="I112" s="100"/>
    </row>
    <row r="113" spans="1:9" x14ac:dyDescent="0.15">
      <c r="A113" s="102" t="s">
        <v>56</v>
      </c>
      <c r="B113" s="100"/>
      <c r="C113" s="100">
        <f t="shared" ref="C113:F113" si="6">C72/C8</f>
        <v>5.1171966520435944E-2</v>
      </c>
      <c r="D113" s="100">
        <f t="shared" si="6"/>
        <v>0.26594777190889979</v>
      </c>
      <c r="E113" s="100">
        <f t="shared" si="6"/>
        <v>0.12745139572862238</v>
      </c>
      <c r="F113" s="100">
        <f t="shared" si="6"/>
        <v>0.2199986027221513</v>
      </c>
      <c r="G113" s="100" t="e">
        <f>G72/#REF!</f>
        <v>#REF!</v>
      </c>
      <c r="H113" s="100" t="e">
        <f>H72/#REF!</f>
        <v>#REF!</v>
      </c>
      <c r="I113" s="100"/>
    </row>
    <row r="114" spans="1:9" x14ac:dyDescent="0.15">
      <c r="A114" s="102" t="s">
        <v>57</v>
      </c>
      <c r="B114" s="100"/>
      <c r="C114" s="100">
        <f t="shared" ref="C114:H114" si="7">C63/C70</f>
        <v>-8.749091092708543</v>
      </c>
      <c r="D114" s="100">
        <f t="shared" si="7"/>
        <v>211.1061773290588</v>
      </c>
      <c r="E114" s="100">
        <f t="shared" si="7"/>
        <v>200.01703353018692</v>
      </c>
      <c r="F114" s="100">
        <f t="shared" si="7"/>
        <v>199.69620446115542</v>
      </c>
      <c r="G114" s="100">
        <f t="shared" si="7"/>
        <v>424.9677664423703</v>
      </c>
      <c r="H114" s="100">
        <f t="shared" si="7"/>
        <v>326.07445892416325</v>
      </c>
      <c r="I114" s="100"/>
    </row>
    <row r="115" spans="1:9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</row>
    <row r="116" spans="1:9" x14ac:dyDescent="0.15">
      <c r="A116" s="104" t="s">
        <v>65</v>
      </c>
      <c r="B116" s="100"/>
      <c r="C116" s="100"/>
      <c r="D116" s="100"/>
      <c r="E116" s="100"/>
      <c r="F116" s="100"/>
      <c r="G116" s="100"/>
      <c r="H116" s="100"/>
      <c r="I116" s="100"/>
    </row>
    <row r="117" spans="1:9" x14ac:dyDescent="0.15">
      <c r="A117" s="105" t="s">
        <v>66</v>
      </c>
      <c r="B117" s="100"/>
      <c r="C117" s="100">
        <f>C53/C74</f>
        <v>-15.557563794285885</v>
      </c>
      <c r="D117" s="100">
        <f>D53/D74</f>
        <v>-14.139784459895642</v>
      </c>
      <c r="E117" s="100">
        <f>E53/E74</f>
        <v>-13.919795405250834</v>
      </c>
      <c r="F117" s="100" t="e">
        <f>F53/F74</f>
        <v>#REF!</v>
      </c>
      <c r="G117" s="100" t="e">
        <f>G53/G74</f>
        <v>#REF!</v>
      </c>
      <c r="H117" s="100" t="s">
        <v>15</v>
      </c>
      <c r="I117" s="100"/>
    </row>
    <row r="118" spans="1:9" x14ac:dyDescent="0.15">
      <c r="A118" s="106" t="s">
        <v>67</v>
      </c>
      <c r="B118" s="100"/>
      <c r="C118" s="100">
        <f>365/C117</f>
        <v>-23.461256841129607</v>
      </c>
      <c r="D118" s="100">
        <f>365/D117</f>
        <v>-25.813689100795095</v>
      </c>
      <c r="E118" s="100">
        <f>365/E117</f>
        <v>-26.221649770966781</v>
      </c>
      <c r="F118" s="100" t="e">
        <f>365/F117</f>
        <v>#REF!</v>
      </c>
      <c r="G118" s="100" t="e">
        <f>365/G117</f>
        <v>#REF!</v>
      </c>
      <c r="H118" s="100" t="s">
        <v>15</v>
      </c>
      <c r="I118" s="100"/>
    </row>
    <row r="119" spans="1:9" x14ac:dyDescent="0.15">
      <c r="A119" s="105" t="s">
        <v>68</v>
      </c>
      <c r="B119" s="100"/>
      <c r="C119" s="100">
        <f>C76/C77</f>
        <v>1815.8936605316974</v>
      </c>
      <c r="D119" s="100">
        <f>D76/D77</f>
        <v>527.91344681457213</v>
      </c>
      <c r="E119" s="100">
        <f>E76/E77</f>
        <v>60.945035100982828</v>
      </c>
      <c r="F119" s="100" t="e">
        <f>F76/F77</f>
        <v>#REF!</v>
      </c>
      <c r="G119" s="100" t="e">
        <f>G76/G77</f>
        <v>#REF!</v>
      </c>
      <c r="H119" s="100" t="s">
        <v>15</v>
      </c>
      <c r="I119" s="100"/>
    </row>
    <row r="120" spans="1:9" x14ac:dyDescent="0.15">
      <c r="A120" s="106" t="s">
        <v>69</v>
      </c>
      <c r="B120" s="100"/>
      <c r="C120" s="100">
        <f>365/C119</f>
        <v>0.20100295955277869</v>
      </c>
      <c r="D120" s="100">
        <f>365/D119</f>
        <v>0.69140121776099606</v>
      </c>
      <c r="E120" s="100">
        <f>365/E119</f>
        <v>5.9890030319157832</v>
      </c>
      <c r="F120" s="100" t="e">
        <f>365/F119</f>
        <v>#REF!</v>
      </c>
      <c r="G120" s="100" t="e">
        <f>365/G119</f>
        <v>#REF!</v>
      </c>
      <c r="H120" s="100" t="s">
        <v>15</v>
      </c>
      <c r="I120" s="100"/>
    </row>
    <row r="121" spans="1:9" x14ac:dyDescent="0.15">
      <c r="A121" s="105" t="s">
        <v>70</v>
      </c>
      <c r="B121" s="100"/>
      <c r="C121" s="100">
        <f>C79/C75</f>
        <v>-15.339919782915192</v>
      </c>
      <c r="D121" s="100">
        <f>D79/D75</f>
        <v>-15.376792516500121</v>
      </c>
      <c r="E121" s="100">
        <f>E79/E75</f>
        <v>-20.114848527859888</v>
      </c>
      <c r="F121" s="100" t="e">
        <f>F79/F75</f>
        <v>#REF!</v>
      </c>
      <c r="G121" s="100" t="e">
        <f>G79/G75</f>
        <v>#REF!</v>
      </c>
      <c r="H121" s="100" t="s">
        <v>15</v>
      </c>
      <c r="I121" s="100"/>
    </row>
    <row r="122" spans="1:9" x14ac:dyDescent="0.15">
      <c r="A122" s="106" t="s">
        <v>71</v>
      </c>
      <c r="B122" s="100"/>
      <c r="C122" s="100">
        <f>365/C121</f>
        <v>-23.794127033605356</v>
      </c>
      <c r="D122" s="100">
        <f>365/D121</f>
        <v>-23.737069977912199</v>
      </c>
      <c r="E122" s="100">
        <f>365/E121</f>
        <v>-18.145799084415678</v>
      </c>
      <c r="F122" s="100" t="e">
        <f>365/F121</f>
        <v>#REF!</v>
      </c>
      <c r="G122" s="100" t="e">
        <f>365/G121</f>
        <v>#REF!</v>
      </c>
      <c r="H122" s="100" t="s">
        <v>15</v>
      </c>
      <c r="I122" s="100"/>
    </row>
    <row r="123" spans="1:9" x14ac:dyDescent="0.15">
      <c r="A123" s="105" t="s">
        <v>72</v>
      </c>
      <c r="B123" s="100"/>
      <c r="C123" s="100">
        <f>C76/C81</f>
        <v>13.91050033462475</v>
      </c>
      <c r="D123" s="100">
        <f>D76/D81</f>
        <v>9.8564124147145353</v>
      </c>
      <c r="E123" s="100">
        <f>E76/E81</f>
        <v>5.2885549273366204</v>
      </c>
      <c r="F123" s="100" t="e">
        <f>F76/F81</f>
        <v>#REF!</v>
      </c>
      <c r="G123" s="100" t="e">
        <f>G76/G81</f>
        <v>#REF!</v>
      </c>
      <c r="H123" s="100" t="s">
        <v>15</v>
      </c>
      <c r="I123" s="100"/>
    </row>
    <row r="124" spans="1:9" x14ac:dyDescent="0.15">
      <c r="A124" s="106" t="s">
        <v>73</v>
      </c>
      <c r="B124" s="100"/>
      <c r="C124" s="100">
        <f>C76/C78</f>
        <v>1.1900984762401019</v>
      </c>
      <c r="D124" s="100">
        <f>D76/D78</f>
        <v>1.2890575535572459</v>
      </c>
      <c r="E124" s="100">
        <f>E76/E78</f>
        <v>1.5053853888134943</v>
      </c>
      <c r="F124" s="100" t="e">
        <f>F76/F78</f>
        <v>#REF!</v>
      </c>
      <c r="G124" s="100" t="e">
        <f>G76/G78</f>
        <v>#REF!</v>
      </c>
      <c r="H124" s="100" t="s">
        <v>15</v>
      </c>
      <c r="I124" s="100"/>
    </row>
    <row r="125" spans="1:9" x14ac:dyDescent="0.15">
      <c r="A125" s="105" t="s">
        <v>74</v>
      </c>
      <c r="B125" s="100"/>
      <c r="C125" s="100">
        <f>C76/C51</f>
        <v>0.92842186428388429</v>
      </c>
      <c r="D125" s="100">
        <f>D76/D51</f>
        <v>1.0221103201764907</v>
      </c>
      <c r="E125" s="100">
        <f>E76/E51</f>
        <v>0.7450794972295266</v>
      </c>
      <c r="F125" s="100" t="e">
        <f>F76/F51</f>
        <v>#REF!</v>
      </c>
      <c r="G125" s="100" t="e">
        <f>G76/#REF!</f>
        <v>#REF!</v>
      </c>
      <c r="H125" s="100" t="s">
        <v>15</v>
      </c>
      <c r="I125" s="100"/>
    </row>
  </sheetData>
  <mergeCells count="61">
    <mergeCell ref="A5:B5"/>
    <mergeCell ref="A6:B6"/>
    <mergeCell ref="C37:H37"/>
    <mergeCell ref="A12:B12"/>
    <mergeCell ref="A13:B13"/>
    <mergeCell ref="A14:B14"/>
    <mergeCell ref="A16:B16"/>
    <mergeCell ref="A7:B7"/>
    <mergeCell ref="A8:B8"/>
    <mergeCell ref="A10:B10"/>
    <mergeCell ref="A11:B11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1:B31"/>
    <mergeCell ref="A30:H30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61:B61"/>
    <mergeCell ref="A62:B62"/>
    <mergeCell ref="A56:B56"/>
    <mergeCell ref="A57:B57"/>
    <mergeCell ref="A58:B58"/>
    <mergeCell ref="A59:B59"/>
    <mergeCell ref="A60:B60"/>
    <mergeCell ref="A51:B51"/>
    <mergeCell ref="A53:B53"/>
    <mergeCell ref="A52:B52"/>
    <mergeCell ref="A54:B54"/>
    <mergeCell ref="A55:B55"/>
    <mergeCell ref="A63:B63"/>
    <mergeCell ref="A64:B64"/>
    <mergeCell ref="A65:B65"/>
    <mergeCell ref="A66:B66"/>
    <mergeCell ref="A67:B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FFE5-2936-4344-887E-C67DD374C948}">
  <dimension ref="A1:H50"/>
  <sheetViews>
    <sheetView tabSelected="1" topLeftCell="A19" workbookViewId="0">
      <selection activeCell="G42" sqref="A42:G42"/>
    </sheetView>
  </sheetViews>
  <sheetFormatPr defaultRowHeight="12.75" x14ac:dyDescent="0.2"/>
  <cols>
    <col min="1" max="1" width="37.33203125" customWidth="1"/>
    <col min="3" max="3" width="21.33203125" customWidth="1"/>
    <col min="5" max="5" width="19" customWidth="1"/>
    <col min="6" max="6" width="22.6640625" customWidth="1"/>
    <col min="7" max="7" width="20" customWidth="1"/>
  </cols>
  <sheetData>
    <row r="1" spans="1:8" ht="15.75" x14ac:dyDescent="0.2">
      <c r="A1" s="130"/>
      <c r="B1" s="130"/>
      <c r="C1" s="131">
        <v>2021</v>
      </c>
      <c r="D1" s="131">
        <v>2020</v>
      </c>
      <c r="E1" s="131">
        <v>2019</v>
      </c>
      <c r="F1" s="132">
        <v>2018</v>
      </c>
      <c r="G1" s="132">
        <v>2017</v>
      </c>
      <c r="H1" s="133"/>
    </row>
    <row r="2" spans="1:8" x14ac:dyDescent="0.2">
      <c r="A2" s="134"/>
      <c r="B2" s="134"/>
      <c r="C2" s="11"/>
      <c r="D2" s="135"/>
      <c r="E2" s="136"/>
      <c r="F2" s="137"/>
      <c r="G2" s="138"/>
      <c r="H2" s="139"/>
    </row>
    <row r="3" spans="1:8" ht="19.5" x14ac:dyDescent="0.2">
      <c r="A3" s="134"/>
      <c r="B3" s="134"/>
      <c r="C3" s="14" t="s">
        <v>11</v>
      </c>
      <c r="D3" s="14" t="s">
        <v>11</v>
      </c>
      <c r="E3" s="14" t="s">
        <v>11</v>
      </c>
      <c r="F3" s="14" t="s">
        <v>11</v>
      </c>
      <c r="G3" s="138"/>
      <c r="H3" s="139"/>
    </row>
    <row r="4" spans="1:8" x14ac:dyDescent="0.2">
      <c r="A4" s="140" t="s">
        <v>0</v>
      </c>
      <c r="B4" s="141"/>
      <c r="C4" s="141"/>
      <c r="D4" s="142"/>
      <c r="E4" s="143"/>
      <c r="F4" s="144"/>
      <c r="G4" s="138"/>
      <c r="H4" s="145"/>
    </row>
    <row r="5" spans="1:8" x14ac:dyDescent="0.2">
      <c r="A5" s="126" t="s">
        <v>10</v>
      </c>
      <c r="B5" s="119"/>
      <c r="C5" s="95">
        <v>13798150</v>
      </c>
      <c r="D5" s="16">
        <v>13798150</v>
      </c>
      <c r="E5" s="29">
        <v>13798150</v>
      </c>
      <c r="F5" s="34">
        <v>12433765</v>
      </c>
      <c r="G5" s="35">
        <v>12433765</v>
      </c>
      <c r="H5" s="146"/>
    </row>
    <row r="6" spans="1:8" x14ac:dyDescent="0.2">
      <c r="A6" s="119" t="s">
        <v>83</v>
      </c>
      <c r="B6" s="119"/>
      <c r="C6" s="96">
        <v>-1364385</v>
      </c>
      <c r="D6" s="17">
        <v>-1364385</v>
      </c>
      <c r="E6" s="30">
        <v>-1364385</v>
      </c>
      <c r="F6" s="34">
        <v>8055175</v>
      </c>
      <c r="G6" s="35">
        <v>7247360</v>
      </c>
      <c r="H6" s="146"/>
    </row>
    <row r="7" spans="1:8" ht="13.5" thickBot="1" x14ac:dyDescent="0.25">
      <c r="A7" s="119" t="s">
        <v>84</v>
      </c>
      <c r="B7" s="119"/>
      <c r="C7" s="95">
        <v>10841906</v>
      </c>
      <c r="D7" s="79">
        <v>7370555</v>
      </c>
      <c r="E7" s="31">
        <v>8464797</v>
      </c>
      <c r="F7" s="41">
        <v>20488940</v>
      </c>
      <c r="G7" s="42">
        <v>19681125</v>
      </c>
      <c r="H7" s="146"/>
    </row>
    <row r="8" spans="1:8" ht="13.5" thickTop="1" x14ac:dyDescent="0.2">
      <c r="A8" s="121" t="s">
        <v>1</v>
      </c>
      <c r="B8" s="121"/>
      <c r="C8" s="95">
        <v>23275671</v>
      </c>
      <c r="D8" s="18">
        <v>19804320</v>
      </c>
      <c r="E8" s="38">
        <v>20898562</v>
      </c>
      <c r="F8" s="97">
        <f>F5+F6+F7</f>
        <v>40977880</v>
      </c>
      <c r="G8" s="98">
        <v>19681125</v>
      </c>
      <c r="H8" s="146"/>
    </row>
    <row r="9" spans="1:8" x14ac:dyDescent="0.15">
      <c r="A9" s="23" t="s">
        <v>12</v>
      </c>
      <c r="B9" s="24"/>
      <c r="C9" s="95"/>
      <c r="D9" s="24"/>
      <c r="E9" s="24"/>
      <c r="F9" s="25"/>
      <c r="G9" s="99"/>
      <c r="H9" s="146"/>
    </row>
    <row r="10" spans="1:8" x14ac:dyDescent="0.2">
      <c r="A10" s="119" t="s">
        <v>85</v>
      </c>
      <c r="B10" s="119"/>
      <c r="C10" s="95">
        <v>491502</v>
      </c>
      <c r="D10" s="16">
        <v>447327</v>
      </c>
      <c r="E10" s="29">
        <v>317835</v>
      </c>
      <c r="F10" s="34">
        <v>636868</v>
      </c>
      <c r="G10" s="34">
        <v>1063045</v>
      </c>
      <c r="H10" s="146"/>
    </row>
    <row r="11" spans="1:8" x14ac:dyDescent="0.2">
      <c r="A11" s="119" t="s">
        <v>86</v>
      </c>
      <c r="B11" s="119"/>
      <c r="C11" s="95">
        <v>82380</v>
      </c>
      <c r="D11" s="16">
        <v>72547</v>
      </c>
      <c r="E11" s="29">
        <v>71216</v>
      </c>
      <c r="F11" s="34" t="s">
        <v>15</v>
      </c>
      <c r="G11" s="34" t="s">
        <v>15</v>
      </c>
      <c r="H11" s="146"/>
    </row>
    <row r="12" spans="1:8" x14ac:dyDescent="0.2">
      <c r="A12" s="120" t="s">
        <v>87</v>
      </c>
      <c r="B12" s="150"/>
      <c r="C12" s="95">
        <v>73593</v>
      </c>
      <c r="D12" s="16">
        <v>57656</v>
      </c>
      <c r="E12" s="39" t="s">
        <v>13</v>
      </c>
      <c r="F12" s="34" t="s">
        <v>15</v>
      </c>
      <c r="G12" s="34" t="s">
        <v>15</v>
      </c>
      <c r="H12" s="146"/>
    </row>
    <row r="13" spans="1:8" ht="13.5" thickBot="1" x14ac:dyDescent="0.25">
      <c r="A13" s="120" t="s">
        <v>88</v>
      </c>
      <c r="B13" s="150"/>
      <c r="C13" s="95">
        <v>3960489</v>
      </c>
      <c r="D13" s="79">
        <v>3812837</v>
      </c>
      <c r="E13" s="31">
        <v>3925740</v>
      </c>
      <c r="F13" s="41">
        <v>3600638</v>
      </c>
      <c r="G13" s="41">
        <v>4281496</v>
      </c>
      <c r="H13" s="146"/>
    </row>
    <row r="14" spans="1:8" ht="13.5" thickTop="1" x14ac:dyDescent="0.2">
      <c r="A14" s="148"/>
      <c r="B14" s="149"/>
      <c r="C14" s="95">
        <v>4630225</v>
      </c>
      <c r="D14" s="18">
        <v>4390367</v>
      </c>
      <c r="E14" s="38">
        <v>4314791</v>
      </c>
      <c r="F14" s="40">
        <v>4301684</v>
      </c>
      <c r="G14" s="40">
        <v>5402555</v>
      </c>
      <c r="H14" s="146"/>
    </row>
    <row r="15" spans="1:8" x14ac:dyDescent="0.2">
      <c r="A15" s="80" t="s">
        <v>2</v>
      </c>
      <c r="B15" s="81"/>
      <c r="C15" s="95"/>
      <c r="D15" s="81"/>
      <c r="E15" s="81"/>
      <c r="F15" s="44"/>
      <c r="G15" s="49"/>
      <c r="H15" s="146"/>
    </row>
    <row r="16" spans="1:8" x14ac:dyDescent="0.2">
      <c r="A16" s="120" t="s">
        <v>89</v>
      </c>
      <c r="B16" s="147"/>
      <c r="C16" s="95">
        <v>1822642</v>
      </c>
      <c r="D16" s="82">
        <v>1244933</v>
      </c>
      <c r="E16" s="20">
        <v>948864</v>
      </c>
      <c r="F16" s="46">
        <v>1024758</v>
      </c>
      <c r="G16" s="46">
        <v>595672</v>
      </c>
      <c r="H16" s="146"/>
    </row>
    <row r="17" spans="1:8" x14ac:dyDescent="0.2">
      <c r="A17" s="120" t="s">
        <v>90</v>
      </c>
      <c r="B17" s="147"/>
      <c r="C17" s="95">
        <v>1554895</v>
      </c>
      <c r="D17" s="83">
        <v>1040530</v>
      </c>
      <c r="E17" s="8">
        <v>834816</v>
      </c>
      <c r="F17" s="47">
        <v>573347</v>
      </c>
      <c r="G17" s="47">
        <v>539085</v>
      </c>
      <c r="H17" s="146"/>
    </row>
    <row r="18" spans="1:8" x14ac:dyDescent="0.2">
      <c r="A18" s="120" t="s">
        <v>91</v>
      </c>
      <c r="B18" s="147"/>
      <c r="C18" s="95">
        <v>260652</v>
      </c>
      <c r="D18" s="83">
        <v>253940</v>
      </c>
      <c r="E18" s="8">
        <v>219704</v>
      </c>
      <c r="F18" s="47">
        <v>176339</v>
      </c>
      <c r="G18" s="47">
        <v>137904</v>
      </c>
      <c r="H18" s="146"/>
    </row>
    <row r="19" spans="1:8" x14ac:dyDescent="0.2">
      <c r="A19" s="120" t="s">
        <v>92</v>
      </c>
      <c r="B19" s="147"/>
      <c r="C19" s="95">
        <v>435097</v>
      </c>
      <c r="D19" s="83">
        <v>367952</v>
      </c>
      <c r="E19" s="8">
        <v>324300</v>
      </c>
      <c r="F19" s="47"/>
      <c r="G19" s="47" t="s">
        <v>15</v>
      </c>
      <c r="H19" s="146"/>
    </row>
    <row r="20" spans="1:8" x14ac:dyDescent="0.2">
      <c r="A20" s="120" t="s">
        <v>93</v>
      </c>
      <c r="B20" s="147"/>
      <c r="C20" s="95">
        <v>20862</v>
      </c>
      <c r="D20" s="83">
        <v>24708</v>
      </c>
      <c r="E20" s="8">
        <v>20399</v>
      </c>
      <c r="F20" s="47"/>
      <c r="G20" s="47" t="s">
        <v>15</v>
      </c>
      <c r="H20" s="146"/>
    </row>
    <row r="21" spans="1:8" x14ac:dyDescent="0.2">
      <c r="A21" s="151" t="s">
        <v>14</v>
      </c>
      <c r="B21" s="152"/>
      <c r="C21" s="95">
        <v>10714</v>
      </c>
      <c r="D21" s="83">
        <v>13528</v>
      </c>
      <c r="E21" s="8">
        <v>11832</v>
      </c>
      <c r="F21" s="47">
        <v>9534</v>
      </c>
      <c r="G21" s="47">
        <v>8625</v>
      </c>
      <c r="H21" s="146"/>
    </row>
    <row r="22" spans="1:8" x14ac:dyDescent="0.2">
      <c r="A22" s="120" t="s">
        <v>94</v>
      </c>
      <c r="B22" s="147"/>
      <c r="C22" s="95">
        <v>38479</v>
      </c>
      <c r="D22" s="83">
        <v>40051</v>
      </c>
      <c r="E22" s="8">
        <v>43747</v>
      </c>
      <c r="F22" s="47" t="s">
        <v>15</v>
      </c>
      <c r="G22" s="47" t="s">
        <v>15</v>
      </c>
      <c r="H22" s="146"/>
    </row>
    <row r="23" spans="1:8" x14ac:dyDescent="0.2">
      <c r="A23" s="120" t="s">
        <v>95</v>
      </c>
      <c r="B23" s="147"/>
      <c r="C23" s="146" t="s">
        <v>15</v>
      </c>
      <c r="D23" s="84" t="s">
        <v>13</v>
      </c>
      <c r="E23" s="21" t="s">
        <v>13</v>
      </c>
      <c r="F23" s="47">
        <v>35980</v>
      </c>
      <c r="G23" s="47">
        <v>43991</v>
      </c>
      <c r="H23" s="146"/>
    </row>
    <row r="24" spans="1:8" x14ac:dyDescent="0.2">
      <c r="A24" s="120" t="s">
        <v>96</v>
      </c>
      <c r="B24" s="147"/>
      <c r="C24" s="95">
        <v>1616787</v>
      </c>
      <c r="D24" s="83">
        <v>1869167</v>
      </c>
      <c r="E24" s="8">
        <v>997701</v>
      </c>
      <c r="F24" s="47"/>
      <c r="G24" s="50"/>
      <c r="H24" s="146"/>
    </row>
    <row r="25" spans="1:8" x14ac:dyDescent="0.2">
      <c r="A25" s="120" t="s">
        <v>97</v>
      </c>
      <c r="B25" s="147"/>
      <c r="C25" s="95">
        <v>24686</v>
      </c>
      <c r="D25" s="83">
        <v>23737</v>
      </c>
      <c r="E25" s="21" t="s">
        <v>13</v>
      </c>
      <c r="F25" s="47"/>
      <c r="G25" s="47" t="s">
        <v>15</v>
      </c>
      <c r="H25" s="146"/>
    </row>
    <row r="26" spans="1:8" x14ac:dyDescent="0.2">
      <c r="A26" s="120" t="s">
        <v>98</v>
      </c>
      <c r="B26" s="147"/>
      <c r="C26" s="95">
        <v>361521</v>
      </c>
      <c r="D26" s="83">
        <v>303912</v>
      </c>
      <c r="E26" s="8">
        <v>350466</v>
      </c>
      <c r="F26" s="47">
        <v>426177</v>
      </c>
      <c r="G26" s="47">
        <v>426177</v>
      </c>
      <c r="H26" s="146"/>
    </row>
    <row r="27" spans="1:8" x14ac:dyDescent="0.2">
      <c r="A27" s="120" t="s">
        <v>99</v>
      </c>
      <c r="B27" s="147"/>
      <c r="C27" s="146" t="s">
        <v>15</v>
      </c>
      <c r="D27" s="85" t="s">
        <v>13</v>
      </c>
      <c r="E27" s="22" t="s">
        <v>13</v>
      </c>
      <c r="F27" s="48"/>
      <c r="G27" s="48" t="s">
        <v>15</v>
      </c>
      <c r="H27" s="146"/>
    </row>
    <row r="28" spans="1:8" x14ac:dyDescent="0.2">
      <c r="A28" s="123" t="s">
        <v>3</v>
      </c>
      <c r="B28" s="125"/>
      <c r="C28" s="95">
        <v>6146335</v>
      </c>
      <c r="D28" s="43">
        <v>5182458</v>
      </c>
      <c r="E28" s="43">
        <v>3751829</v>
      </c>
      <c r="F28" s="45">
        <f>F16+F17+F18+F21+F23+F26</f>
        <v>2246135</v>
      </c>
      <c r="G28" s="45">
        <f>G16+G17+G18+G21+G23+G26</f>
        <v>1751454</v>
      </c>
      <c r="H28" s="146"/>
    </row>
    <row r="29" spans="1:8" x14ac:dyDescent="0.2">
      <c r="A29" s="123" t="s">
        <v>4</v>
      </c>
      <c r="B29" s="125"/>
      <c r="C29" s="95">
        <v>34052231</v>
      </c>
      <c r="D29" s="65">
        <v>29377145</v>
      </c>
      <c r="E29" s="65">
        <v>28965182</v>
      </c>
      <c r="F29" s="66">
        <f>SUM(F16:F26)</f>
        <v>2246135</v>
      </c>
      <c r="G29" s="67">
        <f>SUM(G16:G27)</f>
        <v>1751454</v>
      </c>
      <c r="H29" s="95"/>
    </row>
    <row r="30" spans="1:8" x14ac:dyDescent="0.2">
      <c r="A30" s="123" t="s">
        <v>5</v>
      </c>
      <c r="B30" s="124"/>
      <c r="C30" s="124"/>
      <c r="D30" s="124"/>
      <c r="E30" s="124"/>
      <c r="F30" s="124"/>
      <c r="G30" s="124"/>
      <c r="H30" s="125"/>
    </row>
    <row r="31" spans="1:8" x14ac:dyDescent="0.2">
      <c r="A31" s="120" t="s">
        <v>100</v>
      </c>
      <c r="B31" s="150"/>
      <c r="C31" s="87">
        <v>21422215</v>
      </c>
      <c r="D31" s="18">
        <v>22065172</v>
      </c>
      <c r="E31" s="18">
        <v>23202930</v>
      </c>
      <c r="F31" s="71">
        <v>22624413</v>
      </c>
      <c r="G31" s="86"/>
      <c r="H31" s="72"/>
    </row>
    <row r="32" spans="1:8" x14ac:dyDescent="0.2">
      <c r="A32" s="120" t="s">
        <v>101</v>
      </c>
      <c r="B32" s="150"/>
      <c r="C32" s="72">
        <v>89334</v>
      </c>
      <c r="D32" s="16">
        <v>60322</v>
      </c>
      <c r="E32" s="19" t="s">
        <v>13</v>
      </c>
      <c r="F32" s="74"/>
      <c r="G32" s="73"/>
      <c r="H32" s="72"/>
    </row>
    <row r="33" spans="1:8" x14ac:dyDescent="0.2">
      <c r="A33" s="120" t="s">
        <v>102</v>
      </c>
      <c r="B33" s="150"/>
      <c r="C33" s="100">
        <v>86601</v>
      </c>
      <c r="D33" s="16">
        <v>86601</v>
      </c>
      <c r="E33" s="16">
        <v>86601</v>
      </c>
      <c r="F33" s="71">
        <v>86601</v>
      </c>
      <c r="G33" s="73">
        <v>1063045</v>
      </c>
      <c r="H33" s="100"/>
    </row>
    <row r="34" spans="1:8" x14ac:dyDescent="0.2">
      <c r="A34" s="120" t="s">
        <v>103</v>
      </c>
      <c r="B34" s="150"/>
      <c r="C34" s="72" t="s">
        <v>118</v>
      </c>
      <c r="D34" s="16">
        <v>12500</v>
      </c>
      <c r="E34" s="19" t="s">
        <v>13</v>
      </c>
      <c r="F34" s="74"/>
      <c r="G34" s="73"/>
      <c r="H34" s="72"/>
    </row>
    <row r="35" spans="1:8" x14ac:dyDescent="0.2">
      <c r="A35" s="120" t="s">
        <v>104</v>
      </c>
      <c r="B35" s="150"/>
      <c r="C35" s="146">
        <v>15349</v>
      </c>
      <c r="D35" s="88"/>
      <c r="E35" s="88"/>
      <c r="F35" s="74"/>
      <c r="G35" s="89" t="s">
        <v>105</v>
      </c>
      <c r="H35" s="146"/>
    </row>
    <row r="36" spans="1:8" x14ac:dyDescent="0.2">
      <c r="A36" s="123" t="s">
        <v>6</v>
      </c>
      <c r="B36" s="125"/>
      <c r="C36" s="146">
        <v>21613499</v>
      </c>
      <c r="D36" s="6">
        <v>22224595</v>
      </c>
      <c r="E36" s="6">
        <v>23289531</v>
      </c>
      <c r="F36" s="71">
        <v>22711014</v>
      </c>
      <c r="G36" s="76">
        <v>5402555</v>
      </c>
      <c r="H36" s="146"/>
    </row>
    <row r="37" spans="1:8" x14ac:dyDescent="0.2">
      <c r="A37" s="80" t="s">
        <v>7</v>
      </c>
      <c r="B37" s="81"/>
      <c r="C37" s="127"/>
      <c r="D37" s="127"/>
      <c r="E37" s="127"/>
      <c r="F37" s="127"/>
      <c r="G37" s="127"/>
      <c r="H37" s="128"/>
    </row>
    <row r="38" spans="1:8" x14ac:dyDescent="0.2">
      <c r="A38" s="119" t="s">
        <v>106</v>
      </c>
      <c r="B38" s="120"/>
      <c r="C38" s="72">
        <v>4250754</v>
      </c>
      <c r="D38" s="20">
        <v>3505809</v>
      </c>
      <c r="E38" s="20">
        <v>3055041</v>
      </c>
      <c r="F38" s="71">
        <v>3067684</v>
      </c>
      <c r="G38" s="71">
        <v>2194451</v>
      </c>
      <c r="H38" s="146"/>
    </row>
    <row r="39" spans="1:8" x14ac:dyDescent="0.2">
      <c r="A39" s="119" t="s">
        <v>107</v>
      </c>
      <c r="B39" s="120"/>
      <c r="C39" s="72">
        <v>1189198</v>
      </c>
      <c r="D39" s="8">
        <v>1187752</v>
      </c>
      <c r="E39" s="8">
        <v>944022</v>
      </c>
      <c r="F39" s="71">
        <v>1244805</v>
      </c>
      <c r="G39" s="71">
        <v>1071970</v>
      </c>
      <c r="H39" s="146"/>
    </row>
    <row r="40" spans="1:8" x14ac:dyDescent="0.2">
      <c r="A40" s="119" t="s">
        <v>108</v>
      </c>
      <c r="B40" s="120"/>
      <c r="C40" s="72">
        <v>1449600</v>
      </c>
      <c r="D40" s="8">
        <v>1050640</v>
      </c>
      <c r="E40" s="8">
        <v>947046</v>
      </c>
      <c r="F40" s="71">
        <v>1168343</v>
      </c>
      <c r="G40" s="71">
        <v>1148618</v>
      </c>
      <c r="H40" s="146"/>
    </row>
    <row r="41" spans="1:8" x14ac:dyDescent="0.2">
      <c r="A41" s="119" t="s">
        <v>109</v>
      </c>
      <c r="B41" s="120"/>
      <c r="C41" s="72">
        <v>45593</v>
      </c>
      <c r="D41" s="8">
        <v>73695</v>
      </c>
      <c r="E41" s="8">
        <v>36176</v>
      </c>
      <c r="F41" s="71">
        <v>37927</v>
      </c>
      <c r="G41" s="71">
        <v>83001</v>
      </c>
      <c r="H41" s="146"/>
    </row>
    <row r="42" spans="1:8" x14ac:dyDescent="0.2">
      <c r="A42" s="126" t="s">
        <v>119</v>
      </c>
      <c r="B42" s="120"/>
      <c r="C42" s="72">
        <v>26147</v>
      </c>
      <c r="D42" s="8">
        <v>19843</v>
      </c>
      <c r="E42" s="8">
        <v>20463</v>
      </c>
      <c r="F42" s="71">
        <v>66669</v>
      </c>
      <c r="G42" s="71">
        <v>53374</v>
      </c>
      <c r="H42" s="146"/>
    </row>
    <row r="43" spans="1:8" x14ac:dyDescent="0.2">
      <c r="A43" s="119" t="s">
        <v>110</v>
      </c>
      <c r="B43" s="120"/>
      <c r="C43" s="72" t="s">
        <v>15</v>
      </c>
      <c r="D43" s="21" t="s">
        <v>13</v>
      </c>
      <c r="E43" s="21" t="s">
        <v>13</v>
      </c>
      <c r="F43" s="71">
        <v>1031</v>
      </c>
      <c r="G43" s="71">
        <v>2663</v>
      </c>
      <c r="H43" s="146"/>
    </row>
    <row r="44" spans="1:8" x14ac:dyDescent="0.2">
      <c r="A44" s="119" t="s">
        <v>111</v>
      </c>
      <c r="B44" s="120"/>
      <c r="C44" s="72">
        <v>90073</v>
      </c>
      <c r="D44" s="8">
        <v>731468</v>
      </c>
      <c r="E44" s="8">
        <v>261998</v>
      </c>
      <c r="F44" s="71">
        <v>115550</v>
      </c>
      <c r="G44" s="92"/>
      <c r="H44" s="146"/>
    </row>
    <row r="45" spans="1:8" x14ac:dyDescent="0.2">
      <c r="A45" s="119" t="s">
        <v>112</v>
      </c>
      <c r="B45" s="120"/>
      <c r="C45" s="72">
        <v>88890</v>
      </c>
      <c r="D45" s="8">
        <v>22169</v>
      </c>
      <c r="E45" s="8">
        <v>7660</v>
      </c>
      <c r="F45" s="71">
        <v>104664</v>
      </c>
      <c r="G45" s="71">
        <v>589761</v>
      </c>
      <c r="H45" s="146"/>
    </row>
    <row r="46" spans="1:8" x14ac:dyDescent="0.2">
      <c r="A46" s="119" t="s">
        <v>113</v>
      </c>
      <c r="B46" s="120"/>
      <c r="C46" s="72">
        <v>4397699</v>
      </c>
      <c r="D46" s="8">
        <v>561174</v>
      </c>
      <c r="E46" s="8">
        <v>403245</v>
      </c>
      <c r="F46" s="71">
        <v>531759</v>
      </c>
      <c r="G46" s="71">
        <v>517837</v>
      </c>
      <c r="H46" s="146"/>
    </row>
    <row r="47" spans="1:8" x14ac:dyDescent="0.2">
      <c r="A47" s="119" t="s">
        <v>114</v>
      </c>
      <c r="B47" s="120"/>
      <c r="C47" s="72">
        <v>900778</v>
      </c>
      <c r="D47" s="22" t="s">
        <v>13</v>
      </c>
      <c r="E47" s="22" t="s">
        <v>13</v>
      </c>
      <c r="F47" s="74"/>
      <c r="G47" s="19"/>
      <c r="H47" s="146"/>
    </row>
    <row r="48" spans="1:8" x14ac:dyDescent="0.2">
      <c r="A48" s="121" t="s">
        <v>8</v>
      </c>
      <c r="B48" s="121"/>
      <c r="C48" s="72">
        <v>12438732</v>
      </c>
      <c r="D48" s="7">
        <v>7152550</v>
      </c>
      <c r="E48" s="7">
        <v>5675651</v>
      </c>
      <c r="F48" s="71">
        <v>6338432</v>
      </c>
      <c r="G48" s="71">
        <v>5661675</v>
      </c>
      <c r="H48" s="146"/>
    </row>
    <row r="49" spans="1:8" x14ac:dyDescent="0.2">
      <c r="A49" s="114" t="s">
        <v>9</v>
      </c>
      <c r="B49" s="114"/>
      <c r="C49" s="72">
        <v>34052232</v>
      </c>
      <c r="D49" s="51">
        <v>29377145</v>
      </c>
      <c r="E49" s="51">
        <v>28965182</v>
      </c>
      <c r="F49" s="71">
        <v>29049446</v>
      </c>
      <c r="G49" s="71">
        <v>27752219</v>
      </c>
      <c r="H49" s="146"/>
    </row>
    <row r="50" spans="1:8" x14ac:dyDescent="0.2">
      <c r="H50" s="93"/>
    </row>
  </sheetData>
  <mergeCells count="43">
    <mergeCell ref="A48:B48"/>
    <mergeCell ref="A49:B49"/>
    <mergeCell ref="A42:B42"/>
    <mergeCell ref="A43:B43"/>
    <mergeCell ref="A44:B44"/>
    <mergeCell ref="A45:B45"/>
    <mergeCell ref="A46:B46"/>
    <mergeCell ref="A47:B47"/>
    <mergeCell ref="C37:H37"/>
    <mergeCell ref="A38:B38"/>
    <mergeCell ref="A39:B39"/>
    <mergeCell ref="A40:B40"/>
    <mergeCell ref="A41:B41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H30"/>
    <mergeCell ref="A19:B19"/>
    <mergeCell ref="A20:B20"/>
    <mergeCell ref="A21:B21"/>
    <mergeCell ref="A22:B22"/>
    <mergeCell ref="A23:B23"/>
    <mergeCell ref="A24:B24"/>
    <mergeCell ref="A12:B12"/>
    <mergeCell ref="A13:B13"/>
    <mergeCell ref="A14:B14"/>
    <mergeCell ref="A16:B16"/>
    <mergeCell ref="A17:B17"/>
    <mergeCell ref="A18:B18"/>
    <mergeCell ref="A5:B5"/>
    <mergeCell ref="A6:B6"/>
    <mergeCell ref="A7:B7"/>
    <mergeCell ref="A8:B8"/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Hammad Ul Hassan</dc:creator>
  <cp:lastModifiedBy>Rashid Ali</cp:lastModifiedBy>
  <dcterms:created xsi:type="dcterms:W3CDTF">2021-03-29T21:31:53Z</dcterms:created>
  <dcterms:modified xsi:type="dcterms:W3CDTF">2022-08-06T09:05:36Z</dcterms:modified>
</cp:coreProperties>
</file>