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defaultThemeVersion="166925"/>
  <xr:revisionPtr revIDLastSave="0" documentId="8_{6E125928-6846-DA49-A146-387913A47DF9}" xr6:coauthVersionLast="47" xr6:coauthVersionMax="47" xr10:uidLastSave="{00000000-0000-0000-0000-000000000000}"/>
  <bookViews>
    <workbookView xWindow="0" yWindow="0" windowWidth="0" windowHeight="0" activeTab="9" xr2:uid="{00000000-000D-0000-FFFF-FFFF00000000}"/>
  </bookViews>
  <sheets>
    <sheet name="INCOME STATEMENT " sheetId="1" r:id="rId1"/>
    <sheet name="BALANCE SHEET " sheetId="2" r:id="rId2"/>
    <sheet name="INCOME STATEMENT  (Common size)" sheetId="5" r:id="rId3"/>
    <sheet name="BALANCE SHEET  (common-size)" sheetId="10" r:id="rId4"/>
    <sheet name="HORIZONTAL ANALYSIS " sheetId="13" r:id="rId5"/>
    <sheet name="NOTES TO FS" sheetId="16" r:id="rId6"/>
    <sheet name="LIQUIDITY " sheetId="14" r:id="rId7"/>
    <sheet name="EFFICIENCY " sheetId="15" r:id="rId8"/>
    <sheet name="SOLVENCY" sheetId="17" r:id="rId9"/>
    <sheet name="PROFITABILITY " sheetId="18" r:id="rId10"/>
    <sheet name="VALUATION OR EQUITY RATIO" sheetId="19" r:id="rId11"/>
    <sheet name="DU-PONT ROE " sheetId="20"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9" l="1"/>
  <c r="D8" i="19"/>
  <c r="E8" i="19"/>
  <c r="F8" i="19"/>
  <c r="B8" i="19"/>
  <c r="C9" i="19"/>
  <c r="D9" i="19"/>
  <c r="E9" i="19"/>
  <c r="F9" i="19"/>
  <c r="B9" i="19"/>
  <c r="C18" i="16"/>
  <c r="D18" i="16"/>
  <c r="E18" i="16"/>
  <c r="F18" i="16"/>
  <c r="B18" i="16"/>
  <c r="C20" i="16"/>
  <c r="D20" i="16"/>
  <c r="E20" i="16"/>
  <c r="F20" i="16"/>
  <c r="B20" i="16"/>
  <c r="C14" i="16"/>
  <c r="C7" i="19"/>
  <c r="D14" i="16"/>
  <c r="D7" i="19"/>
  <c r="E14" i="16"/>
  <c r="E7" i="19"/>
  <c r="F14" i="16"/>
  <c r="F7" i="19"/>
  <c r="B14" i="16"/>
  <c r="B7" i="19"/>
  <c r="C3" i="19"/>
  <c r="B3" i="19"/>
  <c r="C6" i="19"/>
  <c r="D3" i="19"/>
  <c r="D6" i="19"/>
  <c r="E3" i="19"/>
  <c r="E6" i="19"/>
  <c r="F3" i="19"/>
  <c r="F6" i="19"/>
  <c r="B6" i="19"/>
  <c r="C3" i="15"/>
  <c r="C6" i="15"/>
  <c r="C8" i="15"/>
  <c r="C11" i="15"/>
  <c r="C13" i="15"/>
  <c r="C15" i="15"/>
  <c r="C15" i="14"/>
  <c r="D3" i="15"/>
  <c r="D6" i="15"/>
  <c r="D8" i="15"/>
  <c r="D11" i="15"/>
  <c r="D13" i="15"/>
  <c r="D15" i="15"/>
  <c r="D15" i="14"/>
  <c r="E6" i="15"/>
  <c r="E8" i="15"/>
  <c r="E11" i="15"/>
  <c r="E13" i="15"/>
  <c r="E15" i="15"/>
  <c r="E15" i="14"/>
  <c r="F3" i="15"/>
  <c r="F6" i="15"/>
  <c r="F8" i="15"/>
  <c r="F11" i="15"/>
  <c r="F13" i="15"/>
  <c r="F15" i="15"/>
  <c r="F15" i="14"/>
  <c r="B3" i="15"/>
  <c r="B6" i="15"/>
  <c r="B8" i="15"/>
  <c r="B11" i="15"/>
  <c r="B13" i="15"/>
  <c r="B15" i="15"/>
  <c r="B15" i="14"/>
  <c r="C9" i="20"/>
  <c r="C10" i="20"/>
  <c r="C11" i="20"/>
  <c r="C4" i="20"/>
  <c r="D9" i="20"/>
  <c r="D10" i="20"/>
  <c r="D11" i="20"/>
  <c r="D4" i="20"/>
  <c r="E9" i="20"/>
  <c r="E10" i="20"/>
  <c r="E11" i="20"/>
  <c r="E4" i="20"/>
  <c r="F9" i="20"/>
  <c r="F10" i="20"/>
  <c r="F11" i="20"/>
  <c r="F4" i="20"/>
  <c r="B9" i="20"/>
  <c r="B10" i="20"/>
  <c r="B11" i="20"/>
  <c r="B4" i="20"/>
  <c r="B21" i="15"/>
  <c r="B6" i="18"/>
  <c r="B8" i="17"/>
  <c r="C8" i="17"/>
  <c r="D5" i="19"/>
  <c r="E5" i="19"/>
  <c r="F5" i="19"/>
  <c r="C5" i="19"/>
  <c r="B5" i="19"/>
  <c r="C10" i="16"/>
  <c r="C10" i="18"/>
  <c r="D10" i="18"/>
  <c r="E10" i="18"/>
  <c r="F10" i="18"/>
  <c r="C7" i="18"/>
  <c r="D7" i="18"/>
  <c r="E7" i="18"/>
  <c r="F7" i="18"/>
  <c r="C6" i="18"/>
  <c r="D6" i="18"/>
  <c r="E6" i="18"/>
  <c r="F6" i="18"/>
  <c r="C5" i="18"/>
  <c r="D5" i="18"/>
  <c r="E5" i="18"/>
  <c r="F5" i="18"/>
  <c r="C4" i="18"/>
  <c r="D4" i="18"/>
  <c r="E4" i="18"/>
  <c r="F4" i="18"/>
  <c r="C3" i="18"/>
  <c r="D3" i="18"/>
  <c r="E3" i="18"/>
  <c r="F3" i="18"/>
  <c r="B10" i="18"/>
  <c r="B7" i="18"/>
  <c r="B5" i="18"/>
  <c r="B4" i="18"/>
  <c r="B3" i="18"/>
  <c r="C11" i="17"/>
  <c r="D11" i="17"/>
  <c r="E11" i="17"/>
  <c r="F11" i="17"/>
  <c r="B11" i="17"/>
  <c r="E8" i="17"/>
  <c r="F8" i="17"/>
  <c r="D8" i="17"/>
  <c r="C6" i="17"/>
  <c r="D6" i="17"/>
  <c r="E6" i="17"/>
  <c r="F6" i="17"/>
  <c r="B6" i="17"/>
  <c r="D3" i="17"/>
  <c r="E3" i="17"/>
  <c r="F3" i="17"/>
  <c r="C3" i="17"/>
  <c r="B3" i="17"/>
  <c r="C21" i="15"/>
  <c r="D21" i="15"/>
  <c r="E21" i="15"/>
  <c r="F21" i="15"/>
  <c r="F17" i="15"/>
  <c r="C17" i="15"/>
  <c r="D17" i="15"/>
  <c r="E17" i="15"/>
  <c r="B17" i="15"/>
  <c r="C7" i="14"/>
  <c r="D7" i="14"/>
  <c r="E7" i="14"/>
  <c r="F7" i="14"/>
  <c r="B7" i="14"/>
  <c r="C12" i="14"/>
  <c r="D12" i="14"/>
  <c r="E12" i="14"/>
  <c r="F12" i="14"/>
  <c r="B12" i="14"/>
  <c r="C3" i="14"/>
  <c r="D3" i="14"/>
  <c r="E3" i="14"/>
  <c r="F3" i="14"/>
  <c r="B3" i="14"/>
  <c r="H37" i="13"/>
  <c r="H38" i="13"/>
  <c r="H39" i="13"/>
  <c r="H44" i="13"/>
  <c r="H49" i="13"/>
  <c r="H50" i="13"/>
  <c r="H51" i="13"/>
  <c r="H54" i="13"/>
  <c r="H55" i="13"/>
  <c r="H56" i="13"/>
  <c r="H57" i="13"/>
  <c r="H58" i="13"/>
  <c r="H62" i="13"/>
  <c r="H69" i="13"/>
  <c r="H72" i="13"/>
  <c r="H76" i="13"/>
  <c r="H77" i="13"/>
  <c r="H35" i="13"/>
  <c r="G37" i="13"/>
  <c r="G38" i="13"/>
  <c r="G39" i="13"/>
  <c r="G44" i="13"/>
  <c r="G49" i="13"/>
  <c r="G50" i="13"/>
  <c r="G51" i="13"/>
  <c r="G54" i="13"/>
  <c r="G55" i="13"/>
  <c r="G56" i="13"/>
  <c r="G57" i="13"/>
  <c r="G58" i="13"/>
  <c r="G62" i="13"/>
  <c r="G69" i="13"/>
  <c r="G72" i="13"/>
  <c r="G76" i="13"/>
  <c r="G77" i="13"/>
  <c r="G35" i="13"/>
  <c r="F37" i="13"/>
  <c r="F38" i="13"/>
  <c r="F39" i="13"/>
  <c r="F44" i="13"/>
  <c r="F49" i="13"/>
  <c r="F50" i="13"/>
  <c r="F51" i="13"/>
  <c r="F54" i="13"/>
  <c r="F56" i="13"/>
  <c r="F57" i="13"/>
  <c r="F58" i="13"/>
  <c r="F62" i="13"/>
  <c r="F69" i="13"/>
  <c r="F70" i="13"/>
  <c r="F72" i="13"/>
  <c r="F76" i="13"/>
  <c r="F77" i="13"/>
  <c r="F35" i="13"/>
  <c r="E37" i="13"/>
  <c r="E38" i="13"/>
  <c r="E39" i="13"/>
  <c r="E44" i="13"/>
  <c r="E49" i="13"/>
  <c r="E50" i="13"/>
  <c r="E51" i="13"/>
  <c r="E54" i="13"/>
  <c r="E56" i="13"/>
  <c r="E57" i="13"/>
  <c r="E58" i="13"/>
  <c r="E62" i="13"/>
  <c r="E69" i="13"/>
  <c r="E70" i="13"/>
  <c r="E72" i="13"/>
  <c r="E76" i="13"/>
  <c r="E77" i="13"/>
  <c r="E35" i="13"/>
  <c r="D37" i="13"/>
  <c r="D38" i="13"/>
  <c r="D39" i="13"/>
  <c r="D44" i="13"/>
  <c r="D49" i="13"/>
  <c r="D50" i="13"/>
  <c r="D51" i="13"/>
  <c r="D54" i="13"/>
  <c r="D56" i="13"/>
  <c r="D57" i="13"/>
  <c r="D58" i="13"/>
  <c r="D62" i="13"/>
  <c r="D69" i="13"/>
  <c r="D70" i="13"/>
  <c r="D72" i="13"/>
  <c r="D76" i="13"/>
  <c r="D77" i="13"/>
  <c r="D35" i="13"/>
  <c r="C37" i="13"/>
  <c r="C38" i="13"/>
  <c r="C39" i="13"/>
  <c r="C44" i="13"/>
  <c r="C49" i="13"/>
  <c r="C50" i="13"/>
  <c r="C51" i="13"/>
  <c r="C54" i="13"/>
  <c r="C56" i="13"/>
  <c r="C57" i="13"/>
  <c r="C58" i="13"/>
  <c r="C62" i="13"/>
  <c r="C69" i="13"/>
  <c r="C70" i="13"/>
  <c r="C72" i="13"/>
  <c r="C76" i="13"/>
  <c r="C77" i="13"/>
  <c r="C35" i="13"/>
  <c r="H3" i="13"/>
  <c r="H4" i="13"/>
  <c r="H5" i="13"/>
  <c r="H6" i="13"/>
  <c r="H8" i="13"/>
  <c r="H9" i="13"/>
  <c r="H10" i="13"/>
  <c r="H11" i="13"/>
  <c r="H12" i="13"/>
  <c r="H13" i="13"/>
  <c r="H14" i="13"/>
  <c r="H2" i="13"/>
  <c r="G3" i="13"/>
  <c r="G4" i="13"/>
  <c r="G5" i="13"/>
  <c r="G6" i="13"/>
  <c r="G8" i="13"/>
  <c r="G9" i="13"/>
  <c r="G10" i="13"/>
  <c r="G11" i="13"/>
  <c r="G12" i="13"/>
  <c r="G13" i="13"/>
  <c r="G14" i="13"/>
  <c r="G2" i="13"/>
  <c r="F3" i="13"/>
  <c r="F4" i="13"/>
  <c r="F5" i="13"/>
  <c r="F6" i="13"/>
  <c r="F8" i="13"/>
  <c r="F9" i="13"/>
  <c r="F10" i="13"/>
  <c r="F11" i="13"/>
  <c r="F12" i="13"/>
  <c r="F13" i="13"/>
  <c r="F14" i="13"/>
  <c r="F2" i="13"/>
  <c r="E3" i="13"/>
  <c r="E4" i="13"/>
  <c r="E5" i="13"/>
  <c r="E6" i="13"/>
  <c r="E8" i="13"/>
  <c r="E9" i="13"/>
  <c r="E10" i="13"/>
  <c r="E11" i="13"/>
  <c r="E12" i="13"/>
  <c r="E13" i="13"/>
  <c r="E14" i="13"/>
  <c r="E2" i="13"/>
  <c r="D3" i="13"/>
  <c r="D4" i="13"/>
  <c r="D5" i="13"/>
  <c r="D6" i="13"/>
  <c r="D8" i="13"/>
  <c r="D9" i="13"/>
  <c r="D10" i="13"/>
  <c r="D11" i="13"/>
  <c r="D12" i="13"/>
  <c r="D13" i="13"/>
  <c r="D14" i="13"/>
  <c r="D2" i="13"/>
  <c r="C4" i="13"/>
  <c r="C5" i="13"/>
  <c r="C6" i="13"/>
  <c r="C8" i="13"/>
  <c r="C9" i="13"/>
  <c r="C10" i="13"/>
  <c r="C11" i="13"/>
  <c r="C12" i="13"/>
  <c r="C13" i="13"/>
  <c r="C14" i="13"/>
  <c r="C3" i="13"/>
  <c r="C2" i="13"/>
  <c r="C29" i="2"/>
  <c r="C10" i="10"/>
  <c r="B29" i="2"/>
  <c r="B10" i="10"/>
  <c r="D29" i="2"/>
  <c r="F29" i="2"/>
  <c r="G29" i="2"/>
  <c r="E29" i="2"/>
  <c r="B21" i="10"/>
  <c r="B6" i="10"/>
  <c r="G47" i="10"/>
  <c r="F47" i="10"/>
  <c r="E47" i="10"/>
  <c r="D47" i="10"/>
  <c r="C47" i="10"/>
  <c r="B47" i="10"/>
  <c r="G46" i="10"/>
  <c r="F46" i="10"/>
  <c r="E46" i="10"/>
  <c r="D46" i="10"/>
  <c r="C46" i="10"/>
  <c r="B46" i="10"/>
  <c r="G42" i="10"/>
  <c r="F42" i="10"/>
  <c r="E42" i="10"/>
  <c r="D42" i="10"/>
  <c r="C42" i="10"/>
  <c r="B42" i="10"/>
  <c r="G40" i="10"/>
  <c r="D40" i="10"/>
  <c r="C40" i="10"/>
  <c r="B40" i="10"/>
  <c r="G39" i="10"/>
  <c r="F39" i="10"/>
  <c r="E39" i="10"/>
  <c r="D39" i="10"/>
  <c r="C39" i="10"/>
  <c r="B39" i="10"/>
  <c r="G32" i="10"/>
  <c r="F32" i="10"/>
  <c r="E32" i="10"/>
  <c r="D32" i="10"/>
  <c r="C32" i="10"/>
  <c r="B32" i="10"/>
  <c r="G28" i="10"/>
  <c r="F28" i="10"/>
  <c r="E28" i="10"/>
  <c r="D28" i="10"/>
  <c r="C28" i="10"/>
  <c r="B28" i="10"/>
  <c r="G26" i="10"/>
  <c r="F26" i="10"/>
  <c r="E26" i="10"/>
  <c r="D26" i="10"/>
  <c r="C26" i="10"/>
  <c r="B26" i="10"/>
  <c r="G25" i="10"/>
  <c r="F25" i="10"/>
  <c r="E25" i="10"/>
  <c r="G24" i="10"/>
  <c r="F24" i="10"/>
  <c r="E24" i="10"/>
  <c r="D24" i="10"/>
  <c r="C24" i="10"/>
  <c r="B24" i="10"/>
  <c r="G21" i="10"/>
  <c r="F21" i="10"/>
  <c r="E21" i="10"/>
  <c r="D21" i="10"/>
  <c r="C21" i="10"/>
  <c r="G20" i="10"/>
  <c r="E20" i="10"/>
  <c r="D20" i="10"/>
  <c r="C20" i="10"/>
  <c r="B20" i="10"/>
  <c r="G19" i="10"/>
  <c r="F19" i="10"/>
  <c r="E19" i="10"/>
  <c r="D19" i="10"/>
  <c r="C19" i="10"/>
  <c r="B19" i="10"/>
  <c r="G15" i="10"/>
  <c r="F15" i="10"/>
  <c r="E15" i="10"/>
  <c r="D15" i="10"/>
  <c r="C15" i="10"/>
  <c r="B15" i="10"/>
  <c r="G9" i="10"/>
  <c r="F9" i="10"/>
  <c r="E9" i="10"/>
  <c r="D9" i="10"/>
  <c r="C9" i="10"/>
  <c r="B9" i="10"/>
  <c r="G8" i="10"/>
  <c r="F8" i="10"/>
  <c r="E8" i="10"/>
  <c r="D8" i="10"/>
  <c r="C8" i="10"/>
  <c r="B8" i="10"/>
  <c r="G6" i="10"/>
  <c r="F6" i="10"/>
  <c r="E6" i="10"/>
  <c r="D6" i="10"/>
  <c r="C6" i="10"/>
  <c r="E15" i="5"/>
  <c r="H14" i="5"/>
  <c r="G14" i="5"/>
  <c r="F14" i="5"/>
  <c r="E14" i="5"/>
  <c r="D14" i="5"/>
  <c r="H13" i="5"/>
  <c r="G13" i="5"/>
  <c r="F13" i="5"/>
  <c r="E13" i="5"/>
  <c r="D13" i="5"/>
  <c r="C13" i="5"/>
  <c r="H12" i="5"/>
  <c r="G12" i="5"/>
  <c r="F12" i="5"/>
  <c r="E12" i="5"/>
  <c r="D12" i="5"/>
  <c r="H11" i="5"/>
  <c r="G11" i="5"/>
  <c r="F11" i="5"/>
  <c r="E11" i="5"/>
  <c r="D11" i="5"/>
  <c r="C11" i="5"/>
  <c r="H10" i="5"/>
  <c r="G10" i="5"/>
  <c r="F10" i="5"/>
  <c r="E10" i="5"/>
  <c r="D10" i="5"/>
  <c r="H9" i="5"/>
  <c r="G9" i="5"/>
  <c r="F9" i="5"/>
  <c r="E9" i="5"/>
  <c r="D9" i="5"/>
  <c r="C9" i="5"/>
  <c r="H8" i="5"/>
  <c r="G8" i="5"/>
  <c r="F8" i="5"/>
  <c r="E8" i="5"/>
  <c r="D8" i="5"/>
  <c r="C8" i="5"/>
  <c r="H6" i="5"/>
  <c r="G6" i="5"/>
  <c r="F6" i="5"/>
  <c r="E6" i="5"/>
  <c r="D6" i="5"/>
  <c r="C6" i="5"/>
  <c r="H5" i="5"/>
  <c r="G5" i="5"/>
  <c r="F5" i="5"/>
  <c r="E5" i="5"/>
  <c r="D5" i="5"/>
  <c r="C5" i="5"/>
  <c r="G4" i="5"/>
  <c r="E4" i="5"/>
  <c r="D4" i="5"/>
  <c r="H3" i="5"/>
  <c r="G3" i="5"/>
  <c r="F3" i="5"/>
  <c r="E3" i="5"/>
  <c r="D3" i="5"/>
  <c r="C3" i="5"/>
  <c r="H2" i="5"/>
  <c r="G2" i="5"/>
  <c r="F2" i="5"/>
  <c r="E2" i="5"/>
  <c r="D2" i="5"/>
  <c r="C2" i="5"/>
</calcChain>
</file>

<file path=xl/sharedStrings.xml><?xml version="1.0" encoding="utf-8"?>
<sst xmlns="http://schemas.openxmlformats.org/spreadsheetml/2006/main" count="360" uniqueCount="191">
  <si>
    <t xml:space="preserve">Sales </t>
  </si>
  <si>
    <t xml:space="preserve">Cost of Sales </t>
  </si>
  <si>
    <t xml:space="preserve">Gross profit </t>
  </si>
  <si>
    <t>Administrative expenses</t>
  </si>
  <si>
    <t>Selling and distribution expenses</t>
  </si>
  <si>
    <t>Net impairment losses on financial assets</t>
  </si>
  <si>
    <t>Other expenses</t>
  </si>
  <si>
    <t xml:space="preserve">Other income </t>
  </si>
  <si>
    <t xml:space="preserve">Operating Profit / EBIT </t>
  </si>
  <si>
    <t xml:space="preserve">Finance Cost </t>
  </si>
  <si>
    <t>Loss or profit before Tax /EBT</t>
  </si>
  <si>
    <t xml:space="preserve">Taxation </t>
  </si>
  <si>
    <t xml:space="preserve">Loss or profit for the year / EAT </t>
  </si>
  <si>
    <t>Dividend (Final)</t>
  </si>
  <si>
    <t>Additions to Retained Earnings</t>
  </si>
  <si>
    <t>less</t>
  </si>
  <si>
    <t>Add</t>
  </si>
  <si>
    <t>EQUITY AND LIABILITIES</t>
  </si>
  <si>
    <t xml:space="preserve">CAPITAL &amp; RESERVES </t>
  </si>
  <si>
    <t xml:space="preserve">Issued, subscribed &amp; paid up capital </t>
  </si>
  <si>
    <t>Other reserves</t>
  </si>
  <si>
    <t>Revenue reserves: Un-appropriated profit</t>
  </si>
  <si>
    <t>NON-CURRENT LIABILITIES</t>
  </si>
  <si>
    <t xml:space="preserve">Long term finances - secured </t>
  </si>
  <si>
    <t xml:space="preserve">Long term deposits </t>
  </si>
  <si>
    <t xml:space="preserve">Deferred taxation </t>
  </si>
  <si>
    <t>CURRENT LIABILITIES</t>
  </si>
  <si>
    <t xml:space="preserve">Trade and other payables </t>
  </si>
  <si>
    <t xml:space="preserve">Accrued markup </t>
  </si>
  <si>
    <t xml:space="preserve">Short term borrowings - secured </t>
  </si>
  <si>
    <t xml:space="preserve">Current portion of non-current liabilities </t>
  </si>
  <si>
    <t>Derivative financial instrument</t>
  </si>
  <si>
    <t xml:space="preserve">Provision for taxation </t>
  </si>
  <si>
    <t>NON-CURRENT ASSETS</t>
  </si>
  <si>
    <t xml:space="preserve">Property, plant and equipment </t>
  </si>
  <si>
    <t>Intangible assets</t>
  </si>
  <si>
    <t xml:space="preserve">Investments </t>
  </si>
  <si>
    <t xml:space="preserve">Long term loans and deposits </t>
  </si>
  <si>
    <t>CURRENT ASSETS</t>
  </si>
  <si>
    <t xml:space="preserve">Stores, spare parts and loose tools </t>
  </si>
  <si>
    <t xml:space="preserve">Stock-in-trade </t>
  </si>
  <si>
    <t xml:space="preserve">Trade debts </t>
  </si>
  <si>
    <t xml:space="preserve">Loan to related party  </t>
  </si>
  <si>
    <t xml:space="preserve">Income tax receivable </t>
  </si>
  <si>
    <t xml:space="preserve">Cash and bank balances </t>
  </si>
  <si>
    <t xml:space="preserve">Derviative financial instruments </t>
  </si>
  <si>
    <t xml:space="preserve">Loans, advances, deposits, prepayments </t>
  </si>
  <si>
    <t>Deferred liabilities - staff gratuity</t>
  </si>
  <si>
    <t>Accumulated Gain(Loss)</t>
  </si>
  <si>
    <t xml:space="preserve">TOTAL ASSETS </t>
  </si>
  <si>
    <t xml:space="preserve">TOTAL LIABILITIES AND EQUITY </t>
  </si>
  <si>
    <t>Unclaimed dividend</t>
  </si>
  <si>
    <t>Loan from directors</t>
  </si>
  <si>
    <t>INTERPRETATION:</t>
  </si>
  <si>
    <t>1)</t>
  </si>
  <si>
    <t>This compnay is  a manufacturing company or production company as it's Stock-in-trade is 69.53% in 2019 and property, plant and equipment is 3.33% in 2019 which is the largest part of its total assets. The stock-in-trade has increased from 62.67% in 2014 and property, plant and equipment has decreased from 22.58% in 2014.</t>
  </si>
  <si>
    <t>2)</t>
  </si>
  <si>
    <t>The company has stock-in-trade of 69.53% which is not seem to be backed up with cash and balance account that is 1.84%, Trade payable that is 4.78% and short term borrowings - secured that is 1.32%. Contrary to Stock-in-trade 62.67% in 2014 which is backed up by Cash and bank balance which is 0.87% in 2014, Trade and other payable is 47.17% in 2014 and short term borrowing - secured which was 11.21%</t>
  </si>
  <si>
    <t>3)</t>
  </si>
  <si>
    <t xml:space="preserve">TOTAL EQUITY AND LIABILITY </t>
  </si>
  <si>
    <t xml:space="preserve">TOTAL  EQUITY </t>
  </si>
  <si>
    <t xml:space="preserve">TOTAL LIABILITIES </t>
  </si>
  <si>
    <t xml:space="preserve">TOTAL SHAREHOLDER'S EQUITY </t>
  </si>
  <si>
    <t>Loan for directors</t>
  </si>
  <si>
    <t xml:space="preserve">The company has a capital structure of 88.27/11.73 in 2019 as compared to 34.53/65.47 in 2014. Which shows company relies more on equity or reserves as compared to debt in 2019. Contrary to 2014 whereas company  relies more on debts and less on equity and reserves. </t>
  </si>
  <si>
    <t>4)</t>
  </si>
  <si>
    <t>Company shows no long term and short term investments in both 2019 and 2014.</t>
  </si>
  <si>
    <t>The company has a COGS of 95.36% of net  sales in 2019 which shows company's their sales are not increasing with the sale rate as the their cost, indicated by it's decreasing gross profit being 4.64%. Whereas in 2014 COGS was 84.48% with gross profit of 15.52 showing  more sales as compared to 2019.</t>
  </si>
  <si>
    <t xml:space="preserve">The company's operating cost is 16.71% having only 1.16% other income to cover it in 2019.  whereas in 2014 with operating cost is -9.85% and it is not being supported by any other income since -0.06%.So in both years operating expense is not being supported by other income.   </t>
  </si>
  <si>
    <t xml:space="preserve">The company has a finance cost of 5.91% in 2019 from 1.31% in 2014. So it shows that the company tax is also reducing to 0.96% in 2019 from 1.01% in 2014 due to decreasing profits.   </t>
  </si>
  <si>
    <t xml:space="preserve">The company has a net income reducing to a loss of 17.79% in 2019. whereas in 2014 it's net income was 3.30%  </t>
  </si>
  <si>
    <t>The company's operating expense shows a increasing rate of decrease in operating profits with a 17% decrease in 2019 from the year 2018. Because of the increasing rate of increase in operating expenses and a decreasing rate of decrease in other income.</t>
  </si>
  <si>
    <t>The EBT of the company is increasing with a increasing rate. Because of increase in the decreasing rate of finance cost year by year on average.  Except from the last year where EBT has decreased drastically due to a great increase in finance cost</t>
  </si>
  <si>
    <t xml:space="preserve">The Net income of the company is decreasing on an irregular basis. It is because of decrease in the decreasing rate of taxation on the company  except from last year with a great increase. </t>
  </si>
  <si>
    <t xml:space="preserve">The company shows a continuous increase in  gross profits with a 49% increase in the last year from the year 2018 on average. This is because of the decreasing rate of both Cost of sales and Sales in every year on average. </t>
  </si>
  <si>
    <t>The Accumulated gain(Loss) of the company is decreasing with a decreasing rate. Making the overall equity decrease aswell.</t>
  </si>
  <si>
    <t>Debts seems to be decreasing every year at a decreasing rate. which indicates a debt paying capability of the firm</t>
  </si>
  <si>
    <t>The company's inventory is decreasing with a decreasing rate for which the company's trade payables are also decreasing with the decreasing rate. The inventory seems not to be backed up by trade payables</t>
  </si>
  <si>
    <t xml:space="preserve">The property plant and equipment is decreasing at a increasing rate. Which shows the company is increasing it's production capacity. </t>
  </si>
  <si>
    <t xml:space="preserve">The company seems to have no investment.  which reduces its other income. </t>
  </si>
  <si>
    <t>5)</t>
  </si>
  <si>
    <t>CURRENT  RATIO</t>
  </si>
  <si>
    <t xml:space="preserve">TOTAL CURRENT ASSETS / TOTAL CURRENT LIABILITIES </t>
  </si>
  <si>
    <t>FORMULAS</t>
  </si>
  <si>
    <t>QUICK RATIO</t>
  </si>
  <si>
    <t xml:space="preserve">The company is able to pay back 1% of its current liability with 8.53 Current Asset in less than 30 days, in year 2020. The company is increasing it's current liquidity every year. </t>
  </si>
  <si>
    <t>CASH RATIO</t>
  </si>
  <si>
    <t>(CASH+ INVESTMENT)/ TOTAL CURRENT LIABILITIES</t>
  </si>
  <si>
    <t>The company is able to pay back 1% of its current liability with 2.82 Quick Asset in less than 1 days, in year 2020. The company is increasing it's Cash Ratio every year.</t>
  </si>
  <si>
    <t>Liquidity: The company is increasing it's liquidity every year especially in the year 2020 where it goes above the ideal range.</t>
  </si>
  <si>
    <t>(CASH+ INVESTMENT+ ACCOUNT RECEIVABLE)/ TOTAL CURRENT LIABILITIES</t>
  </si>
  <si>
    <t>The company is able to pay back 1% of its current liability with 0.267 Quick Asset in less than 7 days, in year 2020. The company is increasing it's Quick Ratio every year.</t>
  </si>
  <si>
    <t xml:space="preserve">RECEIVABLE TURNOVER </t>
  </si>
  <si>
    <t>AVERAGE ACCOUNT RECEIVABLE = (PREVIOUS YEAR A/C RECEIVABLE + LATEST YEAR A/C RECEIVABLE )/2</t>
  </si>
  <si>
    <t>PURCHASES</t>
  </si>
  <si>
    <t>DAYS SALES OUTSTANDING (DSO)</t>
  </si>
  <si>
    <t>365/( Receivable turnover)</t>
  </si>
  <si>
    <t>INVENTORY TURNOVER</t>
  </si>
  <si>
    <t>(COST OF SALES)/ (ACCOUNT INVENTORY)</t>
  </si>
  <si>
    <t>AVERAGE INVENTORY = (PREVIOUS YEAR INVENTORY + LATEST YEAR INVENTORY )/2</t>
  </si>
  <si>
    <t xml:space="preserve">365/ Inventory turnover </t>
  </si>
  <si>
    <t xml:space="preserve">PAYABLE TURNOVER </t>
  </si>
  <si>
    <t>(NET SALES)/ ( AVERAGE ACCOUNT RECEIVABLE)</t>
  </si>
  <si>
    <t>(PURCHASES)/ ( AVERAGE A/C PAYABLE)</t>
  </si>
  <si>
    <t xml:space="preserve">AVERAGE A/C PAYABLE =  (PREVIOUS YEAR A/C PAYABLE+ LATEST YEAR A/C PAYABLE )/2 </t>
  </si>
  <si>
    <t xml:space="preserve">DAYS OF PAYABLES OUTSTANDING </t>
  </si>
  <si>
    <t xml:space="preserve">365/ Payables turnover </t>
  </si>
  <si>
    <t xml:space="preserve">FIXED ASSETS TURNOVER </t>
  </si>
  <si>
    <t>NET SALES / AVERAGE NET FIXED ASSETS (OR AVERAGE PROPERTY PLANT AND EQUIPMENT )</t>
  </si>
  <si>
    <t xml:space="preserve">AVERAGE  NET FIXED ASSETS =  (PREVIOUS YEAR NET FIXED ASSETS + LATEST YEAR NET FIXED ASSETS)/2 </t>
  </si>
  <si>
    <t xml:space="preserve">TOTAL ASSET TURNOVER </t>
  </si>
  <si>
    <t xml:space="preserve">NET SALES / AVERAGE TOTAL ASSETS </t>
  </si>
  <si>
    <t>AVERAGE  TOTAL ASSETS =  (PREVIOUS YEAR TOTAL ASSETS + LATEST YEAR TOTAL ASSETS)/2</t>
  </si>
  <si>
    <t>TOTAL DEBTS OR TOTAL ASSETS OR DEBT RATIO</t>
  </si>
  <si>
    <t>TOTAL DEBTS/ TOTAL ASSETS</t>
  </si>
  <si>
    <t>DEBTS</t>
  </si>
  <si>
    <t xml:space="preserve">DEBT TO EQUITY RATIO </t>
  </si>
  <si>
    <t xml:space="preserve">TOTAL DEBTS/TOTAL EQUITY </t>
  </si>
  <si>
    <t xml:space="preserve">FINANCIAL LEVERAGE RATIO OR LEVERAGE RATIO OR EQUITY MULTIPLIER </t>
  </si>
  <si>
    <t xml:space="preserve">AVERAGE TOTAL ASSETS/ AVERAGE TOTAL EQUITY </t>
  </si>
  <si>
    <t>AVERAGE  TOTAL EQUITY =  (PREVIOUS YEAR TOTAL EQUITY + LATEST YEAR TOTAL EQUITY)/2</t>
  </si>
  <si>
    <t>EBIT/(INTEREST EXPENSE OR FINANCE COST)</t>
  </si>
  <si>
    <t xml:space="preserve">GROSS PROFIT MARGIN </t>
  </si>
  <si>
    <t xml:space="preserve">GROSS PROFIT/ NET SALES </t>
  </si>
  <si>
    <t xml:space="preserve">OPERATING PROFIT MARGIN </t>
  </si>
  <si>
    <t>PRE-TAX MARGIN</t>
  </si>
  <si>
    <t xml:space="preserve">NET PROFIT MARGIN </t>
  </si>
  <si>
    <t>RETURN ON ASSETS (ROA)</t>
  </si>
  <si>
    <t>RETURN ON EQUITY (ROE)</t>
  </si>
  <si>
    <t>EBIT/ NET SALES</t>
  </si>
  <si>
    <t>EBT/ NET SALES</t>
  </si>
  <si>
    <t>NET INCOME/NET SALES</t>
  </si>
  <si>
    <t>NET INCOME/ AVERAGE TOTAL ASSETS</t>
  </si>
  <si>
    <t xml:space="preserve">NET INCOME/ AVERAGE TOTAL EQUITY </t>
  </si>
  <si>
    <t xml:space="preserve">SHARE PRICE </t>
  </si>
  <si>
    <t>P/ E RATIO</t>
  </si>
  <si>
    <t>FORMULA</t>
  </si>
  <si>
    <t xml:space="preserve"> SHARE PRICE / EPS</t>
  </si>
  <si>
    <t>EARNINGS PER SHARE(EPS)</t>
  </si>
  <si>
    <t xml:space="preserve">DU-PONT ROE </t>
  </si>
  <si>
    <t xml:space="preserve">Financial Leverage </t>
  </si>
  <si>
    <t>NET INCOME/ AVERAGE TOTAL EQUITY = NET (INCOME/NET SALES)×(NET SALES/AVERAGE TOTAL EQUITY) × (AVERAGE TOTAL ASSETS/AVERAGE TOTAL EQUITY)</t>
  </si>
  <si>
    <t>NPM (NET PROFIT MARGIN)</t>
  </si>
  <si>
    <t>TAT (TOTAL ASSET TURNOVER)</t>
  </si>
  <si>
    <t>NET INCOME/ NET SALES</t>
  </si>
  <si>
    <t xml:space="preserve">AVERAGE TOTAL ASSETS/AVERAGE TOTAL EQUITY </t>
  </si>
  <si>
    <t xml:space="preserve">CASH CONVERSION CYCLE </t>
  </si>
  <si>
    <t xml:space="preserve">DAYS SALES OUTSTANDING + DAYS OF INVENTORY ON HAND - DAYS OF PAYABLES OUTSTANDING </t>
  </si>
  <si>
    <t xml:space="preserve">INTERPRETATION </t>
  </si>
  <si>
    <t>The return on equity is decreasing except from 2018 were it increased exceptionally, due to several reasons:</t>
  </si>
  <si>
    <t>The CCC is -887.92 days which means company is collecting fastly and paying slowly. It has increased negatively due to the increasing balance of trade payables.</t>
  </si>
  <si>
    <t>DAYS OF INVENTORY ON HAND (DOH)</t>
  </si>
  <si>
    <t>The company has a Inventory Turnover of  is -0.533. It is a not a good inventory turnover. Inventory turnover has decreased in recent years due to a decrease in the Inventory and a decrease in Sales.  DOH has also negatively increased except from last year as it has negatively decreased because the Sales have slightly fallen plus the Inventory has decreased .</t>
  </si>
  <si>
    <t xml:space="preserve">The Receivables Turnover is 68. It means that company is collecting Cash from its customers 68 times on average during 2019. However, this ratio's trend has been anonymous due to a reason that is, company is now prefering to sell its products on credit anonymous. On parallel, the DSO is also anonymous it has drastically increased in 2018 which implies that company is now selling on credit anonymously. </t>
  </si>
  <si>
    <t>DIVIDEDS PER SHARE (DPS)</t>
  </si>
  <si>
    <t xml:space="preserve">NUMBER OF SHARES OUTSTANDING </t>
  </si>
  <si>
    <t>Debt Ratio is 1.32%. It's shows a increasing trend except from last year eespecially.It shows total debt as 1.32% of total assets. The caital structure and the ownership of the assets/capital in the firm</t>
  </si>
  <si>
    <t xml:space="preserve">Debt to Equity is 1.5%. It has decreased a lot in the recent years especially in last year. Due to (1) increase in shareholders' equity except from last year and (2) the decrease in the short term debts. it shows the relationship of dets with the equity and likewise it highlights the payments a company needs to make for creditors instead of the owners for the interest of investors. </t>
  </si>
  <si>
    <t xml:space="preserve">Financial Leverage is 1.41.  It has decreased a due to the decrease in company's debts. </t>
  </si>
  <si>
    <t xml:space="preserve"> Interest Coverage Ratio is 1.92. It is not a good ratio. However, it has risen a lot above negative value in the past two year because of fall in the Operating Profit (EBIT) and decreased debt (in last year).</t>
  </si>
  <si>
    <t>Gross Profit Margin is 4.64%. It is a far below cut-off so it's not a good ratio. It has greatly decreased in 2018 but have little recovered in 2019. due to an decrease in Cost of Sales and a decrease in Sales.</t>
  </si>
  <si>
    <t xml:space="preserve">Operating Profit Margin is -11.34%. The cut off is 10%. It is not a good ratio but this ratio has also drastically decreased in the recent two years (2018 &amp; 2019) as compared to past years, due to fall in Sales and fall in COGS this year. Plus, the operating expenses have also decreased. </t>
  </si>
  <si>
    <t xml:space="preserve"> Pre-Tax Profit Margin is -16.82% which is worse as it has fallen from 88.33%. The company has had a really healthy Pre-tax Margin in past years but here in 2019 it has fallen drastically. The reason for the decrease in margin is high operating expenses as compared to the previous year.  </t>
  </si>
  <si>
    <t>Net Profit Margin is -17.79% which is a worst margin. In the previous years especially in 2018 it was 87.49% which was best margin and enough for the investors and retained earnings. The 2019 marginnis not good for investors and retained earnings. The company should look to take care of the increasing Finance Cost and debts.</t>
  </si>
  <si>
    <t>ROA is -5.98%. It is Worse from previous years margin as it has drastically fallen especially from 2018 ROA. It will result in a bad return on the assets of company.</t>
  </si>
  <si>
    <t>ROE is -8.44%. ROE has been a decreasing trend. It has drastically fallen from previous yeaes especially from 54.96 (2018).It is due to the decreasing shareholders' equity in last year and decreasing debts.</t>
  </si>
  <si>
    <t>6)</t>
  </si>
  <si>
    <t>The Payables Turnover is 1.75. It has increased in last years. That is due to choosing to purchase less on credit from the suppliers (i.e. leading to decrease in trade payables). Days of Payables Outstanding has also decreased due to less borrowing and slow payment in last year.</t>
  </si>
  <si>
    <t xml:space="preserve">Fixed Assets Turnover is 12.6 and is a good turnover. It has increased except from 2018 as more Fixed Assets are purchased. </t>
  </si>
  <si>
    <t xml:space="preserve">Total Assets Turnover is 0.335. It is a not a good ratio. However, it has decreased by a very little fraction from the year 2018 because of  decreasing Sales. </t>
  </si>
  <si>
    <t xml:space="preserve">FORMULA </t>
  </si>
  <si>
    <t xml:space="preserve">Total Assets Turnover is 0.337. It is a not a good ratio. However, it has decreased by a very little fraction from the year 2018 because of  decreasing Sales. </t>
  </si>
  <si>
    <t>INTEREST COVERAGE RATIO OR TIMES INTEREST EARNED</t>
  </si>
  <si>
    <t xml:space="preserve"> P/E ratio of LEATHER UP LIMITED -8.034 it means that the shareholders are paying Rs. -8.034 for Rs. 1 of earning. In 2019, it has increased due to more income and EPS.</t>
  </si>
  <si>
    <t>SALES REVENUE OR SALES-NET</t>
  </si>
  <si>
    <t>SALES PER SHARE</t>
  </si>
  <si>
    <t>EAT /EARNING PER SHARE (EPS)</t>
  </si>
  <si>
    <t>SALES PER SHARE = TOTAL SALES/ OUTSTANDING SHARES</t>
  </si>
  <si>
    <t>PRICE TO SALES</t>
  </si>
  <si>
    <t>SHARE PRICE / SALES PER SHARE</t>
  </si>
  <si>
    <t xml:space="preserve">SHAREHOLDER'S EQUITY </t>
  </si>
  <si>
    <t>PRICE TO BOOK VALUE</t>
  </si>
  <si>
    <t xml:space="preserve">PRICE TO CASH FLOW </t>
  </si>
  <si>
    <t>SHARE PRICE / BOOK VALUE PER SHARE</t>
  </si>
  <si>
    <t>SHARE PRICE / CASH FLOW PER SHARE</t>
  </si>
  <si>
    <t>CASH FLOW PER SHARE</t>
  </si>
  <si>
    <t>BOOK VALUE PER SHARE</t>
  </si>
  <si>
    <t xml:space="preserve">BOOK VALUE </t>
  </si>
  <si>
    <t>BOOK VALUE = TOTAL EQUITY= TOTAL ASSETS - TOTAL LIABILITIES</t>
  </si>
  <si>
    <t xml:space="preserve">BOOK VALUE PER SHARE = SHAREHOLDER'S EQUITY / SHARE OUTSTANDING </t>
  </si>
  <si>
    <t>OPERATING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</si>
</sst>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48">
    <xf numFmtId="0" fontId="0" fillId="0" borderId="0" xfId="0"/>
    <xf numFmtId="3" fontId="0" fillId="0" borderId="0" xfId="0" applyNumberFormat="1"/>
    <xf numFmtId="0" fontId="0" fillId="2" borderId="0" xfId="0" applyFill="1"/>
    <xf numFmtId="0" fontId="0" fillId="0" borderId="0" xfId="0" applyAlignment="1">
      <alignment horizontal="right"/>
    </xf>
    <xf numFmtId="0" fontId="0" fillId="0" borderId="0" xfId="0" applyNumberFormat="1"/>
    <xf numFmtId="10" fontId="0" fillId="0" borderId="0" xfId="0" applyNumberFormat="1" applyAlignment="1">
      <alignment horizontal="right"/>
    </xf>
    <xf numFmtId="10" fontId="0" fillId="0" borderId="0" xfId="0" applyNumberFormat="1"/>
    <xf numFmtId="3" fontId="0" fillId="3" borderId="0" xfId="0" applyNumberFormat="1" applyFill="1"/>
    <xf numFmtId="0" fontId="0" fillId="0" borderId="0" xfId="0" applyFill="1"/>
    <xf numFmtId="10" fontId="0" fillId="3" borderId="0" xfId="0" applyNumberFormat="1" applyFill="1"/>
    <xf numFmtId="0" fontId="0" fillId="4" borderId="0" xfId="0" applyFont="1" applyFill="1" applyAlignment="1">
      <alignment horizontal="center" vertical="center"/>
    </xf>
    <xf numFmtId="0" fontId="0" fillId="5" borderId="0" xfId="0" applyFill="1"/>
    <xf numFmtId="0" fontId="0" fillId="4" borderId="0" xfId="0" applyFill="1" applyAlignment="1">
      <alignment horizontal="center" vertical="center"/>
    </xf>
    <xf numFmtId="0" fontId="0" fillId="5" borderId="0" xfId="0" applyFill="1" applyAlignment="1">
      <alignment horizontal="center" vertical="center"/>
    </xf>
    <xf numFmtId="0" fontId="0" fillId="2" borderId="0" xfId="0" applyFont="1" applyFill="1"/>
    <xf numFmtId="0" fontId="0" fillId="0" borderId="0" xfId="0" applyAlignment="1"/>
    <xf numFmtId="0" fontId="0" fillId="0" borderId="0" xfId="0" applyAlignment="1">
      <alignment wrapText="1"/>
    </xf>
    <xf numFmtId="0" fontId="0" fillId="0" borderId="0" xfId="0" applyAlignment="1">
      <alignment readingOrder="2"/>
    </xf>
    <xf numFmtId="0" fontId="0" fillId="0" borderId="0" xfId="0" applyAlignment="1">
      <alignment vertical="top" readingOrder="2"/>
    </xf>
    <xf numFmtId="0" fontId="0" fillId="0" borderId="0" xfId="0" applyAlignment="1">
      <alignment horizontal="center" vertical="top" wrapText="1"/>
    </xf>
    <xf numFmtId="0" fontId="0" fillId="0" borderId="0" xfId="0" applyAlignment="1">
      <alignment horizontal="center" wrapText="1"/>
    </xf>
    <xf numFmtId="0" fontId="0" fillId="0" borderId="0" xfId="0" applyAlignment="1">
      <alignment vertical="top"/>
    </xf>
    <xf numFmtId="0" fontId="0" fillId="3" borderId="0" xfId="0" applyFill="1" applyAlignment="1">
      <alignment horizontal="center" vertical="center"/>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vertical="center"/>
    </xf>
    <xf numFmtId="0" fontId="0" fillId="5" borderId="0" xfId="0" applyFont="1" applyFill="1"/>
    <xf numFmtId="9" fontId="0" fillId="0" borderId="0" xfId="0" applyNumberFormat="1"/>
    <xf numFmtId="0" fontId="0" fillId="3" borderId="0" xfId="0" applyFont="1" applyFill="1"/>
    <xf numFmtId="0" fontId="0" fillId="4" borderId="0" xfId="0" applyFill="1"/>
    <xf numFmtId="0" fontId="0" fillId="3" borderId="0" xfId="0" applyFill="1"/>
    <xf numFmtId="0" fontId="0" fillId="0" borderId="0" xfId="0" applyAlignment="1">
      <alignment horizontal="center" wrapText="1"/>
    </xf>
    <xf numFmtId="0" fontId="0" fillId="0" borderId="0" xfId="0" applyAlignment="1">
      <alignment horizontal="center" wrapText="1"/>
    </xf>
    <xf numFmtId="0" fontId="0" fillId="5" borderId="0" xfId="0" applyFill="1" applyAlignment="1"/>
    <xf numFmtId="0" fontId="0" fillId="2" borderId="0" xfId="0" applyFill="1" applyAlignment="1">
      <alignment horizontal="center" vertical="center"/>
    </xf>
    <xf numFmtId="0" fontId="0" fillId="4" borderId="0" xfId="0" applyFill="1" applyAlignment="1">
      <alignment horizontal="center" vertical="center" wrapText="1"/>
    </xf>
    <xf numFmtId="0" fontId="0" fillId="0" borderId="0" xfId="0" applyAlignment="1">
      <alignment horizontal="center" wrapText="1"/>
    </xf>
    <xf numFmtId="0" fontId="0" fillId="2" borderId="0" xfId="0" applyFill="1" applyAlignment="1">
      <alignment horizontal="center"/>
    </xf>
    <xf numFmtId="0" fontId="0" fillId="2" borderId="0" xfId="0" applyFont="1" applyFill="1" applyAlignment="1">
      <alignment horizontal="center" vertical="center"/>
    </xf>
    <xf numFmtId="0" fontId="0" fillId="0" borderId="0" xfId="0" applyAlignment="1">
      <alignment horizontal="center" wrapText="1" readingOrder="2"/>
    </xf>
    <xf numFmtId="0" fontId="0" fillId="0" borderId="0" xfId="0" applyAlignment="1">
      <alignment horizontal="center" vertical="top" wrapText="1" readingOrder="2"/>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vertical="top" wrapText="1"/>
    </xf>
    <xf numFmtId="0" fontId="0" fillId="4" borderId="0" xfId="0" applyFill="1" applyAlignment="1">
      <alignment horizontal="center" wrapText="1"/>
    </xf>
    <xf numFmtId="0" fontId="0" fillId="4" borderId="0" xfId="0" applyFill="1" applyAlignment="1">
      <alignment horizontal="center" vertical="center" wrapText="1"/>
    </xf>
    <xf numFmtId="0" fontId="0" fillId="0" borderId="0" xfId="0" applyAlignment="1">
      <alignment horizontal="center" vertical="top" wrapText="1" readingOrder="1"/>
    </xf>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theme" Target="theme/theme1.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2" Type="http://schemas.openxmlformats.org/officeDocument/2006/relationships/worksheet" Target="worksheets/sheet2.xml" /><Relationship Id="rId16" Type="http://schemas.openxmlformats.org/officeDocument/2006/relationships/calcChain" Target="calcChain.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sharedStrings" Target="sharedStrings.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D51-752B-5D48-B67E-AE4A54912AD5}">
  <dimension ref="A1:H16"/>
  <sheetViews>
    <sheetView zoomScaleNormal="60" zoomScaleSheetLayoutView="100" workbookViewId="0">
      <selection activeCell="B14" sqref="B14"/>
    </sheetView>
  </sheetViews>
  <sheetFormatPr defaultRowHeight="15" x14ac:dyDescent="0.2"/>
  <cols>
    <col min="2" max="2" width="34.16796875" customWidth="1"/>
    <col min="3" max="3" width="21.7890625" customWidth="1"/>
    <col min="4" max="4" width="22.328125" customWidth="1"/>
    <col min="5" max="5" width="20.71484375" customWidth="1"/>
    <col min="6" max="6" width="19.63671875" customWidth="1"/>
    <col min="7" max="7" width="18.0234375" customWidth="1"/>
    <col min="8" max="8" width="19.63671875" customWidth="1"/>
  </cols>
  <sheetData>
    <row r="1" spans="1:8" x14ac:dyDescent="0.2">
      <c r="C1" s="2">
        <v>2014</v>
      </c>
      <c r="D1" s="2">
        <v>2015</v>
      </c>
      <c r="E1" s="2">
        <v>2016</v>
      </c>
      <c r="F1" s="2">
        <v>2017</v>
      </c>
      <c r="G1" s="2">
        <v>2018</v>
      </c>
      <c r="H1" s="2">
        <v>2019</v>
      </c>
    </row>
    <row r="2" spans="1:8" x14ac:dyDescent="0.2">
      <c r="B2" t="s">
        <v>0</v>
      </c>
      <c r="C2" s="1">
        <v>165196180</v>
      </c>
      <c r="D2" s="1">
        <v>114147074</v>
      </c>
      <c r="E2" s="1">
        <v>127715522</v>
      </c>
      <c r="F2" s="1">
        <v>133215713</v>
      </c>
      <c r="G2" s="1">
        <v>51697926</v>
      </c>
      <c r="H2" s="1">
        <v>48015064</v>
      </c>
    </row>
    <row r="3" spans="1:8" x14ac:dyDescent="0.2">
      <c r="A3" t="s">
        <v>15</v>
      </c>
      <c r="B3" t="s">
        <v>1</v>
      </c>
      <c r="C3" s="1">
        <v>-139560686</v>
      </c>
      <c r="D3" s="1">
        <v>-89998719</v>
      </c>
      <c r="E3" s="1">
        <v>-98000516</v>
      </c>
      <c r="F3" s="1">
        <v>-101861314</v>
      </c>
      <c r="G3" s="1">
        <v>-50201059</v>
      </c>
      <c r="H3" s="1">
        <v>-45789378</v>
      </c>
    </row>
    <row r="4" spans="1:8" x14ac:dyDescent="0.2">
      <c r="B4" t="s">
        <v>2</v>
      </c>
      <c r="C4" s="1">
        <v>25635494</v>
      </c>
      <c r="D4" s="1">
        <v>24148354</v>
      </c>
      <c r="E4" s="1">
        <v>29715006</v>
      </c>
      <c r="F4" s="1">
        <v>31354399</v>
      </c>
      <c r="G4" s="1">
        <v>1496867</v>
      </c>
      <c r="H4" s="1">
        <v>2225686</v>
      </c>
    </row>
    <row r="5" spans="1:8" x14ac:dyDescent="0.2">
      <c r="A5" t="s">
        <v>15</v>
      </c>
      <c r="B5" t="s">
        <v>3</v>
      </c>
      <c r="C5" s="1">
        <v>-6221860</v>
      </c>
      <c r="D5" s="1">
        <v>-5453840</v>
      </c>
      <c r="E5" s="1">
        <v>-6378054</v>
      </c>
      <c r="F5" s="1">
        <v>-4922325</v>
      </c>
      <c r="G5" s="1">
        <v>-4774759</v>
      </c>
      <c r="H5" s="1">
        <v>-4841281</v>
      </c>
    </row>
    <row r="6" spans="1:8" x14ac:dyDescent="0.2">
      <c r="A6" t="s">
        <v>15</v>
      </c>
      <c r="B6" t="s">
        <v>4</v>
      </c>
      <c r="C6" s="1">
        <v>-9405068</v>
      </c>
      <c r="D6" s="1">
        <v>-6247134</v>
      </c>
      <c r="E6" s="1">
        <v>-7854141</v>
      </c>
      <c r="F6" s="1">
        <v>-8702954</v>
      </c>
      <c r="G6" s="1">
        <v>-3266911</v>
      </c>
      <c r="H6" s="1">
        <v>-2831499</v>
      </c>
    </row>
    <row r="7" spans="1:8" x14ac:dyDescent="0.2">
      <c r="A7" t="s">
        <v>15</v>
      </c>
      <c r="B7" t="s">
        <v>5</v>
      </c>
      <c r="C7">
        <v>0</v>
      </c>
      <c r="D7">
        <v>0</v>
      </c>
      <c r="E7">
        <v>0</v>
      </c>
      <c r="F7">
        <v>0</v>
      </c>
      <c r="G7">
        <v>0</v>
      </c>
      <c r="H7">
        <v>0</v>
      </c>
    </row>
    <row r="8" spans="1:8" x14ac:dyDescent="0.2">
      <c r="A8" t="s">
        <v>15</v>
      </c>
      <c r="B8" t="s">
        <v>6</v>
      </c>
      <c r="C8" s="1">
        <v>-640159</v>
      </c>
      <c r="D8" s="1">
        <v>-1055454</v>
      </c>
      <c r="E8" s="1">
        <v>-1258362</v>
      </c>
      <c r="F8" s="1">
        <v>-1519526</v>
      </c>
      <c r="G8" s="1">
        <v>-3734443</v>
      </c>
      <c r="H8" s="1">
        <v>-350000</v>
      </c>
    </row>
    <row r="9" spans="1:8" x14ac:dyDescent="0.2">
      <c r="A9" t="s">
        <v>16</v>
      </c>
      <c r="B9" t="s">
        <v>7</v>
      </c>
      <c r="C9" s="1">
        <v>-102269</v>
      </c>
      <c r="D9" s="1">
        <v>74474</v>
      </c>
      <c r="E9" s="1">
        <v>6143</v>
      </c>
      <c r="F9" s="1">
        <v>-69615</v>
      </c>
      <c r="G9" s="1">
        <v>57243338</v>
      </c>
      <c r="H9" s="1">
        <v>559157</v>
      </c>
    </row>
    <row r="10" spans="1:8" x14ac:dyDescent="0.2">
      <c r="B10" t="s">
        <v>8</v>
      </c>
      <c r="C10" s="1">
        <v>10008566</v>
      </c>
      <c r="D10" s="1">
        <v>12447380</v>
      </c>
      <c r="E10" s="1">
        <v>15482812</v>
      </c>
      <c r="F10" s="1">
        <v>17729120</v>
      </c>
      <c r="G10" s="1">
        <v>-6544803</v>
      </c>
      <c r="H10" s="1">
        <v>-5447094</v>
      </c>
    </row>
    <row r="11" spans="1:8" x14ac:dyDescent="0.2">
      <c r="A11" t="s">
        <v>15</v>
      </c>
      <c r="B11" t="s">
        <v>9</v>
      </c>
      <c r="C11" s="1">
        <v>-2157234</v>
      </c>
      <c r="D11" s="1">
        <v>-1590049</v>
      </c>
      <c r="E11" s="1">
        <v>-1961261</v>
      </c>
      <c r="F11" s="1">
        <v>-1763259</v>
      </c>
      <c r="G11" s="1">
        <v>-1298626</v>
      </c>
      <c r="H11" s="1">
        <v>-2839475</v>
      </c>
    </row>
    <row r="12" spans="1:8" x14ac:dyDescent="0.2">
      <c r="B12" t="s">
        <v>10</v>
      </c>
      <c r="C12" s="1">
        <v>7108904</v>
      </c>
      <c r="D12" s="1">
        <v>9876352</v>
      </c>
      <c r="E12" s="1">
        <v>12269331</v>
      </c>
      <c r="F12" s="1">
        <v>14376720</v>
      </c>
      <c r="G12" s="1">
        <v>45665466</v>
      </c>
      <c r="H12" s="1">
        <v>-8077413</v>
      </c>
    </row>
    <row r="13" spans="1:8" x14ac:dyDescent="0.2">
      <c r="A13" t="s">
        <v>15</v>
      </c>
      <c r="B13" t="s">
        <v>11</v>
      </c>
      <c r="C13" s="1">
        <v>-1665678</v>
      </c>
      <c r="D13" s="1">
        <v>-1181289</v>
      </c>
      <c r="E13" s="1">
        <v>-1338808</v>
      </c>
      <c r="F13" s="1">
        <v>-1076299</v>
      </c>
      <c r="G13" s="1">
        <v>-433517</v>
      </c>
      <c r="H13" s="1">
        <v>-462075</v>
      </c>
    </row>
    <row r="14" spans="1:8" x14ac:dyDescent="0.2">
      <c r="B14" t="s">
        <v>12</v>
      </c>
      <c r="C14" s="1">
        <v>5443226</v>
      </c>
      <c r="D14" s="1">
        <v>8695063</v>
      </c>
      <c r="E14" s="1">
        <v>10930523</v>
      </c>
      <c r="F14" s="1">
        <v>13300421</v>
      </c>
      <c r="G14" s="1">
        <v>45231949</v>
      </c>
      <c r="H14" s="1">
        <v>-8539488</v>
      </c>
    </row>
    <row r="15" spans="1:8" x14ac:dyDescent="0.2">
      <c r="A15" t="s">
        <v>15</v>
      </c>
      <c r="B15" t="s">
        <v>13</v>
      </c>
      <c r="C15" s="1">
        <v>-27880730</v>
      </c>
      <c r="D15" s="1">
        <v>-35251989</v>
      </c>
      <c r="E15" s="1">
        <v>-45777704</v>
      </c>
      <c r="F15" s="1">
        <v>-34847181</v>
      </c>
      <c r="G15" s="1">
        <v>-105480938</v>
      </c>
      <c r="H15" s="1">
        <v>-96941450</v>
      </c>
    </row>
    <row r="16" spans="1:8" x14ac:dyDescent="0.2">
      <c r="B16" t="s">
        <v>14</v>
      </c>
      <c r="C16" s="1">
        <v>-22437504</v>
      </c>
      <c r="D16" s="1">
        <v>-26556926</v>
      </c>
      <c r="E16" s="1">
        <v>-34847181</v>
      </c>
      <c r="F16" s="1">
        <v>-21546760</v>
      </c>
      <c r="G16" s="1">
        <v>-60248989</v>
      </c>
      <c r="H16" s="1">
        <v>-105480938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90181-6DF0-DB41-BE01-16961806CB6A}">
  <dimension ref="A1:I48"/>
  <sheetViews>
    <sheetView tabSelected="1" zoomScaleNormal="60" zoomScaleSheetLayoutView="100" workbookViewId="0">
      <selection activeCell="H20" sqref="H20"/>
    </sheetView>
  </sheetViews>
  <sheetFormatPr defaultRowHeight="15" x14ac:dyDescent="0.2"/>
  <cols>
    <col min="1" max="1" width="29.32421875" customWidth="1"/>
    <col min="2" max="2" width="11.8359375" bestFit="1" customWidth="1"/>
    <col min="8" max="8" width="35.91796875" customWidth="1"/>
    <col min="9" max="9" width="41.4296875" customWidth="1"/>
  </cols>
  <sheetData>
    <row r="1" spans="1:9" x14ac:dyDescent="0.2">
      <c r="B1" s="2">
        <v>2015</v>
      </c>
      <c r="C1" s="2">
        <v>2016</v>
      </c>
      <c r="D1" s="2">
        <v>2017</v>
      </c>
      <c r="E1" s="2">
        <v>2018</v>
      </c>
      <c r="F1" s="2">
        <v>2019</v>
      </c>
    </row>
    <row r="3" spans="1:9" x14ac:dyDescent="0.2">
      <c r="A3" t="s">
        <v>122</v>
      </c>
      <c r="B3" s="6">
        <f>'INCOME STATEMENT '!D4/'INCOME STATEMENT '!D2</f>
        <v>0.21155473507800998</v>
      </c>
      <c r="C3" s="6">
        <f>'INCOME STATEMENT '!E4/'INCOME STATEMENT '!E2</f>
        <v>0.23266557999113061</v>
      </c>
      <c r="D3" s="6">
        <f>'INCOME STATEMENT '!F4/'INCOME STATEMENT '!F2</f>
        <v>0.23536562087086529</v>
      </c>
      <c r="E3" s="6">
        <f>'INCOME STATEMENT '!G4/'INCOME STATEMENT '!G2</f>
        <v>2.8954101562991136E-2</v>
      </c>
      <c r="F3" s="6">
        <f>'INCOME STATEMENT '!H4/'INCOME STATEMENT '!H2</f>
        <v>4.6353910930952834E-2</v>
      </c>
      <c r="H3" t="s">
        <v>123</v>
      </c>
    </row>
    <row r="4" spans="1:9" x14ac:dyDescent="0.2">
      <c r="A4" t="s">
        <v>124</v>
      </c>
      <c r="B4" s="6">
        <f>'INCOME STATEMENT '!D10/'INCOME STATEMENT '!D2</f>
        <v>0.1090468600185056</v>
      </c>
      <c r="C4" s="6">
        <f>'INCOME STATEMENT '!E10/'INCOME STATEMENT '!E2</f>
        <v>0.12122889808178523</v>
      </c>
      <c r="D4" s="6">
        <f>'INCOME STATEMENT '!F10/'INCOME STATEMENT '!F2</f>
        <v>0.13308580197292491</v>
      </c>
      <c r="E4" s="6">
        <f>'INCOME STATEMENT '!G10/'INCOME STATEMENT '!G2</f>
        <v>-0.12659701280859895</v>
      </c>
      <c r="F4" s="6">
        <f>'INCOME STATEMENT '!H10/'INCOME STATEMENT '!H2</f>
        <v>-0.11344552201367471</v>
      </c>
      <c r="H4" t="s">
        <v>129</v>
      </c>
    </row>
    <row r="5" spans="1:9" x14ac:dyDescent="0.2">
      <c r="A5" t="s">
        <v>125</v>
      </c>
      <c r="B5" s="6">
        <f>'INCOME STATEMENT '!D12/'INCOME STATEMENT '!D2</f>
        <v>8.6523041317730143E-2</v>
      </c>
      <c r="C5" s="6">
        <f>'INCOME STATEMENT '!E12/'INCOME STATEMENT '!E2</f>
        <v>9.6067657304802781E-2</v>
      </c>
      <c r="D5" s="6">
        <f>'INCOME STATEMENT '!F12/'INCOME STATEMENT '!F2</f>
        <v>0.10792060242923446</v>
      </c>
      <c r="E5" s="6">
        <f>'INCOME STATEMENT '!G12/'INCOME STATEMENT '!G2</f>
        <v>0.88331330738490366</v>
      </c>
      <c r="F5" s="6">
        <f>'INCOME STATEMENT '!H12/'INCOME STATEMENT '!H2</f>
        <v>-0.16822664237206889</v>
      </c>
      <c r="H5" t="s">
        <v>130</v>
      </c>
    </row>
    <row r="6" spans="1:9" x14ac:dyDescent="0.2">
      <c r="A6" t="s">
        <v>126</v>
      </c>
      <c r="B6" s="6">
        <f>'INCOME STATEMENT '!D14/'INCOME STATEMENT '!D2</f>
        <v>7.6174208372612337E-2</v>
      </c>
      <c r="C6" s="6">
        <f>'INCOME STATEMENT '!E14/'INCOME STATEMENT '!E2</f>
        <v>8.5584922089579685E-2</v>
      </c>
      <c r="D6" s="6">
        <f>'INCOME STATEMENT '!F14/'INCOME STATEMENT '!F2</f>
        <v>9.9841232693023238E-2</v>
      </c>
      <c r="E6" s="6">
        <f>'INCOME STATEMENT '!G14/'INCOME STATEMENT '!G2</f>
        <v>0.87492772920909823</v>
      </c>
      <c r="F6" s="6">
        <f>'INCOME STATEMENT '!H14/'INCOME STATEMENT '!H2</f>
        <v>-0.17785018468370675</v>
      </c>
      <c r="H6" t="s">
        <v>131</v>
      </c>
      <c r="I6" s="34" t="s">
        <v>170</v>
      </c>
    </row>
    <row r="7" spans="1:9" ht="15" customHeight="1" x14ac:dyDescent="0.2">
      <c r="A7" t="s">
        <v>127</v>
      </c>
      <c r="B7" s="6">
        <f>('INCOME STATEMENT '!D14 *2)/('BALANCE SHEET '!C48 +'BALANCE SHEET '!B48)</f>
        <v>0.10094889356779847</v>
      </c>
      <c r="C7" s="6">
        <f>('INCOME STATEMENT '!E14 *2)/('BALANCE SHEET '!D48 +'BALANCE SHEET '!C48)</f>
        <v>9.9764566432325619E-2</v>
      </c>
      <c r="D7" s="6">
        <f>('INCOME STATEMENT '!F14 *2)/('BALANCE SHEET '!E48 +'BALANCE SHEET '!D48)</f>
        <v>0.10240517582800952</v>
      </c>
      <c r="E7" s="6">
        <f>('INCOME STATEMENT '!G14 *2)/('BALANCE SHEET '!F48 +'BALANCE SHEET '!E48)</f>
        <v>0.29399255735605007</v>
      </c>
      <c r="F7" s="6">
        <f>('INCOME STATEMENT '!H14 *2)/('BALANCE SHEET '!G48 +'BALANCE SHEET '!F48)</f>
        <v>-5.9846116947101721E-2</v>
      </c>
      <c r="H7" t="s">
        <v>132</v>
      </c>
      <c r="I7" s="44" t="s">
        <v>112</v>
      </c>
    </row>
    <row r="8" spans="1:9" x14ac:dyDescent="0.2">
      <c r="B8" s="6"/>
      <c r="C8" s="6"/>
      <c r="D8" s="6"/>
      <c r="E8" s="6"/>
      <c r="F8" s="6"/>
      <c r="I8" s="44"/>
    </row>
    <row r="9" spans="1:9" x14ac:dyDescent="0.2">
      <c r="B9" s="6"/>
      <c r="C9" s="6"/>
      <c r="D9" s="6"/>
      <c r="E9" s="6"/>
      <c r="F9" s="6"/>
      <c r="I9" s="33"/>
    </row>
    <row r="10" spans="1:9" x14ac:dyDescent="0.2">
      <c r="A10" t="s">
        <v>128</v>
      </c>
      <c r="B10" s="6">
        <f>('INCOME STATEMENT '!D14 *2)/('BALANCE SHEET '!C10+'BALANCE SHEET '!B10)</f>
        <v>0.27545346177787783</v>
      </c>
      <c r="C10" s="6">
        <f>('INCOME STATEMENT '!E14 *2)/('BALANCE SHEET '!D10+'BALANCE SHEET '!C10)</f>
        <v>0.26979055690115966</v>
      </c>
      <c r="D10" s="6">
        <f>('INCOME STATEMENT '!F14 *2)/('BALANCE SHEET '!E10+'BALANCE SHEET '!D10)</f>
        <v>0.25357916858541057</v>
      </c>
      <c r="E10" s="6">
        <f>('INCOME STATEMENT '!G14 *2)/('BALANCE SHEET '!F10+'BALANCE SHEET '!E10)</f>
        <v>0.54958250843313994</v>
      </c>
      <c r="F10" s="6">
        <f>('INCOME STATEMENT '!H14 *2)/('BALANCE SHEET '!G10+'BALANCE SHEET '!F10)</f>
        <v>-8.4372959356783406E-2</v>
      </c>
      <c r="H10" t="s">
        <v>133</v>
      </c>
      <c r="I10" s="44" t="s">
        <v>120</v>
      </c>
    </row>
    <row r="11" spans="1:9" x14ac:dyDescent="0.2">
      <c r="I11" s="44"/>
    </row>
    <row r="12" spans="1:9" x14ac:dyDescent="0.2">
      <c r="I12" s="32"/>
    </row>
    <row r="14" spans="1:9" x14ac:dyDescent="0.2">
      <c r="I14" s="30" t="s">
        <v>148</v>
      </c>
    </row>
    <row r="16" spans="1:9" x14ac:dyDescent="0.2">
      <c r="H16" s="3" t="s">
        <v>54</v>
      </c>
      <c r="I16" s="42" t="s">
        <v>160</v>
      </c>
    </row>
    <row r="17" spans="8:9" x14ac:dyDescent="0.2">
      <c r="I17" s="42"/>
    </row>
    <row r="18" spans="8:9" x14ac:dyDescent="0.2">
      <c r="I18" s="42"/>
    </row>
    <row r="19" spans="8:9" x14ac:dyDescent="0.2">
      <c r="I19" s="42"/>
    </row>
    <row r="20" spans="8:9" x14ac:dyDescent="0.2">
      <c r="I20" s="42"/>
    </row>
    <row r="21" spans="8:9" ht="15" customHeight="1" x14ac:dyDescent="0.2">
      <c r="H21" s="3" t="s">
        <v>56</v>
      </c>
      <c r="I21" s="42" t="s">
        <v>161</v>
      </c>
    </row>
    <row r="22" spans="8:9" x14ac:dyDescent="0.2">
      <c r="I22" s="42"/>
    </row>
    <row r="23" spans="8:9" x14ac:dyDescent="0.2">
      <c r="I23" s="42"/>
    </row>
    <row r="24" spans="8:9" x14ac:dyDescent="0.2">
      <c r="I24" s="42"/>
    </row>
    <row r="25" spans="8:9" x14ac:dyDescent="0.2">
      <c r="I25" s="42"/>
    </row>
    <row r="26" spans="8:9" x14ac:dyDescent="0.2">
      <c r="I26" s="42"/>
    </row>
    <row r="27" spans="8:9" x14ac:dyDescent="0.2">
      <c r="H27" s="3" t="s">
        <v>58</v>
      </c>
      <c r="I27" s="42" t="s">
        <v>162</v>
      </c>
    </row>
    <row r="28" spans="8:9" x14ac:dyDescent="0.2">
      <c r="I28" s="42"/>
    </row>
    <row r="29" spans="8:9" x14ac:dyDescent="0.2">
      <c r="I29" s="42"/>
    </row>
    <row r="30" spans="8:9" x14ac:dyDescent="0.2">
      <c r="I30" s="42"/>
    </row>
    <row r="31" spans="8:9" x14ac:dyDescent="0.2">
      <c r="I31" s="42"/>
    </row>
    <row r="32" spans="8:9" x14ac:dyDescent="0.2">
      <c r="I32" s="42"/>
    </row>
    <row r="33" spans="8:9" x14ac:dyDescent="0.2">
      <c r="H33" s="3" t="s">
        <v>65</v>
      </c>
      <c r="I33" s="42" t="s">
        <v>163</v>
      </c>
    </row>
    <row r="34" spans="8:9" x14ac:dyDescent="0.2">
      <c r="I34" s="42"/>
    </row>
    <row r="35" spans="8:9" x14ac:dyDescent="0.2">
      <c r="I35" s="42"/>
    </row>
    <row r="36" spans="8:9" x14ac:dyDescent="0.2">
      <c r="I36" s="42"/>
    </row>
    <row r="37" spans="8:9" x14ac:dyDescent="0.2">
      <c r="I37" s="42"/>
    </row>
    <row r="38" spans="8:9" x14ac:dyDescent="0.2">
      <c r="I38" s="42"/>
    </row>
    <row r="39" spans="8:9" x14ac:dyDescent="0.2">
      <c r="I39" s="42"/>
    </row>
    <row r="40" spans="8:9" x14ac:dyDescent="0.2">
      <c r="H40" s="3" t="s">
        <v>80</v>
      </c>
      <c r="I40" s="42" t="s">
        <v>164</v>
      </c>
    </row>
    <row r="41" spans="8:9" x14ac:dyDescent="0.2">
      <c r="I41" s="42"/>
    </row>
    <row r="42" spans="8:9" x14ac:dyDescent="0.2">
      <c r="I42" s="42"/>
    </row>
    <row r="43" spans="8:9" x14ac:dyDescent="0.2">
      <c r="I43" s="42"/>
    </row>
    <row r="44" spans="8:9" ht="15" customHeight="1" x14ac:dyDescent="0.2">
      <c r="H44" s="3" t="s">
        <v>166</v>
      </c>
      <c r="I44" s="42" t="s">
        <v>165</v>
      </c>
    </row>
    <row r="45" spans="8:9" x14ac:dyDescent="0.2">
      <c r="I45" s="42"/>
    </row>
    <row r="46" spans="8:9" x14ac:dyDescent="0.2">
      <c r="I46" s="42"/>
    </row>
    <row r="47" spans="8:9" x14ac:dyDescent="0.2">
      <c r="I47" s="42"/>
    </row>
    <row r="48" spans="8:9" x14ac:dyDescent="0.2">
      <c r="I48" s="42"/>
    </row>
  </sheetData>
  <mergeCells count="8">
    <mergeCell ref="I27:I32"/>
    <mergeCell ref="I33:I39"/>
    <mergeCell ref="I40:I43"/>
    <mergeCell ref="I44:I48"/>
    <mergeCell ref="I7:I8"/>
    <mergeCell ref="I10:I11"/>
    <mergeCell ref="I16:I20"/>
    <mergeCell ref="I21:I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6CD6-E070-E245-88FF-ACA8AD79D16F}">
  <dimension ref="A1:K12"/>
  <sheetViews>
    <sheetView topLeftCell="A4" zoomScaleNormal="60" zoomScaleSheetLayoutView="100" workbookViewId="0">
      <selection activeCell="B3" sqref="B3:F8"/>
    </sheetView>
  </sheetViews>
  <sheetFormatPr defaultRowHeight="15" x14ac:dyDescent="0.2"/>
  <cols>
    <col min="1" max="1" width="30.40234375" customWidth="1"/>
    <col min="2" max="2" width="17.484375" customWidth="1"/>
    <col min="3" max="3" width="15.6015625" customWidth="1"/>
    <col min="4" max="4" width="19.1015625" customWidth="1"/>
    <col min="5" max="5" width="15.06640625" customWidth="1"/>
    <col min="6" max="6" width="16.94921875" customWidth="1"/>
    <col min="7" max="7" width="43.046875" customWidth="1"/>
    <col min="10" max="10" width="41.69921875" customWidth="1"/>
  </cols>
  <sheetData>
    <row r="1" spans="1:11" x14ac:dyDescent="0.2">
      <c r="B1" s="2">
        <v>2015</v>
      </c>
      <c r="C1" s="2">
        <v>2016</v>
      </c>
      <c r="D1" s="2">
        <v>2017</v>
      </c>
      <c r="E1" s="2">
        <v>2018</v>
      </c>
      <c r="F1" s="2">
        <v>2019</v>
      </c>
      <c r="G1" s="22" t="s">
        <v>136</v>
      </c>
    </row>
    <row r="2" spans="1:11" s="8" customFormat="1" x14ac:dyDescent="0.2"/>
    <row r="3" spans="1:11" x14ac:dyDescent="0.2">
      <c r="A3" s="8" t="s">
        <v>155</v>
      </c>
      <c r="B3" s="8">
        <f>'INCOME STATEMENT '!D14 /B4</f>
        <v>5996595.1724137934</v>
      </c>
      <c r="C3" s="8">
        <f>'INCOME STATEMENT '!E14 /C4</f>
        <v>6005781.8681318676</v>
      </c>
      <c r="D3" s="8">
        <f>'INCOME STATEMENT '!F14 /D4</f>
        <v>5991180.6306306301</v>
      </c>
      <c r="E3" s="8">
        <f>'INCOME STATEMENT '!G14 /E4</f>
        <v>5998932.2281167107</v>
      </c>
      <c r="F3" s="8">
        <f>'INCOME STATEMENT '!H14 /F4</f>
        <v>6233202.9197080284</v>
      </c>
      <c r="G3" s="12" t="s">
        <v>176</v>
      </c>
    </row>
    <row r="4" spans="1:11" x14ac:dyDescent="0.2">
      <c r="A4" s="8" t="s">
        <v>138</v>
      </c>
      <c r="B4" s="8">
        <v>1.45</v>
      </c>
      <c r="C4" s="8">
        <v>1.82</v>
      </c>
      <c r="D4" s="8">
        <v>2.2200000000000002</v>
      </c>
      <c r="E4" s="8">
        <v>7.54</v>
      </c>
      <c r="F4" s="8">
        <v>-1.37</v>
      </c>
    </row>
    <row r="5" spans="1:11" x14ac:dyDescent="0.2">
      <c r="A5" s="8" t="s">
        <v>135</v>
      </c>
      <c r="B5" s="8">
        <f>'NOTES TO FS'!B8/B4</f>
        <v>7.4896551724137925</v>
      </c>
      <c r="C5" s="8">
        <f>'NOTES TO FS'!C8/C4</f>
        <v>5.1098901098901104</v>
      </c>
      <c r="D5" s="8">
        <f>'NOTES TO FS'!D8/D4</f>
        <v>10.342342342342342</v>
      </c>
      <c r="E5" s="8">
        <f>'NOTES TO FS'!E8/E4</f>
        <v>2.4801061007957559</v>
      </c>
      <c r="F5" s="8">
        <f>'NOTES TO FS'!F8/F4</f>
        <v>-8.0437956204379546</v>
      </c>
      <c r="G5" s="12" t="s">
        <v>137</v>
      </c>
    </row>
    <row r="6" spans="1:11" x14ac:dyDescent="0.2">
      <c r="A6" t="s">
        <v>154</v>
      </c>
      <c r="B6">
        <f>'INCOME STATEMENT '!D15 /B3</f>
        <v>-5.8786674748647592</v>
      </c>
      <c r="C6">
        <f>'INCOME STATEMENT '!E15 /C3</f>
        <v>-7.6222721712401142</v>
      </c>
      <c r="D6">
        <f>'INCOME STATEMENT '!F15 /D3</f>
        <v>-5.8164130157985232</v>
      </c>
      <c r="E6">
        <f>'INCOME STATEMENT '!G15 /E3</f>
        <v>-17.583285489643615</v>
      </c>
      <c r="F6">
        <f>'INCOME STATEMENT '!H15 /F3</f>
        <v>-15.552429665572458</v>
      </c>
    </row>
    <row r="7" spans="1:11" x14ac:dyDescent="0.2">
      <c r="A7" t="s">
        <v>178</v>
      </c>
      <c r="B7">
        <f>'NOTES TO FS'!B8/'NOTES TO FS'!B14</f>
        <v>0.57051855374246208</v>
      </c>
      <c r="C7">
        <f>'NOTES TO FS'!C8/'NOTES TO FS'!C14</f>
        <v>0.43732954694125881</v>
      </c>
      <c r="D7">
        <f>'NOTES TO FS'!D8/'NOTES TO FS'!D14</f>
        <v>1.0325922083927086</v>
      </c>
      <c r="E7">
        <f>'NOTES TO FS'!E8/'NOTES TO FS'!E14</f>
        <v>2.1699135989668616</v>
      </c>
      <c r="F7">
        <f>'NOTES TO FS'!F8/'NOTES TO FS'!F14</f>
        <v>1.4305905366528819</v>
      </c>
      <c r="G7" s="12" t="s">
        <v>179</v>
      </c>
      <c r="J7" s="38" t="s">
        <v>148</v>
      </c>
      <c r="K7" s="8"/>
    </row>
    <row r="8" spans="1:11" ht="15" customHeight="1" x14ac:dyDescent="0.2">
      <c r="A8" t="s">
        <v>181</v>
      </c>
      <c r="B8">
        <f>'NOTES TO FS'!B8/'NOTES TO FS'!B20</f>
        <v>1.847357423503502</v>
      </c>
      <c r="C8">
        <f>'NOTES TO FS'!C8/'NOTES TO FS'!C20</f>
        <v>1.2201086226086475</v>
      </c>
      <c r="D8">
        <f>'NOTES TO FS'!D8/'NOTES TO FS'!D20</f>
        <v>2.3266003499009065</v>
      </c>
      <c r="E8">
        <f>'NOTES TO FS'!E8/'NOTES TO FS'!E20</f>
        <v>1.0635099926990836</v>
      </c>
      <c r="F8">
        <f>'NOTES TO FS'!F8/'NOTES TO FS'!F20</f>
        <v>0.70857095881258714</v>
      </c>
      <c r="G8" s="12" t="s">
        <v>183</v>
      </c>
      <c r="I8" s="3" t="s">
        <v>54</v>
      </c>
      <c r="J8" s="45" t="s">
        <v>173</v>
      </c>
      <c r="K8" s="8"/>
    </row>
    <row r="9" spans="1:11" x14ac:dyDescent="0.2">
      <c r="A9" t="s">
        <v>182</v>
      </c>
      <c r="B9">
        <f>'NOTES TO FS'!B8/'NOTES TO FS'!B18</f>
        <v>-4.5409802045893981</v>
      </c>
      <c r="C9">
        <f>'NOTES TO FS'!C8/'NOTES TO FS'!C18</f>
        <v>-3.4129897239970735</v>
      </c>
      <c r="D9">
        <f>'NOTES TO FS'!D8/'NOTES TO FS'!D18</f>
        <v>-8.102256815053229</v>
      </c>
      <c r="E9">
        <f>'NOTES TO FS'!E8/'NOTES TO FS'!E18</f>
        <v>-25.138726303212767</v>
      </c>
      <c r="F9">
        <f>'NOTES TO FS'!F8/'NOTES TO FS'!F18</f>
        <v>120.88864671948032</v>
      </c>
      <c r="G9" s="12" t="s">
        <v>184</v>
      </c>
      <c r="J9" s="45"/>
      <c r="K9" s="8"/>
    </row>
    <row r="10" spans="1:11" x14ac:dyDescent="0.2">
      <c r="J10" s="45"/>
      <c r="K10" s="8"/>
    </row>
    <row r="11" spans="1:11" x14ac:dyDescent="0.2">
      <c r="J11" s="45"/>
      <c r="K11" s="8"/>
    </row>
    <row r="12" spans="1:11" x14ac:dyDescent="0.2">
      <c r="J12" s="8"/>
    </row>
  </sheetData>
  <mergeCells count="1">
    <mergeCell ref="J8: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B04F3-28A3-0B4F-B5D5-FC68FC6EB46D}">
  <dimension ref="A2:H36"/>
  <sheetViews>
    <sheetView topLeftCell="A7" zoomScaleNormal="60" zoomScaleSheetLayoutView="100" workbookViewId="0">
      <selection activeCell="H30" sqref="H30:H36"/>
    </sheetView>
  </sheetViews>
  <sheetFormatPr defaultRowHeight="15" x14ac:dyDescent="0.2"/>
  <cols>
    <col min="1" max="1" width="30.265625" customWidth="1"/>
    <col min="2" max="2" width="11.97265625" bestFit="1" customWidth="1"/>
    <col min="8" max="8" width="69.4140625" customWidth="1"/>
  </cols>
  <sheetData>
    <row r="2" spans="1:8" x14ac:dyDescent="0.2">
      <c r="A2" s="8"/>
      <c r="B2" s="2">
        <v>2015</v>
      </c>
      <c r="C2" s="2">
        <v>2016</v>
      </c>
      <c r="D2" s="2">
        <v>2017</v>
      </c>
      <c r="E2" s="2">
        <v>2018</v>
      </c>
      <c r="F2" s="2">
        <v>2019</v>
      </c>
    </row>
    <row r="3" spans="1:8" s="8" customFormat="1" x14ac:dyDescent="0.2"/>
    <row r="4" spans="1:8" x14ac:dyDescent="0.2">
      <c r="A4" s="8" t="s">
        <v>139</v>
      </c>
      <c r="B4" s="27">
        <f>B9 *B10 *B11</f>
        <v>0.27545346177787783</v>
      </c>
      <c r="C4" s="27">
        <f t="shared" ref="C4:F4" si="0">C9 *C10 *C11</f>
        <v>0.26979055690115966</v>
      </c>
      <c r="D4" s="27">
        <f t="shared" si="0"/>
        <v>0.25357916858541052</v>
      </c>
      <c r="E4" s="27">
        <f t="shared" si="0"/>
        <v>0.54958250843313994</v>
      </c>
      <c r="F4" s="27">
        <f t="shared" si="0"/>
        <v>-8.4372959356783392E-2</v>
      </c>
      <c r="G4" s="8"/>
      <c r="H4" s="28" t="s">
        <v>136</v>
      </c>
    </row>
    <row r="5" spans="1:8" x14ac:dyDescent="0.2">
      <c r="A5" s="8"/>
      <c r="B5" s="27"/>
      <c r="C5" s="27"/>
      <c r="D5" s="27"/>
      <c r="E5" s="27"/>
      <c r="F5" s="27"/>
      <c r="G5" s="8"/>
      <c r="H5" s="45" t="s">
        <v>141</v>
      </c>
    </row>
    <row r="6" spans="1:8" x14ac:dyDescent="0.2">
      <c r="A6" s="8"/>
      <c r="B6" s="27"/>
      <c r="C6" s="27"/>
      <c r="D6" s="27"/>
      <c r="E6" s="27"/>
      <c r="F6" s="27"/>
      <c r="G6" s="8"/>
      <c r="H6" s="45"/>
    </row>
    <row r="7" spans="1:8" x14ac:dyDescent="0.2">
      <c r="A7" s="8"/>
      <c r="B7" s="27"/>
      <c r="C7" s="27"/>
      <c r="D7" s="27"/>
      <c r="E7" s="27"/>
      <c r="F7" s="27"/>
      <c r="G7" s="8"/>
      <c r="H7" s="45"/>
    </row>
    <row r="8" spans="1:8" x14ac:dyDescent="0.2">
      <c r="A8" s="8"/>
      <c r="B8" s="27"/>
      <c r="C8" s="27"/>
      <c r="D8" s="27"/>
      <c r="E8" s="27"/>
      <c r="F8" s="27"/>
      <c r="G8" s="8"/>
      <c r="H8" s="45"/>
    </row>
    <row r="9" spans="1:8" x14ac:dyDescent="0.2">
      <c r="A9" s="8" t="s">
        <v>142</v>
      </c>
      <c r="B9" s="27">
        <f>'INCOME STATEMENT '!D14/'INCOME STATEMENT '!D2</f>
        <v>7.6174208372612337E-2</v>
      </c>
      <c r="C9" s="27">
        <f>'INCOME STATEMENT '!E14/'INCOME STATEMENT '!E2</f>
        <v>8.5584922089579685E-2</v>
      </c>
      <c r="D9" s="27">
        <f>'INCOME STATEMENT '!F14/'INCOME STATEMENT '!F2</f>
        <v>9.9841232693023238E-2</v>
      </c>
      <c r="E9" s="27">
        <f>'INCOME STATEMENT '!G14/'INCOME STATEMENT '!G2</f>
        <v>0.87492772920909823</v>
      </c>
      <c r="F9" s="27">
        <f>'INCOME STATEMENT '!H14/'INCOME STATEMENT '!H2</f>
        <v>-0.17785018468370675</v>
      </c>
      <c r="G9" s="8"/>
      <c r="H9" s="12" t="s">
        <v>144</v>
      </c>
    </row>
    <row r="10" spans="1:8" x14ac:dyDescent="0.2">
      <c r="A10" s="8" t="s">
        <v>143</v>
      </c>
      <c r="B10">
        <f>('INCOME STATEMENT '!D2*2)/('BALANCE SHEET '!C48+'BALANCE SHEET '!B48)</f>
        <v>1.3252371862402397</v>
      </c>
      <c r="C10">
        <f>('INCOME STATEMENT '!E2*2)/('BALANCE SHEET '!D48+'BALANCE SHEET '!C48)</f>
        <v>1.1656792341050968</v>
      </c>
      <c r="D10">
        <f>('INCOME STATEMENT '!F2*2)/('BALANCE SHEET '!E48+'BALANCE SHEET '!D48)</f>
        <v>1.0256802031167775</v>
      </c>
      <c r="E10">
        <f>('INCOME STATEMENT '!G2*2)/('BALANCE SHEET '!F48+'BALANCE SHEET '!E48)</f>
        <v>0.33601924769467328</v>
      </c>
      <c r="F10">
        <f>('INCOME STATEMENT '!H2*2)/('BALANCE SHEET '!G48+'BALANCE SHEET '!F48)</f>
        <v>0.33649735620760562</v>
      </c>
      <c r="G10" s="8"/>
      <c r="H10" s="12" t="s">
        <v>111</v>
      </c>
    </row>
    <row r="11" spans="1:8" x14ac:dyDescent="0.2">
      <c r="A11" s="8" t="s">
        <v>140</v>
      </c>
      <c r="B11">
        <f>('BALANCE SHEET '!C48+'BALANCE SHEET '!B48)/('BALANCE SHEET '!C10+'BALANCE SHEET '!B10)</f>
        <v>2.7286427026847995</v>
      </c>
      <c r="C11">
        <f>('BALANCE SHEET '!D48+'BALANCE SHEET '!C48)/('BALANCE SHEET '!D10+'BALANCE SHEET '!C10)</f>
        <v>2.7042723338468035</v>
      </c>
      <c r="D11">
        <f>('BALANCE SHEET '!E48+'BALANCE SHEET '!D48)/('BALANCE SHEET '!E10+'BALANCE SHEET '!D10)</f>
        <v>2.4762339064902266</v>
      </c>
      <c r="E11">
        <f>('BALANCE SHEET '!F48+'BALANCE SHEET '!E48)/('BALANCE SHEET '!F10+'BALANCE SHEET '!E10)</f>
        <v>1.8693755834354293</v>
      </c>
      <c r="F11">
        <f>('BALANCE SHEET '!G48+'BALANCE SHEET '!F48)/('BALANCE SHEET '!G10+'BALANCE SHEET '!F10)</f>
        <v>1.4098318096621218</v>
      </c>
      <c r="G11" s="8"/>
      <c r="H11" s="12" t="s">
        <v>145</v>
      </c>
    </row>
    <row r="12" spans="1:8" x14ac:dyDescent="0.2">
      <c r="H12" s="8"/>
    </row>
    <row r="13" spans="1:8" x14ac:dyDescent="0.2">
      <c r="H13" s="30" t="s">
        <v>148</v>
      </c>
    </row>
    <row r="14" spans="1:8" x14ac:dyDescent="0.2">
      <c r="H14" s="45" t="s">
        <v>149</v>
      </c>
    </row>
    <row r="15" spans="1:8" x14ac:dyDescent="0.2">
      <c r="H15" s="45"/>
    </row>
    <row r="16" spans="1:8" ht="15" customHeight="1" x14ac:dyDescent="0.2">
      <c r="H16" s="45" t="s">
        <v>163</v>
      </c>
    </row>
    <row r="17" spans="8:8" x14ac:dyDescent="0.2">
      <c r="H17" s="45"/>
    </row>
    <row r="18" spans="8:8" x14ac:dyDescent="0.2">
      <c r="H18" s="45"/>
    </row>
    <row r="19" spans="8:8" x14ac:dyDescent="0.2">
      <c r="H19" s="45"/>
    </row>
    <row r="20" spans="8:8" x14ac:dyDescent="0.2">
      <c r="H20" s="45"/>
    </row>
    <row r="21" spans="8:8" x14ac:dyDescent="0.2">
      <c r="H21" s="45" t="s">
        <v>171</v>
      </c>
    </row>
    <row r="22" spans="8:8" x14ac:dyDescent="0.2">
      <c r="H22" s="45"/>
    </row>
    <row r="23" spans="8:8" x14ac:dyDescent="0.2">
      <c r="H23" s="45"/>
    </row>
    <row r="24" spans="8:8" ht="15" customHeight="1" x14ac:dyDescent="0.2">
      <c r="H24" s="45" t="s">
        <v>158</v>
      </c>
    </row>
    <row r="25" spans="8:8" x14ac:dyDescent="0.2">
      <c r="H25" s="45"/>
    </row>
    <row r="26" spans="8:8" x14ac:dyDescent="0.2">
      <c r="H26" s="25"/>
    </row>
    <row r="27" spans="8:8" x14ac:dyDescent="0.2">
      <c r="H27" s="25"/>
    </row>
    <row r="28" spans="8:8" x14ac:dyDescent="0.2">
      <c r="H28" s="25"/>
    </row>
    <row r="30" spans="8:8" x14ac:dyDescent="0.2">
      <c r="H30" s="42"/>
    </row>
    <row r="31" spans="8:8" x14ac:dyDescent="0.2">
      <c r="H31" s="42"/>
    </row>
    <row r="32" spans="8:8" x14ac:dyDescent="0.2">
      <c r="H32" s="42"/>
    </row>
    <row r="33" spans="8:8" x14ac:dyDescent="0.2">
      <c r="H33" s="42"/>
    </row>
    <row r="34" spans="8:8" x14ac:dyDescent="0.2">
      <c r="H34" s="42"/>
    </row>
    <row r="35" spans="8:8" x14ac:dyDescent="0.2">
      <c r="H35" s="42"/>
    </row>
    <row r="36" spans="8:8" x14ac:dyDescent="0.2">
      <c r="H36" s="42"/>
    </row>
  </sheetData>
  <mergeCells count="6">
    <mergeCell ref="H30:H36"/>
    <mergeCell ref="H24:H25"/>
    <mergeCell ref="H21:H23"/>
    <mergeCell ref="H16:H20"/>
    <mergeCell ref="H5:H8"/>
    <mergeCell ref="H14:H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AD48B-13AB-DA46-9E91-F2400A92432E}">
  <dimension ref="A1:J60"/>
  <sheetViews>
    <sheetView topLeftCell="A35" zoomScaleNormal="60" zoomScaleSheetLayoutView="100" workbookViewId="0">
      <selection activeCell="B60" sqref="B60:C60"/>
    </sheetView>
  </sheetViews>
  <sheetFormatPr defaultRowHeight="15" x14ac:dyDescent="0.2"/>
  <cols>
    <col min="1" max="1" width="33.359375" customWidth="1"/>
    <col min="2" max="2" width="17.21875" customWidth="1"/>
    <col min="3" max="3" width="15.06640625" customWidth="1"/>
    <col min="4" max="4" width="18.0234375" customWidth="1"/>
    <col min="5" max="5" width="17.21875" customWidth="1"/>
    <col min="6" max="6" width="16.6796875" customWidth="1"/>
    <col min="7" max="7" width="19.1015625" customWidth="1"/>
  </cols>
  <sheetData>
    <row r="1" spans="1:10" x14ac:dyDescent="0.2">
      <c r="B1" s="2">
        <v>2014</v>
      </c>
      <c r="C1" s="2">
        <v>2015</v>
      </c>
      <c r="D1" s="2">
        <v>2016</v>
      </c>
      <c r="E1" s="2">
        <v>2017</v>
      </c>
      <c r="F1" s="2">
        <v>2018</v>
      </c>
      <c r="G1" s="2">
        <v>2019</v>
      </c>
    </row>
    <row r="2" spans="1:10" x14ac:dyDescent="0.2">
      <c r="A2" t="s">
        <v>17</v>
      </c>
    </row>
    <row r="4" spans="1:10" x14ac:dyDescent="0.2">
      <c r="A4" t="s">
        <v>18</v>
      </c>
    </row>
    <row r="6" spans="1:10" x14ac:dyDescent="0.2">
      <c r="A6" t="s">
        <v>19</v>
      </c>
      <c r="B6" s="1">
        <v>60000000</v>
      </c>
      <c r="C6" s="1">
        <v>60000000</v>
      </c>
      <c r="D6" s="1">
        <v>60000000</v>
      </c>
      <c r="E6" s="1">
        <v>60000000</v>
      </c>
      <c r="F6" s="1">
        <v>60000000</v>
      </c>
      <c r="G6" s="1">
        <v>60000000</v>
      </c>
    </row>
    <row r="7" spans="1:10" x14ac:dyDescent="0.2">
      <c r="A7" t="s">
        <v>20</v>
      </c>
      <c r="B7">
        <v>0</v>
      </c>
      <c r="C7">
        <v>0</v>
      </c>
      <c r="D7">
        <v>0</v>
      </c>
      <c r="E7">
        <v>0</v>
      </c>
      <c r="F7">
        <v>0</v>
      </c>
      <c r="G7">
        <v>0</v>
      </c>
    </row>
    <row r="8" spans="1:10" x14ac:dyDescent="0.2">
      <c r="A8" t="s">
        <v>21</v>
      </c>
      <c r="B8" s="1">
        <v>1369610</v>
      </c>
      <c r="C8" s="1">
        <v>1369610</v>
      </c>
      <c r="D8" s="1">
        <v>1369610</v>
      </c>
      <c r="E8" s="1">
        <v>1369610</v>
      </c>
      <c r="F8" s="1">
        <v>1369610</v>
      </c>
      <c r="G8" s="1">
        <v>1369610</v>
      </c>
    </row>
    <row r="9" spans="1:10" x14ac:dyDescent="0.2">
      <c r="A9" t="s">
        <v>48</v>
      </c>
      <c r="B9" s="1">
        <v>-33488880</v>
      </c>
      <c r="C9" s="1">
        <v>-26117621</v>
      </c>
      <c r="D9" s="1">
        <v>-15591906</v>
      </c>
      <c r="E9" s="1">
        <v>-2245787</v>
      </c>
      <c r="F9" s="1">
        <v>44111329</v>
      </c>
      <c r="G9" s="1">
        <v>35571840</v>
      </c>
    </row>
    <row r="10" spans="1:10" x14ac:dyDescent="0.2">
      <c r="A10" s="2" t="s">
        <v>60</v>
      </c>
      <c r="B10" s="7">
        <v>27880730</v>
      </c>
      <c r="C10" s="7">
        <v>35251989</v>
      </c>
      <c r="D10" s="7">
        <v>45777704</v>
      </c>
      <c r="E10" s="7">
        <v>59123823</v>
      </c>
      <c r="F10" s="7">
        <v>105480939</v>
      </c>
      <c r="G10" s="7">
        <v>96941450</v>
      </c>
      <c r="H10" s="11"/>
      <c r="I10" s="11"/>
      <c r="J10" s="11"/>
    </row>
    <row r="11" spans="1:10" x14ac:dyDescent="0.2">
      <c r="A11" s="11"/>
    </row>
    <row r="12" spans="1:10" x14ac:dyDescent="0.2">
      <c r="A12" t="s">
        <v>22</v>
      </c>
    </row>
    <row r="13" spans="1:10" x14ac:dyDescent="0.2">
      <c r="A13" t="s">
        <v>23</v>
      </c>
      <c r="B13">
        <v>0</v>
      </c>
      <c r="C13">
        <v>0</v>
      </c>
      <c r="D13">
        <v>0</v>
      </c>
      <c r="E13">
        <v>0</v>
      </c>
      <c r="F13">
        <v>0</v>
      </c>
      <c r="G13">
        <v>0</v>
      </c>
    </row>
    <row r="14" spans="1:10" x14ac:dyDescent="0.2">
      <c r="A14" t="s">
        <v>24</v>
      </c>
      <c r="B14">
        <v>0</v>
      </c>
      <c r="C14">
        <v>0</v>
      </c>
      <c r="D14">
        <v>0</v>
      </c>
      <c r="E14">
        <v>0</v>
      </c>
      <c r="F14">
        <v>0</v>
      </c>
      <c r="G14">
        <v>0</v>
      </c>
    </row>
    <row r="15" spans="1:10" x14ac:dyDescent="0.2">
      <c r="A15" t="s">
        <v>47</v>
      </c>
      <c r="B15" s="1">
        <v>1138171</v>
      </c>
      <c r="C15" s="1">
        <v>2594649</v>
      </c>
      <c r="D15" s="1">
        <v>3517577</v>
      </c>
      <c r="E15" s="1">
        <v>3169256</v>
      </c>
      <c r="F15" s="1">
        <v>2323354</v>
      </c>
      <c r="G15" s="1">
        <v>3020744</v>
      </c>
    </row>
    <row r="16" spans="1:10" x14ac:dyDescent="0.2">
      <c r="A16" t="s">
        <v>25</v>
      </c>
      <c r="B16">
        <v>0</v>
      </c>
      <c r="C16">
        <v>0</v>
      </c>
      <c r="D16">
        <v>0</v>
      </c>
      <c r="E16">
        <v>0</v>
      </c>
      <c r="F16">
        <v>0</v>
      </c>
      <c r="G16">
        <v>0</v>
      </c>
    </row>
    <row r="19" spans="1:7" x14ac:dyDescent="0.2">
      <c r="A19" t="s">
        <v>26</v>
      </c>
    </row>
    <row r="20" spans="1:7" x14ac:dyDescent="0.2">
      <c r="A20" t="s">
        <v>27</v>
      </c>
      <c r="B20" s="1">
        <v>38089594</v>
      </c>
      <c r="C20" s="1">
        <v>35608095</v>
      </c>
      <c r="D20" s="1">
        <v>54895399</v>
      </c>
      <c r="E20" s="1">
        <v>46376523</v>
      </c>
      <c r="F20" s="1">
        <v>21707296</v>
      </c>
      <c r="G20" s="1">
        <v>5248221</v>
      </c>
    </row>
    <row r="21" spans="1:7" x14ac:dyDescent="0.2">
      <c r="A21" t="s">
        <v>28</v>
      </c>
      <c r="B21" s="1">
        <v>192000</v>
      </c>
      <c r="C21" s="1">
        <v>162082</v>
      </c>
      <c r="D21" s="1">
        <v>150000</v>
      </c>
      <c r="E21" s="1">
        <v>156272</v>
      </c>
      <c r="F21" s="1">
        <v>186986</v>
      </c>
      <c r="G21" s="1">
        <v>77014</v>
      </c>
    </row>
    <row r="22" spans="1:7" x14ac:dyDescent="0.2">
      <c r="A22" t="s">
        <v>29</v>
      </c>
      <c r="B22" s="1">
        <v>9050000</v>
      </c>
      <c r="C22" s="1">
        <v>15000000</v>
      </c>
      <c r="D22" s="1">
        <v>21830000</v>
      </c>
      <c r="E22" s="1">
        <v>19500664</v>
      </c>
      <c r="F22" s="1">
        <v>40800000</v>
      </c>
      <c r="G22" s="1">
        <v>1454504</v>
      </c>
    </row>
    <row r="23" spans="1:7" x14ac:dyDescent="0.2">
      <c r="A23" t="s">
        <v>30</v>
      </c>
      <c r="B23">
        <v>0</v>
      </c>
      <c r="C23">
        <v>0</v>
      </c>
      <c r="D23">
        <v>0</v>
      </c>
      <c r="E23">
        <v>0</v>
      </c>
      <c r="F23">
        <v>0</v>
      </c>
      <c r="G23">
        <v>0</v>
      </c>
    </row>
    <row r="24" spans="1:7" x14ac:dyDescent="0.2">
      <c r="A24" t="s">
        <v>31</v>
      </c>
      <c r="B24">
        <v>0</v>
      </c>
      <c r="C24">
        <v>0</v>
      </c>
      <c r="D24">
        <v>0</v>
      </c>
      <c r="E24">
        <v>0</v>
      </c>
      <c r="F24">
        <v>0</v>
      </c>
      <c r="G24">
        <v>0</v>
      </c>
    </row>
    <row r="25" spans="1:7" x14ac:dyDescent="0.2">
      <c r="A25" t="s">
        <v>63</v>
      </c>
      <c r="B25" s="1">
        <v>2738137</v>
      </c>
      <c r="C25" s="1">
        <v>1714219</v>
      </c>
      <c r="D25" s="1">
        <v>104546</v>
      </c>
      <c r="E25" s="1">
        <v>129856</v>
      </c>
      <c r="F25" s="1">
        <v>2015356</v>
      </c>
      <c r="G25" s="1">
        <v>2084</v>
      </c>
    </row>
    <row r="26" spans="1:7" x14ac:dyDescent="0.2">
      <c r="A26" t="s">
        <v>51</v>
      </c>
      <c r="B26" s="1">
        <v>0</v>
      </c>
      <c r="C26" s="1">
        <v>0</v>
      </c>
      <c r="D26" s="1">
        <v>0</v>
      </c>
      <c r="E26" s="1">
        <v>2613991</v>
      </c>
      <c r="F26" s="1">
        <v>2613991</v>
      </c>
      <c r="G26" s="1">
        <v>2613991</v>
      </c>
    </row>
    <row r="27" spans="1:7" x14ac:dyDescent="0.2">
      <c r="A27" t="s">
        <v>32</v>
      </c>
      <c r="B27" s="1">
        <v>1665678</v>
      </c>
      <c r="C27" s="1">
        <v>1181289</v>
      </c>
      <c r="D27" s="1">
        <v>1338808</v>
      </c>
      <c r="E27" s="1">
        <v>1076299</v>
      </c>
      <c r="F27" s="1">
        <v>433517</v>
      </c>
      <c r="G27" s="1">
        <v>462075</v>
      </c>
    </row>
    <row r="28" spans="1:7" x14ac:dyDescent="0.2">
      <c r="A28" s="2" t="s">
        <v>61</v>
      </c>
      <c r="B28" s="7">
        <v>52873580</v>
      </c>
      <c r="C28" s="7">
        <v>56260334</v>
      </c>
      <c r="D28" s="7">
        <v>81836330</v>
      </c>
      <c r="E28" s="7">
        <v>73022861</v>
      </c>
      <c r="F28" s="7">
        <v>70080500</v>
      </c>
      <c r="G28" s="7">
        <v>12878633</v>
      </c>
    </row>
    <row r="29" spans="1:7" x14ac:dyDescent="0.2">
      <c r="A29" s="2" t="s">
        <v>59</v>
      </c>
      <c r="B29" s="7">
        <f>SUM(B6+B9+B8+B15+B20+B21+B22+B27+B26+B25)</f>
        <v>80754310</v>
      </c>
      <c r="C29" s="7">
        <f>C28+C10</f>
        <v>91512323</v>
      </c>
      <c r="D29" s="7">
        <f>D10+D28</f>
        <v>127614034</v>
      </c>
      <c r="E29" s="7">
        <f>E28+E10</f>
        <v>132146684</v>
      </c>
      <c r="F29" s="7">
        <f>F28+F10</f>
        <v>175561439</v>
      </c>
      <c r="G29" s="7">
        <f>G10+G28+1</f>
        <v>109820084</v>
      </c>
    </row>
    <row r="32" spans="1:7" x14ac:dyDescent="0.2">
      <c r="A32" t="s">
        <v>33</v>
      </c>
    </row>
    <row r="33" spans="1:8" x14ac:dyDescent="0.2">
      <c r="A33" t="s">
        <v>34</v>
      </c>
      <c r="B33" s="1">
        <v>18232328</v>
      </c>
      <c r="C33" s="1">
        <v>17999042</v>
      </c>
      <c r="D33" s="1">
        <v>17830492</v>
      </c>
      <c r="E33" s="1">
        <v>17867298</v>
      </c>
      <c r="F33" s="1">
        <v>3951543</v>
      </c>
      <c r="G33" s="1">
        <v>3661065</v>
      </c>
    </row>
    <row r="34" spans="1:8" x14ac:dyDescent="0.2">
      <c r="A34" t="s">
        <v>35</v>
      </c>
      <c r="B34">
        <v>0</v>
      </c>
      <c r="C34">
        <v>0</v>
      </c>
      <c r="D34">
        <v>0</v>
      </c>
      <c r="E34">
        <v>0</v>
      </c>
      <c r="F34">
        <v>0</v>
      </c>
      <c r="G34">
        <v>0</v>
      </c>
    </row>
    <row r="35" spans="1:8" x14ac:dyDescent="0.2">
      <c r="A35" t="s">
        <v>36</v>
      </c>
      <c r="B35">
        <v>0</v>
      </c>
      <c r="C35">
        <v>0</v>
      </c>
      <c r="D35">
        <v>0</v>
      </c>
      <c r="E35">
        <v>0</v>
      </c>
      <c r="F35">
        <v>0</v>
      </c>
      <c r="G35">
        <v>0</v>
      </c>
    </row>
    <row r="36" spans="1:8" x14ac:dyDescent="0.2">
      <c r="A36" t="s">
        <v>37</v>
      </c>
      <c r="B36">
        <v>0</v>
      </c>
      <c r="C36">
        <v>0</v>
      </c>
      <c r="D36">
        <v>0</v>
      </c>
      <c r="E36">
        <v>0</v>
      </c>
      <c r="F36">
        <v>0</v>
      </c>
      <c r="G36">
        <v>0</v>
      </c>
    </row>
    <row r="38" spans="1:8" x14ac:dyDescent="0.2">
      <c r="A38" t="s">
        <v>38</v>
      </c>
    </row>
    <row r="39" spans="1:8" x14ac:dyDescent="0.2">
      <c r="A39" t="s">
        <v>39</v>
      </c>
      <c r="B39">
        <v>0</v>
      </c>
      <c r="C39">
        <v>0</v>
      </c>
      <c r="D39">
        <v>0</v>
      </c>
      <c r="E39">
        <v>0</v>
      </c>
      <c r="F39">
        <v>0</v>
      </c>
      <c r="G39">
        <v>0</v>
      </c>
    </row>
    <row r="40" spans="1:8" x14ac:dyDescent="0.2">
      <c r="A40" t="s">
        <v>40</v>
      </c>
      <c r="B40" s="1">
        <v>50607141</v>
      </c>
      <c r="C40" s="1">
        <v>58805167</v>
      </c>
      <c r="D40" s="1">
        <v>83095206</v>
      </c>
      <c r="E40" s="1">
        <v>101096159</v>
      </c>
      <c r="F40" s="1">
        <v>95415855</v>
      </c>
      <c r="G40" s="1">
        <v>76360706</v>
      </c>
    </row>
    <row r="41" spans="1:8" x14ac:dyDescent="0.2">
      <c r="A41" t="s">
        <v>41</v>
      </c>
      <c r="B41" s="1">
        <v>819992</v>
      </c>
      <c r="C41" s="1">
        <v>2114079</v>
      </c>
      <c r="D41" s="1">
        <v>4791139</v>
      </c>
      <c r="E41">
        <v>0</v>
      </c>
      <c r="F41">
        <v>0</v>
      </c>
      <c r="G41" s="1">
        <v>1409493</v>
      </c>
    </row>
    <row r="42" spans="1:8" x14ac:dyDescent="0.2">
      <c r="A42" t="s">
        <v>36</v>
      </c>
      <c r="B42">
        <v>0</v>
      </c>
      <c r="C42">
        <v>0</v>
      </c>
      <c r="D42">
        <v>0</v>
      </c>
      <c r="E42">
        <v>0</v>
      </c>
      <c r="F42">
        <v>0</v>
      </c>
      <c r="G42">
        <v>0</v>
      </c>
    </row>
    <row r="43" spans="1:8" x14ac:dyDescent="0.2">
      <c r="A43" t="s">
        <v>46</v>
      </c>
      <c r="B43" s="1">
        <v>10389675</v>
      </c>
      <c r="C43" s="1">
        <v>11935217</v>
      </c>
      <c r="D43" s="1">
        <v>16432254</v>
      </c>
      <c r="E43" s="1">
        <v>10660241</v>
      </c>
      <c r="F43" s="1">
        <v>39856480</v>
      </c>
      <c r="G43" s="1">
        <v>26366108</v>
      </c>
    </row>
    <row r="44" spans="1:8" x14ac:dyDescent="0.2">
      <c r="A44" t="s">
        <v>42</v>
      </c>
      <c r="B44">
        <v>0</v>
      </c>
      <c r="C44">
        <v>0</v>
      </c>
      <c r="D44">
        <v>0</v>
      </c>
      <c r="E44">
        <v>0</v>
      </c>
      <c r="F44">
        <v>0</v>
      </c>
      <c r="G44">
        <v>0</v>
      </c>
    </row>
    <row r="45" spans="1:8" x14ac:dyDescent="0.2">
      <c r="A45" t="s">
        <v>43</v>
      </c>
      <c r="B45">
        <v>0</v>
      </c>
      <c r="C45">
        <v>0</v>
      </c>
      <c r="D45">
        <v>0</v>
      </c>
      <c r="E45">
        <v>0</v>
      </c>
      <c r="F45">
        <v>0</v>
      </c>
      <c r="G45">
        <v>0</v>
      </c>
    </row>
    <row r="46" spans="1:8" x14ac:dyDescent="0.2">
      <c r="A46" t="s">
        <v>45</v>
      </c>
      <c r="B46">
        <v>0</v>
      </c>
      <c r="C46">
        <v>0</v>
      </c>
      <c r="D46">
        <v>0</v>
      </c>
      <c r="E46">
        <v>0</v>
      </c>
      <c r="F46">
        <v>0</v>
      </c>
      <c r="G46">
        <v>0</v>
      </c>
    </row>
    <row r="47" spans="1:8" x14ac:dyDescent="0.2">
      <c r="A47" t="s">
        <v>44</v>
      </c>
      <c r="B47" s="1">
        <v>705174</v>
      </c>
      <c r="C47" s="1">
        <v>658818</v>
      </c>
      <c r="D47" s="1">
        <v>5464943</v>
      </c>
      <c r="E47" s="1">
        <v>2522986</v>
      </c>
      <c r="F47" s="1">
        <v>36337561</v>
      </c>
      <c r="G47" s="1">
        <v>2022712</v>
      </c>
    </row>
    <row r="48" spans="1:8" x14ac:dyDescent="0.2">
      <c r="A48" s="2" t="s">
        <v>49</v>
      </c>
      <c r="B48" s="7">
        <v>80754310</v>
      </c>
      <c r="C48" s="7">
        <v>91512323</v>
      </c>
      <c r="D48" s="7">
        <v>127614034</v>
      </c>
      <c r="E48" s="7">
        <v>132146684</v>
      </c>
      <c r="F48" s="7">
        <v>175561439</v>
      </c>
      <c r="G48" s="7">
        <v>109820084</v>
      </c>
      <c r="H48" s="11"/>
    </row>
    <row r="60" spans="2:3" x14ac:dyDescent="0.2">
      <c r="B60" s="1"/>
      <c r="C6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35716-6092-F840-B89D-8C4E1197FEF1}">
  <dimension ref="A1:Q38"/>
  <sheetViews>
    <sheetView topLeftCell="H1" zoomScaleNormal="60" zoomScaleSheetLayoutView="100" workbookViewId="0">
      <selection activeCell="B15" sqref="B15:H15"/>
    </sheetView>
  </sheetViews>
  <sheetFormatPr defaultRowHeight="15" x14ac:dyDescent="0.2"/>
  <cols>
    <col min="2" max="2" width="34.16796875" customWidth="1"/>
    <col min="3" max="3" width="21.7890625" customWidth="1"/>
    <col min="4" max="4" width="22.328125" customWidth="1"/>
    <col min="5" max="5" width="20.71484375" customWidth="1"/>
    <col min="6" max="6" width="19.63671875" customWidth="1"/>
    <col min="7" max="7" width="18.0234375" customWidth="1"/>
    <col min="8" max="8" width="19.63671875" customWidth="1"/>
    <col min="13" max="13" width="19.1015625" customWidth="1"/>
    <col min="14" max="14" width="54.078125" customWidth="1"/>
  </cols>
  <sheetData>
    <row r="1" spans="1:13" x14ac:dyDescent="0.2">
      <c r="C1" s="2">
        <v>2014</v>
      </c>
      <c r="D1" s="2">
        <v>2015</v>
      </c>
      <c r="E1" s="2">
        <v>2016</v>
      </c>
      <c r="F1" s="2">
        <v>2017</v>
      </c>
      <c r="G1" s="2">
        <v>2018</v>
      </c>
      <c r="H1" s="2">
        <v>2019</v>
      </c>
    </row>
    <row r="2" spans="1:13" x14ac:dyDescent="0.2">
      <c r="B2" t="s">
        <v>0</v>
      </c>
      <c r="C2" s="6">
        <f>165196180/165196180</f>
        <v>1</v>
      </c>
      <c r="D2" s="6">
        <f>114147074/114147074</f>
        <v>1</v>
      </c>
      <c r="E2" s="6">
        <f>127715522/127715522</f>
        <v>1</v>
      </c>
      <c r="F2" s="6">
        <f>133215713/133215713</f>
        <v>1</v>
      </c>
      <c r="G2" s="6">
        <f>51697926/51697926</f>
        <v>1</v>
      </c>
      <c r="H2" s="6">
        <f>48015064/48015064</f>
        <v>1</v>
      </c>
    </row>
    <row r="3" spans="1:13" x14ac:dyDescent="0.2">
      <c r="A3" t="s">
        <v>15</v>
      </c>
      <c r="B3" t="s">
        <v>1</v>
      </c>
      <c r="C3" s="6">
        <f>-139560686/165196180</f>
        <v>-0.84481787653927587</v>
      </c>
      <c r="D3" s="5">
        <f>-89998719/114147074</f>
        <v>-0.78844525616136252</v>
      </c>
      <c r="E3" s="5">
        <f>-98000516/127715522</f>
        <v>-0.76733442000886942</v>
      </c>
      <c r="F3" s="5">
        <f>-101861314/133215713</f>
        <v>-0.76463437912913468</v>
      </c>
      <c r="G3" s="5">
        <f>-50201059/51697926</f>
        <v>-0.97104589843700884</v>
      </c>
      <c r="H3" s="5">
        <f>-45789378/48015064</f>
        <v>-0.95364608906904713</v>
      </c>
    </row>
    <row r="4" spans="1:13" x14ac:dyDescent="0.2">
      <c r="B4" t="s">
        <v>2</v>
      </c>
      <c r="C4" s="5">
        <v>0.15518212349999999</v>
      </c>
      <c r="D4" s="6">
        <f>24148354/114147074</f>
        <v>0.21155473507800998</v>
      </c>
      <c r="E4" s="6">
        <f>29715006/127715522</f>
        <v>0.23266557999113061</v>
      </c>
      <c r="F4" s="5">
        <v>0.2354</v>
      </c>
      <c r="G4" s="6">
        <f>1496867/51697926</f>
        <v>2.8954101562991136E-2</v>
      </c>
      <c r="H4" s="5">
        <v>4.6399999999999997E-2</v>
      </c>
    </row>
    <row r="5" spans="1:13" x14ac:dyDescent="0.2">
      <c r="A5" t="s">
        <v>15</v>
      </c>
      <c r="B5" t="s">
        <v>3</v>
      </c>
      <c r="C5" s="5">
        <f>-6221860/165196180</f>
        <v>-3.7663461709586746E-2</v>
      </c>
      <c r="D5" s="5">
        <f>-5453840/114147074</f>
        <v>-4.7779060898223286E-2</v>
      </c>
      <c r="E5" s="5">
        <f>-6378054/127715522</f>
        <v>-4.9939536715043926E-2</v>
      </c>
      <c r="F5" s="5">
        <f xml:space="preserve"> -4922325/133215713</f>
        <v>-3.6950033064042528E-2</v>
      </c>
      <c r="G5" s="5">
        <f>-4774759/51697926</f>
        <v>-9.2358811454061038E-2</v>
      </c>
      <c r="H5" s="5">
        <f>-4841281/48015064</f>
        <v>-0.10082837752751928</v>
      </c>
    </row>
    <row r="6" spans="1:13" x14ac:dyDescent="0.2">
      <c r="A6" t="s">
        <v>15</v>
      </c>
      <c r="B6" t="s">
        <v>4</v>
      </c>
      <c r="C6" s="5">
        <f>-9405068/165196180</f>
        <v>-5.6932720841365705E-2</v>
      </c>
      <c r="D6" s="5">
        <f>-6247134/114147074</f>
        <v>-5.4728814161281086E-2</v>
      </c>
      <c r="E6" s="5">
        <f>-7854141/127715522</f>
        <v>-6.1497153024203277E-2</v>
      </c>
      <c r="F6" s="5">
        <f xml:space="preserve"> -8702954/133215713</f>
        <v>-6.5329785833897841E-2</v>
      </c>
      <c r="G6" s="5">
        <f>-3266911/51697926</f>
        <v>-6.3192302917529031E-2</v>
      </c>
      <c r="H6" s="5">
        <f>-2831499/48015064</f>
        <v>-5.8971055417108266E-2</v>
      </c>
    </row>
    <row r="7" spans="1:13" x14ac:dyDescent="0.2">
      <c r="A7" t="s">
        <v>15</v>
      </c>
      <c r="B7" t="s">
        <v>5</v>
      </c>
      <c r="C7" s="6">
        <v>0</v>
      </c>
      <c r="D7" s="6">
        <v>0</v>
      </c>
      <c r="E7" s="6">
        <v>0</v>
      </c>
      <c r="F7" s="6">
        <v>0</v>
      </c>
      <c r="G7" s="6">
        <v>0</v>
      </c>
      <c r="H7" s="6">
        <v>0</v>
      </c>
    </row>
    <row r="8" spans="1:13" x14ac:dyDescent="0.2">
      <c r="A8" t="s">
        <v>15</v>
      </c>
      <c r="B8" t="s">
        <v>6</v>
      </c>
      <c r="C8" s="5">
        <f>-640159/165196180</f>
        <v>-3.8751440862615587E-3</v>
      </c>
      <c r="D8" s="5">
        <f>-1055454/114147074</f>
        <v>-9.2464393787264308E-3</v>
      </c>
      <c r="E8" s="5">
        <f>-1258362/127715522</f>
        <v>-9.8528509322461204E-3</v>
      </c>
      <c r="F8" s="5">
        <f xml:space="preserve"> -1519526/133215713</f>
        <v>-1.140650727891236E-2</v>
      </c>
      <c r="G8" s="5">
        <f>-3734443/51697926</f>
        <v>-7.2235837855468318E-2</v>
      </c>
      <c r="H8" s="5">
        <f>-350000/48015064</f>
        <v>-7.2893790165519719E-3</v>
      </c>
    </row>
    <row r="9" spans="1:13" x14ac:dyDescent="0.2">
      <c r="A9" t="s">
        <v>16</v>
      </c>
      <c r="B9" t="s">
        <v>7</v>
      </c>
      <c r="C9" s="5">
        <f>-102269/165196180</f>
        <v>-6.1907605853839958E-4</v>
      </c>
      <c r="D9" s="5">
        <f>74474/114147074</f>
        <v>6.5243897535209702E-4</v>
      </c>
      <c r="E9" s="5">
        <f>6143/127715522</f>
        <v>4.8099086969240906E-5</v>
      </c>
      <c r="F9" s="5">
        <f xml:space="preserve"> -69615/133215713</f>
        <v>-5.2257348951020518E-4</v>
      </c>
      <c r="G9" s="5">
        <f>57243338/51697926</f>
        <v>1.1072656570400909</v>
      </c>
      <c r="H9" s="5">
        <f>559157/48015064</f>
        <v>1.1645449436451859E-2</v>
      </c>
    </row>
    <row r="10" spans="1:13" x14ac:dyDescent="0.2">
      <c r="B10" t="s">
        <v>8</v>
      </c>
      <c r="C10" s="5">
        <v>6.0585940900000003E-2</v>
      </c>
      <c r="D10" s="5">
        <f>12447380/114147074</f>
        <v>0.1090468600185056</v>
      </c>
      <c r="E10" s="5">
        <f>15482812/127715522</f>
        <v>0.12122889808178523</v>
      </c>
      <c r="F10" s="5">
        <f>17729120/133215713</f>
        <v>0.13308580197292491</v>
      </c>
      <c r="G10" s="5">
        <f>-6544803/51697926</f>
        <v>-0.12659701280859895</v>
      </c>
      <c r="H10" s="5">
        <f>-5447094/48015064</f>
        <v>-0.11344552201367471</v>
      </c>
    </row>
    <row r="11" spans="1:13" x14ac:dyDescent="0.2">
      <c r="A11" t="s">
        <v>15</v>
      </c>
      <c r="B11" t="s">
        <v>9</v>
      </c>
      <c r="C11" s="5">
        <f>-2157234/165196180</f>
        <v>-1.3058619152089352E-2</v>
      </c>
      <c r="D11" s="5">
        <f>-1590049/114147074</f>
        <v>-1.3929827058028662E-2</v>
      </c>
      <c r="E11" s="5">
        <f>-1961261/127715522</f>
        <v>-1.5356481101803741E-2</v>
      </c>
      <c r="F11" s="5">
        <f xml:space="preserve"> -1763259/133215713</f>
        <v>-1.32361187752679E-2</v>
      </c>
      <c r="G11" s="5">
        <f>-1298626/51697926</f>
        <v>-2.5119498991120068E-2</v>
      </c>
      <c r="H11" s="5">
        <f>-2839475/48015064</f>
        <v>-5.9137169951496892E-2</v>
      </c>
    </row>
    <row r="12" spans="1:13" x14ac:dyDescent="0.2">
      <c r="B12" t="s">
        <v>10</v>
      </c>
      <c r="C12" s="5">
        <v>4.3033101599999998E-2</v>
      </c>
      <c r="D12" s="5">
        <f>9876352/114147074</f>
        <v>8.6523041317730143E-2</v>
      </c>
      <c r="E12" s="5">
        <f>12269331/127715522</f>
        <v>9.6067657304802781E-2</v>
      </c>
      <c r="F12" s="5">
        <f xml:space="preserve"> 14376720/133215713</f>
        <v>0.10792060242923446</v>
      </c>
      <c r="G12" s="5">
        <f>45665466/51697926</f>
        <v>0.88331330738490366</v>
      </c>
      <c r="H12" s="5">
        <f>-8077413/48015064</f>
        <v>-0.16822664237206889</v>
      </c>
    </row>
    <row r="13" spans="1:13" x14ac:dyDescent="0.2">
      <c r="A13" t="s">
        <v>15</v>
      </c>
      <c r="B13" t="s">
        <v>11</v>
      </c>
      <c r="C13" s="5">
        <f>-1665678/165196180</f>
        <v>-1.0083029764973984E-2</v>
      </c>
      <c r="D13" s="5">
        <f>-1181289/114147074</f>
        <v>-1.0348832945117804E-2</v>
      </c>
      <c r="E13" s="5">
        <f>-1338808/127715522</f>
        <v>-1.0482735215223096E-2</v>
      </c>
      <c r="F13" s="5">
        <f>-1076299/133215713</f>
        <v>-8.0793697362112234E-3</v>
      </c>
      <c r="G13" s="5">
        <f>-433517/51697926</f>
        <v>-8.3855781758053506E-3</v>
      </c>
      <c r="H13" s="5">
        <f>-462075/48015064</f>
        <v>-9.6235423116378636E-3</v>
      </c>
    </row>
    <row r="14" spans="1:13" x14ac:dyDescent="0.2">
      <c r="B14" t="s">
        <v>12</v>
      </c>
      <c r="C14" s="5">
        <v>3.2950071800000001E-2</v>
      </c>
      <c r="D14" s="5">
        <f>8695063/114147074</f>
        <v>7.6174208372612337E-2</v>
      </c>
      <c r="E14" s="5">
        <f>10930523/127715522</f>
        <v>8.5584922089579685E-2</v>
      </c>
      <c r="F14" s="5">
        <f>13300421/133215713</f>
        <v>9.9841232693023238E-2</v>
      </c>
      <c r="G14" s="5">
        <f>45231949/51697926</f>
        <v>0.87492772920909823</v>
      </c>
      <c r="H14" s="5">
        <f>-8539488/48015064</f>
        <v>-0.17785018468370675</v>
      </c>
    </row>
    <row r="15" spans="1:13" x14ac:dyDescent="0.2">
      <c r="A15" t="s">
        <v>15</v>
      </c>
      <c r="B15" t="s">
        <v>13</v>
      </c>
      <c r="C15" s="4">
        <v>-27880730</v>
      </c>
      <c r="D15" s="1">
        <v>-35251989</v>
      </c>
      <c r="E15" s="1">
        <f>-45777704</f>
        <v>-45777704</v>
      </c>
      <c r="F15" s="1">
        <v>-34847181</v>
      </c>
      <c r="G15" s="1">
        <v>-105480938</v>
      </c>
      <c r="H15" s="1">
        <v>-96941450</v>
      </c>
    </row>
    <row r="16" spans="1:13" x14ac:dyDescent="0.2">
      <c r="B16" t="s">
        <v>14</v>
      </c>
      <c r="C16" s="4">
        <v>-22437504</v>
      </c>
      <c r="D16" s="1">
        <v>-26556926</v>
      </c>
      <c r="E16" s="1">
        <v>-34847181</v>
      </c>
      <c r="F16" s="1">
        <v>-21546760</v>
      </c>
      <c r="G16" s="1">
        <v>-60248989</v>
      </c>
      <c r="H16" s="1">
        <v>-105480938</v>
      </c>
      <c r="M16" s="14" t="s">
        <v>53</v>
      </c>
    </row>
    <row r="17" spans="3:17" x14ac:dyDescent="0.2">
      <c r="N17" s="12">
        <v>2019</v>
      </c>
    </row>
    <row r="18" spans="3:17" x14ac:dyDescent="0.2">
      <c r="C18" s="3"/>
    </row>
    <row r="19" spans="3:17" ht="15" customHeight="1" x14ac:dyDescent="0.2">
      <c r="M19" s="3" t="s">
        <v>54</v>
      </c>
      <c r="N19" s="39" t="s">
        <v>67</v>
      </c>
      <c r="O19" s="17"/>
      <c r="P19" s="16"/>
      <c r="Q19" s="16"/>
    </row>
    <row r="20" spans="3:17" x14ac:dyDescent="0.2">
      <c r="N20" s="39"/>
      <c r="O20" s="17"/>
      <c r="P20" s="16"/>
      <c r="Q20" s="16"/>
    </row>
    <row r="21" spans="3:17" x14ac:dyDescent="0.2">
      <c r="N21" s="39"/>
      <c r="O21" s="17"/>
      <c r="P21" s="16"/>
      <c r="Q21" s="16"/>
    </row>
    <row r="22" spans="3:17" x14ac:dyDescent="0.2">
      <c r="M22" s="3"/>
      <c r="N22" s="39"/>
      <c r="O22" s="15"/>
    </row>
    <row r="23" spans="3:17" x14ac:dyDescent="0.2">
      <c r="N23" s="39"/>
      <c r="O23" s="15"/>
    </row>
    <row r="24" spans="3:17" x14ac:dyDescent="0.2">
      <c r="N24" s="17"/>
      <c r="O24" s="15"/>
    </row>
    <row r="25" spans="3:17" ht="15" customHeight="1" x14ac:dyDescent="0.2">
      <c r="M25" s="3" t="s">
        <v>56</v>
      </c>
      <c r="N25" s="40" t="s">
        <v>68</v>
      </c>
      <c r="O25" s="15"/>
    </row>
    <row r="26" spans="3:17" x14ac:dyDescent="0.2">
      <c r="N26" s="40"/>
      <c r="O26" s="15"/>
    </row>
    <row r="27" spans="3:17" x14ac:dyDescent="0.2">
      <c r="N27" s="40"/>
      <c r="O27" s="15"/>
    </row>
    <row r="28" spans="3:17" x14ac:dyDescent="0.2">
      <c r="N28" s="40"/>
      <c r="O28" s="15"/>
    </row>
    <row r="29" spans="3:17" x14ac:dyDescent="0.2">
      <c r="N29" s="40"/>
    </row>
    <row r="30" spans="3:17" ht="15" customHeight="1" x14ac:dyDescent="0.2">
      <c r="M30" s="3" t="s">
        <v>58</v>
      </c>
      <c r="N30" s="40" t="s">
        <v>69</v>
      </c>
    </row>
    <row r="31" spans="3:17" x14ac:dyDescent="0.2">
      <c r="N31" s="40"/>
    </row>
    <row r="32" spans="3:17" x14ac:dyDescent="0.2">
      <c r="N32" s="40"/>
    </row>
    <row r="33" spans="13:14" x14ac:dyDescent="0.2">
      <c r="N33" s="40"/>
    </row>
    <row r="34" spans="13:14" x14ac:dyDescent="0.2">
      <c r="N34" s="18"/>
    </row>
    <row r="35" spans="13:14" x14ac:dyDescent="0.2">
      <c r="M35" s="3" t="s">
        <v>65</v>
      </c>
      <c r="N35" s="40" t="s">
        <v>70</v>
      </c>
    </row>
    <row r="36" spans="13:14" x14ac:dyDescent="0.2">
      <c r="N36" s="40"/>
    </row>
    <row r="37" spans="13:14" x14ac:dyDescent="0.2">
      <c r="N37" s="40"/>
    </row>
    <row r="38" spans="13:14" x14ac:dyDescent="0.2">
      <c r="N38" s="40"/>
    </row>
  </sheetData>
  <mergeCells count="4">
    <mergeCell ref="N19:N23"/>
    <mergeCell ref="N25:N29"/>
    <mergeCell ref="N30:N33"/>
    <mergeCell ref="N35:N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0B87-6D42-CA4F-887D-E27E2ADEA9FA}">
  <dimension ref="A1:K71"/>
  <sheetViews>
    <sheetView topLeftCell="J1" zoomScaleNormal="60" zoomScaleSheetLayoutView="100" workbookViewId="0">
      <selection activeCell="K47" sqref="K47"/>
    </sheetView>
  </sheetViews>
  <sheetFormatPr defaultRowHeight="15" x14ac:dyDescent="0.2"/>
  <cols>
    <col min="1" max="1" width="33.359375" customWidth="1"/>
    <col min="2" max="2" width="17.21875" customWidth="1"/>
    <col min="3" max="3" width="15.06640625" customWidth="1"/>
    <col min="4" max="4" width="18.0234375" customWidth="1"/>
    <col min="5" max="5" width="17.21875" customWidth="1"/>
    <col min="6" max="6" width="16.6796875" customWidth="1"/>
    <col min="7" max="7" width="19.1015625" customWidth="1"/>
    <col min="10" max="10" width="15.06640625" customWidth="1"/>
    <col min="11" max="11" width="89.45703125" customWidth="1"/>
  </cols>
  <sheetData>
    <row r="1" spans="1:7" x14ac:dyDescent="0.2">
      <c r="B1" s="2">
        <v>2014</v>
      </c>
      <c r="C1" s="2">
        <v>2015</v>
      </c>
      <c r="D1" s="2">
        <v>2016</v>
      </c>
      <c r="E1" s="2">
        <v>2017</v>
      </c>
      <c r="F1" s="2">
        <v>2018</v>
      </c>
      <c r="G1" s="2">
        <v>2019</v>
      </c>
    </row>
    <row r="2" spans="1:7" x14ac:dyDescent="0.2">
      <c r="A2" t="s">
        <v>17</v>
      </c>
    </row>
    <row r="4" spans="1:7" x14ac:dyDescent="0.2">
      <c r="A4" t="s">
        <v>18</v>
      </c>
    </row>
    <row r="6" spans="1:7" x14ac:dyDescent="0.2">
      <c r="A6" t="s">
        <v>19</v>
      </c>
      <c r="B6" s="6">
        <f>60000000/80754310</f>
        <v>0.7429943986890607</v>
      </c>
      <c r="C6" s="6">
        <f>60000000/91512323</f>
        <v>0.65564940363277635</v>
      </c>
      <c r="D6" s="6">
        <f>60000000/127614035</f>
        <v>0.47016772097207021</v>
      </c>
      <c r="E6" s="6">
        <f>60000000/132146684</f>
        <v>0.45404090502944439</v>
      </c>
      <c r="F6" s="6">
        <f>60000000/175561439</f>
        <v>0.34176069837294965</v>
      </c>
      <c r="G6" s="6">
        <f>60000000/109820084</f>
        <v>0.54634815249276258</v>
      </c>
    </row>
    <row r="7" spans="1:7" x14ac:dyDescent="0.2">
      <c r="A7" t="s">
        <v>20</v>
      </c>
      <c r="B7" s="6">
        <v>0</v>
      </c>
      <c r="C7" s="6">
        <v>0</v>
      </c>
      <c r="D7" s="6">
        <v>0</v>
      </c>
      <c r="E7" s="6">
        <v>0</v>
      </c>
      <c r="F7" s="6">
        <v>0</v>
      </c>
      <c r="G7" s="6">
        <v>0</v>
      </c>
    </row>
    <row r="8" spans="1:7" x14ac:dyDescent="0.2">
      <c r="A8" t="s">
        <v>21</v>
      </c>
      <c r="B8" s="6">
        <f>1369610/80754310</f>
        <v>1.6960209306475408E-2</v>
      </c>
      <c r="C8" s="6">
        <f>1369610/91512323</f>
        <v>1.4966399661824779E-2</v>
      </c>
      <c r="D8" s="6">
        <f>1369610/127614035</f>
        <v>1.0732440205342617E-2</v>
      </c>
      <c r="E8" s="6">
        <f>1369610/132146684</f>
        <v>1.0364316065622955E-2</v>
      </c>
      <c r="F8" s="6">
        <f>1369610/175561439</f>
        <v>7.8013145016429261E-3</v>
      </c>
      <c r="G8" s="6">
        <f>1369610/109820084</f>
        <v>1.2471398218926876E-2</v>
      </c>
    </row>
    <row r="9" spans="1:7" x14ac:dyDescent="0.2">
      <c r="A9" t="s">
        <v>48</v>
      </c>
      <c r="B9" s="6">
        <f>-33488880/80754310</f>
        <v>-0.41470083763950183</v>
      </c>
      <c r="C9" s="6">
        <f>-26117621/91512323</f>
        <v>-0.28540004388261458</v>
      </c>
      <c r="D9" s="6">
        <f>-15591906/127614035</f>
        <v>-0.12218018182717912</v>
      </c>
      <c r="E9" s="6">
        <f>-2245787/132146684</f>
        <v>-1.6994652699722682E-2</v>
      </c>
      <c r="F9" s="6">
        <f>44111328/175561439</f>
        <v>0.25125863772397083</v>
      </c>
      <c r="G9" s="6">
        <f>35571840/109820084</f>
        <v>0.32391015107946919</v>
      </c>
    </row>
    <row r="10" spans="1:7" x14ac:dyDescent="0.2">
      <c r="A10" s="2" t="s">
        <v>62</v>
      </c>
      <c r="B10" s="9">
        <f>'BALANCE SHEET '!B10/'BALANCE SHEET '!B29</f>
        <v>0.34525377035603427</v>
      </c>
      <c r="C10" s="9">
        <f>'BALANCE SHEET '!C10/'BALANCE SHEET '!C29</f>
        <v>0.38521575941198649</v>
      </c>
      <c r="D10" s="9">
        <v>0.35870000000000002</v>
      </c>
      <c r="E10" s="9">
        <v>0.44740000000000002</v>
      </c>
      <c r="F10" s="9">
        <v>0.6008</v>
      </c>
      <c r="G10" s="9">
        <v>0.88270000000000004</v>
      </c>
    </row>
    <row r="11" spans="1:7" x14ac:dyDescent="0.2">
      <c r="B11" s="6"/>
      <c r="C11" s="6"/>
      <c r="D11" s="6"/>
      <c r="E11" s="6"/>
      <c r="F11" s="6"/>
      <c r="G11" s="6"/>
    </row>
    <row r="12" spans="1:7" x14ac:dyDescent="0.2">
      <c r="A12" t="s">
        <v>22</v>
      </c>
      <c r="B12" s="6"/>
      <c r="C12" s="6"/>
      <c r="D12" s="6"/>
      <c r="E12" s="6"/>
      <c r="F12" s="6"/>
      <c r="G12" s="6"/>
    </row>
    <row r="13" spans="1:7" x14ac:dyDescent="0.2">
      <c r="A13" t="s">
        <v>23</v>
      </c>
      <c r="B13" s="6">
        <v>0</v>
      </c>
      <c r="C13" s="6">
        <v>0</v>
      </c>
      <c r="D13" s="6">
        <v>0</v>
      </c>
      <c r="E13" s="6">
        <v>0</v>
      </c>
      <c r="F13" s="6">
        <v>0</v>
      </c>
      <c r="G13" s="6">
        <v>0</v>
      </c>
    </row>
    <row r="14" spans="1:7" x14ac:dyDescent="0.2">
      <c r="A14" t="s">
        <v>24</v>
      </c>
      <c r="B14" s="6">
        <v>0</v>
      </c>
      <c r="C14" s="6">
        <v>0</v>
      </c>
      <c r="D14" s="6">
        <v>0</v>
      </c>
      <c r="E14" s="6">
        <v>0</v>
      </c>
      <c r="F14" s="6">
        <v>0</v>
      </c>
      <c r="G14" s="6">
        <v>0</v>
      </c>
    </row>
    <row r="15" spans="1:7" x14ac:dyDescent="0.2">
      <c r="A15" t="s">
        <v>47</v>
      </c>
      <c r="B15" s="6">
        <f>1138171/80754310</f>
        <v>1.4094244629172114E-2</v>
      </c>
      <c r="C15" s="6">
        <f>2594649/91512323</f>
        <v>2.8353001158106322E-2</v>
      </c>
      <c r="D15" s="6">
        <f>3517577/127614035</f>
        <v>2.7564186023896195E-2</v>
      </c>
      <c r="E15" s="6">
        <f>3169256/132146684</f>
        <v>2.3982864375166613E-2</v>
      </c>
      <c r="F15" s="6">
        <f>2323354/175561439</f>
        <v>1.32338514267931E-2</v>
      </c>
      <c r="G15" s="6">
        <f>3020744/109820084</f>
        <v>2.7506298392559962E-2</v>
      </c>
    </row>
    <row r="16" spans="1:7" x14ac:dyDescent="0.2">
      <c r="A16" t="s">
        <v>25</v>
      </c>
      <c r="B16" s="6">
        <v>0</v>
      </c>
      <c r="C16" s="6">
        <v>0</v>
      </c>
      <c r="D16" s="6">
        <v>0</v>
      </c>
      <c r="E16" s="6">
        <v>0</v>
      </c>
      <c r="F16" s="6">
        <v>0</v>
      </c>
      <c r="G16" s="6">
        <v>0</v>
      </c>
    </row>
    <row r="17" spans="1:11" x14ac:dyDescent="0.2">
      <c r="B17" s="6"/>
      <c r="C17" s="6"/>
      <c r="D17" s="6"/>
      <c r="E17" s="6"/>
      <c r="F17" s="6"/>
      <c r="G17" s="6"/>
    </row>
    <row r="18" spans="1:11" x14ac:dyDescent="0.2">
      <c r="A18" t="s">
        <v>26</v>
      </c>
      <c r="B18" s="6"/>
      <c r="C18" s="6"/>
      <c r="D18" s="6"/>
      <c r="E18" s="6"/>
      <c r="F18" s="6"/>
      <c r="G18" s="6"/>
    </row>
    <row r="19" spans="1:11" x14ac:dyDescent="0.2">
      <c r="A19" t="s">
        <v>27</v>
      </c>
      <c r="B19" s="6">
        <f>38089594/80754310</f>
        <v>0.4716725831723409</v>
      </c>
      <c r="C19" s="6">
        <f>35608095/91512323</f>
        <v>0.3891071041874874</v>
      </c>
      <c r="D19" s="6">
        <f>54895399/127614035</f>
        <v>0.43016741066137437</v>
      </c>
      <c r="E19" s="6">
        <f>46376523/132146684</f>
        <v>0.35094730791731404</v>
      </c>
      <c r="F19" s="6">
        <f>21707296/175561439</f>
        <v>0.12364501067913894</v>
      </c>
      <c r="G19" s="6">
        <f>5248221/109820084</f>
        <v>4.7789264120395317E-2</v>
      </c>
    </row>
    <row r="20" spans="1:11" x14ac:dyDescent="0.2">
      <c r="A20" t="s">
        <v>28</v>
      </c>
      <c r="B20" s="6">
        <f>192000/80754310</f>
        <v>2.3775820758049943E-3</v>
      </c>
      <c r="C20" s="6">
        <f>162082/91512323</f>
        <v>1.7711494439934608E-3</v>
      </c>
      <c r="D20" s="6">
        <f>150000/127614035</f>
        <v>1.1754193024301756E-3</v>
      </c>
      <c r="E20" s="6">
        <f>156272/132146684</f>
        <v>1.1825646718460223E-3</v>
      </c>
      <c r="F20" s="6">
        <v>1.06504E-4</v>
      </c>
      <c r="G20" s="6">
        <f>77014/109820084</f>
        <v>7.0127427693462703E-4</v>
      </c>
    </row>
    <row r="21" spans="1:11" x14ac:dyDescent="0.2">
      <c r="A21" t="s">
        <v>29</v>
      </c>
      <c r="B21" s="6">
        <f>9050000/80754310</f>
        <v>0.11206832180226665</v>
      </c>
      <c r="C21" s="6">
        <f>15000000/91512323</f>
        <v>0.16391235090819409</v>
      </c>
      <c r="D21" s="6">
        <f>21830000/127614035</f>
        <v>0.17106268914700487</v>
      </c>
      <c r="E21" s="6">
        <f>19500664/132146684</f>
        <v>0.14756831885391841</v>
      </c>
      <c r="F21" s="6">
        <f>40800000/175561439</f>
        <v>0.23239727489360576</v>
      </c>
      <c r="G21" s="6">
        <f>1454504/109820084</f>
        <v>1.3244426219888887E-2</v>
      </c>
    </row>
    <row r="22" spans="1:11" x14ac:dyDescent="0.2">
      <c r="A22" t="s">
        <v>30</v>
      </c>
      <c r="B22" s="6">
        <v>0</v>
      </c>
      <c r="C22" s="6">
        <v>0</v>
      </c>
      <c r="D22" s="6">
        <v>0</v>
      </c>
      <c r="E22" s="6">
        <v>0</v>
      </c>
      <c r="F22" s="6">
        <v>0</v>
      </c>
      <c r="G22" s="6">
        <v>0</v>
      </c>
      <c r="K22" s="37" t="s">
        <v>53</v>
      </c>
    </row>
    <row r="23" spans="1:11" x14ac:dyDescent="0.2">
      <c r="A23" t="s">
        <v>31</v>
      </c>
      <c r="B23" s="6">
        <v>0</v>
      </c>
      <c r="C23" s="6">
        <v>0</v>
      </c>
      <c r="D23" s="6">
        <v>0</v>
      </c>
      <c r="E23" s="6">
        <v>0</v>
      </c>
      <c r="F23" s="6">
        <v>0</v>
      </c>
      <c r="G23" s="6">
        <v>0</v>
      </c>
      <c r="K23" s="10">
        <v>2019</v>
      </c>
    </row>
    <row r="24" spans="1:11" x14ac:dyDescent="0.2">
      <c r="A24" t="s">
        <v>52</v>
      </c>
      <c r="B24" s="6">
        <f>2738137/80754310</f>
        <v>3.3907007564054473E-2</v>
      </c>
      <c r="C24" s="6">
        <f>1714219/91512323</f>
        <v>1.873211108409957E-2</v>
      </c>
      <c r="D24" s="6">
        <f>104546/127614035</f>
        <v>8.1923590927910088E-4</v>
      </c>
      <c r="E24" s="6">
        <f>129856/132146684</f>
        <v>9.8266559605839228E-4</v>
      </c>
      <c r="F24" s="6">
        <f>2015356/175561439</f>
        <v>1.1479491233835239E-2</v>
      </c>
      <c r="G24" s="6">
        <f>2084/109820084</f>
        <v>1.8976492496581954E-5</v>
      </c>
    </row>
    <row r="25" spans="1:11" ht="15" customHeight="1" x14ac:dyDescent="0.2">
      <c r="A25" t="s">
        <v>51</v>
      </c>
      <c r="B25" s="6">
        <v>0</v>
      </c>
      <c r="C25" s="6">
        <v>0</v>
      </c>
      <c r="D25" s="6">
        <v>0</v>
      </c>
      <c r="E25" s="6">
        <f>2613991/132146684</f>
        <v>1.9780980656313708E-2</v>
      </c>
      <c r="F25" s="6">
        <f>2613991/175561439</f>
        <v>1.4889323161676751E-2</v>
      </c>
      <c r="G25" s="6">
        <f>2613991/109820084</f>
        <v>2.3802485891378483E-2</v>
      </c>
      <c r="J25" s="3" t="s">
        <v>54</v>
      </c>
      <c r="K25" s="41" t="s">
        <v>55</v>
      </c>
    </row>
    <row r="26" spans="1:11" x14ac:dyDescent="0.2">
      <c r="A26" t="s">
        <v>32</v>
      </c>
      <c r="B26" s="6">
        <f>1665678/80754310</f>
        <v>2.062649040032662E-2</v>
      </c>
      <c r="C26" s="6">
        <f>1181289/91512323</f>
        <v>1.2908523806132645E-2</v>
      </c>
      <c r="D26" s="6">
        <f>1338808/127614035</f>
        <v>1.0491071769652922E-2</v>
      </c>
      <c r="E26" s="6">
        <f>1076299/132146684</f>
        <v>8.1447295340381001E-3</v>
      </c>
      <c r="F26" s="6">
        <f>433517/175561439</f>
        <v>2.4693178779424335E-3</v>
      </c>
      <c r="G26" s="6">
        <f>462075/109820084</f>
        <v>4.2075637093848877E-3</v>
      </c>
      <c r="J26" s="3"/>
      <c r="K26" s="41"/>
    </row>
    <row r="27" spans="1:11" x14ac:dyDescent="0.2">
      <c r="A27" s="2" t="s">
        <v>61</v>
      </c>
      <c r="B27" s="9">
        <v>0.65469999999999995</v>
      </c>
      <c r="C27" s="9">
        <v>0.61480000000000001</v>
      </c>
      <c r="D27" s="9">
        <v>0.64129999999999998</v>
      </c>
      <c r="E27" s="9">
        <v>0.55259999999999998</v>
      </c>
      <c r="F27" s="9">
        <v>0.3982</v>
      </c>
      <c r="G27" s="9">
        <v>0.1173</v>
      </c>
      <c r="J27" s="3"/>
      <c r="K27" s="41"/>
    </row>
    <row r="28" spans="1:11" x14ac:dyDescent="0.2">
      <c r="A28" s="2" t="s">
        <v>50</v>
      </c>
      <c r="B28" s="9">
        <f>80754310/80754310</f>
        <v>1</v>
      </c>
      <c r="C28" s="9">
        <f>91512323/91512323</f>
        <v>1</v>
      </c>
      <c r="D28" s="9">
        <f>127614035/127614035</f>
        <v>1</v>
      </c>
      <c r="E28" s="9">
        <f>132146684/132146684</f>
        <v>1</v>
      </c>
      <c r="F28" s="9">
        <f>175561439/175561439</f>
        <v>1</v>
      </c>
      <c r="G28" s="9">
        <f>109820084/109820084</f>
        <v>1</v>
      </c>
      <c r="K28" s="41"/>
    </row>
    <row r="29" spans="1:11" x14ac:dyDescent="0.2">
      <c r="B29" s="6"/>
      <c r="C29" s="6"/>
      <c r="D29" s="6"/>
      <c r="E29" s="6"/>
      <c r="F29" s="6"/>
      <c r="G29" s="6"/>
      <c r="K29" s="41"/>
    </row>
    <row r="30" spans="1:11" x14ac:dyDescent="0.2">
      <c r="B30" s="6"/>
      <c r="C30" s="6"/>
      <c r="D30" s="6"/>
      <c r="E30" s="6"/>
      <c r="F30" s="6"/>
      <c r="G30" s="6"/>
    </row>
    <row r="31" spans="1:11" x14ac:dyDescent="0.2">
      <c r="A31" t="s">
        <v>33</v>
      </c>
      <c r="B31" s="6"/>
      <c r="C31" s="6"/>
      <c r="D31" s="6"/>
      <c r="E31" s="6"/>
      <c r="F31" s="6"/>
      <c r="G31" s="6"/>
    </row>
    <row r="32" spans="1:11" ht="15" customHeight="1" x14ac:dyDescent="0.2">
      <c r="A32" t="s">
        <v>34</v>
      </c>
      <c r="B32" s="6">
        <f>18232328/80754310</f>
        <v>0.22577529298436208</v>
      </c>
      <c r="C32" s="6">
        <f>17999042/91512323</f>
        <v>0.1966843525543549</v>
      </c>
      <c r="D32" s="6">
        <f>17830492/127614035</f>
        <v>0.1397220297908455</v>
      </c>
      <c r="E32" s="6">
        <f>17867298/132146684</f>
        <v>0.13520806923917969</v>
      </c>
      <c r="F32" s="6">
        <f>3951543/175561439</f>
        <v>2.250803492217901E-2</v>
      </c>
      <c r="G32" s="6">
        <f>3661065/109820084</f>
        <v>3.3336934981765265E-2</v>
      </c>
      <c r="J32" s="3" t="s">
        <v>56</v>
      </c>
      <c r="K32" s="41" t="s">
        <v>57</v>
      </c>
    </row>
    <row r="33" spans="1:11" x14ac:dyDescent="0.2">
      <c r="A33" t="s">
        <v>35</v>
      </c>
      <c r="B33" s="6">
        <v>0</v>
      </c>
      <c r="C33" s="6">
        <v>0</v>
      </c>
      <c r="D33" s="6">
        <v>0</v>
      </c>
      <c r="E33" s="6">
        <v>0</v>
      </c>
      <c r="F33" s="6">
        <v>0</v>
      </c>
      <c r="G33" s="6">
        <v>0</v>
      </c>
      <c r="K33" s="41"/>
    </row>
    <row r="34" spans="1:11" x14ac:dyDescent="0.2">
      <c r="A34" t="s">
        <v>36</v>
      </c>
      <c r="B34" s="6">
        <v>0</v>
      </c>
      <c r="C34" s="6">
        <v>0</v>
      </c>
      <c r="D34" s="6">
        <v>0</v>
      </c>
      <c r="E34" s="6">
        <v>0</v>
      </c>
      <c r="F34" s="6">
        <v>0</v>
      </c>
      <c r="G34" s="6">
        <v>0</v>
      </c>
      <c r="K34" s="41"/>
    </row>
    <row r="35" spans="1:11" x14ac:dyDescent="0.2">
      <c r="A35" t="s">
        <v>37</v>
      </c>
      <c r="B35" s="6">
        <v>0</v>
      </c>
      <c r="C35" s="6">
        <v>0</v>
      </c>
      <c r="D35" s="6">
        <v>0</v>
      </c>
      <c r="E35" s="6">
        <v>0</v>
      </c>
      <c r="F35" s="6">
        <v>0</v>
      </c>
      <c r="G35" s="6">
        <v>0</v>
      </c>
      <c r="K35" s="41"/>
    </row>
    <row r="36" spans="1:11" ht="15" customHeight="1" x14ac:dyDescent="0.2">
      <c r="B36" s="6"/>
      <c r="C36" s="6"/>
      <c r="D36" s="6"/>
      <c r="E36" s="6"/>
      <c r="F36" s="6"/>
      <c r="G36" s="6"/>
    </row>
    <row r="37" spans="1:11" x14ac:dyDescent="0.2">
      <c r="A37" t="s">
        <v>38</v>
      </c>
      <c r="B37" s="6"/>
      <c r="C37" s="6"/>
      <c r="D37" s="6"/>
      <c r="E37" s="6"/>
      <c r="F37" s="6"/>
      <c r="G37" s="6"/>
      <c r="J37" s="3" t="s">
        <v>58</v>
      </c>
      <c r="K37" s="42" t="s">
        <v>64</v>
      </c>
    </row>
    <row r="38" spans="1:11" x14ac:dyDescent="0.2">
      <c r="A38" t="s">
        <v>39</v>
      </c>
      <c r="B38" s="6">
        <v>0</v>
      </c>
      <c r="C38" s="6">
        <v>0</v>
      </c>
      <c r="D38" s="6">
        <v>0</v>
      </c>
      <c r="E38" s="6">
        <v>0</v>
      </c>
      <c r="F38" s="6">
        <v>0</v>
      </c>
      <c r="G38" s="6">
        <v>0</v>
      </c>
      <c r="K38" s="42"/>
    </row>
    <row r="39" spans="1:11" x14ac:dyDescent="0.2">
      <c r="A39" t="s">
        <v>40</v>
      </c>
      <c r="B39" s="6">
        <f>50607141/80754310</f>
        <v>0.62668037161112511</v>
      </c>
      <c r="C39" s="6">
        <f>58805167/91512323</f>
        <v>0.64259287790126363</v>
      </c>
      <c r="D39" s="6">
        <f>83095206/127614035</f>
        <v>0.65114472714541161</v>
      </c>
      <c r="E39" s="6">
        <f>101096159/132146684</f>
        <v>0.76502985878934349</v>
      </c>
      <c r="F39" s="6">
        <f>95415855/175561439</f>
        <v>0.54348982067753504</v>
      </c>
      <c r="G39" s="6">
        <f>76360706/109820084</f>
        <v>0.69532551076905025</v>
      </c>
      <c r="K39" s="42"/>
    </row>
    <row r="40" spans="1:11" x14ac:dyDescent="0.2">
      <c r="A40" t="s">
        <v>41</v>
      </c>
      <c r="B40" s="6">
        <f>819992/80754310</f>
        <v>1.0154157716164004E-2</v>
      </c>
      <c r="C40" s="6">
        <f>2114079/91512323</f>
        <v>2.3101577259709603E-2</v>
      </c>
      <c r="D40" s="6">
        <f>4791139/127614035</f>
        <v>3.7543981741506721E-2</v>
      </c>
      <c r="E40" s="6">
        <v>0</v>
      </c>
      <c r="F40" s="6">
        <v>0</v>
      </c>
      <c r="G40" s="6">
        <f>1409493/109820084</f>
        <v>1.2834564941691358E-2</v>
      </c>
      <c r="K40" s="42"/>
    </row>
    <row r="41" spans="1:11" x14ac:dyDescent="0.2">
      <c r="A41" t="s">
        <v>36</v>
      </c>
      <c r="B41" s="6">
        <v>0</v>
      </c>
      <c r="C41" s="6">
        <v>0</v>
      </c>
      <c r="D41" s="6">
        <v>0</v>
      </c>
      <c r="E41" s="6">
        <v>0</v>
      </c>
      <c r="F41" s="6">
        <v>0</v>
      </c>
      <c r="G41" s="6">
        <v>0</v>
      </c>
    </row>
    <row r="42" spans="1:11" x14ac:dyDescent="0.2">
      <c r="A42" t="s">
        <v>46</v>
      </c>
      <c r="B42" s="6">
        <f>10389675/80754310</f>
        <v>0.1286578388199961</v>
      </c>
      <c r="C42" s="6">
        <f>11935217/91512323</f>
        <v>0.13042196513796289</v>
      </c>
      <c r="D42" s="6">
        <f>16432254/127614035</f>
        <v>0.12876525689356974</v>
      </c>
      <c r="E42" s="6">
        <f>10660241/132146684</f>
        <v>8.0669757857866495E-2</v>
      </c>
      <c r="F42" s="6">
        <f>39856480/175561439</f>
        <v>0.22702297399145835</v>
      </c>
      <c r="G42" s="6">
        <f>26366108/109820084</f>
        <v>0.24008457323707746</v>
      </c>
      <c r="J42" s="3" t="s">
        <v>65</v>
      </c>
      <c r="K42" t="s">
        <v>66</v>
      </c>
    </row>
    <row r="43" spans="1:11" x14ac:dyDescent="0.2">
      <c r="A43" t="s">
        <v>42</v>
      </c>
      <c r="B43" s="6">
        <v>0</v>
      </c>
      <c r="C43" s="6">
        <v>0</v>
      </c>
      <c r="D43" s="6">
        <v>0</v>
      </c>
      <c r="E43" s="6">
        <v>0</v>
      </c>
      <c r="F43" s="6">
        <v>0</v>
      </c>
      <c r="G43" s="6">
        <v>0</v>
      </c>
    </row>
    <row r="44" spans="1:11" x14ac:dyDescent="0.2">
      <c r="A44" t="s">
        <v>43</v>
      </c>
      <c r="B44" s="6">
        <v>0</v>
      </c>
      <c r="C44" s="6">
        <v>0</v>
      </c>
      <c r="D44" s="6">
        <v>0</v>
      </c>
      <c r="E44" s="6">
        <v>0</v>
      </c>
      <c r="F44" s="6">
        <v>0</v>
      </c>
      <c r="G44" s="6">
        <v>0</v>
      </c>
    </row>
    <row r="45" spans="1:11" x14ac:dyDescent="0.2">
      <c r="A45" t="s">
        <v>45</v>
      </c>
      <c r="B45" s="6">
        <v>0</v>
      </c>
      <c r="C45" s="6">
        <v>0</v>
      </c>
      <c r="D45" s="6">
        <v>0</v>
      </c>
      <c r="E45" s="6">
        <v>0</v>
      </c>
      <c r="F45" s="6">
        <v>0</v>
      </c>
      <c r="G45" s="6">
        <v>0</v>
      </c>
    </row>
    <row r="46" spans="1:11" x14ac:dyDescent="0.2">
      <c r="A46" t="s">
        <v>44</v>
      </c>
      <c r="B46" s="6">
        <f>705174/80754310</f>
        <v>8.7323388683526616E-3</v>
      </c>
      <c r="C46" s="6">
        <f>658818/91512323</f>
        <v>7.1992271467089738E-3</v>
      </c>
      <c r="D46" s="6">
        <f>5464943/127614035</f>
        <v>4.2823996592537807E-2</v>
      </c>
      <c r="E46" s="6">
        <f>2522986/132146684</f>
        <v>1.9092314113610297E-2</v>
      </c>
      <c r="F46" s="6">
        <f>36337561/175561439</f>
        <v>0.20697917040882766</v>
      </c>
      <c r="G46" s="6">
        <f>2022712/109820084</f>
        <v>1.841841607041568E-2</v>
      </c>
    </row>
    <row r="47" spans="1:11" x14ac:dyDescent="0.2">
      <c r="A47" s="2" t="s">
        <v>49</v>
      </c>
      <c r="B47" s="9">
        <f>80754310/80754310</f>
        <v>1</v>
      </c>
      <c r="C47" s="9">
        <f>91512323/91512323</f>
        <v>1</v>
      </c>
      <c r="D47" s="9">
        <f>127614035/127614035</f>
        <v>1</v>
      </c>
      <c r="E47" s="9">
        <f>132146684/132146684</f>
        <v>1</v>
      </c>
      <c r="F47" s="9">
        <f>175561439/175561439</f>
        <v>1</v>
      </c>
      <c r="G47" s="9">
        <f>109820084/109820084</f>
        <v>1</v>
      </c>
      <c r="H47" s="8"/>
      <c r="K47" s="13"/>
    </row>
    <row r="71" spans="1:1" x14ac:dyDescent="0.2">
      <c r="A71" s="6"/>
    </row>
  </sheetData>
  <mergeCells count="3">
    <mergeCell ref="K25:K29"/>
    <mergeCell ref="K32:K35"/>
    <mergeCell ref="K37:K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C76C5-0212-304B-BACE-56928F332446}">
  <dimension ref="A1:L78"/>
  <sheetViews>
    <sheetView topLeftCell="K1" zoomScaleNormal="60" zoomScaleSheetLayoutView="100" workbookViewId="0">
      <selection activeCell="J28" sqref="J28"/>
    </sheetView>
  </sheetViews>
  <sheetFormatPr defaultRowHeight="15" x14ac:dyDescent="0.2"/>
  <cols>
    <col min="2" max="2" width="39.14453125" customWidth="1"/>
    <col min="3" max="3" width="18.83203125" customWidth="1"/>
    <col min="4" max="6" width="13.85546875" bestFit="1" customWidth="1"/>
    <col min="7" max="7" width="14.52734375" bestFit="1" customWidth="1"/>
    <col min="8" max="8" width="13.85546875" bestFit="1" customWidth="1"/>
    <col min="12" max="12" width="62.95703125" customWidth="1"/>
  </cols>
  <sheetData>
    <row r="1" spans="1:12" x14ac:dyDescent="0.2">
      <c r="C1" s="2">
        <v>2014</v>
      </c>
      <c r="D1" s="2">
        <v>2015</v>
      </c>
      <c r="E1" s="2">
        <v>2016</v>
      </c>
      <c r="F1" s="2">
        <v>2017</v>
      </c>
      <c r="G1" s="2">
        <v>2018</v>
      </c>
      <c r="H1" s="2">
        <v>2019</v>
      </c>
    </row>
    <row r="2" spans="1:12" x14ac:dyDescent="0.2">
      <c r="B2" t="s">
        <v>0</v>
      </c>
      <c r="C2" s="6">
        <f>'INCOME STATEMENT '!C2/'INCOME STATEMENT '!C2</f>
        <v>1</v>
      </c>
      <c r="D2" s="6">
        <f>'INCOME STATEMENT '!D2/'INCOME STATEMENT '!C2</f>
        <v>0.69097889551683334</v>
      </c>
      <c r="E2" s="6">
        <f>'INCOME STATEMENT '!E2/'INCOME STATEMENT '!D2</f>
        <v>1.1188681192125871</v>
      </c>
      <c r="F2" s="6">
        <f>'INCOME STATEMENT '!F2/'INCOME STATEMENT '!E2</f>
        <v>1.0430659556009174</v>
      </c>
      <c r="G2" s="6">
        <f>'INCOME STATEMENT '!G2/'INCOME STATEMENT '!F2</f>
        <v>0.38807678790864558</v>
      </c>
      <c r="H2" s="6">
        <f>'INCOME STATEMENT '!H2/'INCOME STATEMENT '!G2</f>
        <v>0.92876190042904239</v>
      </c>
    </row>
    <row r="3" spans="1:12" x14ac:dyDescent="0.2">
      <c r="A3" t="s">
        <v>15</v>
      </c>
      <c r="B3" t="s">
        <v>1</v>
      </c>
      <c r="C3" s="6">
        <f>'INCOME STATEMENT '!C3/'INCOME STATEMENT '!C3</f>
        <v>1</v>
      </c>
      <c r="D3" s="6">
        <f>'INCOME STATEMENT '!D3/'INCOME STATEMENT '!C3</f>
        <v>0.64487157221339542</v>
      </c>
      <c r="E3" s="6">
        <f>'INCOME STATEMENT '!E3/'INCOME STATEMENT '!D3</f>
        <v>1.088910121042945</v>
      </c>
      <c r="F3" s="6">
        <f>'INCOME STATEMENT '!F3/'INCOME STATEMENT '!E3</f>
        <v>1.0393956905288131</v>
      </c>
      <c r="G3" s="6">
        <f>'INCOME STATEMENT '!G3/'INCOME STATEMENT '!F3</f>
        <v>0.49283733960078308</v>
      </c>
      <c r="H3" s="6">
        <f>'INCOME STATEMENT '!H3/'INCOME STATEMENT '!G3</f>
        <v>0.91211976225441782</v>
      </c>
    </row>
    <row r="4" spans="1:12" x14ac:dyDescent="0.2">
      <c r="B4" t="s">
        <v>2</v>
      </c>
      <c r="C4" s="6">
        <f>'INCOME STATEMENT '!C4/'INCOME STATEMENT '!C4</f>
        <v>1</v>
      </c>
      <c r="D4" s="6">
        <f>'INCOME STATEMENT '!D4/'INCOME STATEMENT '!C4</f>
        <v>0.94198902506033233</v>
      </c>
      <c r="E4" s="6">
        <f>'INCOME STATEMENT '!E4/'INCOME STATEMENT '!D4</f>
        <v>1.2305188999631196</v>
      </c>
      <c r="F4" s="6">
        <f>'INCOME STATEMENT '!F4/'INCOME STATEMENT '!E4</f>
        <v>1.0551705424525237</v>
      </c>
      <c r="G4" s="6">
        <f>'INCOME STATEMENT '!G4/'INCOME STATEMENT '!F4</f>
        <v>4.7740254884171114E-2</v>
      </c>
      <c r="H4" s="6">
        <f>'INCOME STATEMENT '!H4/'INCOME STATEMENT '!G4</f>
        <v>1.4868962973998359</v>
      </c>
    </row>
    <row r="5" spans="1:12" x14ac:dyDescent="0.2">
      <c r="A5" t="s">
        <v>15</v>
      </c>
      <c r="B5" t="s">
        <v>3</v>
      </c>
      <c r="C5" s="6">
        <f>'INCOME STATEMENT '!C5/'INCOME STATEMENT '!C5</f>
        <v>1</v>
      </c>
      <c r="D5" s="6">
        <f>'INCOME STATEMENT '!D5/'INCOME STATEMENT '!C5</f>
        <v>0.87656102837415173</v>
      </c>
      <c r="E5" s="6">
        <f>'INCOME STATEMENT '!E5/'INCOME STATEMENT '!D5</f>
        <v>1.1694611503087733</v>
      </c>
      <c r="F5" s="6">
        <f>'INCOME STATEMENT '!F5/'INCOME STATEMENT '!E5</f>
        <v>0.77175969347390283</v>
      </c>
      <c r="G5" s="6">
        <f>'INCOME STATEMENT '!G5/'INCOME STATEMENT '!F5</f>
        <v>0.97002107743799937</v>
      </c>
      <c r="H5" s="6">
        <f>'INCOME STATEMENT '!H5/'INCOME STATEMENT '!G5</f>
        <v>1.0139320120659494</v>
      </c>
    </row>
    <row r="6" spans="1:12" x14ac:dyDescent="0.2">
      <c r="A6" t="s">
        <v>15</v>
      </c>
      <c r="B6" t="s">
        <v>4</v>
      </c>
      <c r="C6" s="6">
        <f>'INCOME STATEMENT '!C6/'INCOME STATEMENT '!C6</f>
        <v>1</v>
      </c>
      <c r="D6" s="6">
        <f>'INCOME STATEMENT '!D6/'INCOME STATEMENT '!C6</f>
        <v>0.66423060418063962</v>
      </c>
      <c r="E6" s="6">
        <f>'INCOME STATEMENT '!E6/'INCOME STATEMENT '!D6</f>
        <v>1.2572390795523196</v>
      </c>
      <c r="F6" s="6">
        <f>'INCOME STATEMENT '!F6/'INCOME STATEMENT '!E6</f>
        <v>1.1080720348667028</v>
      </c>
      <c r="G6" s="6">
        <f>'INCOME STATEMENT '!G6/'INCOME STATEMENT '!F6</f>
        <v>0.37537955503384252</v>
      </c>
      <c r="H6" s="6">
        <f>'INCOME STATEMENT '!H6/'INCOME STATEMENT '!G6</f>
        <v>0.86672058100144145</v>
      </c>
    </row>
    <row r="7" spans="1:12" x14ac:dyDescent="0.2">
      <c r="A7" t="s">
        <v>15</v>
      </c>
      <c r="B7" t="s">
        <v>5</v>
      </c>
      <c r="C7" s="6">
        <v>0</v>
      </c>
      <c r="D7" s="6">
        <v>0</v>
      </c>
      <c r="E7" s="6">
        <v>0</v>
      </c>
      <c r="F7" s="6">
        <v>0</v>
      </c>
      <c r="G7" s="6">
        <v>0</v>
      </c>
      <c r="H7" s="6">
        <v>0</v>
      </c>
    </row>
    <row r="8" spans="1:12" x14ac:dyDescent="0.2">
      <c r="A8" t="s">
        <v>15</v>
      </c>
      <c r="B8" t="s">
        <v>6</v>
      </c>
      <c r="C8" s="6">
        <f>'INCOME STATEMENT '!C8/'INCOME STATEMENT '!C8</f>
        <v>1</v>
      </c>
      <c r="D8" s="6">
        <f>'INCOME STATEMENT '!D8/'INCOME STATEMENT '!C8</f>
        <v>1.6487372668352707</v>
      </c>
      <c r="E8" s="6">
        <f>'INCOME STATEMENT '!E8/'INCOME STATEMENT '!D8</f>
        <v>1.1922471277762934</v>
      </c>
      <c r="F8" s="6">
        <f>'INCOME STATEMENT '!F8/'INCOME STATEMENT '!E8</f>
        <v>1.2075428215410191</v>
      </c>
      <c r="G8" s="6">
        <f>'INCOME STATEMENT '!G8/'INCOME STATEMENT '!F8</f>
        <v>2.4576367893672106</v>
      </c>
      <c r="H8" s="6">
        <f>'INCOME STATEMENT '!H8/'INCOME STATEMENT '!G8</f>
        <v>9.3722142766672303E-2</v>
      </c>
    </row>
    <row r="9" spans="1:12" x14ac:dyDescent="0.2">
      <c r="A9" t="s">
        <v>16</v>
      </c>
      <c r="B9" t="s">
        <v>7</v>
      </c>
      <c r="C9" s="6">
        <f>'INCOME STATEMENT '!C9/'INCOME STATEMENT '!C9</f>
        <v>1</v>
      </c>
      <c r="D9" s="6">
        <f>'INCOME STATEMENT '!D9/'INCOME STATEMENT '!C9</f>
        <v>-0.72821676167753668</v>
      </c>
      <c r="E9" s="6">
        <f>'INCOME STATEMENT '!E9/'INCOME STATEMENT '!D9</f>
        <v>8.2485162607084356E-2</v>
      </c>
      <c r="F9" s="6">
        <f>'INCOME STATEMENT '!F9/'INCOME STATEMENT '!E9</f>
        <v>-11.332410874165717</v>
      </c>
      <c r="G9" s="6">
        <f>'INCOME STATEMENT '!G9/'INCOME STATEMENT '!F9</f>
        <v>-822.28453637865402</v>
      </c>
      <c r="H9" s="6">
        <f>'INCOME STATEMENT '!H9/'INCOME STATEMENT '!G9</f>
        <v>9.7680711771210831E-3</v>
      </c>
    </row>
    <row r="10" spans="1:12" x14ac:dyDescent="0.2">
      <c r="B10" t="s">
        <v>8</v>
      </c>
      <c r="C10" s="6">
        <f>'INCOME STATEMENT '!C10/'INCOME STATEMENT '!C10</f>
        <v>1</v>
      </c>
      <c r="D10" s="6">
        <f>'INCOME STATEMENT '!D10/'INCOME STATEMENT '!C10</f>
        <v>1.2436726699908858</v>
      </c>
      <c r="E10" s="6">
        <f>'INCOME STATEMENT '!E10/'INCOME STATEMENT '!D10</f>
        <v>1.2438611177613281</v>
      </c>
      <c r="F10" s="6">
        <f>'INCOME STATEMENT '!F10/'INCOME STATEMENT '!E10</f>
        <v>1.1450839808685915</v>
      </c>
      <c r="G10" s="6">
        <f>'INCOME STATEMENT '!G10/'INCOME STATEMENT '!F10</f>
        <v>-0.36915554748346224</v>
      </c>
      <c r="H10" s="6">
        <f>'INCOME STATEMENT '!H10/'INCOME STATEMENT '!G10</f>
        <v>0.83227776298232348</v>
      </c>
    </row>
    <row r="11" spans="1:12" x14ac:dyDescent="0.2">
      <c r="A11" t="s">
        <v>15</v>
      </c>
      <c r="B11" t="s">
        <v>9</v>
      </c>
      <c r="C11" s="6">
        <f>'INCOME STATEMENT '!C11/'INCOME STATEMENT '!C11</f>
        <v>1</v>
      </c>
      <c r="D11" s="6">
        <f>'INCOME STATEMENT '!D11/'INCOME STATEMENT '!C11</f>
        <v>0.73707766519533813</v>
      </c>
      <c r="E11" s="6">
        <f>'INCOME STATEMENT '!E11/'INCOME STATEMENT '!D11</f>
        <v>1.2334594720036929</v>
      </c>
      <c r="F11" s="6">
        <f>'INCOME STATEMENT '!F11/'INCOME STATEMENT '!E11</f>
        <v>0.89904352352899486</v>
      </c>
      <c r="G11" s="6">
        <f>'INCOME STATEMENT '!G11/'INCOME STATEMENT '!F11</f>
        <v>0.73649191638891398</v>
      </c>
      <c r="H11" s="6">
        <f>'INCOME STATEMENT '!H11/'INCOME STATEMENT '!G11</f>
        <v>2.1865225245759747</v>
      </c>
    </row>
    <row r="12" spans="1:12" x14ac:dyDescent="0.2">
      <c r="B12" t="s">
        <v>10</v>
      </c>
      <c r="C12" s="6">
        <f>'INCOME STATEMENT '!C12/'INCOME STATEMENT '!C12</f>
        <v>1</v>
      </c>
      <c r="D12" s="6">
        <f>'INCOME STATEMENT '!D12/'INCOME STATEMENT '!C12</f>
        <v>1.3892932018775328</v>
      </c>
      <c r="E12" s="6">
        <f>'INCOME STATEMENT '!E12/'INCOME STATEMENT '!D12</f>
        <v>1.2422938145582498</v>
      </c>
      <c r="F12" s="6">
        <f>'INCOME STATEMENT '!F12/'INCOME STATEMENT '!E12</f>
        <v>1.1717607096915064</v>
      </c>
      <c r="G12" s="6">
        <f>'INCOME STATEMENT '!G12/'INCOME STATEMENT '!F12</f>
        <v>3.1763480126204029</v>
      </c>
      <c r="H12" s="6">
        <f>'INCOME STATEMENT '!H12/'INCOME STATEMENT '!G12</f>
        <v>-0.1768823075187714</v>
      </c>
    </row>
    <row r="13" spans="1:12" x14ac:dyDescent="0.2">
      <c r="A13" t="s">
        <v>15</v>
      </c>
      <c r="B13" t="s">
        <v>11</v>
      </c>
      <c r="C13" s="6">
        <f>'INCOME STATEMENT '!C13/'INCOME STATEMENT '!C13</f>
        <v>1</v>
      </c>
      <c r="D13" s="6">
        <f>'INCOME STATEMENT '!D13/'INCOME STATEMENT '!C13</f>
        <v>0.70919409393652311</v>
      </c>
      <c r="E13" s="6">
        <f>'INCOME STATEMENT '!E13/'INCOME STATEMENT '!D13</f>
        <v>1.1333450154873193</v>
      </c>
      <c r="F13" s="6">
        <f>'INCOME STATEMENT '!F13/'INCOME STATEMENT '!E13</f>
        <v>0.80392334076282779</v>
      </c>
      <c r="G13" s="6">
        <f>'INCOME STATEMENT '!G13/'INCOME STATEMENT '!F13</f>
        <v>0.40278491385758047</v>
      </c>
      <c r="H13" s="6">
        <f>'INCOME STATEMENT '!H13/'INCOME STATEMENT '!G13</f>
        <v>1.0658751559915758</v>
      </c>
      <c r="L13" s="14" t="s">
        <v>53</v>
      </c>
    </row>
    <row r="14" spans="1:12" x14ac:dyDescent="0.2">
      <c r="B14" t="s">
        <v>12</v>
      </c>
      <c r="C14" s="6">
        <f>'INCOME STATEMENT '!C14/'INCOME STATEMENT '!C14</f>
        <v>1</v>
      </c>
      <c r="D14" s="6">
        <f>'INCOME STATEMENT '!D14/'INCOME STATEMENT '!C14</f>
        <v>1.5974098815665563</v>
      </c>
      <c r="E14" s="6">
        <f>'INCOME STATEMENT '!E14/'INCOME STATEMENT '!D14</f>
        <v>1.2570953194933723</v>
      </c>
      <c r="F14" s="6">
        <f>'INCOME STATEMENT '!F14/'INCOME STATEMENT '!E14</f>
        <v>1.2168146940452895</v>
      </c>
      <c r="G14" s="6">
        <f>'INCOME STATEMENT '!G14/'INCOME STATEMENT '!F14</f>
        <v>3.4007907719612787</v>
      </c>
      <c r="H14" s="6">
        <f>'INCOME STATEMENT '!H14/'INCOME STATEMENT '!G14</f>
        <v>-0.18879327972358653</v>
      </c>
      <c r="L14" s="43" t="s">
        <v>74</v>
      </c>
    </row>
    <row r="15" spans="1:12" x14ac:dyDescent="0.2">
      <c r="L15" s="43"/>
    </row>
    <row r="16" spans="1:12" x14ac:dyDescent="0.2">
      <c r="L16" s="43"/>
    </row>
    <row r="17" spans="2:12" x14ac:dyDescent="0.2">
      <c r="L17" s="43"/>
    </row>
    <row r="18" spans="2:12" x14ac:dyDescent="0.2">
      <c r="L18" s="43"/>
    </row>
    <row r="19" spans="2:12" x14ac:dyDescent="0.2">
      <c r="L19" s="43" t="s">
        <v>71</v>
      </c>
    </row>
    <row r="20" spans="2:12" x14ac:dyDescent="0.2">
      <c r="L20" s="43"/>
    </row>
    <row r="21" spans="2:12" x14ac:dyDescent="0.2">
      <c r="L21" s="43"/>
    </row>
    <row r="22" spans="2:12" x14ac:dyDescent="0.2">
      <c r="L22" s="43"/>
    </row>
    <row r="23" spans="2:12" x14ac:dyDescent="0.2">
      <c r="L23" s="43"/>
    </row>
    <row r="25" spans="2:12" x14ac:dyDescent="0.2">
      <c r="L25" s="43" t="s">
        <v>72</v>
      </c>
    </row>
    <row r="26" spans="2:12" x14ac:dyDescent="0.2">
      <c r="L26" s="43"/>
    </row>
    <row r="27" spans="2:12" x14ac:dyDescent="0.2">
      <c r="L27" s="43"/>
    </row>
    <row r="28" spans="2:12" x14ac:dyDescent="0.2">
      <c r="L28" s="43"/>
    </row>
    <row r="29" spans="2:12" x14ac:dyDescent="0.2">
      <c r="L29" s="43"/>
    </row>
    <row r="30" spans="2:12" x14ac:dyDescent="0.2">
      <c r="C30" s="2">
        <v>2014</v>
      </c>
      <c r="D30" s="2">
        <v>2015</v>
      </c>
      <c r="E30" s="2">
        <v>2016</v>
      </c>
      <c r="F30" s="2">
        <v>2017</v>
      </c>
      <c r="G30" s="2">
        <v>2018</v>
      </c>
      <c r="H30" s="2">
        <v>2019</v>
      </c>
    </row>
    <row r="31" spans="2:12" x14ac:dyDescent="0.2">
      <c r="B31" t="s">
        <v>17</v>
      </c>
      <c r="L31" s="43" t="s">
        <v>73</v>
      </c>
    </row>
    <row r="32" spans="2:12" x14ac:dyDescent="0.2">
      <c r="L32" s="43"/>
    </row>
    <row r="33" spans="2:12" x14ac:dyDescent="0.2">
      <c r="B33" t="s">
        <v>18</v>
      </c>
      <c r="L33" s="43"/>
    </row>
    <row r="34" spans="2:12" x14ac:dyDescent="0.2">
      <c r="L34" s="43"/>
    </row>
    <row r="35" spans="2:12" x14ac:dyDescent="0.2">
      <c r="B35" t="s">
        <v>19</v>
      </c>
      <c r="C35" s="6">
        <f>'BALANCE SHEET '!B6/'BALANCE SHEET '!B6</f>
        <v>1</v>
      </c>
      <c r="D35" s="6">
        <f>'BALANCE SHEET '!C6/'BALANCE SHEET '!B6</f>
        <v>1</v>
      </c>
      <c r="E35" s="6">
        <f>'BALANCE SHEET '!D6/'BALANCE SHEET '!C6</f>
        <v>1</v>
      </c>
      <c r="F35" s="6">
        <f>'BALANCE SHEET '!E6/'BALANCE SHEET '!D6</f>
        <v>1</v>
      </c>
      <c r="G35" s="6">
        <f>'BALANCE SHEET '!F6/'BALANCE SHEET '!E6</f>
        <v>1</v>
      </c>
      <c r="H35" s="6">
        <f>'BALANCE SHEET '!G6/'BALANCE SHEET '!F6</f>
        <v>1</v>
      </c>
      <c r="L35" s="43"/>
    </row>
    <row r="36" spans="2:12" x14ac:dyDescent="0.2">
      <c r="B36" t="s">
        <v>20</v>
      </c>
      <c r="C36" s="6">
        <v>0</v>
      </c>
      <c r="D36" s="6">
        <v>0</v>
      </c>
      <c r="E36" s="6">
        <v>0</v>
      </c>
      <c r="F36" s="6">
        <v>0</v>
      </c>
      <c r="G36" s="6">
        <v>0</v>
      </c>
      <c r="H36" s="6">
        <v>0</v>
      </c>
    </row>
    <row r="37" spans="2:12" x14ac:dyDescent="0.2">
      <c r="B37" t="s">
        <v>21</v>
      </c>
      <c r="C37" s="6">
        <f>'BALANCE SHEET '!B8/'BALANCE SHEET '!B8</f>
        <v>1</v>
      </c>
      <c r="D37" s="6">
        <f>'BALANCE SHEET '!C8/'BALANCE SHEET '!B8</f>
        <v>1</v>
      </c>
      <c r="E37" s="6">
        <f>'BALANCE SHEET '!D8/'BALANCE SHEET '!C8</f>
        <v>1</v>
      </c>
      <c r="F37" s="6">
        <f>'BALANCE SHEET '!E8/'BALANCE SHEET '!D8</f>
        <v>1</v>
      </c>
      <c r="G37" s="6">
        <f>'BALANCE SHEET '!F8/'BALANCE SHEET '!E8</f>
        <v>1</v>
      </c>
      <c r="H37" s="6">
        <f>'BALANCE SHEET '!G8/'BALANCE SHEET '!F8</f>
        <v>1</v>
      </c>
    </row>
    <row r="38" spans="2:12" x14ac:dyDescent="0.2">
      <c r="B38" t="s">
        <v>48</v>
      </c>
      <c r="C38" s="6">
        <f>'BALANCE SHEET '!B9/'BALANCE SHEET '!B9</f>
        <v>1</v>
      </c>
      <c r="D38" s="6">
        <f>'BALANCE SHEET '!C9/'BALANCE SHEET '!B9</f>
        <v>0.77988935431701512</v>
      </c>
      <c r="E38" s="6">
        <f>'BALANCE SHEET '!D9/'BALANCE SHEET '!C9</f>
        <v>0.5969879875353119</v>
      </c>
      <c r="F38" s="6">
        <f>'BALANCE SHEET '!E9/'BALANCE SHEET '!D9</f>
        <v>0.14403543736089738</v>
      </c>
      <c r="G38" s="6">
        <f>'BALANCE SHEET '!F9/'BALANCE SHEET '!E9</f>
        <v>-19.641813315332218</v>
      </c>
      <c r="H38" s="6">
        <f>'BALANCE SHEET '!G9/'BALANCE SHEET '!F9</f>
        <v>0.80641052551375181</v>
      </c>
    </row>
    <row r="39" spans="2:12" x14ac:dyDescent="0.2">
      <c r="B39" s="2" t="s">
        <v>60</v>
      </c>
      <c r="C39" s="6">
        <f>'BALANCE SHEET '!B10/'BALANCE SHEET '!B10</f>
        <v>1</v>
      </c>
      <c r="D39" s="6">
        <f>'BALANCE SHEET '!C10/'BALANCE SHEET '!B10</f>
        <v>1.2643854375405521</v>
      </c>
      <c r="E39" s="6">
        <f>'BALANCE SHEET '!D10/'BALANCE SHEET '!C10</f>
        <v>1.2985849961544014</v>
      </c>
      <c r="F39" s="6">
        <f>'BALANCE SHEET '!E10/'BALANCE SHEET '!D10</f>
        <v>1.291541904329671</v>
      </c>
      <c r="G39" s="6">
        <f>'BALANCE SHEET '!F10/'BALANCE SHEET '!E10</f>
        <v>1.784068310332368</v>
      </c>
      <c r="H39" s="6">
        <f>'BALANCE SHEET '!G10/'BALANCE SHEET '!F10</f>
        <v>0.91904234944286944</v>
      </c>
    </row>
    <row r="40" spans="2:12" x14ac:dyDescent="0.2">
      <c r="B40" s="11"/>
      <c r="C40" s="6"/>
      <c r="D40" s="6"/>
      <c r="E40" s="6"/>
      <c r="F40" s="6"/>
      <c r="G40" s="6"/>
      <c r="H40" s="6"/>
    </row>
    <row r="41" spans="2:12" x14ac:dyDescent="0.2">
      <c r="B41" t="s">
        <v>22</v>
      </c>
      <c r="C41" s="6"/>
      <c r="D41" s="6"/>
      <c r="E41" s="6"/>
      <c r="F41" s="6"/>
      <c r="G41" s="6"/>
      <c r="H41" s="6"/>
    </row>
    <row r="42" spans="2:12" x14ac:dyDescent="0.2">
      <c r="B42" t="s">
        <v>23</v>
      </c>
      <c r="C42" s="6">
        <v>0</v>
      </c>
      <c r="D42" s="6">
        <v>0</v>
      </c>
      <c r="E42" s="6">
        <v>0</v>
      </c>
      <c r="F42" s="6">
        <v>0</v>
      </c>
      <c r="G42" s="6">
        <v>0</v>
      </c>
      <c r="H42" s="6">
        <v>0</v>
      </c>
    </row>
    <row r="43" spans="2:12" x14ac:dyDescent="0.2">
      <c r="B43" t="s">
        <v>24</v>
      </c>
      <c r="C43" s="6">
        <v>0</v>
      </c>
      <c r="D43" s="6">
        <v>0</v>
      </c>
      <c r="E43" s="6">
        <v>0</v>
      </c>
      <c r="F43" s="6">
        <v>0</v>
      </c>
      <c r="G43" s="6">
        <v>0</v>
      </c>
      <c r="H43" s="6">
        <v>0</v>
      </c>
    </row>
    <row r="44" spans="2:12" x14ac:dyDescent="0.2">
      <c r="B44" t="s">
        <v>47</v>
      </c>
      <c r="C44" s="6">
        <f>'BALANCE SHEET '!B15/'BALANCE SHEET '!B15</f>
        <v>1</v>
      </c>
      <c r="D44" s="6">
        <f>'BALANCE SHEET '!C15/'BALANCE SHEET '!B15</f>
        <v>2.2796653578416599</v>
      </c>
      <c r="E44" s="6">
        <f>'BALANCE SHEET '!D15/'BALANCE SHEET '!C15</f>
        <v>1.3557043746572273</v>
      </c>
      <c r="F44" s="6">
        <f>'BALANCE SHEET '!E15/'BALANCE SHEET '!D15</f>
        <v>0.90097700775277978</v>
      </c>
      <c r="G44" s="6">
        <f>'BALANCE SHEET '!F15/'BALANCE SHEET '!E15</f>
        <v>0.73309129966149789</v>
      </c>
      <c r="H44" s="6">
        <f>'BALANCE SHEET '!G15/'BALANCE SHEET '!F15</f>
        <v>1.3001651922178024</v>
      </c>
    </row>
    <row r="45" spans="2:12" x14ac:dyDescent="0.2">
      <c r="B45" t="s">
        <v>25</v>
      </c>
      <c r="C45" s="6">
        <v>0</v>
      </c>
      <c r="D45" s="6">
        <v>0</v>
      </c>
      <c r="E45" s="6">
        <v>0</v>
      </c>
      <c r="F45" s="6">
        <v>0</v>
      </c>
      <c r="G45" s="6">
        <v>0</v>
      </c>
      <c r="H45" s="6">
        <v>0</v>
      </c>
    </row>
    <row r="46" spans="2:12" x14ac:dyDescent="0.2">
      <c r="C46" s="6"/>
      <c r="D46" s="6"/>
      <c r="E46" s="6"/>
      <c r="F46" s="6"/>
      <c r="G46" s="6"/>
      <c r="H46" s="6"/>
    </row>
    <row r="47" spans="2:12" x14ac:dyDescent="0.2">
      <c r="C47" s="6"/>
      <c r="D47" s="6"/>
      <c r="E47" s="6"/>
      <c r="F47" s="6"/>
      <c r="G47" s="6"/>
      <c r="H47" s="6"/>
    </row>
    <row r="48" spans="2:12" x14ac:dyDescent="0.2">
      <c r="B48" t="s">
        <v>26</v>
      </c>
      <c r="C48" s="6"/>
      <c r="D48" s="6"/>
      <c r="E48" s="6"/>
      <c r="F48" s="6"/>
      <c r="G48" s="6"/>
      <c r="H48" s="6"/>
    </row>
    <row r="49" spans="2:12" x14ac:dyDescent="0.2">
      <c r="B49" t="s">
        <v>27</v>
      </c>
      <c r="C49" s="6">
        <f>'BALANCE SHEET '!B20/'BALANCE SHEET '!B20</f>
        <v>1</v>
      </c>
      <c r="D49" s="6">
        <f>'BALANCE SHEET '!C20/'BALANCE SHEET '!B20</f>
        <v>0.93485099893687496</v>
      </c>
      <c r="E49" s="6">
        <f>'BALANCE SHEET '!D20/'BALANCE SHEET '!C20</f>
        <v>1.5416550365864841</v>
      </c>
      <c r="F49" s="6">
        <f>'BALANCE SHEET '!E20/'BALANCE SHEET '!D20</f>
        <v>0.84481621128211493</v>
      </c>
      <c r="G49" s="6">
        <f>'BALANCE SHEET '!F20/'BALANCE SHEET '!E20</f>
        <v>0.46806648268995932</v>
      </c>
      <c r="H49" s="6">
        <f>'BALANCE SHEET '!G20/'BALANCE SHEET '!F20</f>
        <v>0.24177221336089028</v>
      </c>
      <c r="L49" s="2" t="s">
        <v>53</v>
      </c>
    </row>
    <row r="50" spans="2:12" x14ac:dyDescent="0.2">
      <c r="B50" t="s">
        <v>28</v>
      </c>
      <c r="C50" s="6">
        <f>'BALANCE SHEET '!B21/'BALANCE SHEET '!B21</f>
        <v>1</v>
      </c>
      <c r="D50" s="6">
        <f>'BALANCE SHEET '!C21/'BALANCE SHEET '!B21</f>
        <v>0.8441770833333333</v>
      </c>
      <c r="E50" s="6">
        <f>'BALANCE SHEET '!D21/'BALANCE SHEET '!C21</f>
        <v>0.9254574844831629</v>
      </c>
      <c r="F50" s="6">
        <f>'BALANCE SHEET '!E21/'BALANCE SHEET '!D21</f>
        <v>1.0418133333333333</v>
      </c>
      <c r="G50" s="6">
        <f>'BALANCE SHEET '!F21/'BALANCE SHEET '!E21</f>
        <v>1.196541926896693</v>
      </c>
      <c r="H50" s="6">
        <f>'BALANCE SHEET '!G21/'BALANCE SHEET '!F21</f>
        <v>0.41187040741018044</v>
      </c>
      <c r="L50" s="43" t="s">
        <v>75</v>
      </c>
    </row>
    <row r="51" spans="2:12" x14ac:dyDescent="0.2">
      <c r="B51" t="s">
        <v>29</v>
      </c>
      <c r="C51" s="6">
        <f>'BALANCE SHEET '!B22/'BALANCE SHEET '!B22</f>
        <v>1</v>
      </c>
      <c r="D51" s="6">
        <f>'BALANCE SHEET '!C22/'BALANCE SHEET '!B22</f>
        <v>1.6574585635359116</v>
      </c>
      <c r="E51" s="6">
        <f>'BALANCE SHEET '!D22/'BALANCE SHEET '!C22</f>
        <v>1.4553333333333334</v>
      </c>
      <c r="F51" s="6">
        <f>'BALANCE SHEET '!E22/'BALANCE SHEET '!D22</f>
        <v>0.89329656436097116</v>
      </c>
      <c r="G51" s="6">
        <f>'BALANCE SHEET '!F22/'BALANCE SHEET '!E22</f>
        <v>2.0922364489742504</v>
      </c>
      <c r="H51" s="6">
        <f>'BALANCE SHEET '!G22/'BALANCE SHEET '!F22</f>
        <v>3.5649607843137254E-2</v>
      </c>
      <c r="L51" s="43"/>
    </row>
    <row r="52" spans="2:12" x14ac:dyDescent="0.2">
      <c r="B52" t="s">
        <v>30</v>
      </c>
      <c r="C52" s="6">
        <v>0</v>
      </c>
      <c r="D52" s="6">
        <v>0</v>
      </c>
      <c r="E52" s="6">
        <v>0</v>
      </c>
      <c r="F52" s="6">
        <v>0</v>
      </c>
      <c r="G52" s="6">
        <v>0</v>
      </c>
      <c r="H52" s="6">
        <v>0</v>
      </c>
      <c r="L52" s="43"/>
    </row>
    <row r="53" spans="2:12" x14ac:dyDescent="0.2">
      <c r="B53" t="s">
        <v>31</v>
      </c>
      <c r="C53" s="6">
        <v>0</v>
      </c>
      <c r="D53" s="6">
        <v>0</v>
      </c>
      <c r="E53" s="6">
        <v>0</v>
      </c>
      <c r="F53" s="6">
        <v>0</v>
      </c>
      <c r="G53" s="6">
        <v>0</v>
      </c>
      <c r="H53" s="6">
        <v>0</v>
      </c>
      <c r="L53" s="43"/>
    </row>
    <row r="54" spans="2:12" x14ac:dyDescent="0.2">
      <c r="B54" t="s">
        <v>63</v>
      </c>
      <c r="C54" s="6">
        <f>'BALANCE SHEET '!B25/'BALANCE SHEET '!B25</f>
        <v>1</v>
      </c>
      <c r="D54" s="6">
        <f>'BALANCE SHEET '!C25/'BALANCE SHEET '!B25</f>
        <v>0.62605304263446282</v>
      </c>
      <c r="E54" s="6">
        <f>'BALANCE SHEET '!D25/'BALANCE SHEET '!C25</f>
        <v>6.0987540098435496E-2</v>
      </c>
      <c r="F54" s="6">
        <f>'BALANCE SHEET '!E25/'BALANCE SHEET '!D25</f>
        <v>1.2420943890727527</v>
      </c>
      <c r="G54" s="6">
        <f>'BALANCE SHEET '!F25/'BALANCE SHEET '!E25</f>
        <v>15.519929768358798</v>
      </c>
      <c r="H54" s="6">
        <f>'BALANCE SHEET '!G25/'BALANCE SHEET '!F25</f>
        <v>1.0340604836068664E-3</v>
      </c>
    </row>
    <row r="55" spans="2:12" x14ac:dyDescent="0.2">
      <c r="B55" t="s">
        <v>51</v>
      </c>
      <c r="C55" s="6">
        <v>0</v>
      </c>
      <c r="D55" s="6">
        <v>0</v>
      </c>
      <c r="E55" s="6">
        <v>0</v>
      </c>
      <c r="F55" s="6">
        <v>0</v>
      </c>
      <c r="G55" s="6">
        <f>'BALANCE SHEET '!F26/'BALANCE SHEET '!E26</f>
        <v>1</v>
      </c>
      <c r="H55" s="6">
        <f>'BALANCE SHEET '!G26/'BALANCE SHEET '!F26</f>
        <v>1</v>
      </c>
    </row>
    <row r="56" spans="2:12" ht="15" customHeight="1" x14ac:dyDescent="0.2">
      <c r="B56" t="s">
        <v>32</v>
      </c>
      <c r="C56" s="6">
        <f>'BALANCE SHEET '!B27/'BALANCE SHEET '!B27</f>
        <v>1</v>
      </c>
      <c r="D56" s="6">
        <f>'BALANCE SHEET '!C27/'BALANCE SHEET '!B27</f>
        <v>0.70919409393652311</v>
      </c>
      <c r="E56" s="6">
        <f>'BALANCE SHEET '!D27/'BALANCE SHEET '!C27</f>
        <v>1.1333450154873193</v>
      </c>
      <c r="F56" s="6">
        <f>'BALANCE SHEET '!E27/'BALANCE SHEET '!D27</f>
        <v>0.80392334076282779</v>
      </c>
      <c r="G56" s="6">
        <f>'BALANCE SHEET '!F27/'BALANCE SHEET '!E27</f>
        <v>0.40278491385758047</v>
      </c>
      <c r="H56" s="6">
        <f>'BALANCE SHEET '!G27/'BALANCE SHEET '!F27</f>
        <v>1.0658751559915758</v>
      </c>
      <c r="L56" s="43" t="s">
        <v>76</v>
      </c>
    </row>
    <row r="57" spans="2:12" x14ac:dyDescent="0.2">
      <c r="B57" s="2" t="s">
        <v>61</v>
      </c>
      <c r="C57" s="6">
        <f>'BALANCE SHEET '!B28/'BALANCE SHEET '!B28</f>
        <v>1</v>
      </c>
      <c r="D57" s="6">
        <f>'BALANCE SHEET '!C28/'BALANCE SHEET '!B28</f>
        <v>1.0640538053220532</v>
      </c>
      <c r="E57" s="6">
        <f>'BALANCE SHEET '!D28/'BALANCE SHEET '!C28</f>
        <v>1.4546008560845018</v>
      </c>
      <c r="F57" s="6">
        <f>'BALANCE SHEET '!E28/'BALANCE SHEET '!D28</f>
        <v>0.89230371156673327</v>
      </c>
      <c r="G57" s="6">
        <f>'BALANCE SHEET '!F28/'BALANCE SHEET '!E28</f>
        <v>0.95970630348213826</v>
      </c>
      <c r="H57" s="6">
        <f>'BALANCE SHEET '!G28/'BALANCE SHEET '!F28</f>
        <v>0.18376913692111216</v>
      </c>
      <c r="L57" s="43"/>
    </row>
    <row r="58" spans="2:12" x14ac:dyDescent="0.2">
      <c r="B58" s="2" t="s">
        <v>59</v>
      </c>
      <c r="C58" s="6">
        <f>'BALANCE SHEET '!B29/'BALANCE SHEET '!B29</f>
        <v>1</v>
      </c>
      <c r="D58" s="6">
        <f>'BALANCE SHEET '!C29/'BALANCE SHEET '!B29</f>
        <v>1.1332190566670683</v>
      </c>
      <c r="E58" s="6">
        <f>'BALANCE SHEET '!D29/'BALANCE SHEET '!C29</f>
        <v>1.3945010881212141</v>
      </c>
      <c r="F58" s="6">
        <f>'BALANCE SHEET '!E29/'BALANCE SHEET '!D29</f>
        <v>1.0355184289527279</v>
      </c>
      <c r="G58" s="6">
        <f>'BALANCE SHEET '!F29/'BALANCE SHEET '!E29</f>
        <v>1.3285345775305266</v>
      </c>
      <c r="H58" s="6">
        <f>'BALANCE SHEET '!G29/'BALANCE SHEET '!F29</f>
        <v>0.62553647672026658</v>
      </c>
      <c r="L58" s="43"/>
    </row>
    <row r="59" spans="2:12" ht="41.25" customHeight="1" x14ac:dyDescent="0.2">
      <c r="C59" s="6"/>
      <c r="D59" s="6"/>
      <c r="E59" s="6"/>
      <c r="F59" s="6"/>
      <c r="G59" s="6"/>
      <c r="H59" s="6"/>
      <c r="L59" s="19" t="s">
        <v>77</v>
      </c>
    </row>
    <row r="60" spans="2:12" x14ac:dyDescent="0.2">
      <c r="C60" s="6"/>
      <c r="D60" s="6"/>
      <c r="E60" s="6"/>
      <c r="F60" s="6"/>
      <c r="G60" s="6"/>
      <c r="H60" s="6"/>
      <c r="L60" s="21"/>
    </row>
    <row r="61" spans="2:12" x14ac:dyDescent="0.2">
      <c r="B61" t="s">
        <v>33</v>
      </c>
      <c r="C61" s="6"/>
      <c r="D61" s="6"/>
      <c r="E61" s="6"/>
      <c r="F61" s="6"/>
      <c r="G61" s="6"/>
      <c r="H61" s="6"/>
      <c r="L61" s="43" t="s">
        <v>78</v>
      </c>
    </row>
    <row r="62" spans="2:12" x14ac:dyDescent="0.2">
      <c r="B62" t="s">
        <v>34</v>
      </c>
      <c r="C62" s="6">
        <f>'BALANCE SHEET '!B33/'BALANCE SHEET '!B33</f>
        <v>1</v>
      </c>
      <c r="D62" s="6">
        <f>'BALANCE SHEET '!C33/'BALANCE SHEET '!B33</f>
        <v>0.98720481553425321</v>
      </c>
      <c r="E62" s="6">
        <f>'BALANCE SHEET '!D33/'BALANCE SHEET '!C33</f>
        <v>0.99063561271761025</v>
      </c>
      <c r="F62" s="6">
        <f>'BALANCE SHEET '!E33/'BALANCE SHEET '!D33</f>
        <v>1.0020642167361393</v>
      </c>
      <c r="G62" s="6">
        <f>'BALANCE SHEET '!F33/'BALANCE SHEET '!E33</f>
        <v>0.22116063659989327</v>
      </c>
      <c r="H62" s="6">
        <f>'BALANCE SHEET '!G33/'BALANCE SHEET '!F33</f>
        <v>0.92648998125542348</v>
      </c>
      <c r="L62" s="43"/>
    </row>
    <row r="63" spans="2:12" x14ac:dyDescent="0.2">
      <c r="B63" t="s">
        <v>35</v>
      </c>
      <c r="C63" s="6">
        <v>0</v>
      </c>
      <c r="D63" s="6">
        <v>0</v>
      </c>
      <c r="E63" s="6">
        <v>0</v>
      </c>
      <c r="F63" s="6">
        <v>0</v>
      </c>
      <c r="G63" s="6">
        <v>0</v>
      </c>
      <c r="H63" s="6">
        <v>0</v>
      </c>
      <c r="L63" s="43"/>
    </row>
    <row r="64" spans="2:12" x14ac:dyDescent="0.2">
      <c r="B64" t="s">
        <v>36</v>
      </c>
      <c r="C64" s="6">
        <v>0</v>
      </c>
      <c r="D64" s="6">
        <v>0</v>
      </c>
      <c r="E64" s="6">
        <v>0</v>
      </c>
      <c r="F64" s="6">
        <v>0</v>
      </c>
      <c r="G64" s="6">
        <v>0</v>
      </c>
      <c r="H64" s="6">
        <v>0</v>
      </c>
      <c r="L64" s="43"/>
    </row>
    <row r="65" spans="2:12" x14ac:dyDescent="0.2">
      <c r="B65" t="s">
        <v>37</v>
      </c>
      <c r="C65" s="6">
        <v>0</v>
      </c>
      <c r="D65" s="6">
        <v>0</v>
      </c>
      <c r="E65" s="6">
        <v>0</v>
      </c>
      <c r="F65" s="6">
        <v>0</v>
      </c>
      <c r="G65" s="6">
        <v>0</v>
      </c>
      <c r="H65" s="6">
        <v>0</v>
      </c>
      <c r="L65" t="s">
        <v>79</v>
      </c>
    </row>
    <row r="66" spans="2:12" x14ac:dyDescent="0.2">
      <c r="C66" s="6"/>
      <c r="D66" s="6"/>
      <c r="E66" s="6"/>
      <c r="F66" s="6"/>
      <c r="G66" s="6"/>
      <c r="H66" s="6"/>
    </row>
    <row r="67" spans="2:12" x14ac:dyDescent="0.2">
      <c r="B67" t="s">
        <v>38</v>
      </c>
      <c r="C67" s="6"/>
      <c r="D67" s="6"/>
      <c r="E67" s="6"/>
      <c r="F67" s="6"/>
      <c r="G67" s="6"/>
      <c r="H67" s="6"/>
    </row>
    <row r="68" spans="2:12" x14ac:dyDescent="0.2">
      <c r="B68" t="s">
        <v>39</v>
      </c>
      <c r="C68" s="6">
        <v>0</v>
      </c>
      <c r="D68" s="6">
        <v>0</v>
      </c>
      <c r="E68" s="6">
        <v>0</v>
      </c>
      <c r="F68" s="6">
        <v>0</v>
      </c>
      <c r="G68" s="6">
        <v>0</v>
      </c>
      <c r="H68" s="6">
        <v>0</v>
      </c>
      <c r="I68" s="4"/>
    </row>
    <row r="69" spans="2:12" x14ac:dyDescent="0.2">
      <c r="B69" t="s">
        <v>40</v>
      </c>
      <c r="C69" s="6">
        <f>'BALANCE SHEET '!B40/'BALANCE SHEET '!B40</f>
        <v>1</v>
      </c>
      <c r="D69" s="6">
        <f>'BALANCE SHEET '!C40/'BALANCE SHEET '!B40</f>
        <v>1.1619934625431616</v>
      </c>
      <c r="E69" s="6">
        <f>'BALANCE SHEET '!D40/'BALANCE SHEET '!C40</f>
        <v>1.4130596040990753</v>
      </c>
      <c r="F69" s="6">
        <f>'BALANCE SHEET '!E40/'BALANCE SHEET '!D40</f>
        <v>1.2166304636154341</v>
      </c>
      <c r="G69" s="6">
        <f>'BALANCE SHEET '!F40/'BALANCE SHEET '!E40</f>
        <v>0.94381286038770273</v>
      </c>
      <c r="H69" s="6">
        <f>'BALANCE SHEET '!G40/'BALANCE SHEET '!F40</f>
        <v>0.80029368284757285</v>
      </c>
    </row>
    <row r="70" spans="2:12" x14ac:dyDescent="0.2">
      <c r="B70" t="s">
        <v>41</v>
      </c>
      <c r="C70" s="6">
        <f>'BALANCE SHEET '!B41/'BALANCE SHEET '!B41</f>
        <v>1</v>
      </c>
      <c r="D70" s="6">
        <f>'BALANCE SHEET '!C41/'BALANCE SHEET '!B41</f>
        <v>2.5781702748319497</v>
      </c>
      <c r="E70" s="6">
        <f>'BALANCE SHEET '!D41/'BALANCE SHEET '!C41</f>
        <v>2.2663008336017718</v>
      </c>
      <c r="F70" s="6">
        <f>'BALANCE SHEET '!E41/'BALANCE SHEET '!D41</f>
        <v>0</v>
      </c>
      <c r="G70" s="6">
        <v>0</v>
      </c>
      <c r="H70" s="6">
        <v>0</v>
      </c>
    </row>
    <row r="71" spans="2:12" x14ac:dyDescent="0.2">
      <c r="B71" t="s">
        <v>36</v>
      </c>
      <c r="C71" s="6">
        <v>0</v>
      </c>
      <c r="D71" s="6">
        <v>0</v>
      </c>
      <c r="E71" s="6">
        <v>0</v>
      </c>
      <c r="F71" s="6">
        <v>0</v>
      </c>
      <c r="G71" s="6">
        <v>0</v>
      </c>
      <c r="H71" s="6">
        <v>0</v>
      </c>
      <c r="I71" s="4"/>
    </row>
    <row r="72" spans="2:12" x14ac:dyDescent="0.2">
      <c r="B72" t="s">
        <v>46</v>
      </c>
      <c r="C72" s="6">
        <f>'BALANCE SHEET '!B43/'BALANCE SHEET '!B43</f>
        <v>1</v>
      </c>
      <c r="D72" s="6">
        <f>'BALANCE SHEET '!C43/'BALANCE SHEET '!B43</f>
        <v>1.148757492414344</v>
      </c>
      <c r="E72" s="6">
        <f>'BALANCE SHEET '!D43/'BALANCE SHEET '!C43</f>
        <v>1.3767872004338086</v>
      </c>
      <c r="F72" s="6">
        <f>'BALANCE SHEET '!E43/'BALANCE SHEET '!D43</f>
        <v>0.64873881574615389</v>
      </c>
      <c r="G72" s="6">
        <f>'BALANCE SHEET '!F43/'BALANCE SHEET '!E43</f>
        <v>3.73879727484585</v>
      </c>
      <c r="H72" s="6">
        <f>'BALANCE SHEET '!G43/'BALANCE SHEET '!F43</f>
        <v>0.66152625620727168</v>
      </c>
    </row>
    <row r="73" spans="2:12" x14ac:dyDescent="0.2">
      <c r="B73" t="s">
        <v>42</v>
      </c>
      <c r="C73" s="6">
        <v>0</v>
      </c>
      <c r="D73" s="6">
        <v>0</v>
      </c>
      <c r="E73" s="6">
        <v>0</v>
      </c>
      <c r="F73" s="6">
        <v>0</v>
      </c>
      <c r="G73" s="6">
        <v>0</v>
      </c>
      <c r="H73" s="6">
        <v>0</v>
      </c>
    </row>
    <row r="74" spans="2:12" x14ac:dyDescent="0.2">
      <c r="B74" t="s">
        <v>43</v>
      </c>
      <c r="C74" s="6">
        <v>0</v>
      </c>
      <c r="D74" s="6">
        <v>0</v>
      </c>
      <c r="E74" s="6">
        <v>0</v>
      </c>
      <c r="F74" s="6">
        <v>0</v>
      </c>
      <c r="G74" s="6">
        <v>0</v>
      </c>
      <c r="H74" s="6">
        <v>0</v>
      </c>
    </row>
    <row r="75" spans="2:12" x14ac:dyDescent="0.2">
      <c r="B75" t="s">
        <v>45</v>
      </c>
      <c r="C75" s="6">
        <v>0</v>
      </c>
      <c r="D75" s="6">
        <v>0</v>
      </c>
      <c r="E75" s="6">
        <v>0</v>
      </c>
      <c r="F75" s="6">
        <v>0</v>
      </c>
      <c r="G75" s="6">
        <v>0</v>
      </c>
      <c r="H75" s="6">
        <v>0</v>
      </c>
    </row>
    <row r="76" spans="2:12" x14ac:dyDescent="0.2">
      <c r="B76" t="s">
        <v>44</v>
      </c>
      <c r="C76" s="6">
        <f>'BALANCE SHEET '!B47/'BALANCE SHEET '!B47</f>
        <v>1</v>
      </c>
      <c r="D76" s="6">
        <f>'BALANCE SHEET '!C47/'BALANCE SHEET '!B47</f>
        <v>0.93426303295356894</v>
      </c>
      <c r="E76" s="6">
        <f>'BALANCE SHEET '!D47/'BALANCE SHEET '!C47</f>
        <v>8.2950723872146792</v>
      </c>
      <c r="F76" s="6">
        <f>'BALANCE SHEET '!E47/'BALANCE SHEET '!D47</f>
        <v>0.46166739525005107</v>
      </c>
      <c r="G76" s="6">
        <f>'BALANCE SHEET '!F47/'BALANCE SHEET '!E47</f>
        <v>14.402601124223439</v>
      </c>
      <c r="H76" s="6">
        <f>'BALANCE SHEET '!G47/'BALANCE SHEET '!F47</f>
        <v>5.5664495478934317E-2</v>
      </c>
    </row>
    <row r="77" spans="2:12" x14ac:dyDescent="0.2">
      <c r="B77" s="2" t="s">
        <v>49</v>
      </c>
      <c r="C77" s="6">
        <f>'BALANCE SHEET '!B48/'BALANCE SHEET '!B48</f>
        <v>1</v>
      </c>
      <c r="D77" s="6">
        <f>'BALANCE SHEET '!C48/'BALANCE SHEET '!B48</f>
        <v>1.1332190566670683</v>
      </c>
      <c r="E77" s="6">
        <f>'BALANCE SHEET '!D48/'BALANCE SHEET '!C48</f>
        <v>1.3945010881212141</v>
      </c>
      <c r="F77" s="6">
        <f>'BALANCE SHEET '!E48/'BALANCE SHEET '!D48</f>
        <v>1.0355184289527279</v>
      </c>
      <c r="G77" s="6">
        <f>'BALANCE SHEET '!F48/'BALANCE SHEET '!E48</f>
        <v>1.3285345775305266</v>
      </c>
      <c r="H77" s="6">
        <f>'BALANCE SHEET '!G48/'BALANCE SHEET '!F48</f>
        <v>0.62553647672026658</v>
      </c>
    </row>
    <row r="78" spans="2:12" x14ac:dyDescent="0.2">
      <c r="C78" s="6"/>
      <c r="D78" s="6"/>
      <c r="E78" s="6"/>
      <c r="F78" s="6"/>
      <c r="G78" s="6"/>
      <c r="H78" s="6"/>
    </row>
  </sheetData>
  <mergeCells count="7">
    <mergeCell ref="L56:L58"/>
    <mergeCell ref="L61:L64"/>
    <mergeCell ref="L14:L18"/>
    <mergeCell ref="L19:L23"/>
    <mergeCell ref="L25:L29"/>
    <mergeCell ref="L31:L35"/>
    <mergeCell ref="L50:L5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0840-8B64-9C48-9AD1-F7DA637B1B9E}">
  <dimension ref="A2:G27"/>
  <sheetViews>
    <sheetView topLeftCell="A13" zoomScaleNormal="60" zoomScaleSheetLayoutView="100" workbookViewId="0">
      <selection activeCell="B18" sqref="B18:F18"/>
    </sheetView>
  </sheetViews>
  <sheetFormatPr defaultRowHeight="15" x14ac:dyDescent="0.2"/>
  <cols>
    <col min="1" max="1" width="26.6328125" customWidth="1"/>
    <col min="2" max="2" width="16.6796875" customWidth="1"/>
    <col min="3" max="3" width="18.5625" customWidth="1"/>
    <col min="4" max="5" width="15.87109375" customWidth="1"/>
    <col min="6" max="6" width="16.94921875" customWidth="1"/>
    <col min="7" max="7" width="32.015625" customWidth="1"/>
  </cols>
  <sheetData>
    <row r="2" spans="1:7" x14ac:dyDescent="0.2">
      <c r="B2" s="2">
        <v>2015</v>
      </c>
      <c r="C2" s="2">
        <v>2016</v>
      </c>
      <c r="D2" s="2">
        <v>2017</v>
      </c>
      <c r="E2" s="2">
        <v>2018</v>
      </c>
      <c r="F2" s="2">
        <v>2019</v>
      </c>
      <c r="G2" s="34" t="s">
        <v>136</v>
      </c>
    </row>
    <row r="3" spans="1:7" x14ac:dyDescent="0.2">
      <c r="B3" s="11"/>
      <c r="C3" s="11"/>
      <c r="D3" s="11"/>
      <c r="E3" s="11"/>
      <c r="F3" s="11"/>
    </row>
    <row r="4" spans="1:7" x14ac:dyDescent="0.2">
      <c r="A4" t="s">
        <v>94</v>
      </c>
      <c r="B4" s="1">
        <v>59291533</v>
      </c>
      <c r="C4" s="1">
        <v>57003078</v>
      </c>
      <c r="D4" s="1">
        <v>46426249</v>
      </c>
      <c r="E4" s="1">
        <v>21306759</v>
      </c>
      <c r="F4" s="1">
        <v>23578301</v>
      </c>
    </row>
    <row r="6" spans="1:7" x14ac:dyDescent="0.2">
      <c r="A6" t="s">
        <v>115</v>
      </c>
      <c r="B6" s="1">
        <v>15000000</v>
      </c>
      <c r="C6" s="1">
        <v>21830000</v>
      </c>
      <c r="D6" s="1">
        <v>19500664</v>
      </c>
      <c r="E6" s="1">
        <v>40800000</v>
      </c>
      <c r="F6" s="1">
        <v>1454504</v>
      </c>
    </row>
    <row r="8" spans="1:7" x14ac:dyDescent="0.2">
      <c r="A8" t="s">
        <v>134</v>
      </c>
      <c r="B8">
        <v>10.86</v>
      </c>
      <c r="C8">
        <v>9.3000000000000007</v>
      </c>
      <c r="D8">
        <v>22.96</v>
      </c>
      <c r="E8">
        <v>18.7</v>
      </c>
      <c r="F8">
        <v>11.02</v>
      </c>
    </row>
    <row r="10" spans="1:7" x14ac:dyDescent="0.2">
      <c r="A10" t="s">
        <v>13</v>
      </c>
      <c r="B10" s="1">
        <v>35251989</v>
      </c>
      <c r="C10" s="1">
        <f>45777704</f>
        <v>45777704</v>
      </c>
      <c r="D10" s="1">
        <v>34847181</v>
      </c>
      <c r="E10" s="1">
        <v>105480938</v>
      </c>
      <c r="F10" s="1">
        <v>96941450</v>
      </c>
    </row>
    <row r="12" spans="1:7" x14ac:dyDescent="0.2">
      <c r="A12" t="s">
        <v>174</v>
      </c>
      <c r="B12" s="1">
        <v>114147074</v>
      </c>
      <c r="C12" s="1">
        <v>127715522</v>
      </c>
      <c r="D12" s="1">
        <v>133215713</v>
      </c>
      <c r="E12" s="1">
        <v>51697926</v>
      </c>
      <c r="F12" s="1">
        <v>48015064</v>
      </c>
    </row>
    <row r="14" spans="1:7" x14ac:dyDescent="0.2">
      <c r="A14" t="s">
        <v>175</v>
      </c>
      <c r="B14">
        <f>B12/'VALUATION OR EQUITY RATIO'!B3</f>
        <v>19.035314327222238</v>
      </c>
      <c r="C14">
        <f>C12/'VALUATION OR EQUITY RATIO'!C3</f>
        <v>21.265428016573409</v>
      </c>
      <c r="D14">
        <f>D12/'VALUATION OR EQUITY RATIO'!D3</f>
        <v>22.235302390804023</v>
      </c>
      <c r="E14">
        <f>E12/'VALUATION OR EQUITY RATIO'!E3</f>
        <v>8.6178546504816769</v>
      </c>
      <c r="F14">
        <f>F12/'VALUATION OR EQUITY RATIO'!F3</f>
        <v>7.7031126081563679</v>
      </c>
      <c r="G14" s="44" t="s">
        <v>177</v>
      </c>
    </row>
    <row r="15" spans="1:7" x14ac:dyDescent="0.2">
      <c r="G15" s="44"/>
    </row>
    <row r="16" spans="1:7" x14ac:dyDescent="0.2">
      <c r="A16" t="s">
        <v>180</v>
      </c>
      <c r="B16" s="1">
        <v>35251989</v>
      </c>
      <c r="C16" s="1">
        <v>45777704</v>
      </c>
      <c r="D16" s="1">
        <v>59123823</v>
      </c>
      <c r="E16" s="1">
        <v>105480939</v>
      </c>
      <c r="F16" s="1">
        <v>96941450</v>
      </c>
    </row>
    <row r="18" spans="1:7" x14ac:dyDescent="0.2">
      <c r="A18" t="s">
        <v>185</v>
      </c>
      <c r="B18">
        <f>B27/'VALUATION OR EQUITY RATIO'!B3</f>
        <v>-2.3915541382506369</v>
      </c>
      <c r="C18">
        <f>C27/'VALUATION OR EQUITY RATIO'!C3</f>
        <v>-2.7248836803142908</v>
      </c>
      <c r="D18">
        <f>D27/'VALUATION OR EQUITY RATIO'!D3</f>
        <v>-2.8337783563392471</v>
      </c>
      <c r="E18">
        <f>E27/'VALUATION OR EQUITY RATIO'!E3</f>
        <v>-0.74387221430586603</v>
      </c>
      <c r="F18">
        <f>F27/'VALUATION OR EQUITY RATIO'!F3</f>
        <v>9.1158270847151501E-2</v>
      </c>
    </row>
    <row r="20" spans="1:7" x14ac:dyDescent="0.2">
      <c r="A20" t="s">
        <v>186</v>
      </c>
      <c r="B20">
        <f>B24/'VALUATION OR EQUITY RATIO'!B3</f>
        <v>5.8786674748647592</v>
      </c>
      <c r="C20">
        <f>C24/'VALUATION OR EQUITY RATIO'!C3</f>
        <v>7.6222721712401142</v>
      </c>
      <c r="D20">
        <f>D24/'VALUATION OR EQUITY RATIO'!D3</f>
        <v>9.8684761226731101</v>
      </c>
      <c r="E20">
        <f>E24/'VALUATION OR EQUITY RATIO'!E3</f>
        <v>17.583285656339946</v>
      </c>
      <c r="F20">
        <f>F24/'VALUATION OR EQUITY RATIO'!F3</f>
        <v>15.552429665572458</v>
      </c>
      <c r="G20" s="45" t="s">
        <v>189</v>
      </c>
    </row>
    <row r="21" spans="1:7" x14ac:dyDescent="0.2">
      <c r="G21" s="45"/>
    </row>
    <row r="22" spans="1:7" x14ac:dyDescent="0.2">
      <c r="G22" s="45"/>
    </row>
    <row r="24" spans="1:7" x14ac:dyDescent="0.2">
      <c r="A24" t="s">
        <v>187</v>
      </c>
      <c r="B24" s="1">
        <v>35251989</v>
      </c>
      <c r="C24" s="1">
        <v>45777704</v>
      </c>
      <c r="D24" s="1">
        <v>59123823</v>
      </c>
      <c r="E24" s="1">
        <v>105480939</v>
      </c>
      <c r="F24" s="1">
        <v>96941450</v>
      </c>
      <c r="G24" s="45" t="s">
        <v>188</v>
      </c>
    </row>
    <row r="25" spans="1:7" x14ac:dyDescent="0.2">
      <c r="G25" s="45"/>
    </row>
    <row r="26" spans="1:7" x14ac:dyDescent="0.2">
      <c r="G26" s="45"/>
    </row>
    <row r="27" spans="1:7" x14ac:dyDescent="0.2">
      <c r="A27" t="s">
        <v>190</v>
      </c>
      <c r="B27" s="1">
        <v>-14341182</v>
      </c>
      <c r="C27" s="1">
        <v>-16365057</v>
      </c>
      <c r="D27" s="1">
        <v>-16977678</v>
      </c>
      <c r="E27" s="1">
        <v>-4462439</v>
      </c>
      <c r="F27" s="1">
        <v>568208</v>
      </c>
    </row>
  </sheetData>
  <mergeCells count="3">
    <mergeCell ref="G14:G15"/>
    <mergeCell ref="G24:G26"/>
    <mergeCell ref="G20:G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8BA0-542A-614A-A893-01A2DDCEF0FC}">
  <dimension ref="A1:K21"/>
  <sheetViews>
    <sheetView topLeftCell="A10" zoomScaleNormal="60" zoomScaleSheetLayoutView="100" workbookViewId="0">
      <selection activeCell="H7" sqref="H7:H10"/>
    </sheetView>
  </sheetViews>
  <sheetFormatPr defaultRowHeight="15" x14ac:dyDescent="0.2"/>
  <cols>
    <col min="1" max="1" width="22.05859375" customWidth="1"/>
    <col min="2" max="2" width="12.5078125" bestFit="1" customWidth="1"/>
    <col min="8" max="8" width="26.5" customWidth="1"/>
    <col min="10" max="10" width="16.8125" customWidth="1"/>
    <col min="11" max="11" width="51.38671875" customWidth="1"/>
  </cols>
  <sheetData>
    <row r="1" spans="1:11" ht="15" customHeight="1" x14ac:dyDescent="0.2">
      <c r="B1" s="2">
        <v>2015</v>
      </c>
      <c r="C1" s="2">
        <v>2016</v>
      </c>
      <c r="D1" s="2">
        <v>2017</v>
      </c>
      <c r="E1" s="2">
        <v>2018</v>
      </c>
      <c r="F1" s="2">
        <v>2019</v>
      </c>
    </row>
    <row r="2" spans="1:11" x14ac:dyDescent="0.2">
      <c r="B2" s="11"/>
      <c r="C2" s="11"/>
      <c r="D2" s="11"/>
      <c r="E2" s="11"/>
      <c r="F2" s="11"/>
      <c r="H2" s="34" t="s">
        <v>83</v>
      </c>
    </row>
    <row r="3" spans="1:11" ht="15" customHeight="1" x14ac:dyDescent="0.2">
      <c r="A3" t="s">
        <v>81</v>
      </c>
      <c r="B3">
        <f>'BALANCE SHEET '!C48/'BALANCE SHEET '!C28</f>
        <v>1.6265869129038586</v>
      </c>
      <c r="C3">
        <f>'BALANCE SHEET '!D48/'BALANCE SHEET '!D28</f>
        <v>1.5593811941469027</v>
      </c>
      <c r="D3">
        <f>'BALANCE SHEET '!E48/'BALANCE SHEET '!E28</f>
        <v>1.8096618263149125</v>
      </c>
      <c r="E3">
        <f>'BALANCE SHEET '!F48/'BALANCE SHEET '!F28</f>
        <v>2.5051396465493254</v>
      </c>
      <c r="F3">
        <f>'BALANCE SHEET '!G48/'BALANCE SHEET '!G28</f>
        <v>8.527309070768613</v>
      </c>
      <c r="H3" s="45" t="s">
        <v>82</v>
      </c>
      <c r="I3" s="15"/>
      <c r="K3" s="30" t="s">
        <v>53</v>
      </c>
    </row>
    <row r="4" spans="1:11" ht="15" customHeight="1" x14ac:dyDescent="0.2">
      <c r="H4" s="45"/>
      <c r="I4" s="15"/>
      <c r="J4" s="3" t="s">
        <v>54</v>
      </c>
      <c r="K4" s="42" t="s">
        <v>85</v>
      </c>
    </row>
    <row r="5" spans="1:11" x14ac:dyDescent="0.2">
      <c r="H5" s="20"/>
      <c r="K5" s="42"/>
    </row>
    <row r="6" spans="1:11" x14ac:dyDescent="0.2">
      <c r="K6" s="42"/>
    </row>
    <row r="7" spans="1:11" ht="15" customHeight="1" x14ac:dyDescent="0.2">
      <c r="A7" t="s">
        <v>84</v>
      </c>
      <c r="B7">
        <f>('BALANCE SHEET '!C47+'BALANCE SHEET '!C41)/'BALANCE SHEET '!C28</f>
        <v>4.9286891897940027E-2</v>
      </c>
      <c r="C7">
        <f>('BALANCE SHEET '!D47+'BALANCE SHEET '!D41)/'BALANCE SHEET '!D28</f>
        <v>0.12532431500777222</v>
      </c>
      <c r="D7">
        <f>('BALANCE SHEET '!E47+'BALANCE SHEET '!E41)/'BALANCE SHEET '!E28</f>
        <v>3.4550632027413992E-2</v>
      </c>
      <c r="E7">
        <f>('BALANCE SHEET '!F47+'BALANCE SHEET '!F41)/'BALANCE SHEET '!F28</f>
        <v>0.5185117258010431</v>
      </c>
      <c r="F7">
        <f>('BALANCE SHEET '!G47+'BALANCE SHEET '!G41)/'BALANCE SHEET '!G28</f>
        <v>0.26650382847309961</v>
      </c>
      <c r="H7" s="45" t="s">
        <v>90</v>
      </c>
      <c r="J7" s="3" t="s">
        <v>56</v>
      </c>
      <c r="K7" s="42" t="s">
        <v>91</v>
      </c>
    </row>
    <row r="8" spans="1:11" x14ac:dyDescent="0.2">
      <c r="H8" s="45"/>
      <c r="K8" s="42"/>
    </row>
    <row r="9" spans="1:11" x14ac:dyDescent="0.2">
      <c r="H9" s="45"/>
      <c r="K9" s="42"/>
    </row>
    <row r="10" spans="1:11" x14ac:dyDescent="0.2">
      <c r="H10" s="45"/>
      <c r="J10" s="3"/>
    </row>
    <row r="11" spans="1:11" x14ac:dyDescent="0.2">
      <c r="H11" s="20"/>
      <c r="J11" s="3"/>
    </row>
    <row r="12" spans="1:11" ht="15" customHeight="1" x14ac:dyDescent="0.2">
      <c r="A12" t="s">
        <v>86</v>
      </c>
      <c r="B12">
        <f>('BALANCE SHEET '!B47+'BALANCE SHEET '!B42)/'BALANCE SHEET '!C28</f>
        <v>1.2534123953121217E-2</v>
      </c>
      <c r="C12">
        <f>('BALANCE SHEET '!C47+'BALANCE SHEET '!C42)/'BALANCE SHEET '!D28</f>
        <v>8.0504343242176184E-3</v>
      </c>
      <c r="D12">
        <f>('BALANCE SHEET '!D47+'BALANCE SHEET '!D42)/'BALANCE SHEET '!E28</f>
        <v>7.4838796031286695E-2</v>
      </c>
      <c r="E12">
        <f>('BALANCE SHEET '!E47+'BALANCE SHEET '!E42)/'BALANCE SHEET '!F28</f>
        <v>3.6001255698803518E-2</v>
      </c>
      <c r="F12">
        <f>('BALANCE SHEET '!F47+'BALANCE SHEET '!F42)/'BALANCE SHEET '!G28</f>
        <v>2.8215386679626633</v>
      </c>
      <c r="H12" s="45" t="s">
        <v>87</v>
      </c>
      <c r="J12" s="3" t="s">
        <v>58</v>
      </c>
      <c r="K12" s="42" t="s">
        <v>88</v>
      </c>
    </row>
    <row r="13" spans="1:11" x14ac:dyDescent="0.2">
      <c r="H13" s="45"/>
      <c r="K13" s="42"/>
    </row>
    <row r="14" spans="1:11" x14ac:dyDescent="0.2">
      <c r="K14" s="42"/>
    </row>
    <row r="15" spans="1:11" x14ac:dyDescent="0.2">
      <c r="A15" t="s">
        <v>146</v>
      </c>
      <c r="B15">
        <f>'EFFICIENCY '!B6+'EFFICIENCY '!B11 -'EFFICIENCY '!B15</f>
        <v>-444.01827822569794</v>
      </c>
      <c r="C15">
        <f>'EFFICIENCY '!C6+'EFFICIENCY '!C11 -'EFFICIENCY '!C15</f>
        <v>-544.13890621449957</v>
      </c>
      <c r="D15">
        <f>'EFFICIENCY '!D6+'EFFICIENCY '!D11 -'EFFICIENCY '!D15</f>
        <v>-721.53958543062981</v>
      </c>
      <c r="E15">
        <f>'EFFICIENCY '!E6+'EFFICIENCY '!E11 -'EFFICIENCY '!E15</f>
        <v>-603.84692243736743</v>
      </c>
      <c r="F15">
        <f>'EFFICIENCY '!F6+'EFFICIENCY '!F11 -'EFFICIENCY '!F15</f>
        <v>-887.92250973970499</v>
      </c>
      <c r="H15" s="45" t="s">
        <v>147</v>
      </c>
    </row>
    <row r="16" spans="1:11" ht="13.5" customHeight="1" x14ac:dyDescent="0.2">
      <c r="H16" s="45"/>
      <c r="K16" s="46" t="s">
        <v>89</v>
      </c>
    </row>
    <row r="17" spans="8:11" x14ac:dyDescent="0.2">
      <c r="H17" s="45"/>
      <c r="K17" s="46"/>
    </row>
    <row r="18" spans="8:11" x14ac:dyDescent="0.2">
      <c r="H18" s="45"/>
      <c r="K18" s="46"/>
    </row>
    <row r="19" spans="8:11" x14ac:dyDescent="0.2">
      <c r="J19" s="3" t="s">
        <v>65</v>
      </c>
      <c r="K19" s="41" t="s">
        <v>150</v>
      </c>
    </row>
    <row r="20" spans="8:11" x14ac:dyDescent="0.2">
      <c r="J20" s="3"/>
      <c r="K20" s="41"/>
    </row>
    <row r="21" spans="8:11" x14ac:dyDescent="0.2">
      <c r="K21" s="41"/>
    </row>
  </sheetData>
  <mergeCells count="9">
    <mergeCell ref="K19:K21"/>
    <mergeCell ref="K16:K18"/>
    <mergeCell ref="K4:K6"/>
    <mergeCell ref="H7:H10"/>
    <mergeCell ref="K7:K9"/>
    <mergeCell ref="H12:H13"/>
    <mergeCell ref="K12:K14"/>
    <mergeCell ref="H3:H4"/>
    <mergeCell ref="H15:H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24AD0-C5CF-5640-A452-F465CE86DC98}">
  <dimension ref="A1:L57"/>
  <sheetViews>
    <sheetView topLeftCell="A7" zoomScaleNormal="60" zoomScaleSheetLayoutView="100" workbookViewId="0">
      <selection activeCell="L29" sqref="L29:L35"/>
    </sheetView>
  </sheetViews>
  <sheetFormatPr defaultRowHeight="15" x14ac:dyDescent="0.2"/>
  <cols>
    <col min="1" max="1" width="39.81640625" customWidth="1"/>
    <col min="2" max="2" width="25.828125" customWidth="1"/>
    <col min="3" max="3" width="23.67578125" customWidth="1"/>
    <col min="4" max="4" width="20.4453125" customWidth="1"/>
    <col min="5" max="5" width="18.29296875" customWidth="1"/>
    <col min="6" max="6" width="29.0546875" customWidth="1"/>
    <col min="7" max="7" width="7.26171875" customWidth="1"/>
    <col min="8" max="8" width="20.984375" customWidth="1"/>
    <col min="12" max="12" width="44.390625" customWidth="1"/>
  </cols>
  <sheetData>
    <row r="1" spans="1:12" x14ac:dyDescent="0.2">
      <c r="B1" s="2">
        <v>2015</v>
      </c>
      <c r="C1" s="2">
        <v>2016</v>
      </c>
      <c r="D1" s="2">
        <v>2017</v>
      </c>
      <c r="E1" s="2">
        <v>2018</v>
      </c>
      <c r="F1" s="2">
        <v>2019</v>
      </c>
    </row>
    <row r="2" spans="1:12" x14ac:dyDescent="0.2">
      <c r="H2" s="47" t="s">
        <v>83</v>
      </c>
      <c r="I2" s="47"/>
      <c r="J2" s="47"/>
    </row>
    <row r="3" spans="1:12" ht="15" customHeight="1" x14ac:dyDescent="0.2">
      <c r="A3" t="s">
        <v>92</v>
      </c>
      <c r="B3">
        <f>'INCOME STATEMENT '!D2/AVERAGE('BALANCE SHEET '!C41,'BALANCE SHEET '!B41)</f>
        <v>77.807983515054687</v>
      </c>
      <c r="C3">
        <f>'INCOME STATEMENT '!E2/AVERAGE('BALANCE SHEET '!D41,'BALANCE SHEET '!C41)</f>
        <v>36.991018096749443</v>
      </c>
      <c r="D3">
        <f>'INCOME STATEMENT '!F2/AVERAGE('BALANCE SHEET '!E41,'BALANCE SHEET '!D41)</f>
        <v>55.609203990950796</v>
      </c>
      <c r="E3" s="4">
        <v>0.52615537290000003</v>
      </c>
      <c r="F3">
        <f>'INCOME STATEMENT '!H2/AVERAGE('BALANCE SHEET '!G41,'BALANCE SHEET '!F41)</f>
        <v>68.130971916852374</v>
      </c>
      <c r="H3" s="42" t="s">
        <v>102</v>
      </c>
      <c r="I3" s="42"/>
      <c r="J3" s="42"/>
      <c r="L3" s="45" t="s">
        <v>93</v>
      </c>
    </row>
    <row r="4" spans="1:12" x14ac:dyDescent="0.2">
      <c r="H4" s="42"/>
      <c r="I4" s="42"/>
      <c r="J4" s="42"/>
      <c r="L4" s="45"/>
    </row>
    <row r="5" spans="1:12" x14ac:dyDescent="0.2">
      <c r="H5" s="42"/>
      <c r="I5" s="42"/>
      <c r="J5" s="42"/>
      <c r="L5" s="45"/>
    </row>
    <row r="6" spans="1:12" ht="15" customHeight="1" x14ac:dyDescent="0.2">
      <c r="A6" t="s">
        <v>95</v>
      </c>
      <c r="B6">
        <f>365/B3</f>
        <v>4.6910353348172551</v>
      </c>
      <c r="C6">
        <f t="shared" ref="C6:F6" si="0">365/C3</f>
        <v>9.8672601831435962</v>
      </c>
      <c r="D6">
        <f t="shared" si="0"/>
        <v>6.5636616567896908</v>
      </c>
      <c r="E6">
        <f t="shared" si="0"/>
        <v>693.71143734261761</v>
      </c>
      <c r="F6">
        <f t="shared" si="0"/>
        <v>5.357328535477949</v>
      </c>
      <c r="H6" s="42" t="s">
        <v>96</v>
      </c>
      <c r="I6" s="42"/>
      <c r="J6" s="42"/>
    </row>
    <row r="7" spans="1:12" x14ac:dyDescent="0.2">
      <c r="H7" s="42"/>
      <c r="I7" s="42"/>
      <c r="J7" s="42"/>
    </row>
    <row r="8" spans="1:12" ht="15" customHeight="1" x14ac:dyDescent="0.2">
      <c r="A8" t="s">
        <v>97</v>
      </c>
      <c r="B8">
        <f>('INCOME STATEMENT '!D3)*2/('BALANCE SHEET '!C40+ 'BALANCE SHEET '!B40)</f>
        <v>-1.645129705151636</v>
      </c>
      <c r="C8">
        <f>('INCOME STATEMENT '!E3)*2/('BALANCE SHEET '!D40+ 'BALANCE SHEET '!C40)</f>
        <v>-1.3812580464464319</v>
      </c>
      <c r="D8">
        <f>('INCOME STATEMENT '!F3)*2/('BALANCE SHEET '!E40+ 'BALANCE SHEET '!D40)</f>
        <v>-1.1060378861951536</v>
      </c>
      <c r="E8">
        <f>('INCOME STATEMENT '!G3)*2/('BALANCE SHEET '!F40+ 'BALANCE SHEET '!E40)</f>
        <v>-0.51092101676796209</v>
      </c>
      <c r="F8">
        <f>('INCOME STATEMENT '!H3)*2/('BALANCE SHEET '!G40+ 'BALANCE SHEET '!F40)</f>
        <v>-0.53312719422762223</v>
      </c>
      <c r="H8" s="42" t="s">
        <v>98</v>
      </c>
      <c r="I8" s="42"/>
      <c r="J8" s="42"/>
      <c r="L8" s="45" t="s">
        <v>99</v>
      </c>
    </row>
    <row r="9" spans="1:12" x14ac:dyDescent="0.2">
      <c r="H9" s="42"/>
      <c r="I9" s="42"/>
      <c r="J9" s="42"/>
      <c r="L9" s="45"/>
    </row>
    <row r="11" spans="1:12" x14ac:dyDescent="0.2">
      <c r="A11" t="s">
        <v>151</v>
      </c>
      <c r="B11">
        <f>365/B8</f>
        <v>-221.86700468481115</v>
      </c>
      <c r="C11">
        <f t="shared" ref="C11:F11" si="1">365/C8</f>
        <v>-264.25185427084892</v>
      </c>
      <c r="D11">
        <f t="shared" si="1"/>
        <v>-330.00677875115571</v>
      </c>
      <c r="E11">
        <f t="shared" si="1"/>
        <v>-714.39613564725801</v>
      </c>
      <c r="F11">
        <f t="shared" si="1"/>
        <v>-684.63962062336816</v>
      </c>
      <c r="H11" s="41" t="s">
        <v>100</v>
      </c>
      <c r="I11" s="41"/>
      <c r="J11" s="41"/>
    </row>
    <row r="13" spans="1:12" ht="27.75" x14ac:dyDescent="0.2">
      <c r="A13" t="s">
        <v>101</v>
      </c>
      <c r="B13">
        <f>'NOTES TO FS'!B4*2/('BALANCE SHEET '!C20+'BALANCE SHEET '!B20)</f>
        <v>1.6090472796236528</v>
      </c>
      <c r="C13">
        <f>'NOTES TO FS'!C4*2/('BALANCE SHEET '!D20+'BALANCE SHEET '!C20)</f>
        <v>1.2596878966904859</v>
      </c>
      <c r="D13">
        <f>'NOTES TO FS'!D4*2/('BALANCE SHEET '!E20+'BALANCE SHEET '!D20)</f>
        <v>0.91686319530896232</v>
      </c>
      <c r="E13">
        <f>'NOTES TO FS'!E4*2/('BALANCE SHEET '!F20+'BALANCE SHEET '!E20)</f>
        <v>0.62589788037595251</v>
      </c>
      <c r="F13">
        <f>'NOTES TO FS'!F4*2/('BALANCE SHEET '!G20+'BALANCE SHEET '!F20)</f>
        <v>1.7494230216396889</v>
      </c>
      <c r="H13" s="42" t="s">
        <v>103</v>
      </c>
      <c r="I13" s="42"/>
      <c r="J13" s="42"/>
      <c r="L13" s="35" t="s">
        <v>104</v>
      </c>
    </row>
    <row r="14" spans="1:12" ht="15" customHeight="1" x14ac:dyDescent="0.2">
      <c r="H14" s="25"/>
      <c r="I14" s="25"/>
      <c r="J14" s="25"/>
      <c r="L14" s="23"/>
    </row>
    <row r="15" spans="1:12" x14ac:dyDescent="0.2">
      <c r="A15" t="s">
        <v>105</v>
      </c>
      <c r="B15">
        <f>365/B13</f>
        <v>226.84230887570405</v>
      </c>
      <c r="C15">
        <f t="shared" ref="C15:G15" si="2">365/C13</f>
        <v>289.75431212679428</v>
      </c>
      <c r="D15">
        <f t="shared" si="2"/>
        <v>398.09646833626385</v>
      </c>
      <c r="E15">
        <f t="shared" si="2"/>
        <v>583.16222413272703</v>
      </c>
      <c r="F15">
        <f t="shared" si="2"/>
        <v>208.64021765181468</v>
      </c>
      <c r="H15" s="42" t="s">
        <v>106</v>
      </c>
      <c r="I15" s="42"/>
      <c r="J15" s="42"/>
    </row>
    <row r="17" spans="1:12" ht="15" customHeight="1" x14ac:dyDescent="0.2">
      <c r="A17" t="s">
        <v>107</v>
      </c>
      <c r="B17">
        <f>('INCOME STATEMENT '!D2 * 2)/('BALANCE SHEET '!C33+'BALANCE SHEET '!B33)</f>
        <v>6.3010078834998513</v>
      </c>
      <c r="C17">
        <f>('INCOME STATEMENT '!E2 * 2)/('BALANCE SHEET '!D33+'BALANCE SHEET '!C33)</f>
        <v>7.1290640843947344</v>
      </c>
      <c r="D17">
        <f>('INCOME STATEMENT '!F2 * 2)/('BALANCE SHEET '!E33+'BALANCE SHEET '!D33)</f>
        <v>7.4635271819347917</v>
      </c>
      <c r="E17">
        <f>('INCOME STATEMENT '!G2 * 2)/('BALANCE SHEET '!F33+'BALANCE SHEET '!E33)</f>
        <v>4.738833377996567</v>
      </c>
      <c r="F17">
        <f>('INCOME STATEMENT '!H2 * 2)/('BALANCE SHEET '!G33+'BALANCE SHEET '!F33)</f>
        <v>12.614616173589917</v>
      </c>
      <c r="H17" s="42" t="s">
        <v>108</v>
      </c>
      <c r="I17" s="42"/>
      <c r="J17" s="42"/>
      <c r="L17" s="45" t="s">
        <v>109</v>
      </c>
    </row>
    <row r="18" spans="1:12" x14ac:dyDescent="0.2">
      <c r="H18" s="42"/>
      <c r="I18" s="42"/>
      <c r="J18" s="42"/>
      <c r="L18" s="45"/>
    </row>
    <row r="19" spans="1:12" x14ac:dyDescent="0.2">
      <c r="H19" s="42"/>
      <c r="I19" s="42"/>
      <c r="J19" s="42"/>
    </row>
    <row r="20" spans="1:12" x14ac:dyDescent="0.2">
      <c r="H20" s="24"/>
      <c r="I20" s="24"/>
      <c r="J20" s="24"/>
    </row>
    <row r="21" spans="1:12" x14ac:dyDescent="0.2">
      <c r="A21" t="s">
        <v>110</v>
      </c>
      <c r="B21">
        <f>('INCOME STATEMENT '!D2*2)/('BALANCE SHEET '!C48+'BALANCE SHEET '!B48)</f>
        <v>1.3252371862402397</v>
      </c>
      <c r="C21">
        <f>('INCOME STATEMENT '!E2*2)/('BALANCE SHEET '!D48+'BALANCE SHEET '!C48)</f>
        <v>1.1656792341050968</v>
      </c>
      <c r="D21">
        <f>('INCOME STATEMENT '!F2*2)/('BALANCE SHEET '!E48+'BALANCE SHEET '!D48)</f>
        <v>1.0256802031167775</v>
      </c>
      <c r="E21">
        <f>('INCOME STATEMENT '!G2*2)/('BALANCE SHEET '!F48+'BALANCE SHEET '!E48)</f>
        <v>0.33601924769467328</v>
      </c>
      <c r="F21">
        <f>('INCOME STATEMENT '!H2*2)/('BALANCE SHEET '!G48+'BALANCE SHEET '!F48)</f>
        <v>0.33649735620760562</v>
      </c>
      <c r="H21" s="15" t="s">
        <v>111</v>
      </c>
      <c r="I21" s="15"/>
      <c r="J21" s="15"/>
      <c r="L21" s="45" t="s">
        <v>112</v>
      </c>
    </row>
    <row r="22" spans="1:12" x14ac:dyDescent="0.2">
      <c r="L22" s="45"/>
    </row>
    <row r="27" spans="1:12" x14ac:dyDescent="0.2">
      <c r="L27" s="30" t="s">
        <v>148</v>
      </c>
    </row>
    <row r="28" spans="1:12" x14ac:dyDescent="0.2">
      <c r="L28" s="11"/>
    </row>
    <row r="29" spans="1:12" x14ac:dyDescent="0.2">
      <c r="K29" s="3" t="s">
        <v>54</v>
      </c>
      <c r="L29" s="42" t="s">
        <v>152</v>
      </c>
    </row>
    <row r="30" spans="1:12" x14ac:dyDescent="0.2">
      <c r="L30" s="42"/>
    </row>
    <row r="31" spans="1:12" x14ac:dyDescent="0.2">
      <c r="L31" s="42"/>
    </row>
    <row r="32" spans="1:12" x14ac:dyDescent="0.2">
      <c r="L32" s="42"/>
    </row>
    <row r="33" spans="11:12" x14ac:dyDescent="0.2">
      <c r="L33" s="42"/>
    </row>
    <row r="34" spans="11:12" x14ac:dyDescent="0.2">
      <c r="L34" s="42"/>
    </row>
    <row r="35" spans="11:12" x14ac:dyDescent="0.2">
      <c r="L35" s="42"/>
    </row>
    <row r="36" spans="11:12" ht="15" customHeight="1" x14ac:dyDescent="0.2">
      <c r="K36" s="3" t="s">
        <v>56</v>
      </c>
      <c r="L36" s="42" t="s">
        <v>153</v>
      </c>
    </row>
    <row r="37" spans="11:12" x14ac:dyDescent="0.2">
      <c r="L37" s="42"/>
    </row>
    <row r="38" spans="11:12" x14ac:dyDescent="0.2">
      <c r="L38" s="42"/>
    </row>
    <row r="39" spans="11:12" x14ac:dyDescent="0.2">
      <c r="L39" s="42"/>
    </row>
    <row r="40" spans="11:12" x14ac:dyDescent="0.2">
      <c r="L40" s="42"/>
    </row>
    <row r="41" spans="11:12" x14ac:dyDescent="0.2">
      <c r="L41" s="42"/>
    </row>
    <row r="42" spans="11:12" x14ac:dyDescent="0.2">
      <c r="L42" s="42"/>
    </row>
    <row r="43" spans="11:12" x14ac:dyDescent="0.2">
      <c r="L43" s="42"/>
    </row>
    <row r="44" spans="11:12" x14ac:dyDescent="0.2">
      <c r="L44" s="42"/>
    </row>
    <row r="45" spans="11:12" x14ac:dyDescent="0.2">
      <c r="K45" s="3" t="s">
        <v>58</v>
      </c>
      <c r="L45" s="42" t="s">
        <v>167</v>
      </c>
    </row>
    <row r="46" spans="11:12" x14ac:dyDescent="0.2">
      <c r="L46" s="42"/>
    </row>
    <row r="47" spans="11:12" x14ac:dyDescent="0.2">
      <c r="L47" s="42"/>
    </row>
    <row r="48" spans="11:12" x14ac:dyDescent="0.2">
      <c r="L48" s="42"/>
    </row>
    <row r="49" spans="11:12" x14ac:dyDescent="0.2">
      <c r="L49" s="42"/>
    </row>
    <row r="50" spans="11:12" x14ac:dyDescent="0.2">
      <c r="L50" s="42"/>
    </row>
    <row r="51" spans="11:12" x14ac:dyDescent="0.2">
      <c r="K51" s="3" t="s">
        <v>65</v>
      </c>
      <c r="L51" s="42" t="s">
        <v>168</v>
      </c>
    </row>
    <row r="52" spans="11:12" x14ac:dyDescent="0.2">
      <c r="L52" s="42"/>
    </row>
    <row r="53" spans="11:12" x14ac:dyDescent="0.2">
      <c r="L53" s="42"/>
    </row>
    <row r="54" spans="11:12" s="15" customFormat="1" ht="15" customHeight="1" x14ac:dyDescent="0.2">
      <c r="K54" s="3" t="s">
        <v>80</v>
      </c>
      <c r="L54" s="42" t="s">
        <v>169</v>
      </c>
    </row>
    <row r="55" spans="11:12" x14ac:dyDescent="0.2">
      <c r="L55" s="42"/>
    </row>
    <row r="56" spans="11:12" x14ac:dyDescent="0.2">
      <c r="L56" s="42"/>
    </row>
    <row r="57" spans="11:12" x14ac:dyDescent="0.2">
      <c r="L57" s="31"/>
    </row>
  </sheetData>
  <mergeCells count="17">
    <mergeCell ref="H2:J2"/>
    <mergeCell ref="L21:L22"/>
    <mergeCell ref="L3:L5"/>
    <mergeCell ref="H3:J5"/>
    <mergeCell ref="H6:J7"/>
    <mergeCell ref="H17:J19"/>
    <mergeCell ref="L17:L18"/>
    <mergeCell ref="H15:J15"/>
    <mergeCell ref="L8:L9"/>
    <mergeCell ref="H8:J9"/>
    <mergeCell ref="H11:J11"/>
    <mergeCell ref="H13:J13"/>
    <mergeCell ref="L54:L56"/>
    <mergeCell ref="L29:L35"/>
    <mergeCell ref="L36:L44"/>
    <mergeCell ref="L45:L50"/>
    <mergeCell ref="L51:L5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28594-7795-C041-90EF-5EC353CAE4B7}">
  <dimension ref="A1:T48"/>
  <sheetViews>
    <sheetView zoomScaleNormal="60" zoomScaleSheetLayoutView="100" workbookViewId="0">
      <selection activeCell="H11" sqref="H11:H12"/>
    </sheetView>
  </sheetViews>
  <sheetFormatPr defaultColWidth="8.609375" defaultRowHeight="15" x14ac:dyDescent="0.2"/>
  <cols>
    <col min="1" max="1" width="27.171875" customWidth="1"/>
    <col min="2" max="2" width="15.19921875" customWidth="1"/>
    <col min="3" max="3" width="15.73828125" customWidth="1"/>
    <col min="4" max="5" width="16.8125" customWidth="1"/>
    <col min="6" max="6" width="16.54296875" customWidth="1"/>
    <col min="8" max="8" width="25.9609375" customWidth="1"/>
  </cols>
  <sheetData>
    <row r="1" spans="1:20" x14ac:dyDescent="0.2">
      <c r="B1" s="2">
        <v>2015</v>
      </c>
      <c r="C1" s="2">
        <v>2016</v>
      </c>
      <c r="D1" s="2">
        <v>2017</v>
      </c>
      <c r="E1" s="2">
        <v>2018</v>
      </c>
      <c r="F1" s="2">
        <v>2019</v>
      </c>
    </row>
    <row r="2" spans="1:20" x14ac:dyDescent="0.2">
      <c r="B2" s="26"/>
      <c r="C2" s="26"/>
      <c r="D2" s="26"/>
      <c r="E2" s="26"/>
      <c r="F2" s="26"/>
      <c r="H2" s="34" t="s">
        <v>170</v>
      </c>
    </row>
    <row r="3" spans="1:20" x14ac:dyDescent="0.2">
      <c r="A3" s="41" t="s">
        <v>113</v>
      </c>
      <c r="B3" s="6">
        <f>'NOTES TO FS'!B6/'BALANCE SHEET '!C48</f>
        <v>0.16391235090819409</v>
      </c>
      <c r="C3" s="6">
        <f>'NOTES TO FS'!C6/'BALANCE SHEET '!D48</f>
        <v>0.17106269048747413</v>
      </c>
      <c r="D3" s="6">
        <f>'NOTES TO FS'!D6/'BALANCE SHEET '!E48</f>
        <v>0.14756831885391841</v>
      </c>
      <c r="E3" s="6">
        <f>'NOTES TO FS'!E6/'BALANCE SHEET '!F48</f>
        <v>0.23239727489360576</v>
      </c>
      <c r="F3" s="6">
        <f>'NOTES TO FS'!F6/'BALANCE SHEET '!G48</f>
        <v>1.3244426219888887E-2</v>
      </c>
      <c r="H3" s="29" t="s">
        <v>114</v>
      </c>
    </row>
    <row r="4" spans="1:20" x14ac:dyDescent="0.2">
      <c r="A4" s="41"/>
    </row>
    <row r="6" spans="1:20" x14ac:dyDescent="0.2">
      <c r="A6" t="s">
        <v>116</v>
      </c>
      <c r="B6" s="6">
        <f>'NOTES TO FS'!B6/'BALANCE SHEET '!C10</f>
        <v>0.42550790538372174</v>
      </c>
      <c r="C6" s="6">
        <f>'NOTES TO FS'!C6/'BALANCE SHEET '!D10</f>
        <v>0.47686970058611938</v>
      </c>
      <c r="D6" s="6">
        <f>'NOTES TO FS'!D6/'BALANCE SHEET '!E10</f>
        <v>0.32982752147133654</v>
      </c>
      <c r="E6" s="6">
        <f>'NOTES TO FS'!E6/'BALANCE SHEET '!F10</f>
        <v>0.38679974208420725</v>
      </c>
      <c r="F6" s="6">
        <f>'NOTES TO FS'!F6/'BALANCE SHEET '!G10</f>
        <v>1.5003943101738214E-2</v>
      </c>
      <c r="H6" s="29" t="s">
        <v>117</v>
      </c>
    </row>
    <row r="8" spans="1:20" ht="15" customHeight="1" x14ac:dyDescent="0.2">
      <c r="A8" s="41" t="s">
        <v>118</v>
      </c>
      <c r="B8">
        <f>('BALANCE SHEET '!C48+'BALANCE SHEET '!B48)/('BALANCE SHEET '!C10+'BALANCE SHEET '!B10)</f>
        <v>2.7286427026847995</v>
      </c>
      <c r="C8">
        <f>('BALANCE SHEET '!D48+'BALANCE SHEET '!C48)/('BALANCE SHEET '!D10+'BALANCE SHEET '!C10)</f>
        <v>2.7042723338468035</v>
      </c>
      <c r="D8">
        <f>('BALANCE SHEET '!E48+'BALANCE SHEET '!D48)/('BALANCE SHEET '!E10+'BALANCE SHEET '!D10)</f>
        <v>2.4762339064902266</v>
      </c>
      <c r="E8">
        <f>('BALANCE SHEET '!F48+'BALANCE SHEET '!E48)/('BALANCE SHEET '!F10+'BALANCE SHEET '!E10)</f>
        <v>1.8693755834354293</v>
      </c>
      <c r="F8">
        <f>('BALANCE SHEET '!G48+'BALANCE SHEET '!F48)/('BALANCE SHEET '!G10+'BALANCE SHEET '!F10)</f>
        <v>1.4098318096621218</v>
      </c>
      <c r="H8" s="44" t="s">
        <v>119</v>
      </c>
      <c r="J8" s="44" t="s">
        <v>112</v>
      </c>
      <c r="K8" s="44"/>
      <c r="L8" s="44"/>
      <c r="M8" s="44"/>
      <c r="N8" s="44"/>
      <c r="P8" s="44" t="s">
        <v>120</v>
      </c>
      <c r="Q8" s="44"/>
      <c r="R8" s="44"/>
      <c r="S8" s="44"/>
      <c r="T8" s="44"/>
    </row>
    <row r="9" spans="1:20" x14ac:dyDescent="0.2">
      <c r="A9" s="41"/>
      <c r="H9" s="44"/>
      <c r="J9" s="44"/>
      <c r="K9" s="44"/>
      <c r="L9" s="44"/>
      <c r="M9" s="44"/>
      <c r="N9" s="44"/>
      <c r="P9" s="44"/>
      <c r="Q9" s="44"/>
      <c r="R9" s="44"/>
      <c r="S9" s="44"/>
      <c r="T9" s="44"/>
    </row>
    <row r="10" spans="1:20" x14ac:dyDescent="0.2">
      <c r="J10" s="15"/>
      <c r="K10" s="15"/>
      <c r="L10" s="15"/>
      <c r="M10" s="15"/>
      <c r="N10" s="15"/>
    </row>
    <row r="11" spans="1:20" ht="31.5" customHeight="1" x14ac:dyDescent="0.2">
      <c r="A11" s="36" t="s">
        <v>172</v>
      </c>
      <c r="B11">
        <f>'INCOME STATEMENT '!D10/'INCOME STATEMENT '!D11</f>
        <v>-7.8282996310176607</v>
      </c>
      <c r="C11">
        <f>'INCOME STATEMENT '!E10/'INCOME STATEMENT '!E11</f>
        <v>-7.8943149330966147</v>
      </c>
      <c r="D11">
        <f>'INCOME STATEMENT '!F10/'INCOME STATEMENT '!F11</f>
        <v>-10.054745218938342</v>
      </c>
      <c r="E11">
        <f>'INCOME STATEMENT '!G10/'INCOME STATEMENT '!G11</f>
        <v>5.039790517054179</v>
      </c>
      <c r="F11">
        <f>'INCOME STATEMENT '!H10/'INCOME STATEMENT '!H11</f>
        <v>1.9183454687926464</v>
      </c>
      <c r="H11" s="45" t="s">
        <v>121</v>
      </c>
    </row>
    <row r="12" spans="1:20" x14ac:dyDescent="0.2">
      <c r="H12" s="45"/>
    </row>
    <row r="16" spans="1:20" x14ac:dyDescent="0.2">
      <c r="H16" s="30" t="s">
        <v>148</v>
      </c>
    </row>
    <row r="17" spans="7:8" x14ac:dyDescent="0.2">
      <c r="G17" s="3" t="s">
        <v>54</v>
      </c>
      <c r="H17" s="42" t="s">
        <v>156</v>
      </c>
    </row>
    <row r="18" spans="7:8" x14ac:dyDescent="0.2">
      <c r="H18" s="42"/>
    </row>
    <row r="19" spans="7:8" x14ac:dyDescent="0.2">
      <c r="H19" s="42"/>
    </row>
    <row r="20" spans="7:8" x14ac:dyDescent="0.2">
      <c r="H20" s="42"/>
    </row>
    <row r="21" spans="7:8" x14ac:dyDescent="0.2">
      <c r="H21" s="42"/>
    </row>
    <row r="22" spans="7:8" x14ac:dyDescent="0.2">
      <c r="H22" s="42"/>
    </row>
    <row r="23" spans="7:8" x14ac:dyDescent="0.2">
      <c r="H23" s="42"/>
    </row>
    <row r="24" spans="7:8" x14ac:dyDescent="0.2">
      <c r="G24" s="3" t="s">
        <v>56</v>
      </c>
      <c r="H24" s="42" t="s">
        <v>157</v>
      </c>
    </row>
    <row r="25" spans="7:8" x14ac:dyDescent="0.2">
      <c r="H25" s="42"/>
    </row>
    <row r="26" spans="7:8" x14ac:dyDescent="0.2">
      <c r="H26" s="42"/>
    </row>
    <row r="27" spans="7:8" x14ac:dyDescent="0.2">
      <c r="H27" s="42"/>
    </row>
    <row r="28" spans="7:8" x14ac:dyDescent="0.2">
      <c r="H28" s="42"/>
    </row>
    <row r="29" spans="7:8" x14ac:dyDescent="0.2">
      <c r="H29" s="42"/>
    </row>
    <row r="30" spans="7:8" x14ac:dyDescent="0.2">
      <c r="H30" s="42"/>
    </row>
    <row r="31" spans="7:8" x14ac:dyDescent="0.2">
      <c r="H31" s="42"/>
    </row>
    <row r="32" spans="7:8" x14ac:dyDescent="0.2">
      <c r="H32" s="42"/>
    </row>
    <row r="33" spans="7:8" x14ac:dyDescent="0.2">
      <c r="H33" s="42"/>
    </row>
    <row r="34" spans="7:8" x14ac:dyDescent="0.2">
      <c r="H34" s="42"/>
    </row>
    <row r="35" spans="7:8" x14ac:dyDescent="0.2">
      <c r="H35" s="42"/>
    </row>
    <row r="36" spans="7:8" x14ac:dyDescent="0.2">
      <c r="H36" s="42"/>
    </row>
    <row r="37" spans="7:8" x14ac:dyDescent="0.2">
      <c r="H37" s="42" t="s">
        <v>158</v>
      </c>
    </row>
    <row r="38" spans="7:8" x14ac:dyDescent="0.2">
      <c r="G38" s="3" t="s">
        <v>58</v>
      </c>
      <c r="H38" s="42"/>
    </row>
    <row r="39" spans="7:8" x14ac:dyDescent="0.2">
      <c r="H39" s="42"/>
    </row>
    <row r="40" spans="7:8" x14ac:dyDescent="0.2">
      <c r="H40" s="42"/>
    </row>
    <row r="41" spans="7:8" x14ac:dyDescent="0.2">
      <c r="H41" s="42"/>
    </row>
    <row r="42" spans="7:8" ht="15" customHeight="1" x14ac:dyDescent="0.2">
      <c r="G42" s="3" t="s">
        <v>65</v>
      </c>
      <c r="H42" s="42" t="s">
        <v>159</v>
      </c>
    </row>
    <row r="43" spans="7:8" x14ac:dyDescent="0.2">
      <c r="H43" s="42"/>
    </row>
    <row r="44" spans="7:8" x14ac:dyDescent="0.2">
      <c r="H44" s="42"/>
    </row>
    <row r="45" spans="7:8" x14ac:dyDescent="0.2">
      <c r="H45" s="42"/>
    </row>
    <row r="46" spans="7:8" x14ac:dyDescent="0.2">
      <c r="H46" s="42"/>
    </row>
    <row r="47" spans="7:8" x14ac:dyDescent="0.2">
      <c r="H47" s="42"/>
    </row>
    <row r="48" spans="7:8" x14ac:dyDescent="0.2">
      <c r="H48" s="42"/>
    </row>
  </sheetData>
  <mergeCells count="10">
    <mergeCell ref="H24:H36"/>
    <mergeCell ref="H37:H41"/>
    <mergeCell ref="H42:H48"/>
    <mergeCell ref="P8:T9"/>
    <mergeCell ref="H11:H12"/>
    <mergeCell ref="A3:A4"/>
    <mergeCell ref="A8:A9"/>
    <mergeCell ref="H8:H9"/>
    <mergeCell ref="J8:N9"/>
    <mergeCell ref="H17:H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12</vt:i4>
      </vt:variant>
    </vt:vector>
  </HeadingPairs>
  <TitlesOfParts>
    <vt:vector size="12" baseType="lpstr">
      <vt:lpstr>INCOME STATEMENT </vt:lpstr>
      <vt:lpstr>BALANCE SHEET </vt:lpstr>
      <vt:lpstr>INCOME STATEMENT  (Common size)</vt:lpstr>
      <vt:lpstr>BALANCE SHEET  (common-size)</vt:lpstr>
      <vt:lpstr>HORIZONTAL ANALYSIS </vt:lpstr>
      <vt:lpstr>NOTES TO FS</vt:lpstr>
      <vt:lpstr>LIQUIDITY </vt:lpstr>
      <vt:lpstr>EFFICIENCY </vt:lpstr>
      <vt:lpstr>SOLVENCY</vt:lpstr>
      <vt:lpstr>PROFITABILITY </vt:lpstr>
      <vt:lpstr>VALUATION OR EQUITY RATIO</vt:lpstr>
      <vt:lpstr>DU-PONT ROE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huzaifaalive@gmail.com</dc:creator>
  <dcterms:created xsi:type="dcterms:W3CDTF">2021-03-08T10:51:21Z</dcterms:created>
</cp:coreProperties>
</file>