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illyoconnor/Desktop/R Projects/Pumpkinseeds/Data/"/>
    </mc:Choice>
  </mc:AlternateContent>
  <xr:revisionPtr revIDLastSave="0" documentId="13_ncr:1_{6FB3F1A5-434B-0B45-B6A1-447E2725C0F3}" xr6:coauthVersionLast="47" xr6:coauthVersionMax="47" xr10:uidLastSave="{00000000-0000-0000-0000-000000000000}"/>
  <bookViews>
    <workbookView xWindow="0" yWindow="500" windowWidth="33600" windowHeight="19360" xr2:uid="{03FF5064-E26D-6F42-BA3E-77DF9D02351C}"/>
  </bookViews>
  <sheets>
    <sheet name="FishData" sheetId="1" r:id="rId1"/>
    <sheet name="LabSamples" sheetId="8" r:id="rId2"/>
    <sheet name="FreezerSamples" sheetId="9" r:id="rId3"/>
    <sheet name="FishSummary" sheetId="4" r:id="rId4"/>
    <sheet name="PopulationSummary" sheetId="7" r:id="rId5"/>
    <sheet name="EnvironmentalData" sheetId="2" r:id="rId6"/>
    <sheet name="EnvSummary" sheetId="6" r:id="rId7"/>
    <sheet name="Legend" sheetId="5" r:id="rId8"/>
    <sheet name="FishCounts" sheetId="3" r:id="rId9"/>
  </sheets>
  <calcPr calcId="191028"/>
  <pivotCaches>
    <pivotCache cacheId="4" r:id="rId10"/>
    <pivotCache cacheId="5" r:id="rId11"/>
    <pivotCache cacheId="6" r:id="rId12"/>
    <pivotCache cacheId="7" r:id="rId1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A32" i="1" l="1"/>
  <c r="CA33" i="1"/>
  <c r="CA74" i="1"/>
  <c r="CA75" i="1"/>
  <c r="CA76" i="1"/>
  <c r="CA77" i="1"/>
  <c r="CA78" i="1"/>
  <c r="CA79" i="1"/>
  <c r="CA80" i="1"/>
  <c r="CA81" i="1"/>
  <c r="CA82" i="1"/>
  <c r="CA83" i="1"/>
  <c r="CA84" i="1"/>
  <c r="CA85" i="1"/>
  <c r="CA86" i="1"/>
  <c r="CA87" i="1"/>
  <c r="CA88" i="1"/>
  <c r="CA89" i="1"/>
  <c r="CA90" i="1"/>
  <c r="CA91" i="1"/>
  <c r="CA117" i="1"/>
  <c r="CA118" i="1"/>
  <c r="CA119" i="1"/>
  <c r="CA120" i="1"/>
  <c r="CA121" i="1"/>
  <c r="CA122" i="1"/>
  <c r="CA123" i="1"/>
  <c r="CA124" i="1"/>
  <c r="CA125" i="1"/>
  <c r="CA126" i="1"/>
  <c r="CA127" i="1"/>
  <c r="CA128" i="1"/>
  <c r="CA129" i="1"/>
  <c r="CA130" i="1"/>
  <c r="CA131" i="1"/>
  <c r="CA132" i="1"/>
  <c r="CA133" i="1"/>
  <c r="CA134" i="1"/>
  <c r="CA135" i="1"/>
  <c r="CA136" i="1"/>
  <c r="CA137" i="1"/>
  <c r="CA138" i="1"/>
  <c r="CA139" i="1"/>
  <c r="CA140" i="1"/>
  <c r="CA141" i="1"/>
  <c r="CA142" i="1"/>
  <c r="CA143" i="1"/>
  <c r="CA144" i="1"/>
  <c r="CA145" i="1"/>
  <c r="CA172" i="1"/>
  <c r="CA173" i="1"/>
  <c r="CA174" i="1"/>
  <c r="CA175" i="1"/>
  <c r="CA176" i="1"/>
  <c r="CA177" i="1"/>
  <c r="CA178" i="1"/>
  <c r="CA179" i="1"/>
  <c r="CA180" i="1"/>
  <c r="CA181" i="1"/>
  <c r="CA182" i="1"/>
  <c r="CA183" i="1"/>
  <c r="CA184" i="1"/>
  <c r="CA185" i="1"/>
  <c r="CA186" i="1"/>
  <c r="CA214" i="1"/>
  <c r="CA215" i="1"/>
  <c r="CA216" i="1"/>
  <c r="CA217" i="1"/>
  <c r="CA218" i="1"/>
  <c r="CA219" i="1"/>
  <c r="CA220" i="1"/>
  <c r="CA221" i="1"/>
  <c r="CA222" i="1"/>
  <c r="CA223" i="1"/>
  <c r="CA224" i="1"/>
  <c r="CA225" i="1"/>
  <c r="CA226" i="1"/>
  <c r="CA227" i="1"/>
  <c r="CA228" i="1"/>
  <c r="CA229" i="1"/>
  <c r="CA230" i="1"/>
  <c r="CA231" i="1"/>
  <c r="CA232" i="1"/>
  <c r="CA233" i="1"/>
  <c r="CA234" i="1"/>
  <c r="CA258" i="1"/>
  <c r="CA259" i="1"/>
  <c r="CA260" i="1"/>
  <c r="CA261" i="1"/>
  <c r="CA262" i="1"/>
  <c r="CA263" i="1"/>
  <c r="CA264" i="1"/>
  <c r="CA265" i="1"/>
  <c r="CA266" i="1"/>
  <c r="CA267" i="1"/>
  <c r="CA268" i="1"/>
  <c r="CA269" i="1"/>
  <c r="CA270" i="1"/>
  <c r="CA271" i="1"/>
  <c r="CA272" i="1"/>
  <c r="CA273" i="1"/>
  <c r="CA294" i="1"/>
  <c r="CA295" i="1"/>
  <c r="CA296" i="1"/>
  <c r="CA297" i="1"/>
  <c r="CA298" i="1"/>
  <c r="CA299" i="1"/>
  <c r="CA300" i="1"/>
  <c r="CA301" i="1"/>
  <c r="CA302" i="1"/>
  <c r="CA303" i="1"/>
  <c r="CA304" i="1"/>
  <c r="CA305" i="1"/>
  <c r="CA306" i="1"/>
  <c r="CA307" i="1"/>
  <c r="CA308" i="1"/>
  <c r="CA309" i="1"/>
  <c r="CA310" i="1"/>
  <c r="CA311" i="1"/>
  <c r="CA312" i="1"/>
  <c r="CA313" i="1"/>
  <c r="CA314" i="1"/>
  <c r="CA315" i="1"/>
  <c r="CA316" i="1"/>
  <c r="CA317" i="1"/>
  <c r="CA318" i="1"/>
  <c r="CA319" i="1"/>
  <c r="CA337" i="1"/>
  <c r="CA338" i="1"/>
  <c r="CA339" i="1"/>
  <c r="CA340" i="1"/>
  <c r="CA341" i="1"/>
  <c r="CA342" i="1"/>
  <c r="CA343" i="1"/>
  <c r="CA344" i="1"/>
  <c r="CA345" i="1"/>
  <c r="CA346" i="1"/>
  <c r="CA347" i="1"/>
  <c r="CA348" i="1"/>
  <c r="CA349" i="1"/>
  <c r="CA350" i="1"/>
  <c r="CA351" i="1"/>
  <c r="CA352" i="1"/>
  <c r="CA353" i="1"/>
  <c r="CA354" i="1"/>
  <c r="CA355" i="1"/>
  <c r="CA372" i="1"/>
  <c r="CA373" i="1"/>
  <c r="CA374" i="1"/>
  <c r="CA375" i="1"/>
  <c r="CA376" i="1"/>
  <c r="CA377" i="1"/>
  <c r="CA378" i="1"/>
  <c r="CA379" i="1"/>
  <c r="CA380" i="1"/>
  <c r="CA381" i="1"/>
  <c r="CA382" i="1"/>
  <c r="CA383" i="1"/>
  <c r="CA384" i="1"/>
  <c r="CA394" i="1"/>
  <c r="CA395" i="1"/>
  <c r="CA396" i="1"/>
  <c r="CA397" i="1"/>
  <c r="CA398" i="1"/>
  <c r="CA399" i="1"/>
  <c r="CA400" i="1"/>
  <c r="CA401" i="1"/>
  <c r="CA402" i="1"/>
  <c r="CA420" i="1"/>
  <c r="CA421" i="1"/>
  <c r="CA422" i="1"/>
  <c r="CA423" i="1"/>
  <c r="CA424" i="1"/>
  <c r="CA425" i="1"/>
  <c r="CA435" i="1"/>
  <c r="CA436" i="1"/>
  <c r="CA437" i="1"/>
  <c r="CA438" i="1"/>
  <c r="CA473" i="1"/>
  <c r="CA474" i="1"/>
  <c r="CA475" i="1"/>
  <c r="CA476" i="1"/>
  <c r="CA477" i="1"/>
  <c r="CA478" i="1"/>
  <c r="CA479" i="1"/>
  <c r="CA480" i="1"/>
  <c r="CA481" i="1"/>
  <c r="CA482" i="1"/>
  <c r="CA483" i="1"/>
  <c r="CA484" i="1"/>
  <c r="CA485" i="1"/>
  <c r="CA486" i="1"/>
  <c r="CA487" i="1"/>
  <c r="CA488" i="1"/>
  <c r="CA489" i="1"/>
  <c r="CA490" i="1"/>
  <c r="CA491" i="1"/>
  <c r="CA492" i="1"/>
  <c r="CA493" i="1"/>
  <c r="CA494" i="1"/>
  <c r="CA495" i="1"/>
  <c r="CA496" i="1"/>
  <c r="CA497" i="1"/>
  <c r="CA498" i="1"/>
  <c r="CA499" i="1"/>
  <c r="CA500" i="1"/>
  <c r="CA501" i="1"/>
  <c r="CA515" i="1"/>
  <c r="CA516" i="1"/>
  <c r="CA517" i="1"/>
  <c r="CA521" i="1"/>
  <c r="CA522" i="1"/>
  <c r="CA523" i="1"/>
  <c r="CA524" i="1"/>
  <c r="CA528" i="1"/>
  <c r="CA529" i="1"/>
  <c r="CA530" i="1"/>
  <c r="CA531" i="1"/>
  <c r="CA532" i="1"/>
  <c r="CA533" i="1"/>
  <c r="CA534" i="1"/>
  <c r="CA535" i="1"/>
  <c r="CA536" i="1"/>
  <c r="CA537" i="1"/>
  <c r="CA538" i="1"/>
  <c r="CA574" i="1"/>
  <c r="CA575" i="1"/>
  <c r="CA576" i="1"/>
  <c r="CA577" i="1"/>
  <c r="CA578" i="1"/>
  <c r="CA579" i="1"/>
  <c r="CA580" i="1"/>
  <c r="CA581" i="1"/>
  <c r="CA582" i="1"/>
  <c r="CA583" i="1"/>
  <c r="CA584" i="1"/>
  <c r="CA585" i="1"/>
  <c r="CA586" i="1"/>
  <c r="CA587" i="1"/>
  <c r="CA611" i="1"/>
  <c r="CA612" i="1"/>
  <c r="CA613" i="1"/>
  <c r="CA614" i="1"/>
  <c r="CA615" i="1"/>
  <c r="CA616" i="1"/>
  <c r="CA617" i="1"/>
  <c r="CA618" i="1"/>
  <c r="CA619" i="1"/>
  <c r="CA620" i="1"/>
  <c r="CA621" i="1"/>
  <c r="CA622" i="1"/>
  <c r="CA623" i="1"/>
  <c r="CA624" i="1"/>
  <c r="CA625" i="1"/>
  <c r="CA626" i="1"/>
  <c r="CA627" i="1"/>
  <c r="CA670" i="1"/>
  <c r="CA671" i="1"/>
  <c r="CA672" i="1"/>
  <c r="CA673" i="1"/>
  <c r="CA674" i="1"/>
  <c r="CA675" i="1"/>
  <c r="CA676" i="1"/>
  <c r="CA677" i="1"/>
  <c r="CA678" i="1"/>
  <c r="CA679" i="1"/>
  <c r="CA680" i="1"/>
  <c r="CA681" i="1"/>
  <c r="CA682" i="1"/>
  <c r="CA683" i="1"/>
  <c r="CA684" i="1"/>
  <c r="CA685" i="1"/>
  <c r="CA686" i="1"/>
  <c r="CA704" i="1"/>
  <c r="CA705" i="1"/>
  <c r="CA706" i="1"/>
  <c r="CA707" i="1"/>
  <c r="CA708" i="1"/>
  <c r="CA709" i="1"/>
  <c r="CA710" i="1"/>
  <c r="CA711" i="1"/>
  <c r="CA712" i="1"/>
  <c r="CA713" i="1"/>
  <c r="CA714" i="1"/>
  <c r="CA715" i="1"/>
  <c r="CA716" i="1"/>
  <c r="CA717" i="1"/>
  <c r="CA718" i="1"/>
  <c r="CA719" i="1"/>
  <c r="CA732" i="1"/>
  <c r="CA733" i="1"/>
  <c r="CA734" i="1"/>
  <c r="CA735" i="1"/>
  <c r="CA736" i="1"/>
  <c r="CA737" i="1"/>
  <c r="CA738" i="1"/>
  <c r="CA739" i="1"/>
  <c r="CA740" i="1"/>
  <c r="CA741" i="1"/>
  <c r="CA742" i="1"/>
  <c r="CA743" i="1"/>
  <c r="CA753" i="1"/>
  <c r="CA754" i="1"/>
  <c r="CA755" i="1"/>
  <c r="CA756" i="1"/>
  <c r="CA757" i="1"/>
  <c r="CA758" i="1"/>
  <c r="CA759" i="1"/>
  <c r="CA760" i="1"/>
  <c r="CA761" i="1"/>
  <c r="CA762" i="1"/>
  <c r="CA763" i="1"/>
  <c r="CA764" i="1"/>
  <c r="BZ752" i="1"/>
  <c r="BY752" i="1"/>
  <c r="BX752" i="1"/>
  <c r="BZ751" i="1"/>
  <c r="BY751" i="1"/>
  <c r="BX751" i="1"/>
  <c r="BZ750" i="1"/>
  <c r="BY750" i="1"/>
  <c r="BX750" i="1"/>
  <c r="BZ749" i="1"/>
  <c r="BY749" i="1"/>
  <c r="BX749" i="1"/>
  <c r="BZ748" i="1"/>
  <c r="BY748" i="1"/>
  <c r="BX748" i="1"/>
  <c r="BZ747" i="1"/>
  <c r="BY747" i="1"/>
  <c r="BX747" i="1"/>
  <c r="BZ746" i="1"/>
  <c r="BY746" i="1"/>
  <c r="BX746" i="1"/>
  <c r="BZ745" i="1"/>
  <c r="BY745" i="1"/>
  <c r="BX745" i="1"/>
  <c r="BZ744" i="1"/>
  <c r="BY744" i="1"/>
  <c r="BX744" i="1"/>
  <c r="BZ731" i="1"/>
  <c r="BY731" i="1"/>
  <c r="BX731" i="1"/>
  <c r="BZ730" i="1"/>
  <c r="BY730" i="1"/>
  <c r="BX730" i="1"/>
  <c r="BZ729" i="1"/>
  <c r="BY729" i="1"/>
  <c r="BX729" i="1"/>
  <c r="BZ728" i="1"/>
  <c r="BY728" i="1"/>
  <c r="BX728" i="1"/>
  <c r="BZ727" i="1"/>
  <c r="BY727" i="1"/>
  <c r="BX727" i="1"/>
  <c r="BZ726" i="1"/>
  <c r="BY726" i="1"/>
  <c r="BX726" i="1"/>
  <c r="BZ725" i="1"/>
  <c r="BY725" i="1"/>
  <c r="BX725" i="1"/>
  <c r="BZ724" i="1"/>
  <c r="BY724" i="1"/>
  <c r="BX724" i="1"/>
  <c r="BZ723" i="1"/>
  <c r="BY723" i="1"/>
  <c r="BX723" i="1"/>
  <c r="BZ722" i="1"/>
  <c r="BY722" i="1"/>
  <c r="BX722" i="1"/>
  <c r="BZ721" i="1"/>
  <c r="BY721" i="1"/>
  <c r="BX721" i="1"/>
  <c r="BZ720" i="1"/>
  <c r="BY720" i="1"/>
  <c r="BX720" i="1"/>
  <c r="BZ703" i="1"/>
  <c r="BY703" i="1"/>
  <c r="BX703" i="1"/>
  <c r="BZ702" i="1"/>
  <c r="BY702" i="1"/>
  <c r="BX702" i="1"/>
  <c r="BZ701" i="1"/>
  <c r="BY701" i="1"/>
  <c r="BX701" i="1"/>
  <c r="BZ700" i="1"/>
  <c r="BY700" i="1"/>
  <c r="BX700" i="1"/>
  <c r="BZ699" i="1"/>
  <c r="BY699" i="1"/>
  <c r="BX699" i="1"/>
  <c r="BZ698" i="1"/>
  <c r="BY698" i="1"/>
  <c r="BX698" i="1"/>
  <c r="BZ697" i="1"/>
  <c r="BY697" i="1"/>
  <c r="BX697" i="1"/>
  <c r="BZ696" i="1"/>
  <c r="BY696" i="1"/>
  <c r="BX696" i="1"/>
  <c r="BZ695" i="1"/>
  <c r="BY695" i="1"/>
  <c r="BX695" i="1"/>
  <c r="BZ694" i="1"/>
  <c r="BY694" i="1"/>
  <c r="BX694" i="1"/>
  <c r="BZ693" i="1"/>
  <c r="BY693" i="1"/>
  <c r="BX693" i="1"/>
  <c r="BZ692" i="1"/>
  <c r="BY692" i="1"/>
  <c r="BX692" i="1"/>
  <c r="BZ691" i="1"/>
  <c r="BY691" i="1"/>
  <c r="BX691" i="1"/>
  <c r="BZ690" i="1"/>
  <c r="BY690" i="1"/>
  <c r="BX690" i="1"/>
  <c r="BZ689" i="1"/>
  <c r="BY689" i="1"/>
  <c r="BX689" i="1"/>
  <c r="BZ688" i="1"/>
  <c r="BY688" i="1"/>
  <c r="BX688" i="1"/>
  <c r="BZ687" i="1"/>
  <c r="BY687" i="1"/>
  <c r="BX687" i="1"/>
  <c r="BZ669" i="1"/>
  <c r="BY669" i="1"/>
  <c r="BX669" i="1"/>
  <c r="BZ668" i="1"/>
  <c r="BY668" i="1"/>
  <c r="BX668" i="1"/>
  <c r="BZ667" i="1"/>
  <c r="BY667" i="1"/>
  <c r="BX667" i="1"/>
  <c r="BZ666" i="1"/>
  <c r="BY666" i="1"/>
  <c r="BX666" i="1"/>
  <c r="BZ665" i="1"/>
  <c r="BY665" i="1"/>
  <c r="BX665" i="1"/>
  <c r="BZ664" i="1"/>
  <c r="BY664" i="1"/>
  <c r="BX664" i="1"/>
  <c r="BZ663" i="1"/>
  <c r="BY663" i="1"/>
  <c r="BX663" i="1"/>
  <c r="BZ662" i="1"/>
  <c r="BY662" i="1"/>
  <c r="BX662" i="1"/>
  <c r="BZ661" i="1"/>
  <c r="BY661" i="1"/>
  <c r="BX661" i="1"/>
  <c r="BZ660" i="1"/>
  <c r="BY660" i="1"/>
  <c r="BX660" i="1"/>
  <c r="BZ659" i="1"/>
  <c r="BY659" i="1"/>
  <c r="BX659" i="1"/>
  <c r="BZ658" i="1"/>
  <c r="BY658" i="1"/>
  <c r="BX658" i="1"/>
  <c r="BZ657" i="1"/>
  <c r="BY657" i="1"/>
  <c r="BX657" i="1"/>
  <c r="BZ656" i="1"/>
  <c r="BY656" i="1"/>
  <c r="BX656" i="1"/>
  <c r="BZ655" i="1"/>
  <c r="BY655" i="1"/>
  <c r="BX655" i="1"/>
  <c r="BZ654" i="1"/>
  <c r="BY654" i="1"/>
  <c r="BX654" i="1"/>
  <c r="BZ653" i="1"/>
  <c r="BY653" i="1"/>
  <c r="BX653" i="1"/>
  <c r="BZ652" i="1"/>
  <c r="BY652" i="1"/>
  <c r="BX652" i="1"/>
  <c r="BZ651" i="1"/>
  <c r="BY651" i="1"/>
  <c r="BX651" i="1"/>
  <c r="BZ650" i="1"/>
  <c r="BY650" i="1"/>
  <c r="BX650" i="1"/>
  <c r="BZ649" i="1"/>
  <c r="BY649" i="1"/>
  <c r="BX649" i="1"/>
  <c r="BZ648" i="1"/>
  <c r="BY648" i="1"/>
  <c r="BX648" i="1"/>
  <c r="BZ647" i="1"/>
  <c r="BY647" i="1"/>
  <c r="BX647" i="1"/>
  <c r="BZ646" i="1"/>
  <c r="BY646" i="1"/>
  <c r="BX646" i="1"/>
  <c r="BZ645" i="1"/>
  <c r="BY645" i="1"/>
  <c r="BX645" i="1"/>
  <c r="BZ644" i="1"/>
  <c r="BY644" i="1"/>
  <c r="BX644" i="1"/>
  <c r="BZ643" i="1"/>
  <c r="BY643" i="1"/>
  <c r="BX643" i="1"/>
  <c r="BZ642" i="1"/>
  <c r="BY642" i="1"/>
  <c r="BX642" i="1"/>
  <c r="BZ641" i="1"/>
  <c r="BY641" i="1"/>
  <c r="BX641" i="1"/>
  <c r="BZ640" i="1"/>
  <c r="BY640" i="1"/>
  <c r="BX640" i="1"/>
  <c r="BZ639" i="1"/>
  <c r="BY639" i="1"/>
  <c r="BX639" i="1"/>
  <c r="BZ638" i="1"/>
  <c r="BY638" i="1"/>
  <c r="BX638" i="1"/>
  <c r="BZ637" i="1"/>
  <c r="BY637" i="1"/>
  <c r="BX637" i="1"/>
  <c r="BZ636" i="1"/>
  <c r="BY636" i="1"/>
  <c r="BX636" i="1"/>
  <c r="BZ635" i="1"/>
  <c r="BY635" i="1"/>
  <c r="BX635" i="1"/>
  <c r="BZ634" i="1"/>
  <c r="BY634" i="1"/>
  <c r="BX634" i="1"/>
  <c r="BZ633" i="1"/>
  <c r="BY633" i="1"/>
  <c r="BX633" i="1"/>
  <c r="BZ632" i="1"/>
  <c r="BY632" i="1"/>
  <c r="BX632" i="1"/>
  <c r="BZ631" i="1"/>
  <c r="BY631" i="1"/>
  <c r="BX631" i="1"/>
  <c r="BZ630" i="1"/>
  <c r="BY630" i="1"/>
  <c r="BX630" i="1"/>
  <c r="BZ629" i="1"/>
  <c r="BY629" i="1"/>
  <c r="BX629" i="1"/>
  <c r="BZ628" i="1"/>
  <c r="BY628" i="1"/>
  <c r="BX628" i="1"/>
  <c r="BZ610" i="1"/>
  <c r="BY610" i="1"/>
  <c r="BX610" i="1"/>
  <c r="BZ609" i="1"/>
  <c r="BY609" i="1"/>
  <c r="BX609" i="1"/>
  <c r="BZ608" i="1"/>
  <c r="BY608" i="1"/>
  <c r="BX608" i="1"/>
  <c r="BZ607" i="1"/>
  <c r="BY607" i="1"/>
  <c r="BX607" i="1"/>
  <c r="BZ606" i="1"/>
  <c r="BY606" i="1"/>
  <c r="BX606" i="1"/>
  <c r="BZ605" i="1"/>
  <c r="BY605" i="1"/>
  <c r="BX605" i="1"/>
  <c r="BZ604" i="1"/>
  <c r="BY604" i="1"/>
  <c r="BX604" i="1"/>
  <c r="BZ603" i="1"/>
  <c r="BY603" i="1"/>
  <c r="BX603" i="1"/>
  <c r="BZ602" i="1"/>
  <c r="BY602" i="1"/>
  <c r="BX602" i="1"/>
  <c r="BY601" i="1"/>
  <c r="BZ601" i="1"/>
  <c r="BX601" i="1"/>
  <c r="BZ600" i="1"/>
  <c r="BY600" i="1"/>
  <c r="BX600" i="1"/>
  <c r="BZ599" i="1"/>
  <c r="BY599" i="1"/>
  <c r="BX599" i="1"/>
  <c r="BZ598" i="1"/>
  <c r="BY598" i="1"/>
  <c r="BX598" i="1"/>
  <c r="BZ597" i="1"/>
  <c r="BY597" i="1"/>
  <c r="BX597" i="1"/>
  <c r="BZ596" i="1"/>
  <c r="BY596" i="1"/>
  <c r="BX596" i="1"/>
  <c r="BZ595" i="1"/>
  <c r="BY595" i="1"/>
  <c r="BX595" i="1"/>
  <c r="BZ594" i="1"/>
  <c r="BY594" i="1"/>
  <c r="BX594" i="1"/>
  <c r="BZ593" i="1"/>
  <c r="BY593" i="1"/>
  <c r="BX593" i="1"/>
  <c r="BZ592" i="1"/>
  <c r="BY592" i="1"/>
  <c r="BX592" i="1"/>
  <c r="BZ591" i="1"/>
  <c r="BY591" i="1"/>
  <c r="BX591" i="1"/>
  <c r="BZ590" i="1"/>
  <c r="BY590" i="1"/>
  <c r="BX590" i="1"/>
  <c r="BZ589" i="1"/>
  <c r="BY589" i="1"/>
  <c r="BX589" i="1"/>
  <c r="BY588" i="1"/>
  <c r="BZ588" i="1"/>
  <c r="BX588" i="1"/>
  <c r="BZ573" i="1"/>
  <c r="BY573" i="1"/>
  <c r="BX573" i="1"/>
  <c r="BZ572" i="1"/>
  <c r="BY572" i="1"/>
  <c r="BX572" i="1"/>
  <c r="BZ571" i="1"/>
  <c r="BY571" i="1"/>
  <c r="BX571" i="1"/>
  <c r="BZ570" i="1"/>
  <c r="BY570" i="1"/>
  <c r="BX570" i="1"/>
  <c r="BZ569" i="1"/>
  <c r="BY569" i="1"/>
  <c r="BX569" i="1"/>
  <c r="BZ568" i="1"/>
  <c r="BY568" i="1"/>
  <c r="BX568" i="1"/>
  <c r="BZ567" i="1"/>
  <c r="BY567" i="1"/>
  <c r="BX567" i="1"/>
  <c r="BZ566" i="1"/>
  <c r="BY566" i="1"/>
  <c r="BX566" i="1"/>
  <c r="BZ565" i="1"/>
  <c r="BY565" i="1"/>
  <c r="BX565" i="1"/>
  <c r="BZ564" i="1"/>
  <c r="BY564" i="1"/>
  <c r="BX564" i="1"/>
  <c r="BZ563" i="1"/>
  <c r="BY563" i="1"/>
  <c r="BX563" i="1"/>
  <c r="BZ562" i="1"/>
  <c r="BY562" i="1"/>
  <c r="BX562" i="1"/>
  <c r="BZ561" i="1"/>
  <c r="BY561" i="1"/>
  <c r="BX561" i="1"/>
  <c r="BZ560" i="1"/>
  <c r="BY560" i="1"/>
  <c r="BX560" i="1"/>
  <c r="BZ559" i="1"/>
  <c r="BY559" i="1"/>
  <c r="BX559" i="1"/>
  <c r="BZ558" i="1"/>
  <c r="BY558" i="1"/>
  <c r="BX558" i="1"/>
  <c r="BZ557" i="1"/>
  <c r="BY557" i="1"/>
  <c r="BX557" i="1"/>
  <c r="BZ556" i="1"/>
  <c r="BY556" i="1"/>
  <c r="BX556" i="1"/>
  <c r="BZ555" i="1"/>
  <c r="BY555" i="1"/>
  <c r="BX555" i="1"/>
  <c r="BZ554" i="1"/>
  <c r="BY554" i="1"/>
  <c r="BX554" i="1"/>
  <c r="BZ553" i="1"/>
  <c r="BY553" i="1"/>
  <c r="BX553" i="1"/>
  <c r="BZ552" i="1"/>
  <c r="BY552" i="1"/>
  <c r="BX552" i="1"/>
  <c r="BZ551" i="1"/>
  <c r="BY551" i="1"/>
  <c r="BX551" i="1"/>
  <c r="BZ550" i="1"/>
  <c r="BY550" i="1"/>
  <c r="BX550" i="1"/>
  <c r="BZ549" i="1"/>
  <c r="BY549" i="1"/>
  <c r="BX549" i="1"/>
  <c r="BZ548" i="1"/>
  <c r="BY548" i="1"/>
  <c r="BX548" i="1"/>
  <c r="BZ547" i="1"/>
  <c r="BY547" i="1"/>
  <c r="BX547" i="1"/>
  <c r="BZ546" i="1"/>
  <c r="BY546" i="1"/>
  <c r="BX546" i="1"/>
  <c r="BZ545" i="1"/>
  <c r="BY545" i="1"/>
  <c r="BX545" i="1"/>
  <c r="BZ544" i="1"/>
  <c r="BY544" i="1"/>
  <c r="BX544" i="1"/>
  <c r="BZ543" i="1"/>
  <c r="BY543" i="1"/>
  <c r="BX543" i="1"/>
  <c r="BZ542" i="1"/>
  <c r="BY542" i="1"/>
  <c r="BX542" i="1"/>
  <c r="BZ541" i="1"/>
  <c r="BY541" i="1"/>
  <c r="BX541" i="1"/>
  <c r="BZ540" i="1"/>
  <c r="BY540" i="1"/>
  <c r="BX540" i="1"/>
  <c r="BY539" i="1"/>
  <c r="BZ539" i="1"/>
  <c r="BX539" i="1"/>
  <c r="BZ527" i="1"/>
  <c r="BY527" i="1"/>
  <c r="BX527" i="1"/>
  <c r="BZ526" i="1"/>
  <c r="BY526" i="1"/>
  <c r="BX526" i="1"/>
  <c r="BZ525" i="1"/>
  <c r="BY525" i="1"/>
  <c r="BX525" i="1"/>
  <c r="BZ520" i="1"/>
  <c r="BY520" i="1"/>
  <c r="BX520" i="1"/>
  <c r="BZ519" i="1"/>
  <c r="BY519" i="1"/>
  <c r="BX519" i="1"/>
  <c r="BZ518" i="1"/>
  <c r="BY518" i="1"/>
  <c r="BX518" i="1"/>
  <c r="BZ514" i="1"/>
  <c r="BY514" i="1"/>
  <c r="BX514" i="1"/>
  <c r="BZ513" i="1"/>
  <c r="BY513" i="1"/>
  <c r="BX513" i="1"/>
  <c r="BZ512" i="1"/>
  <c r="BY512" i="1"/>
  <c r="BX512" i="1"/>
  <c r="BZ511" i="1"/>
  <c r="BY511" i="1"/>
  <c r="BX511" i="1"/>
  <c r="BZ510" i="1"/>
  <c r="BY510" i="1"/>
  <c r="BX510" i="1"/>
  <c r="BZ509" i="1"/>
  <c r="BY509" i="1"/>
  <c r="BX509" i="1"/>
  <c r="BZ508" i="1"/>
  <c r="BY508" i="1"/>
  <c r="BX508" i="1"/>
  <c r="BZ507" i="1"/>
  <c r="BY507" i="1"/>
  <c r="BX507" i="1"/>
  <c r="BZ506" i="1"/>
  <c r="BY506" i="1"/>
  <c r="BX506" i="1"/>
  <c r="BZ505" i="1"/>
  <c r="BY505" i="1"/>
  <c r="BX505" i="1"/>
  <c r="BZ504" i="1"/>
  <c r="BY504" i="1"/>
  <c r="BX504" i="1"/>
  <c r="BZ503" i="1"/>
  <c r="BY503" i="1"/>
  <c r="BX503" i="1"/>
  <c r="BY502" i="1"/>
  <c r="BZ502" i="1"/>
  <c r="BX502" i="1"/>
  <c r="BZ472" i="1"/>
  <c r="BY472" i="1"/>
  <c r="BX472" i="1"/>
  <c r="BZ471" i="1"/>
  <c r="BY471" i="1"/>
  <c r="BX471" i="1"/>
  <c r="BZ470" i="1"/>
  <c r="BY470" i="1"/>
  <c r="BX470" i="1"/>
  <c r="BZ469" i="1"/>
  <c r="BY469" i="1"/>
  <c r="BX469" i="1"/>
  <c r="BZ468" i="1"/>
  <c r="BY468" i="1"/>
  <c r="BX468" i="1"/>
  <c r="BZ467" i="1"/>
  <c r="BY467" i="1"/>
  <c r="BX467" i="1"/>
  <c r="BZ466" i="1"/>
  <c r="BY466" i="1"/>
  <c r="BX466" i="1"/>
  <c r="BZ465" i="1"/>
  <c r="BY465" i="1"/>
  <c r="BX465" i="1"/>
  <c r="BZ464" i="1"/>
  <c r="BY464" i="1"/>
  <c r="BX464" i="1"/>
  <c r="BZ463" i="1"/>
  <c r="BY463" i="1"/>
  <c r="BX463" i="1"/>
  <c r="BZ462" i="1"/>
  <c r="BY462" i="1"/>
  <c r="BX462" i="1"/>
  <c r="BZ461" i="1"/>
  <c r="BY461" i="1"/>
  <c r="BX461" i="1"/>
  <c r="BZ460" i="1"/>
  <c r="BY460" i="1"/>
  <c r="BX460" i="1"/>
  <c r="BZ459" i="1"/>
  <c r="BY459" i="1"/>
  <c r="BX459" i="1"/>
  <c r="BZ458" i="1"/>
  <c r="BY458" i="1"/>
  <c r="BX458" i="1"/>
  <c r="BZ457" i="1"/>
  <c r="BY457" i="1"/>
  <c r="BX457" i="1"/>
  <c r="BZ456" i="1"/>
  <c r="BY456" i="1"/>
  <c r="BX456" i="1"/>
  <c r="BZ455" i="1"/>
  <c r="BY455" i="1"/>
  <c r="BX455" i="1"/>
  <c r="BZ454" i="1"/>
  <c r="BY454" i="1"/>
  <c r="BX454" i="1"/>
  <c r="BZ453" i="1"/>
  <c r="BY453" i="1"/>
  <c r="BX453" i="1"/>
  <c r="BZ452" i="1"/>
  <c r="BY452" i="1"/>
  <c r="BX452" i="1"/>
  <c r="BZ451" i="1"/>
  <c r="BY451" i="1"/>
  <c r="BX451" i="1"/>
  <c r="BZ450" i="1"/>
  <c r="BY450" i="1"/>
  <c r="BX450" i="1"/>
  <c r="BZ449" i="1"/>
  <c r="BY449" i="1"/>
  <c r="BX449" i="1"/>
  <c r="BZ448" i="1"/>
  <c r="BY448" i="1"/>
  <c r="BX448" i="1"/>
  <c r="BZ447" i="1"/>
  <c r="BY447" i="1"/>
  <c r="BX447" i="1"/>
  <c r="BZ446" i="1"/>
  <c r="BY446" i="1"/>
  <c r="BX446" i="1"/>
  <c r="BZ445" i="1"/>
  <c r="BY445" i="1"/>
  <c r="BX445" i="1"/>
  <c r="BZ444" i="1"/>
  <c r="BY444" i="1"/>
  <c r="BX444" i="1"/>
  <c r="BZ443" i="1"/>
  <c r="BY443" i="1"/>
  <c r="BX443" i="1"/>
  <c r="BZ442" i="1"/>
  <c r="BY442" i="1"/>
  <c r="BX442" i="1"/>
  <c r="BZ441" i="1"/>
  <c r="BY441" i="1"/>
  <c r="BX441" i="1"/>
  <c r="BZ440" i="1"/>
  <c r="BY440" i="1"/>
  <c r="BX440" i="1"/>
  <c r="BY439" i="1"/>
  <c r="BZ439" i="1"/>
  <c r="BX439" i="1"/>
  <c r="BZ434" i="1"/>
  <c r="BY434" i="1"/>
  <c r="BX434" i="1"/>
  <c r="BZ433" i="1"/>
  <c r="BY433" i="1"/>
  <c r="BX433" i="1"/>
  <c r="BZ432" i="1"/>
  <c r="BY432" i="1"/>
  <c r="BX432" i="1"/>
  <c r="BZ431" i="1"/>
  <c r="BY431" i="1"/>
  <c r="BX431" i="1"/>
  <c r="BZ430" i="1"/>
  <c r="BY430" i="1"/>
  <c r="BX430" i="1"/>
  <c r="BZ429" i="1"/>
  <c r="BY429" i="1"/>
  <c r="BX429" i="1"/>
  <c r="BZ428" i="1"/>
  <c r="BY428" i="1"/>
  <c r="BX428" i="1"/>
  <c r="BZ427" i="1"/>
  <c r="BY427" i="1"/>
  <c r="BX427" i="1"/>
  <c r="BZ426" i="1"/>
  <c r="BY426" i="1"/>
  <c r="BX426" i="1"/>
  <c r="BZ419" i="1"/>
  <c r="BY419" i="1"/>
  <c r="BX419" i="1"/>
  <c r="BZ418" i="1"/>
  <c r="BY418" i="1"/>
  <c r="BX418" i="1"/>
  <c r="BZ417" i="1"/>
  <c r="BY417" i="1"/>
  <c r="BX417" i="1"/>
  <c r="BZ416" i="1"/>
  <c r="BY416" i="1"/>
  <c r="BX416" i="1"/>
  <c r="BZ415" i="1"/>
  <c r="BY415" i="1"/>
  <c r="BX415" i="1"/>
  <c r="BZ414" i="1"/>
  <c r="BY414" i="1"/>
  <c r="BX414" i="1"/>
  <c r="BZ413" i="1"/>
  <c r="BY413" i="1"/>
  <c r="BX413" i="1"/>
  <c r="BZ412" i="1"/>
  <c r="BY412" i="1"/>
  <c r="BX412" i="1"/>
  <c r="BZ411" i="1"/>
  <c r="BY411" i="1"/>
  <c r="BX411" i="1"/>
  <c r="BZ410" i="1"/>
  <c r="BY410" i="1"/>
  <c r="BX410" i="1"/>
  <c r="BZ409" i="1"/>
  <c r="BY409" i="1"/>
  <c r="BX409" i="1"/>
  <c r="BZ408" i="1"/>
  <c r="BY408" i="1"/>
  <c r="BX408" i="1"/>
  <c r="BZ407" i="1"/>
  <c r="BY407" i="1"/>
  <c r="BX407" i="1"/>
  <c r="BZ406" i="1"/>
  <c r="BY406" i="1"/>
  <c r="BX406" i="1"/>
  <c r="BZ405" i="1"/>
  <c r="BY405" i="1"/>
  <c r="BX405" i="1"/>
  <c r="BZ404" i="1"/>
  <c r="BY404" i="1"/>
  <c r="BX404" i="1"/>
  <c r="BZ403" i="1"/>
  <c r="BY403" i="1"/>
  <c r="BX403" i="1"/>
  <c r="BY393" i="1"/>
  <c r="BY392" i="1"/>
  <c r="BZ393" i="1"/>
  <c r="BX393" i="1"/>
  <c r="BZ392" i="1"/>
  <c r="BX392" i="1"/>
  <c r="BZ391" i="1"/>
  <c r="BY391" i="1"/>
  <c r="BX391" i="1"/>
  <c r="BZ390" i="1"/>
  <c r="BY390" i="1"/>
  <c r="BX390" i="1"/>
  <c r="BZ389" i="1"/>
  <c r="BY389" i="1"/>
  <c r="BX389" i="1"/>
  <c r="BZ388" i="1"/>
  <c r="BY388" i="1"/>
  <c r="BX388" i="1"/>
  <c r="BZ387" i="1"/>
  <c r="BY387" i="1"/>
  <c r="BX387" i="1"/>
  <c r="BZ386" i="1"/>
  <c r="BY386" i="1"/>
  <c r="BX386" i="1"/>
  <c r="BZ385" i="1"/>
  <c r="BY385" i="1"/>
  <c r="BX385" i="1"/>
  <c r="BZ371" i="1"/>
  <c r="BY371" i="1"/>
  <c r="BX371" i="1"/>
  <c r="BZ370" i="1"/>
  <c r="BY370" i="1"/>
  <c r="BX370" i="1"/>
  <c r="BZ369" i="1"/>
  <c r="BY369" i="1"/>
  <c r="BX369" i="1"/>
  <c r="BZ368" i="1"/>
  <c r="BY368" i="1"/>
  <c r="BX368" i="1"/>
  <c r="BZ367" i="1"/>
  <c r="BY367" i="1"/>
  <c r="BX367" i="1"/>
  <c r="BZ366" i="1"/>
  <c r="BY366" i="1"/>
  <c r="BX366" i="1"/>
  <c r="BZ365" i="1"/>
  <c r="BY365" i="1"/>
  <c r="BX365" i="1"/>
  <c r="BZ364" i="1"/>
  <c r="BY364" i="1"/>
  <c r="BX364" i="1"/>
  <c r="BZ363" i="1"/>
  <c r="BY363" i="1"/>
  <c r="BX363" i="1"/>
  <c r="BZ362" i="1"/>
  <c r="BY362" i="1"/>
  <c r="BX362" i="1"/>
  <c r="BZ361" i="1"/>
  <c r="BY361" i="1"/>
  <c r="BX361" i="1"/>
  <c r="BZ360" i="1"/>
  <c r="BY360" i="1"/>
  <c r="BX360" i="1"/>
  <c r="BZ359" i="1"/>
  <c r="BY359" i="1"/>
  <c r="BX359" i="1"/>
  <c r="BZ358" i="1"/>
  <c r="BY358" i="1"/>
  <c r="BX358" i="1"/>
  <c r="BZ357" i="1"/>
  <c r="BY357" i="1"/>
  <c r="BX357" i="1"/>
  <c r="BZ356" i="1"/>
  <c r="BY356" i="1"/>
  <c r="BX356" i="1"/>
  <c r="BZ336" i="1"/>
  <c r="BY336" i="1"/>
  <c r="BX336" i="1"/>
  <c r="BZ335" i="1"/>
  <c r="BY335" i="1"/>
  <c r="BX335" i="1"/>
  <c r="BZ334" i="1"/>
  <c r="BY334" i="1"/>
  <c r="BX334" i="1"/>
  <c r="BZ333" i="1"/>
  <c r="BY333" i="1"/>
  <c r="BX333" i="1"/>
  <c r="BZ332" i="1"/>
  <c r="BY332" i="1"/>
  <c r="BX332" i="1"/>
  <c r="BZ331" i="1"/>
  <c r="BY331" i="1"/>
  <c r="BX331" i="1"/>
  <c r="BZ330" i="1"/>
  <c r="BY330" i="1"/>
  <c r="BX330" i="1"/>
  <c r="BZ329" i="1"/>
  <c r="BY329" i="1"/>
  <c r="BX329" i="1"/>
  <c r="BZ328" i="1"/>
  <c r="BY328" i="1"/>
  <c r="BX328" i="1"/>
  <c r="BZ327" i="1"/>
  <c r="BY327" i="1"/>
  <c r="BX327" i="1"/>
  <c r="BZ326" i="1"/>
  <c r="BY326" i="1"/>
  <c r="BX326" i="1"/>
  <c r="BZ325" i="1"/>
  <c r="BY325" i="1"/>
  <c r="BX325" i="1"/>
  <c r="BZ324" i="1"/>
  <c r="BY324" i="1"/>
  <c r="BX324" i="1"/>
  <c r="BZ323" i="1"/>
  <c r="BY323" i="1"/>
  <c r="BX323" i="1"/>
  <c r="BZ322" i="1"/>
  <c r="BY322" i="1"/>
  <c r="BX322" i="1"/>
  <c r="BZ321" i="1"/>
  <c r="BY321" i="1"/>
  <c r="BX321" i="1"/>
  <c r="BY320" i="1"/>
  <c r="BZ320" i="1"/>
  <c r="BX320" i="1"/>
  <c r="BZ293" i="1"/>
  <c r="BY293" i="1"/>
  <c r="BX293" i="1"/>
  <c r="BZ292" i="1"/>
  <c r="BY292" i="1"/>
  <c r="BX292" i="1"/>
  <c r="BZ291" i="1"/>
  <c r="BY291" i="1"/>
  <c r="BX291" i="1"/>
  <c r="BZ290" i="1"/>
  <c r="BY290" i="1"/>
  <c r="BX290" i="1"/>
  <c r="BZ289" i="1"/>
  <c r="BY289" i="1"/>
  <c r="BX289" i="1"/>
  <c r="BZ288" i="1"/>
  <c r="BY288" i="1"/>
  <c r="BX288" i="1"/>
  <c r="BZ287" i="1"/>
  <c r="BY287" i="1"/>
  <c r="BX287" i="1"/>
  <c r="BZ286" i="1"/>
  <c r="BY286" i="1"/>
  <c r="BX286" i="1"/>
  <c r="BZ285" i="1"/>
  <c r="BY285" i="1"/>
  <c r="BX285" i="1"/>
  <c r="BZ284" i="1"/>
  <c r="BY284" i="1"/>
  <c r="BX284" i="1"/>
  <c r="BZ283" i="1"/>
  <c r="BY283" i="1"/>
  <c r="BX283" i="1"/>
  <c r="BZ282" i="1"/>
  <c r="BY282" i="1"/>
  <c r="BX282" i="1"/>
  <c r="BZ281" i="1"/>
  <c r="BY281" i="1"/>
  <c r="BX281" i="1"/>
  <c r="BZ280" i="1"/>
  <c r="BY280" i="1"/>
  <c r="BX280" i="1"/>
  <c r="BZ279" i="1"/>
  <c r="BY279" i="1"/>
  <c r="BX279" i="1"/>
  <c r="BZ278" i="1"/>
  <c r="BY278" i="1"/>
  <c r="BX278" i="1"/>
  <c r="BZ277" i="1"/>
  <c r="BY277" i="1"/>
  <c r="BX277" i="1"/>
  <c r="BZ276" i="1"/>
  <c r="BY276" i="1"/>
  <c r="BX276" i="1"/>
  <c r="BZ275" i="1"/>
  <c r="BY275" i="1"/>
  <c r="BX275" i="1"/>
  <c r="BZ274" i="1"/>
  <c r="BY274" i="1"/>
  <c r="BX274" i="1"/>
  <c r="BZ257" i="1"/>
  <c r="BY257" i="1"/>
  <c r="BX257" i="1"/>
  <c r="BZ256" i="1"/>
  <c r="BY256" i="1"/>
  <c r="BX256" i="1"/>
  <c r="BZ255" i="1"/>
  <c r="BY255" i="1"/>
  <c r="BX255" i="1"/>
  <c r="BZ254" i="1"/>
  <c r="BY254" i="1"/>
  <c r="BX254" i="1"/>
  <c r="BZ253" i="1"/>
  <c r="BY253" i="1"/>
  <c r="BX253" i="1"/>
  <c r="BZ252" i="1"/>
  <c r="BY252" i="1"/>
  <c r="BX252" i="1"/>
  <c r="BZ251" i="1"/>
  <c r="BY251" i="1"/>
  <c r="BX251" i="1"/>
  <c r="BZ250" i="1"/>
  <c r="BY250" i="1"/>
  <c r="BX250" i="1"/>
  <c r="BZ249" i="1"/>
  <c r="BY249" i="1"/>
  <c r="BX249" i="1"/>
  <c r="BZ248" i="1"/>
  <c r="BY248" i="1"/>
  <c r="BX248" i="1"/>
  <c r="BZ247" i="1"/>
  <c r="BY247" i="1"/>
  <c r="BX247" i="1"/>
  <c r="BZ246" i="1"/>
  <c r="BY246" i="1"/>
  <c r="BX246" i="1"/>
  <c r="BZ245" i="1"/>
  <c r="BY245" i="1"/>
  <c r="BX245" i="1"/>
  <c r="BZ244" i="1"/>
  <c r="BY244" i="1"/>
  <c r="BX244" i="1"/>
  <c r="BZ243" i="1"/>
  <c r="BY243" i="1"/>
  <c r="BX243" i="1"/>
  <c r="BZ242" i="1"/>
  <c r="BY242" i="1"/>
  <c r="BX242" i="1"/>
  <c r="BZ241" i="1"/>
  <c r="BY241" i="1"/>
  <c r="BX241" i="1"/>
  <c r="BZ240" i="1"/>
  <c r="BY240" i="1"/>
  <c r="BX240" i="1"/>
  <c r="BZ239" i="1"/>
  <c r="BY239" i="1"/>
  <c r="BX239" i="1"/>
  <c r="BZ238" i="1"/>
  <c r="BY238" i="1"/>
  <c r="BX238" i="1"/>
  <c r="BZ237" i="1"/>
  <c r="BY237" i="1"/>
  <c r="BX237" i="1"/>
  <c r="BZ236" i="1"/>
  <c r="BY236" i="1"/>
  <c r="BX236" i="1"/>
  <c r="BZ235" i="1"/>
  <c r="BY235" i="1"/>
  <c r="BX235" i="1"/>
  <c r="BZ213" i="1"/>
  <c r="BY213" i="1"/>
  <c r="BX213" i="1"/>
  <c r="BZ212" i="1"/>
  <c r="BY212" i="1"/>
  <c r="BX212" i="1"/>
  <c r="BZ211" i="1"/>
  <c r="BY211" i="1"/>
  <c r="BX211" i="1"/>
  <c r="BZ210" i="1"/>
  <c r="BY210" i="1"/>
  <c r="BX210" i="1"/>
  <c r="BZ209" i="1"/>
  <c r="BY209" i="1"/>
  <c r="BX209" i="1"/>
  <c r="BZ208" i="1"/>
  <c r="BY208" i="1"/>
  <c r="BX208" i="1"/>
  <c r="BZ207" i="1"/>
  <c r="BY207" i="1"/>
  <c r="BX207" i="1"/>
  <c r="BZ206" i="1"/>
  <c r="BY206" i="1"/>
  <c r="BX206" i="1"/>
  <c r="BZ205" i="1"/>
  <c r="BY205" i="1"/>
  <c r="BX205" i="1"/>
  <c r="BZ204" i="1"/>
  <c r="BY204" i="1"/>
  <c r="BX204" i="1"/>
  <c r="BZ203" i="1"/>
  <c r="BY203" i="1"/>
  <c r="BX203" i="1"/>
  <c r="BZ202" i="1"/>
  <c r="BY202" i="1"/>
  <c r="BX202" i="1"/>
  <c r="BZ201" i="1"/>
  <c r="BY201" i="1"/>
  <c r="BX201" i="1"/>
  <c r="BZ200" i="1"/>
  <c r="BY200" i="1"/>
  <c r="BX200" i="1"/>
  <c r="BZ199" i="1"/>
  <c r="BY199" i="1"/>
  <c r="BX199" i="1"/>
  <c r="BZ198" i="1"/>
  <c r="BY198" i="1"/>
  <c r="BX198" i="1"/>
  <c r="BZ197" i="1"/>
  <c r="BY197" i="1"/>
  <c r="BX197" i="1"/>
  <c r="BZ196" i="1"/>
  <c r="BY196" i="1"/>
  <c r="BX196" i="1"/>
  <c r="BZ195" i="1"/>
  <c r="BY195" i="1"/>
  <c r="BX195" i="1"/>
  <c r="BZ194" i="1"/>
  <c r="BY194" i="1"/>
  <c r="BX194" i="1"/>
  <c r="BZ193" i="1"/>
  <c r="BY193" i="1"/>
  <c r="BX193" i="1"/>
  <c r="BZ192" i="1"/>
  <c r="BY192" i="1"/>
  <c r="BX192" i="1"/>
  <c r="BZ191" i="1"/>
  <c r="BY191" i="1"/>
  <c r="BX191" i="1"/>
  <c r="BZ190" i="1"/>
  <c r="BY190" i="1"/>
  <c r="BX190" i="1"/>
  <c r="BZ189" i="1"/>
  <c r="BY189" i="1"/>
  <c r="BX189" i="1"/>
  <c r="BZ188" i="1"/>
  <c r="BY188" i="1"/>
  <c r="BX188" i="1"/>
  <c r="BZ187" i="1"/>
  <c r="BY187" i="1"/>
  <c r="BX187" i="1"/>
  <c r="BZ171" i="1"/>
  <c r="BY171" i="1"/>
  <c r="BX171" i="1"/>
  <c r="BZ170" i="1"/>
  <c r="BY170" i="1"/>
  <c r="BX170" i="1"/>
  <c r="BZ169" i="1"/>
  <c r="BY169" i="1"/>
  <c r="BX169" i="1"/>
  <c r="BZ168" i="1"/>
  <c r="BY168" i="1"/>
  <c r="BX168" i="1"/>
  <c r="BZ167" i="1"/>
  <c r="BY167" i="1"/>
  <c r="BX167" i="1"/>
  <c r="BZ166" i="1"/>
  <c r="BY166" i="1"/>
  <c r="BX166" i="1"/>
  <c r="BZ165" i="1"/>
  <c r="BY165" i="1"/>
  <c r="BX165" i="1"/>
  <c r="BZ164" i="1"/>
  <c r="BY164" i="1"/>
  <c r="BX164" i="1"/>
  <c r="BZ163" i="1"/>
  <c r="BY163" i="1"/>
  <c r="BX163" i="1"/>
  <c r="BZ162" i="1"/>
  <c r="BY162" i="1"/>
  <c r="BX162" i="1"/>
  <c r="BZ161" i="1"/>
  <c r="BY161" i="1"/>
  <c r="BX161" i="1"/>
  <c r="BZ160" i="1"/>
  <c r="BY160" i="1"/>
  <c r="BX160" i="1"/>
  <c r="BZ159" i="1"/>
  <c r="BY159" i="1"/>
  <c r="BX159" i="1"/>
  <c r="BZ158" i="1"/>
  <c r="BY158" i="1"/>
  <c r="BX158" i="1"/>
  <c r="BZ157" i="1"/>
  <c r="BY157" i="1"/>
  <c r="BX157" i="1"/>
  <c r="BZ156" i="1"/>
  <c r="BY156" i="1"/>
  <c r="BX156" i="1"/>
  <c r="BZ155" i="1"/>
  <c r="BY155" i="1"/>
  <c r="BX155" i="1"/>
  <c r="BZ154" i="1"/>
  <c r="BY154" i="1"/>
  <c r="BX154" i="1"/>
  <c r="BZ153" i="1"/>
  <c r="BY153" i="1"/>
  <c r="BX153" i="1"/>
  <c r="BZ152" i="1"/>
  <c r="BY152" i="1"/>
  <c r="BX152" i="1"/>
  <c r="BZ151" i="1"/>
  <c r="BY151" i="1"/>
  <c r="BX151" i="1"/>
  <c r="BZ150" i="1"/>
  <c r="BY150" i="1"/>
  <c r="BX150" i="1"/>
  <c r="BZ149" i="1"/>
  <c r="BY149" i="1"/>
  <c r="BX149" i="1"/>
  <c r="BZ148" i="1"/>
  <c r="BY148" i="1"/>
  <c r="BX148" i="1"/>
  <c r="BZ147" i="1"/>
  <c r="BY147" i="1"/>
  <c r="BX147" i="1"/>
  <c r="BZ146" i="1"/>
  <c r="BY146" i="1"/>
  <c r="BX146" i="1"/>
  <c r="BY93" i="1"/>
  <c r="BY94" i="1"/>
  <c r="BY95" i="1"/>
  <c r="BY96" i="1"/>
  <c r="BY97" i="1"/>
  <c r="BY98" i="1"/>
  <c r="BY99" i="1"/>
  <c r="BY100" i="1"/>
  <c r="BY101" i="1"/>
  <c r="BY102" i="1"/>
  <c r="BY103" i="1"/>
  <c r="BY104" i="1"/>
  <c r="BY105" i="1"/>
  <c r="BY106" i="1"/>
  <c r="BY107" i="1"/>
  <c r="BY108" i="1"/>
  <c r="BY109" i="1"/>
  <c r="BY110" i="1"/>
  <c r="BY111" i="1"/>
  <c r="BY112" i="1"/>
  <c r="BY113" i="1"/>
  <c r="BY114" i="1"/>
  <c r="BY115" i="1"/>
  <c r="BY116" i="1"/>
  <c r="BY92" i="1"/>
  <c r="BZ116" i="1"/>
  <c r="BX116" i="1"/>
  <c r="BZ115" i="1"/>
  <c r="BX115" i="1"/>
  <c r="BZ114" i="1"/>
  <c r="BX114" i="1"/>
  <c r="BZ113" i="1"/>
  <c r="BX113" i="1"/>
  <c r="BZ112" i="1"/>
  <c r="BX112" i="1"/>
  <c r="BZ111" i="1"/>
  <c r="BX111" i="1"/>
  <c r="BZ110" i="1"/>
  <c r="BX110" i="1"/>
  <c r="BZ109" i="1"/>
  <c r="BX109" i="1"/>
  <c r="BZ108" i="1"/>
  <c r="BX108" i="1"/>
  <c r="BZ107" i="1"/>
  <c r="BX107" i="1"/>
  <c r="BZ106" i="1"/>
  <c r="BX106" i="1"/>
  <c r="BZ105" i="1"/>
  <c r="BX105" i="1"/>
  <c r="BZ104" i="1"/>
  <c r="BX104" i="1"/>
  <c r="BZ103" i="1"/>
  <c r="BX103" i="1"/>
  <c r="BZ102" i="1"/>
  <c r="BX102" i="1"/>
  <c r="BZ101" i="1"/>
  <c r="BX101" i="1"/>
  <c r="BZ100" i="1"/>
  <c r="BX100" i="1"/>
  <c r="BZ99" i="1"/>
  <c r="BX99" i="1"/>
  <c r="BZ98" i="1"/>
  <c r="BX98" i="1"/>
  <c r="BZ97" i="1"/>
  <c r="BX97" i="1"/>
  <c r="BZ96" i="1"/>
  <c r="BX96" i="1"/>
  <c r="BZ95" i="1"/>
  <c r="BX95" i="1"/>
  <c r="BZ94" i="1"/>
  <c r="BX94" i="1"/>
  <c r="BZ93" i="1"/>
  <c r="BX93" i="1"/>
  <c r="BZ92" i="1"/>
  <c r="BX92" i="1"/>
  <c r="BZ73" i="1"/>
  <c r="BY73" i="1"/>
  <c r="BX73" i="1"/>
  <c r="BZ72" i="1"/>
  <c r="BY72" i="1"/>
  <c r="BX72" i="1"/>
  <c r="BZ71" i="1"/>
  <c r="BY71" i="1"/>
  <c r="BX71" i="1"/>
  <c r="BZ70" i="1"/>
  <c r="BY70" i="1"/>
  <c r="BX70" i="1"/>
  <c r="BZ69" i="1"/>
  <c r="BY69" i="1"/>
  <c r="BX69" i="1"/>
  <c r="BZ68" i="1"/>
  <c r="BY68" i="1"/>
  <c r="BX68" i="1"/>
  <c r="BZ67" i="1"/>
  <c r="BY67" i="1"/>
  <c r="BX67" i="1"/>
  <c r="BZ66" i="1"/>
  <c r="BY66" i="1"/>
  <c r="BX66" i="1"/>
  <c r="BZ65" i="1"/>
  <c r="BY65" i="1"/>
  <c r="BX65" i="1"/>
  <c r="BZ64" i="1"/>
  <c r="BY64" i="1"/>
  <c r="BX64" i="1"/>
  <c r="BZ63" i="1"/>
  <c r="BY63" i="1"/>
  <c r="BX63" i="1"/>
  <c r="BZ62" i="1"/>
  <c r="BY62" i="1"/>
  <c r="BX62" i="1"/>
  <c r="BZ61" i="1"/>
  <c r="BY61" i="1"/>
  <c r="BX61" i="1"/>
  <c r="BZ60" i="1"/>
  <c r="BY60" i="1"/>
  <c r="BX60" i="1"/>
  <c r="BZ59" i="1"/>
  <c r="BY59" i="1"/>
  <c r="BX59" i="1"/>
  <c r="BZ58" i="1"/>
  <c r="BY58" i="1"/>
  <c r="BX58" i="1"/>
  <c r="BZ57" i="1"/>
  <c r="BY57" i="1"/>
  <c r="BX57" i="1"/>
  <c r="BZ56" i="1"/>
  <c r="BY56" i="1"/>
  <c r="BX56" i="1"/>
  <c r="BZ55" i="1"/>
  <c r="BY55" i="1"/>
  <c r="BX55" i="1"/>
  <c r="BZ54" i="1"/>
  <c r="BY54" i="1"/>
  <c r="BX54" i="1"/>
  <c r="BZ53" i="1"/>
  <c r="BY53" i="1"/>
  <c r="BX53" i="1"/>
  <c r="BZ52" i="1"/>
  <c r="BY52" i="1"/>
  <c r="BX52" i="1"/>
  <c r="BZ51" i="1"/>
  <c r="BY51" i="1"/>
  <c r="BX51" i="1"/>
  <c r="BZ50" i="1"/>
  <c r="BY50" i="1"/>
  <c r="BX50" i="1"/>
  <c r="BZ49" i="1"/>
  <c r="BY49" i="1"/>
  <c r="BX49" i="1"/>
  <c r="BZ48" i="1"/>
  <c r="BY48" i="1"/>
  <c r="BX48" i="1"/>
  <c r="BZ47" i="1"/>
  <c r="BY47" i="1"/>
  <c r="BX47" i="1"/>
  <c r="BZ46" i="1"/>
  <c r="BY46" i="1"/>
  <c r="BX46" i="1"/>
  <c r="BZ45" i="1"/>
  <c r="BY45" i="1"/>
  <c r="BX45" i="1"/>
  <c r="BZ44" i="1"/>
  <c r="BY44" i="1"/>
  <c r="BX44" i="1"/>
  <c r="BZ43" i="1"/>
  <c r="BY43" i="1"/>
  <c r="BX43" i="1"/>
  <c r="BZ42" i="1"/>
  <c r="BY42" i="1"/>
  <c r="BX42" i="1"/>
  <c r="BZ41" i="1"/>
  <c r="BY41" i="1"/>
  <c r="BX41" i="1"/>
  <c r="BZ40" i="1"/>
  <c r="BY40" i="1"/>
  <c r="BX40" i="1"/>
  <c r="BZ39" i="1"/>
  <c r="BY39" i="1"/>
  <c r="BX39" i="1"/>
  <c r="BZ38" i="1"/>
  <c r="BY38" i="1"/>
  <c r="BX38" i="1"/>
  <c r="BZ37" i="1"/>
  <c r="BY37" i="1"/>
  <c r="BX37" i="1"/>
  <c r="BZ36" i="1"/>
  <c r="BY36" i="1"/>
  <c r="BX36" i="1"/>
  <c r="BZ35" i="1"/>
  <c r="BY35" i="1"/>
  <c r="BX35" i="1"/>
  <c r="BZ34" i="1"/>
  <c r="BY34" i="1"/>
  <c r="BX34" i="1"/>
  <c r="BX3" i="1"/>
  <c r="BY3" i="1"/>
  <c r="BZ3" i="1"/>
  <c r="BX4" i="1"/>
  <c r="BY4" i="1"/>
  <c r="BZ4" i="1"/>
  <c r="BX5" i="1"/>
  <c r="BY5" i="1"/>
  <c r="BZ5" i="1"/>
  <c r="BX6" i="1"/>
  <c r="BY6" i="1"/>
  <c r="BZ6" i="1"/>
  <c r="BX7" i="1"/>
  <c r="BY7" i="1"/>
  <c r="BZ7" i="1"/>
  <c r="BX8" i="1"/>
  <c r="BY8" i="1"/>
  <c r="BZ8" i="1"/>
  <c r="BX9" i="1"/>
  <c r="BY9" i="1"/>
  <c r="BZ9" i="1"/>
  <c r="BX10" i="1"/>
  <c r="BY10" i="1"/>
  <c r="BZ10" i="1"/>
  <c r="BX11" i="1"/>
  <c r="BY11" i="1"/>
  <c r="BZ11" i="1"/>
  <c r="BX12" i="1"/>
  <c r="BY12" i="1"/>
  <c r="BZ12" i="1"/>
  <c r="BX13" i="1"/>
  <c r="BY13" i="1"/>
  <c r="BZ13" i="1"/>
  <c r="BX14" i="1"/>
  <c r="BY14" i="1"/>
  <c r="BZ14" i="1"/>
  <c r="BX15" i="1"/>
  <c r="BY15" i="1"/>
  <c r="BZ15" i="1"/>
  <c r="BX16" i="1"/>
  <c r="BY16" i="1"/>
  <c r="BZ16" i="1"/>
  <c r="BX17" i="1"/>
  <c r="BY17" i="1"/>
  <c r="BZ17" i="1"/>
  <c r="BX18" i="1"/>
  <c r="BY18" i="1"/>
  <c r="BZ18" i="1"/>
  <c r="BX19" i="1"/>
  <c r="BY19" i="1"/>
  <c r="BZ19" i="1"/>
  <c r="BX20" i="1"/>
  <c r="BY20" i="1"/>
  <c r="BZ20" i="1"/>
  <c r="BX21" i="1"/>
  <c r="BY21" i="1"/>
  <c r="BZ21" i="1"/>
  <c r="BX22" i="1"/>
  <c r="BY22" i="1"/>
  <c r="BZ22" i="1"/>
  <c r="BX23" i="1"/>
  <c r="BY23" i="1"/>
  <c r="BZ23" i="1"/>
  <c r="BX24" i="1"/>
  <c r="BY24" i="1"/>
  <c r="BZ24" i="1"/>
  <c r="BX25" i="1"/>
  <c r="BY25" i="1"/>
  <c r="BZ25" i="1"/>
  <c r="BX26" i="1"/>
  <c r="BY26" i="1"/>
  <c r="BZ26" i="1"/>
  <c r="BX27" i="1"/>
  <c r="BY27" i="1"/>
  <c r="BZ27" i="1"/>
  <c r="BX28" i="1"/>
  <c r="BY28" i="1"/>
  <c r="BZ28" i="1"/>
  <c r="BX29" i="1"/>
  <c r="BY29" i="1"/>
  <c r="BZ29" i="1"/>
  <c r="BX30" i="1"/>
  <c r="BY30" i="1"/>
  <c r="BZ30" i="1"/>
  <c r="BX31" i="1"/>
  <c r="BY31" i="1"/>
  <c r="BZ31" i="1"/>
  <c r="BZ2" i="1"/>
  <c r="BY2" i="1"/>
  <c r="BX2" i="1"/>
  <c r="CQ533" i="1"/>
  <c r="CR533" i="1" s="1"/>
  <c r="CQ537" i="1"/>
  <c r="CR537" i="1" s="1"/>
  <c r="CQ535" i="1"/>
  <c r="CR535" i="1" s="1"/>
  <c r="CQ534" i="1"/>
  <c r="CR534" i="1" s="1"/>
  <c r="CQ512" i="1"/>
  <c r="CR512" i="1" s="1"/>
  <c r="CQ462" i="1"/>
  <c r="CR462" i="1" s="1"/>
  <c r="CQ461" i="1"/>
  <c r="CR461" i="1" s="1"/>
  <c r="CR467" i="1"/>
  <c r="CR465" i="1"/>
  <c r="CR470" i="1"/>
  <c r="CR478" i="1"/>
  <c r="CR480" i="1"/>
  <c r="CR486" i="1"/>
  <c r="CR487" i="1"/>
  <c r="CR488" i="1"/>
  <c r="CR490" i="1"/>
  <c r="CR494" i="1"/>
  <c r="CR496" i="1"/>
  <c r="CR499" i="1"/>
  <c r="CR500" i="1"/>
  <c r="CR501" i="1"/>
  <c r="CA27" i="1" l="1"/>
  <c r="CA19" i="1"/>
  <c r="CA11" i="1"/>
  <c r="CA3" i="1"/>
  <c r="CA426" i="1"/>
  <c r="CA255" i="1"/>
  <c r="CA279" i="1"/>
  <c r="CA514" i="1"/>
  <c r="CA602" i="1"/>
  <c r="CA287" i="1"/>
  <c r="CA108" i="1"/>
  <c r="CA166" i="1"/>
  <c r="CA189" i="1"/>
  <c r="CA213" i="1"/>
  <c r="CA359" i="1"/>
  <c r="CA405" i="1"/>
  <c r="CA413" i="1"/>
  <c r="CA447" i="1"/>
  <c r="CA455" i="1"/>
  <c r="CA463" i="1"/>
  <c r="CA471" i="1"/>
  <c r="CA519" i="1"/>
  <c r="CA542" i="1"/>
  <c r="CA550" i="1"/>
  <c r="CA558" i="1"/>
  <c r="CA566" i="1"/>
  <c r="CA629" i="1"/>
  <c r="CA637" i="1"/>
  <c r="CA645" i="1"/>
  <c r="CA653" i="1"/>
  <c r="CA661" i="1"/>
  <c r="CA669" i="1"/>
  <c r="CA694" i="1"/>
  <c r="CA702" i="1"/>
  <c r="CA726" i="1"/>
  <c r="CA28" i="1"/>
  <c r="CA20" i="1"/>
  <c r="CA12" i="1"/>
  <c r="CA4" i="1"/>
  <c r="CA466" i="1"/>
  <c r="CA503" i="1"/>
  <c r="CA599" i="1"/>
  <c r="CA749" i="1"/>
  <c r="CA461" i="1"/>
  <c r="CA506" i="1"/>
  <c r="CA72" i="1"/>
  <c r="CA448" i="1"/>
  <c r="CA509" i="1"/>
  <c r="CA551" i="1"/>
  <c r="CA597" i="1"/>
  <c r="CA638" i="1"/>
  <c r="CA335" i="1"/>
  <c r="CA526" i="1"/>
  <c r="CA469" i="1"/>
  <c r="CA594" i="1"/>
  <c r="CA527" i="1"/>
  <c r="CA600" i="1"/>
  <c r="CA730" i="1"/>
  <c r="CA442" i="1"/>
  <c r="CA591" i="1"/>
  <c r="CA254" i="1"/>
  <c r="CA277" i="1"/>
  <c r="CA511" i="1"/>
  <c r="CA607" i="1"/>
  <c r="CA59" i="1"/>
  <c r="CA253" i="1"/>
  <c r="CA458" i="1"/>
  <c r="CA610" i="1"/>
  <c r="CA94" i="1"/>
  <c r="CA751" i="1"/>
  <c r="CA193" i="1"/>
  <c r="CA246" i="1"/>
  <c r="CA328" i="1"/>
  <c r="CA46" i="1"/>
  <c r="CA165" i="1"/>
  <c r="CA196" i="1"/>
  <c r="CA21" i="1"/>
  <c r="CA16" i="1"/>
  <c r="CA8" i="1"/>
  <c r="CA49" i="1"/>
  <c r="CA57" i="1"/>
  <c r="CA73" i="1"/>
  <c r="CA95" i="1"/>
  <c r="CA103" i="1"/>
  <c r="CA107" i="1"/>
  <c r="CA115" i="1"/>
  <c r="CA152" i="1"/>
  <c r="CA160" i="1"/>
  <c r="CA168" i="1"/>
  <c r="CA191" i="1"/>
  <c r="CA194" i="1"/>
  <c r="CA199" i="1"/>
  <c r="CA202" i="1"/>
  <c r="CA207" i="1"/>
  <c r="CA210" i="1"/>
  <c r="CA35" i="1"/>
  <c r="CA67" i="1"/>
  <c r="CA110" i="1"/>
  <c r="CA154" i="1"/>
  <c r="CA54" i="1"/>
  <c r="CA62" i="1"/>
  <c r="CA149" i="1"/>
  <c r="CA157" i="1"/>
  <c r="CA188" i="1"/>
  <c r="CA204" i="1"/>
  <c r="CA212" i="1"/>
  <c r="CA29" i="1"/>
  <c r="CA24" i="1"/>
  <c r="CA13" i="1"/>
  <c r="CA5" i="1"/>
  <c r="CA41" i="1"/>
  <c r="CA65" i="1"/>
  <c r="CA99" i="1"/>
  <c r="CA111" i="1"/>
  <c r="CA2" i="1"/>
  <c r="CA36" i="1"/>
  <c r="CA44" i="1"/>
  <c r="CA52" i="1"/>
  <c r="CA60" i="1"/>
  <c r="CA68" i="1"/>
  <c r="CA147" i="1"/>
  <c r="CA155" i="1"/>
  <c r="CA163" i="1"/>
  <c r="CA171" i="1"/>
  <c r="CA239" i="1"/>
  <c r="CA247" i="1"/>
  <c r="CA43" i="1"/>
  <c r="CA102" i="1"/>
  <c r="CA146" i="1"/>
  <c r="CA336" i="1"/>
  <c r="CA38" i="1"/>
  <c r="CA70" i="1"/>
  <c r="CA31" i="1"/>
  <c r="CA26" i="1"/>
  <c r="CA23" i="1"/>
  <c r="CA18" i="1"/>
  <c r="CA15" i="1"/>
  <c r="CA10" i="1"/>
  <c r="CA7" i="1"/>
  <c r="CA39" i="1"/>
  <c r="CA42" i="1"/>
  <c r="CA47" i="1"/>
  <c r="CA50" i="1"/>
  <c r="CA55" i="1"/>
  <c r="CA58" i="1"/>
  <c r="CA63" i="1"/>
  <c r="CA66" i="1"/>
  <c r="CA71" i="1"/>
  <c r="CA92" i="1"/>
  <c r="CA96" i="1"/>
  <c r="CA100" i="1"/>
  <c r="CA104" i="1"/>
  <c r="CA112" i="1"/>
  <c r="CA116" i="1"/>
  <c r="CA150" i="1"/>
  <c r="CA158" i="1"/>
  <c r="CA192" i="1"/>
  <c r="CA197" i="1"/>
  <c r="CA200" i="1"/>
  <c r="CA205" i="1"/>
  <c r="CA208" i="1"/>
  <c r="CA240" i="1"/>
  <c r="CA242" i="1"/>
  <c r="CA248" i="1"/>
  <c r="CA250" i="1"/>
  <c r="CA256" i="1"/>
  <c r="CA274" i="1"/>
  <c r="CA280" i="1"/>
  <c r="CA282" i="1"/>
  <c r="CA288" i="1"/>
  <c r="CA290" i="1"/>
  <c r="CA322" i="1"/>
  <c r="CA324" i="1"/>
  <c r="CA330" i="1"/>
  <c r="CA332" i="1"/>
  <c r="CA362" i="1"/>
  <c r="CA367" i="1"/>
  <c r="CA370" i="1"/>
  <c r="CA386" i="1"/>
  <c r="CA388" i="1"/>
  <c r="CA106" i="1"/>
  <c r="CA34" i="1"/>
  <c r="CA161" i="1"/>
  <c r="CA237" i="1"/>
  <c r="CA285" i="1"/>
  <c r="CA391" i="1"/>
  <c r="CA430" i="1"/>
  <c r="CA98" i="1"/>
  <c r="CA162" i="1"/>
  <c r="CA153" i="1"/>
  <c r="CA169" i="1"/>
  <c r="CA245" i="1"/>
  <c r="CA293" i="1"/>
  <c r="CA327" i="1"/>
  <c r="CA25" i="1"/>
  <c r="CA17" i="1"/>
  <c r="CA9" i="1"/>
  <c r="CA37" i="1"/>
  <c r="CA45" i="1"/>
  <c r="CA53" i="1"/>
  <c r="CA61" i="1"/>
  <c r="CA69" i="1"/>
  <c r="CA93" i="1"/>
  <c r="CA97" i="1"/>
  <c r="CA101" i="1"/>
  <c r="CA105" i="1"/>
  <c r="CA109" i="1"/>
  <c r="CA113" i="1"/>
  <c r="CA148" i="1"/>
  <c r="CA156" i="1"/>
  <c r="CA164" i="1"/>
  <c r="CA187" i="1"/>
  <c r="CA195" i="1"/>
  <c r="CA203" i="1"/>
  <c r="CA211" i="1"/>
  <c r="CA357" i="1"/>
  <c r="CA365" i="1"/>
  <c r="CA403" i="1"/>
  <c r="CA411" i="1"/>
  <c r="CA419" i="1"/>
  <c r="CA433" i="1"/>
  <c r="CA445" i="1"/>
  <c r="CA453" i="1"/>
  <c r="CA114" i="1"/>
  <c r="CA170" i="1"/>
  <c r="CA201" i="1"/>
  <c r="CA238" i="1"/>
  <c r="CA30" i="1"/>
  <c r="CA22" i="1"/>
  <c r="CA14" i="1"/>
  <c r="CA6" i="1"/>
  <c r="CA40" i="1"/>
  <c r="CA48" i="1"/>
  <c r="CA56" i="1"/>
  <c r="CA64" i="1"/>
  <c r="CA151" i="1"/>
  <c r="CA159" i="1"/>
  <c r="CA167" i="1"/>
  <c r="CA190" i="1"/>
  <c r="CA198" i="1"/>
  <c r="CA206" i="1"/>
  <c r="CA235" i="1"/>
  <c r="CA243" i="1"/>
  <c r="CA251" i="1"/>
  <c r="CA275" i="1"/>
  <c r="CA283" i="1"/>
  <c r="CA291" i="1"/>
  <c r="CA320" i="1"/>
  <c r="CA325" i="1"/>
  <c r="CA333" i="1"/>
  <c r="CA360" i="1"/>
  <c r="CA368" i="1"/>
  <c r="CA389" i="1"/>
  <c r="CA406" i="1"/>
  <c r="CA414" i="1"/>
  <c r="CA428" i="1"/>
  <c r="CA440" i="1"/>
  <c r="CA456" i="1"/>
  <c r="CA464" i="1"/>
  <c r="CA472" i="1"/>
  <c r="CA520" i="1"/>
  <c r="CA543" i="1"/>
  <c r="CA559" i="1"/>
  <c r="CA567" i="1"/>
  <c r="CA589" i="1"/>
  <c r="CA605" i="1"/>
  <c r="CA630" i="1"/>
  <c r="CA646" i="1"/>
  <c r="CA654" i="1"/>
  <c r="CA662" i="1"/>
  <c r="CA687" i="1"/>
  <c r="CA695" i="1"/>
  <c r="CA703" i="1"/>
  <c r="CA727" i="1"/>
  <c r="CA747" i="1"/>
  <c r="CA51" i="1"/>
  <c r="CA209" i="1"/>
  <c r="CA278" i="1"/>
  <c r="CA286" i="1"/>
  <c r="CA363" i="1"/>
  <c r="CA371" i="1"/>
  <c r="CA409" i="1"/>
  <c r="CA417" i="1"/>
  <c r="CA431" i="1"/>
  <c r="CA443" i="1"/>
  <c r="CA451" i="1"/>
  <c r="CA459" i="1"/>
  <c r="CA467" i="1"/>
  <c r="CA504" i="1"/>
  <c r="CA512" i="1"/>
  <c r="CA546" i="1"/>
  <c r="CA554" i="1"/>
  <c r="CA562" i="1"/>
  <c r="CA570" i="1"/>
  <c r="CA592" i="1"/>
  <c r="CA608" i="1"/>
  <c r="CA633" i="1"/>
  <c r="CA641" i="1"/>
  <c r="CA649" i="1"/>
  <c r="CA657" i="1"/>
  <c r="CA665" i="1"/>
  <c r="CA690" i="1"/>
  <c r="CA698" i="1"/>
  <c r="CA750" i="1"/>
  <c r="CA722" i="1"/>
  <c r="CA241" i="1"/>
  <c r="CA249" i="1"/>
  <c r="CA257" i="1"/>
  <c r="CA281" i="1"/>
  <c r="CA289" i="1"/>
  <c r="CA323" i="1"/>
  <c r="CA331" i="1"/>
  <c r="CA358" i="1"/>
  <c r="CA366" i="1"/>
  <c r="CA387" i="1"/>
  <c r="CA393" i="1"/>
  <c r="CA404" i="1"/>
  <c r="CA412" i="1"/>
  <c r="CA446" i="1"/>
  <c r="CA454" i="1"/>
  <c r="CA462" i="1"/>
  <c r="CA470" i="1"/>
  <c r="CA502" i="1"/>
  <c r="CA507" i="1"/>
  <c r="CA518" i="1"/>
  <c r="CA541" i="1"/>
  <c r="CA549" i="1"/>
  <c r="CA557" i="1"/>
  <c r="CA565" i="1"/>
  <c r="CA573" i="1"/>
  <c r="CA595" i="1"/>
  <c r="CA603" i="1"/>
  <c r="CA628" i="1"/>
  <c r="CA636" i="1"/>
  <c r="CA644" i="1"/>
  <c r="CA652" i="1"/>
  <c r="CA660" i="1"/>
  <c r="CA668" i="1"/>
  <c r="CA693" i="1"/>
  <c r="CA701" i="1"/>
  <c r="CA725" i="1"/>
  <c r="CA745" i="1"/>
  <c r="CA236" i="1"/>
  <c r="CA244" i="1"/>
  <c r="CA252" i="1"/>
  <c r="CA276" i="1"/>
  <c r="CA284" i="1"/>
  <c r="CA292" i="1"/>
  <c r="CA326" i="1"/>
  <c r="CA334" i="1"/>
  <c r="CA361" i="1"/>
  <c r="CA369" i="1"/>
  <c r="CA390" i="1"/>
  <c r="CA392" i="1"/>
  <c r="CA407" i="1"/>
  <c r="CA410" i="1"/>
  <c r="CA415" i="1"/>
  <c r="CA418" i="1"/>
  <c r="CA429" i="1"/>
  <c r="CA432" i="1"/>
  <c r="CA441" i="1"/>
  <c r="CA449" i="1"/>
  <c r="CA457" i="1"/>
  <c r="CA465" i="1"/>
  <c r="CA510" i="1"/>
  <c r="CA525" i="1"/>
  <c r="CA539" i="1"/>
  <c r="CA544" i="1"/>
  <c r="CA552" i="1"/>
  <c r="CA560" i="1"/>
  <c r="CA568" i="1"/>
  <c r="CA590" i="1"/>
  <c r="CA598" i="1"/>
  <c r="CA601" i="1"/>
  <c r="CA606" i="1"/>
  <c r="CA631" i="1"/>
  <c r="CA634" i="1"/>
  <c r="CA639" i="1"/>
  <c r="CA642" i="1"/>
  <c r="CA647" i="1"/>
  <c r="CA650" i="1"/>
  <c r="CA655" i="1"/>
  <c r="CA658" i="1"/>
  <c r="CA663" i="1"/>
  <c r="CA666" i="1"/>
  <c r="CA688" i="1"/>
  <c r="CA696" i="1"/>
  <c r="CA720" i="1"/>
  <c r="CA728" i="1"/>
  <c r="CA746" i="1"/>
  <c r="CA748" i="1"/>
  <c r="CA321" i="1"/>
  <c r="CA329" i="1"/>
  <c r="CA356" i="1"/>
  <c r="CA364" i="1"/>
  <c r="CA385" i="1"/>
  <c r="CA439" i="1"/>
  <c r="CA444" i="1"/>
  <c r="CA452" i="1"/>
  <c r="CA460" i="1"/>
  <c r="CA468" i="1"/>
  <c r="CA505" i="1"/>
  <c r="CA513" i="1"/>
  <c r="CA547" i="1"/>
  <c r="CA555" i="1"/>
  <c r="CA563" i="1"/>
  <c r="CA571" i="1"/>
  <c r="CA588" i="1"/>
  <c r="CA593" i="1"/>
  <c r="CA609" i="1"/>
  <c r="CA691" i="1"/>
  <c r="CA699" i="1"/>
  <c r="CA723" i="1"/>
  <c r="CA731" i="1"/>
  <c r="CA408" i="1"/>
  <c r="CA416" i="1"/>
  <c r="CA427" i="1"/>
  <c r="CA508" i="1"/>
  <c r="CA596" i="1"/>
  <c r="CA604" i="1"/>
  <c r="CA632" i="1"/>
  <c r="CA640" i="1"/>
  <c r="CA648" i="1"/>
  <c r="CA656" i="1"/>
  <c r="CA664" i="1"/>
  <c r="CA744" i="1"/>
  <c r="CA752" i="1"/>
  <c r="CA545" i="1"/>
  <c r="CA553" i="1"/>
  <c r="CA561" i="1"/>
  <c r="CA569" i="1"/>
  <c r="CA689" i="1"/>
  <c r="CA697" i="1"/>
  <c r="CA721" i="1"/>
  <c r="CA729" i="1"/>
  <c r="CA540" i="1"/>
  <c r="CA548" i="1"/>
  <c r="CA556" i="1"/>
  <c r="CA564" i="1"/>
  <c r="CA572" i="1"/>
  <c r="CA635" i="1"/>
  <c r="CA643" i="1"/>
  <c r="CA651" i="1"/>
  <c r="CA659" i="1"/>
  <c r="CA667" i="1"/>
  <c r="CA692" i="1"/>
  <c r="CA700" i="1"/>
  <c r="CA724" i="1"/>
  <c r="CA450" i="1"/>
  <c r="CA434" i="1"/>
  <c r="CR502" i="1"/>
  <c r="CR506" i="1"/>
  <c r="CR508" i="1"/>
  <c r="CR511" i="1"/>
  <c r="CR513" i="1"/>
  <c r="CR519" i="1"/>
  <c r="CR520" i="1"/>
  <c r="CR524" i="1"/>
  <c r="CR526" i="1"/>
  <c r="CR527" i="1"/>
  <c r="CR754" i="1" l="1"/>
  <c r="CR753" i="1"/>
  <c r="CR751" i="1"/>
  <c r="CR750" i="1"/>
  <c r="CR749" i="1"/>
  <c r="CR723" i="1"/>
  <c r="CR718" i="1"/>
  <c r="CR716" i="1"/>
  <c r="CR713" i="1"/>
  <c r="CR711" i="1"/>
  <c r="CR708" i="1"/>
  <c r="CR699" i="1"/>
  <c r="CR697" i="1"/>
  <c r="CR696" i="1"/>
  <c r="CR694" i="1"/>
  <c r="CR692" i="1"/>
  <c r="CR686" i="1"/>
  <c r="CR682" i="1"/>
  <c r="CR679" i="1"/>
  <c r="CR675" i="1"/>
  <c r="CR668" i="1"/>
  <c r="CR667" i="1"/>
  <c r="CR666" i="1"/>
  <c r="CR665" i="1"/>
  <c r="CR660" i="1"/>
  <c r="CR650" i="1"/>
  <c r="CR648" i="1"/>
  <c r="CR644" i="1"/>
  <c r="CR633" i="1"/>
  <c r="CR629" i="1"/>
  <c r="CR625" i="1" l="1"/>
  <c r="CR624" i="1"/>
  <c r="CR621" i="1"/>
  <c r="CR620" i="1"/>
  <c r="CR618" i="1"/>
  <c r="CR606" i="1"/>
  <c r="CR603" i="1"/>
  <c r="CR594" i="1"/>
  <c r="CR593" i="1"/>
  <c r="CR588" i="1"/>
  <c r="CR586" i="1"/>
  <c r="CR585" i="1"/>
  <c r="CR578" i="1"/>
  <c r="CR575" i="1"/>
  <c r="CR569" i="1"/>
  <c r="CR561" i="1"/>
  <c r="CR559" i="1"/>
  <c r="CR557" i="1"/>
  <c r="CR317" i="1" l="1"/>
  <c r="CR312" i="1"/>
  <c r="CR310" i="1"/>
  <c r="CR307" i="1"/>
  <c r="CR305" i="1"/>
  <c r="CR302" i="1"/>
  <c r="CR301" i="1"/>
  <c r="CR292" i="1"/>
  <c r="CR290" i="1"/>
  <c r="CR285" i="1"/>
  <c r="CR260" i="1"/>
  <c r="CR273" i="1"/>
  <c r="CR271" i="1"/>
  <c r="CR264" i="1"/>
  <c r="CR263" i="1"/>
  <c r="CR256" i="1"/>
  <c r="CR255" i="1"/>
  <c r="CR254" i="1"/>
  <c r="CR238" i="1"/>
  <c r="CR235" i="1"/>
  <c r="CR230" i="1"/>
  <c r="CR223" i="1"/>
  <c r="CR217" i="1"/>
  <c r="CR216" i="1"/>
  <c r="CR214" i="1"/>
  <c r="CR210" i="1"/>
  <c r="CR209" i="1"/>
  <c r="CR199" i="1"/>
  <c r="CR197" i="1"/>
  <c r="CR194" i="1"/>
  <c r="CR184" i="1"/>
  <c r="CR183" i="1"/>
  <c r="CR181" i="1"/>
  <c r="CR178" i="1"/>
  <c r="CR174" i="1"/>
  <c r="CR166" i="1"/>
  <c r="CR165" i="1"/>
  <c r="CR164" i="1"/>
  <c r="CR159" i="1"/>
  <c r="CR155" i="1"/>
  <c r="CR138" i="1"/>
  <c r="CR136" i="1"/>
  <c r="CR131" i="1"/>
  <c r="CR129" i="1"/>
  <c r="CR125" i="1"/>
  <c r="CR109" i="1"/>
  <c r="CR108" i="1"/>
  <c r="CR100" i="1"/>
  <c r="CR93" i="1"/>
  <c r="CR92" i="1"/>
  <c r="CR87" i="1"/>
  <c r="CR82" i="1"/>
  <c r="CR81" i="1"/>
  <c r="CR79" i="1"/>
  <c r="CR76" i="1"/>
  <c r="CR70" i="1"/>
  <c r="CR63" i="1"/>
  <c r="CR65" i="1"/>
  <c r="CR66" i="1"/>
  <c r="CR56" i="1"/>
  <c r="Q10" i="1"/>
  <c r="Q11" i="1"/>
  <c r="Q12" i="1"/>
  <c r="Q1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320" i="1"/>
  <c r="Q321" i="1"/>
  <c r="Q322" i="1"/>
  <c r="Q323" i="1"/>
  <c r="Q324" i="1"/>
  <c r="Q325" i="1"/>
  <c r="Q326" i="1"/>
  <c r="Q327" i="1"/>
  <c r="Q328" i="1"/>
  <c r="Q329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330" i="1"/>
  <c r="Q331" i="1"/>
  <c r="Q332" i="1"/>
  <c r="Q333" i="1"/>
  <c r="Q334" i="1"/>
  <c r="Q335" i="1"/>
  <c r="Q336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70" i="1"/>
  <c r="Q571" i="1"/>
  <c r="Q572" i="1"/>
  <c r="Q573" i="1"/>
  <c r="Q32" i="1"/>
  <c r="Q3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473" i="1"/>
  <c r="Q474" i="1"/>
  <c r="Q475" i="1"/>
  <c r="Q476" i="1"/>
  <c r="Q477" i="1"/>
  <c r="Q478" i="1"/>
  <c r="Q479" i="1"/>
  <c r="Q480" i="1"/>
  <c r="Q481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10" i="1"/>
  <c r="Q117" i="1"/>
  <c r="Q118" i="1"/>
  <c r="Q119" i="1"/>
  <c r="Q120" i="1"/>
  <c r="Q121" i="1"/>
  <c r="Q122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385" i="1"/>
  <c r="Q386" i="1"/>
  <c r="Q387" i="1"/>
  <c r="Q388" i="1"/>
  <c r="Q389" i="1"/>
  <c r="Q390" i="1"/>
  <c r="Q391" i="1"/>
  <c r="Q392" i="1"/>
  <c r="Q393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394" i="1"/>
  <c r="Q485" i="1"/>
  <c r="Q486" i="1"/>
  <c r="Q487" i="1"/>
  <c r="Q488" i="1"/>
  <c r="Q489" i="1"/>
  <c r="Q490" i="1"/>
  <c r="Q491" i="1"/>
  <c r="Q492" i="1"/>
  <c r="Q493" i="1"/>
  <c r="Q494" i="1"/>
  <c r="Q395" i="1"/>
  <c r="Q396" i="1"/>
  <c r="Q397" i="1"/>
  <c r="Q398" i="1"/>
  <c r="Q399" i="1"/>
  <c r="Q400" i="1"/>
  <c r="Q401" i="1"/>
  <c r="Q402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187" i="1"/>
  <c r="Q188" i="1"/>
  <c r="Q189" i="1"/>
  <c r="Q190" i="1"/>
  <c r="Q191" i="1"/>
  <c r="Q192" i="1"/>
  <c r="Q193" i="1"/>
  <c r="Q194" i="1"/>
  <c r="Q195" i="1"/>
  <c r="Q403" i="1"/>
  <c r="Q404" i="1"/>
  <c r="Q405" i="1"/>
  <c r="Q406" i="1"/>
  <c r="Q407" i="1"/>
  <c r="Q408" i="1"/>
  <c r="Q409" i="1"/>
  <c r="Q410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495" i="1"/>
  <c r="Q496" i="1"/>
  <c r="Q497" i="1"/>
  <c r="Q498" i="1"/>
  <c r="Q499" i="1"/>
  <c r="Q500" i="1"/>
  <c r="Q501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502" i="1"/>
  <c r="Q503" i="1"/>
  <c r="Q504" i="1"/>
  <c r="Q505" i="1"/>
  <c r="Q411" i="1"/>
  <c r="Q412" i="1"/>
  <c r="Q413" i="1"/>
  <c r="Q414" i="1"/>
  <c r="Q415" i="1"/>
  <c r="Q506" i="1"/>
  <c r="Q507" i="1"/>
  <c r="Q508" i="1"/>
  <c r="Q509" i="1"/>
  <c r="Q510" i="1"/>
  <c r="Q511" i="1"/>
  <c r="Q512" i="1"/>
  <c r="Q513" i="1"/>
  <c r="Q514" i="1"/>
  <c r="Q416" i="1"/>
  <c r="Q417" i="1"/>
  <c r="Q418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420" i="1"/>
  <c r="Q421" i="1"/>
  <c r="Q422" i="1"/>
  <c r="Q423" i="1"/>
  <c r="Q424" i="1"/>
  <c r="Q425" i="1"/>
  <c r="Q515" i="1"/>
  <c r="Q516" i="1"/>
  <c r="Q517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518" i="1"/>
  <c r="Q426" i="1"/>
  <c r="Q427" i="1"/>
  <c r="Q428" i="1"/>
  <c r="Q429" i="1"/>
  <c r="Q430" i="1"/>
  <c r="Q431" i="1"/>
  <c r="Q432" i="1"/>
  <c r="Q433" i="1"/>
  <c r="Q434" i="1"/>
  <c r="Q519" i="1"/>
  <c r="Q520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732" i="1"/>
  <c r="Q733" i="1"/>
  <c r="Q734" i="1"/>
  <c r="Q735" i="1"/>
  <c r="Q736" i="1"/>
  <c r="Q737" i="1"/>
  <c r="Q738" i="1"/>
  <c r="Q739" i="1"/>
  <c r="Q740" i="1"/>
  <c r="Q741" i="1"/>
  <c r="Q742" i="1"/>
  <c r="Q521" i="1"/>
  <c r="Q522" i="1"/>
  <c r="Q523" i="1"/>
  <c r="Q524" i="1"/>
  <c r="Q435" i="1"/>
  <c r="Q436" i="1"/>
  <c r="Q437" i="1"/>
  <c r="Q438" i="1"/>
  <c r="Q744" i="1"/>
  <c r="Q745" i="1"/>
  <c r="Q746" i="1"/>
  <c r="Q747" i="1"/>
  <c r="Q748" i="1"/>
  <c r="Q749" i="1"/>
  <c r="Q750" i="1"/>
  <c r="Q751" i="1"/>
  <c r="Q752" i="1"/>
  <c r="Q525" i="1"/>
  <c r="Q526" i="1"/>
  <c r="Q527" i="1"/>
  <c r="Q529" i="1"/>
  <c r="Q530" i="1"/>
  <c r="Q531" i="1"/>
  <c r="Q532" i="1"/>
  <c r="Q533" i="1"/>
  <c r="Q534" i="1"/>
  <c r="Q535" i="1"/>
  <c r="Q536" i="1"/>
  <c r="Q537" i="1"/>
  <c r="Q538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" i="1"/>
  <c r="Q4" i="1"/>
  <c r="Q6" i="1"/>
  <c r="Q7" i="1"/>
  <c r="Q8" i="1"/>
  <c r="Q9" i="1"/>
  <c r="Q2" i="1"/>
  <c r="E319" i="1"/>
  <c r="E318" i="1"/>
  <c r="E317" i="1"/>
  <c r="E316" i="1"/>
  <c r="E315" i="1"/>
  <c r="E314" i="1"/>
  <c r="E313" i="1"/>
  <c r="E312" i="1"/>
  <c r="E311" i="1"/>
  <c r="E310" i="1"/>
  <c r="E309" i="1"/>
  <c r="E308" i="1"/>
  <c r="E764" i="1"/>
  <c r="E763" i="1"/>
  <c r="E762" i="1"/>
  <c r="E761" i="1"/>
  <c r="E760" i="1"/>
  <c r="E759" i="1"/>
  <c r="E758" i="1"/>
  <c r="E757" i="1"/>
  <c r="E756" i="1"/>
  <c r="E755" i="1"/>
  <c r="E754" i="1"/>
  <c r="E753" i="1"/>
  <c r="E538" i="1"/>
  <c r="E537" i="1"/>
  <c r="E536" i="1"/>
  <c r="E535" i="1"/>
  <c r="E534" i="1"/>
  <c r="E533" i="1"/>
  <c r="E532" i="1"/>
  <c r="E531" i="1"/>
  <c r="E530" i="1"/>
  <c r="E529" i="1"/>
  <c r="E528" i="1"/>
  <c r="E527" i="1"/>
  <c r="E526" i="1"/>
  <c r="E525" i="1"/>
  <c r="E752" i="1"/>
  <c r="E751" i="1"/>
  <c r="E750" i="1"/>
  <c r="E749" i="1"/>
  <c r="E748" i="1"/>
  <c r="E747" i="1"/>
  <c r="E746" i="1"/>
  <c r="E745" i="1"/>
  <c r="E744" i="1"/>
  <c r="E438" i="1"/>
  <c r="E437" i="1"/>
  <c r="E436" i="1"/>
  <c r="E435" i="1"/>
  <c r="E524" i="1"/>
  <c r="E523" i="1"/>
  <c r="E522" i="1"/>
  <c r="E521" i="1"/>
  <c r="E743" i="1"/>
  <c r="E742" i="1"/>
  <c r="E741" i="1"/>
  <c r="E740" i="1"/>
  <c r="E739" i="1"/>
  <c r="E738" i="1"/>
  <c r="E737" i="1"/>
  <c r="E736" i="1"/>
  <c r="E735" i="1"/>
  <c r="E734" i="1"/>
  <c r="E733" i="1"/>
  <c r="E732" i="1"/>
  <c r="E307" i="1"/>
  <c r="E306" i="1"/>
  <c r="E305" i="1"/>
  <c r="E304" i="1"/>
  <c r="E303" i="1"/>
  <c r="E302" i="1"/>
  <c r="E301" i="1"/>
  <c r="E300" i="1"/>
  <c r="E299" i="1"/>
  <c r="E298" i="1"/>
  <c r="E297" i="1"/>
  <c r="E296" i="1"/>
  <c r="E295" i="1"/>
  <c r="E294" i="1"/>
  <c r="E520" i="1"/>
  <c r="E519" i="1"/>
  <c r="E434" i="1"/>
  <c r="E433" i="1"/>
  <c r="E432" i="1"/>
  <c r="E431" i="1"/>
  <c r="E430" i="1"/>
  <c r="E429" i="1"/>
  <c r="E428" i="1"/>
  <c r="E427" i="1"/>
  <c r="E426" i="1"/>
  <c r="E518" i="1"/>
  <c r="E731" i="1"/>
  <c r="E730" i="1"/>
  <c r="E729" i="1"/>
  <c r="E728" i="1"/>
  <c r="E727" i="1"/>
  <c r="E726" i="1"/>
  <c r="E725" i="1"/>
  <c r="E724" i="1"/>
  <c r="E723" i="1"/>
  <c r="E722" i="1"/>
  <c r="E721" i="1"/>
  <c r="E720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719" i="1"/>
  <c r="E718" i="1"/>
  <c r="E717" i="1"/>
  <c r="E716" i="1"/>
  <c r="E715" i="1"/>
  <c r="E714" i="1"/>
  <c r="E713" i="1"/>
  <c r="E712" i="1"/>
  <c r="E711" i="1"/>
  <c r="E710" i="1"/>
  <c r="E709" i="1"/>
  <c r="E708" i="1"/>
  <c r="E707" i="1"/>
  <c r="E706" i="1"/>
  <c r="E705" i="1"/>
  <c r="E704" i="1"/>
  <c r="E517" i="1"/>
  <c r="E516" i="1"/>
  <c r="E515" i="1"/>
  <c r="E425" i="1"/>
  <c r="E424" i="1"/>
  <c r="E423" i="1"/>
  <c r="E422" i="1"/>
  <c r="E421" i="1"/>
  <c r="E420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419" i="1"/>
  <c r="E418" i="1"/>
  <c r="E417" i="1"/>
  <c r="E416" i="1"/>
  <c r="E514" i="1"/>
  <c r="E513" i="1"/>
  <c r="E512" i="1"/>
  <c r="E511" i="1"/>
  <c r="E510" i="1"/>
  <c r="E509" i="1"/>
  <c r="E508" i="1"/>
  <c r="E507" i="1"/>
  <c r="E506" i="1"/>
  <c r="E415" i="1"/>
  <c r="E414" i="1"/>
  <c r="E413" i="1"/>
  <c r="E412" i="1"/>
  <c r="E411" i="1"/>
  <c r="E505" i="1"/>
  <c r="E504" i="1"/>
  <c r="E503" i="1"/>
  <c r="E502" i="1"/>
  <c r="E703" i="1"/>
  <c r="E702" i="1"/>
  <c r="E701" i="1"/>
  <c r="E700" i="1"/>
  <c r="E699" i="1"/>
  <c r="E698" i="1"/>
  <c r="E697" i="1"/>
  <c r="E696" i="1"/>
  <c r="E695" i="1"/>
  <c r="E694" i="1"/>
  <c r="E693" i="1"/>
  <c r="E692" i="1"/>
  <c r="E691" i="1"/>
  <c r="E690" i="1"/>
  <c r="E689" i="1"/>
  <c r="E688" i="1"/>
  <c r="E687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501" i="1"/>
  <c r="E500" i="1"/>
  <c r="E499" i="1"/>
  <c r="E498" i="1"/>
  <c r="E497" i="1"/>
  <c r="E496" i="1"/>
  <c r="E495" i="1"/>
  <c r="E686" i="1"/>
  <c r="E685" i="1"/>
  <c r="E684" i="1"/>
  <c r="E683" i="1"/>
  <c r="E682" i="1"/>
  <c r="E681" i="1"/>
  <c r="E680" i="1"/>
  <c r="E679" i="1"/>
  <c r="E678" i="1"/>
  <c r="E677" i="1"/>
  <c r="E676" i="1"/>
  <c r="E675" i="1"/>
  <c r="E674" i="1"/>
  <c r="E673" i="1"/>
  <c r="E672" i="1"/>
  <c r="E671" i="1"/>
  <c r="E670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410" i="1"/>
  <c r="E409" i="1"/>
  <c r="E408" i="1"/>
  <c r="E407" i="1"/>
  <c r="E406" i="1"/>
  <c r="E405" i="1"/>
  <c r="E404" i="1"/>
  <c r="E403" i="1"/>
  <c r="E195" i="1"/>
  <c r="E194" i="1"/>
  <c r="E193" i="1"/>
  <c r="E192" i="1"/>
  <c r="E191" i="1"/>
  <c r="E190" i="1"/>
  <c r="E189" i="1"/>
  <c r="E188" i="1"/>
  <c r="E187" i="1"/>
  <c r="E669" i="1"/>
  <c r="E668" i="1"/>
  <c r="E667" i="1"/>
  <c r="E666" i="1"/>
  <c r="E665" i="1"/>
  <c r="E664" i="1"/>
  <c r="E663" i="1"/>
  <c r="E662" i="1"/>
  <c r="E661" i="1"/>
  <c r="E660" i="1"/>
  <c r="E659" i="1"/>
  <c r="E658" i="1"/>
  <c r="E657" i="1"/>
  <c r="E656" i="1"/>
  <c r="E655" i="1"/>
  <c r="E402" i="1"/>
  <c r="E401" i="1"/>
  <c r="E400" i="1"/>
  <c r="E399" i="1"/>
  <c r="E398" i="1"/>
  <c r="E397" i="1"/>
  <c r="E396" i="1"/>
  <c r="E395" i="1"/>
  <c r="E494" i="1"/>
  <c r="E493" i="1"/>
  <c r="E492" i="1"/>
  <c r="E491" i="1"/>
  <c r="E490" i="1"/>
  <c r="E489" i="1"/>
  <c r="E488" i="1"/>
  <c r="E487" i="1"/>
  <c r="E486" i="1"/>
  <c r="E485" i="1"/>
  <c r="E394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654" i="1"/>
  <c r="E653" i="1"/>
  <c r="E652" i="1"/>
  <c r="E651" i="1"/>
  <c r="E650" i="1"/>
  <c r="E649" i="1"/>
  <c r="E648" i="1"/>
  <c r="E647" i="1"/>
  <c r="E646" i="1"/>
  <c r="E645" i="1"/>
  <c r="E644" i="1"/>
  <c r="E643" i="1"/>
  <c r="E642" i="1"/>
  <c r="E641" i="1"/>
  <c r="E640" i="1"/>
  <c r="E639" i="1"/>
  <c r="E638" i="1"/>
  <c r="E637" i="1"/>
  <c r="E636" i="1"/>
  <c r="E635" i="1"/>
  <c r="E634" i="1"/>
  <c r="E633" i="1"/>
  <c r="E632" i="1"/>
  <c r="E631" i="1"/>
  <c r="E630" i="1"/>
  <c r="E629" i="1"/>
  <c r="E628" i="1"/>
  <c r="E393" i="1"/>
  <c r="E392" i="1"/>
  <c r="E391" i="1"/>
  <c r="E390" i="1"/>
  <c r="E389" i="1"/>
  <c r="E388" i="1"/>
  <c r="E387" i="1"/>
  <c r="E386" i="1"/>
  <c r="E385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627" i="1"/>
  <c r="E626" i="1"/>
  <c r="E625" i="1"/>
  <c r="E624" i="1"/>
  <c r="E623" i="1"/>
  <c r="E622" i="1"/>
  <c r="E621" i="1"/>
  <c r="E620" i="1"/>
  <c r="E619" i="1"/>
  <c r="E618" i="1"/>
  <c r="E617" i="1"/>
  <c r="E616" i="1"/>
  <c r="E615" i="1"/>
  <c r="E614" i="1"/>
  <c r="E613" i="1"/>
  <c r="E612" i="1"/>
  <c r="E611" i="1"/>
  <c r="E384" i="1"/>
  <c r="E383" i="1"/>
  <c r="E382" i="1"/>
  <c r="E381" i="1"/>
  <c r="E380" i="1"/>
  <c r="E379" i="1"/>
  <c r="E378" i="1"/>
  <c r="E377" i="1"/>
  <c r="E376" i="1"/>
  <c r="E375" i="1"/>
  <c r="E374" i="1"/>
  <c r="E373" i="1"/>
  <c r="E372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610" i="1"/>
  <c r="E609" i="1"/>
  <c r="E608" i="1"/>
  <c r="E607" i="1"/>
  <c r="E606" i="1"/>
  <c r="E605" i="1"/>
  <c r="E604" i="1"/>
  <c r="E603" i="1"/>
  <c r="E602" i="1"/>
  <c r="E601" i="1"/>
  <c r="E600" i="1"/>
  <c r="E599" i="1"/>
  <c r="E598" i="1"/>
  <c r="E597" i="1"/>
  <c r="E596" i="1"/>
  <c r="E595" i="1"/>
  <c r="E594" i="1"/>
  <c r="E593" i="1"/>
  <c r="E592" i="1"/>
  <c r="E591" i="1"/>
  <c r="E590" i="1"/>
  <c r="E589" i="1"/>
  <c r="E588" i="1"/>
  <c r="E371" i="1"/>
  <c r="E370" i="1"/>
  <c r="E369" i="1"/>
  <c r="E368" i="1"/>
  <c r="E367" i="1"/>
  <c r="E366" i="1"/>
  <c r="E365" i="1"/>
  <c r="E364" i="1"/>
  <c r="E363" i="1"/>
  <c r="E362" i="1"/>
  <c r="E361" i="1"/>
  <c r="E360" i="1"/>
  <c r="E359" i="1"/>
  <c r="E358" i="1"/>
  <c r="E357" i="1"/>
  <c r="E356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587" i="1"/>
  <c r="E586" i="1"/>
  <c r="E585" i="1"/>
  <c r="E584" i="1"/>
  <c r="E583" i="1"/>
  <c r="E582" i="1"/>
  <c r="E581" i="1"/>
  <c r="E580" i="1"/>
  <c r="E579" i="1"/>
  <c r="E578" i="1"/>
  <c r="E577" i="1"/>
  <c r="E576" i="1"/>
  <c r="E575" i="1"/>
  <c r="E574" i="1"/>
  <c r="E484" i="1"/>
  <c r="E483" i="1"/>
  <c r="E482" i="1"/>
  <c r="E481" i="1"/>
  <c r="E480" i="1"/>
  <c r="E479" i="1"/>
  <c r="E478" i="1"/>
  <c r="E477" i="1"/>
  <c r="E476" i="1"/>
  <c r="E475" i="1"/>
  <c r="E474" i="1"/>
  <c r="E473" i="1"/>
  <c r="E355" i="1"/>
  <c r="E354" i="1"/>
  <c r="E353" i="1"/>
  <c r="E352" i="1"/>
  <c r="E351" i="1"/>
  <c r="E350" i="1"/>
  <c r="E349" i="1"/>
  <c r="E348" i="1"/>
  <c r="E347" i="1"/>
  <c r="E346" i="1"/>
  <c r="E345" i="1"/>
  <c r="E344" i="1"/>
  <c r="E343" i="1"/>
  <c r="E342" i="1"/>
  <c r="E341" i="1"/>
  <c r="E340" i="1"/>
  <c r="E339" i="1"/>
  <c r="E338" i="1"/>
  <c r="E337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33" i="1"/>
  <c r="E32" i="1"/>
  <c r="E573" i="1"/>
  <c r="E572" i="1"/>
  <c r="E571" i="1"/>
  <c r="E570" i="1"/>
  <c r="E569" i="1"/>
  <c r="E568" i="1"/>
  <c r="E567" i="1"/>
  <c r="E566" i="1"/>
  <c r="E565" i="1"/>
  <c r="E564" i="1"/>
  <c r="E563" i="1"/>
  <c r="E562" i="1"/>
  <c r="E561" i="1"/>
  <c r="E560" i="1"/>
  <c r="E559" i="1"/>
  <c r="E558" i="1"/>
  <c r="E557" i="1"/>
  <c r="E556" i="1"/>
  <c r="E472" i="1"/>
  <c r="E471" i="1"/>
  <c r="E470" i="1"/>
  <c r="E469" i="1"/>
  <c r="E468" i="1"/>
  <c r="E467" i="1"/>
  <c r="E466" i="1"/>
  <c r="E465" i="1"/>
  <c r="E464" i="1"/>
  <c r="E463" i="1"/>
  <c r="E462" i="1"/>
  <c r="E461" i="1"/>
  <c r="E460" i="1"/>
  <c r="E459" i="1"/>
  <c r="E458" i="1"/>
  <c r="E457" i="1"/>
  <c r="E456" i="1"/>
  <c r="E455" i="1"/>
  <c r="E336" i="1"/>
  <c r="E335" i="1"/>
  <c r="E334" i="1"/>
  <c r="E333" i="1"/>
  <c r="E332" i="1"/>
  <c r="E331" i="1"/>
  <c r="E330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555" i="1"/>
  <c r="E554" i="1"/>
  <c r="E553" i="1"/>
  <c r="E552" i="1"/>
  <c r="E551" i="1"/>
  <c r="E550" i="1"/>
  <c r="E549" i="1"/>
  <c r="E548" i="1"/>
  <c r="E547" i="1"/>
  <c r="E546" i="1"/>
  <c r="E545" i="1"/>
  <c r="E544" i="1"/>
  <c r="E543" i="1"/>
  <c r="E542" i="1"/>
  <c r="E541" i="1"/>
  <c r="E540" i="1"/>
  <c r="E539" i="1"/>
  <c r="E454" i="1"/>
  <c r="E453" i="1"/>
  <c r="E452" i="1"/>
  <c r="E451" i="1"/>
  <c r="E450" i="1"/>
  <c r="E449" i="1"/>
  <c r="E448" i="1"/>
  <c r="E447" i="1"/>
  <c r="E446" i="1"/>
  <c r="E445" i="1"/>
  <c r="E444" i="1"/>
  <c r="E443" i="1"/>
  <c r="E442" i="1"/>
  <c r="E441" i="1"/>
  <c r="E440" i="1"/>
  <c r="E439" i="1"/>
  <c r="E329" i="1"/>
  <c r="E328" i="1"/>
  <c r="E327" i="1"/>
  <c r="E326" i="1"/>
  <c r="E325" i="1"/>
  <c r="E324" i="1"/>
  <c r="E323" i="1"/>
  <c r="E322" i="1"/>
  <c r="E321" i="1"/>
  <c r="E320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13" i="1"/>
  <c r="E12" i="1"/>
  <c r="E11" i="1"/>
  <c r="E10" i="1"/>
  <c r="E9" i="1"/>
  <c r="E8" i="1"/>
  <c r="E7" i="1"/>
  <c r="E6" i="1"/>
  <c r="E5" i="1"/>
  <c r="E4" i="1"/>
  <c r="E3" i="1"/>
  <c r="E2" i="1"/>
  <c r="C2" i="1"/>
  <c r="D319" i="1"/>
  <c r="D318" i="1"/>
  <c r="D317" i="1"/>
  <c r="D316" i="1"/>
  <c r="D315" i="1"/>
  <c r="D314" i="1"/>
  <c r="D313" i="1"/>
  <c r="D312" i="1"/>
  <c r="D311" i="1"/>
  <c r="D310" i="1"/>
  <c r="D309" i="1"/>
  <c r="D308" i="1"/>
  <c r="D764" i="1"/>
  <c r="D763" i="1"/>
  <c r="D762" i="1"/>
  <c r="D761" i="1"/>
  <c r="D760" i="1"/>
  <c r="D759" i="1"/>
  <c r="D758" i="1"/>
  <c r="D757" i="1"/>
  <c r="D756" i="1"/>
  <c r="D755" i="1"/>
  <c r="D754" i="1"/>
  <c r="D753" i="1"/>
  <c r="D538" i="1"/>
  <c r="D537" i="1"/>
  <c r="D536" i="1"/>
  <c r="D535" i="1"/>
  <c r="D534" i="1"/>
  <c r="D533" i="1"/>
  <c r="D532" i="1"/>
  <c r="D531" i="1"/>
  <c r="D530" i="1"/>
  <c r="D529" i="1"/>
  <c r="D528" i="1"/>
  <c r="D527" i="1"/>
  <c r="D526" i="1"/>
  <c r="D525" i="1"/>
  <c r="D752" i="1"/>
  <c r="D751" i="1"/>
  <c r="D750" i="1"/>
  <c r="D749" i="1"/>
  <c r="D748" i="1"/>
  <c r="D747" i="1"/>
  <c r="D746" i="1"/>
  <c r="D745" i="1"/>
  <c r="D744" i="1"/>
  <c r="D438" i="1"/>
  <c r="D437" i="1"/>
  <c r="D436" i="1"/>
  <c r="D435" i="1"/>
  <c r="D524" i="1"/>
  <c r="D523" i="1"/>
  <c r="D522" i="1"/>
  <c r="D521" i="1"/>
  <c r="D743" i="1"/>
  <c r="D742" i="1"/>
  <c r="D741" i="1"/>
  <c r="D740" i="1"/>
  <c r="D739" i="1"/>
  <c r="D738" i="1"/>
  <c r="D737" i="1"/>
  <c r="D736" i="1"/>
  <c r="D735" i="1"/>
  <c r="D734" i="1"/>
  <c r="D733" i="1"/>
  <c r="D732" i="1"/>
  <c r="D307" i="1"/>
  <c r="D306" i="1"/>
  <c r="D305" i="1"/>
  <c r="D304" i="1"/>
  <c r="D303" i="1"/>
  <c r="D302" i="1"/>
  <c r="D301" i="1"/>
  <c r="D300" i="1"/>
  <c r="D299" i="1"/>
  <c r="D298" i="1"/>
  <c r="D297" i="1"/>
  <c r="D296" i="1"/>
  <c r="D295" i="1"/>
  <c r="D294" i="1"/>
  <c r="D520" i="1"/>
  <c r="D519" i="1"/>
  <c r="D434" i="1"/>
  <c r="D433" i="1"/>
  <c r="D432" i="1"/>
  <c r="D431" i="1"/>
  <c r="D430" i="1"/>
  <c r="D429" i="1"/>
  <c r="D428" i="1"/>
  <c r="D427" i="1"/>
  <c r="D426" i="1"/>
  <c r="D518" i="1"/>
  <c r="D731" i="1"/>
  <c r="D730" i="1"/>
  <c r="D729" i="1"/>
  <c r="D728" i="1"/>
  <c r="D727" i="1"/>
  <c r="D726" i="1"/>
  <c r="D725" i="1"/>
  <c r="D724" i="1"/>
  <c r="D723" i="1"/>
  <c r="D722" i="1"/>
  <c r="D721" i="1"/>
  <c r="D720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719" i="1"/>
  <c r="D718" i="1"/>
  <c r="D717" i="1"/>
  <c r="D716" i="1"/>
  <c r="D715" i="1"/>
  <c r="D714" i="1"/>
  <c r="D713" i="1"/>
  <c r="D712" i="1"/>
  <c r="D711" i="1"/>
  <c r="D710" i="1"/>
  <c r="D709" i="1"/>
  <c r="D708" i="1"/>
  <c r="D707" i="1"/>
  <c r="D706" i="1"/>
  <c r="D705" i="1"/>
  <c r="D704" i="1"/>
  <c r="D517" i="1"/>
  <c r="D516" i="1"/>
  <c r="D515" i="1"/>
  <c r="D425" i="1"/>
  <c r="D424" i="1"/>
  <c r="D423" i="1"/>
  <c r="D422" i="1"/>
  <c r="D421" i="1"/>
  <c r="D420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419" i="1"/>
  <c r="D418" i="1"/>
  <c r="D417" i="1"/>
  <c r="D416" i="1"/>
  <c r="D514" i="1"/>
  <c r="D513" i="1"/>
  <c r="D512" i="1"/>
  <c r="D511" i="1"/>
  <c r="D510" i="1"/>
  <c r="D509" i="1"/>
  <c r="D508" i="1"/>
  <c r="D507" i="1"/>
  <c r="D506" i="1"/>
  <c r="D415" i="1"/>
  <c r="D414" i="1"/>
  <c r="D413" i="1"/>
  <c r="D412" i="1"/>
  <c r="D411" i="1"/>
  <c r="D505" i="1"/>
  <c r="D504" i="1"/>
  <c r="D503" i="1"/>
  <c r="D502" i="1"/>
  <c r="D703" i="1"/>
  <c r="D702" i="1"/>
  <c r="D701" i="1"/>
  <c r="D700" i="1"/>
  <c r="D699" i="1"/>
  <c r="D698" i="1"/>
  <c r="D697" i="1"/>
  <c r="D696" i="1"/>
  <c r="D695" i="1"/>
  <c r="D694" i="1"/>
  <c r="D693" i="1"/>
  <c r="D692" i="1"/>
  <c r="D691" i="1"/>
  <c r="D690" i="1"/>
  <c r="D689" i="1"/>
  <c r="D688" i="1"/>
  <c r="D687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501" i="1"/>
  <c r="D500" i="1"/>
  <c r="D499" i="1"/>
  <c r="D498" i="1"/>
  <c r="D497" i="1"/>
  <c r="D496" i="1"/>
  <c r="D495" i="1"/>
  <c r="D686" i="1"/>
  <c r="D685" i="1"/>
  <c r="D684" i="1"/>
  <c r="D683" i="1"/>
  <c r="D682" i="1"/>
  <c r="D681" i="1"/>
  <c r="D680" i="1"/>
  <c r="D679" i="1"/>
  <c r="D678" i="1"/>
  <c r="D677" i="1"/>
  <c r="D676" i="1"/>
  <c r="D675" i="1"/>
  <c r="D674" i="1"/>
  <c r="D673" i="1"/>
  <c r="D672" i="1"/>
  <c r="D671" i="1"/>
  <c r="D670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410" i="1"/>
  <c r="D409" i="1"/>
  <c r="D408" i="1"/>
  <c r="D407" i="1"/>
  <c r="D406" i="1"/>
  <c r="D405" i="1"/>
  <c r="D404" i="1"/>
  <c r="D403" i="1"/>
  <c r="D195" i="1"/>
  <c r="D194" i="1"/>
  <c r="D193" i="1"/>
  <c r="D192" i="1"/>
  <c r="D191" i="1"/>
  <c r="D190" i="1"/>
  <c r="D189" i="1"/>
  <c r="D188" i="1"/>
  <c r="D187" i="1"/>
  <c r="D669" i="1"/>
  <c r="D668" i="1"/>
  <c r="D667" i="1"/>
  <c r="D666" i="1"/>
  <c r="D665" i="1"/>
  <c r="D664" i="1"/>
  <c r="D663" i="1"/>
  <c r="D662" i="1"/>
  <c r="D661" i="1"/>
  <c r="D660" i="1"/>
  <c r="D659" i="1"/>
  <c r="D658" i="1"/>
  <c r="D657" i="1"/>
  <c r="D656" i="1"/>
  <c r="D655" i="1"/>
  <c r="D402" i="1"/>
  <c r="D401" i="1"/>
  <c r="D400" i="1"/>
  <c r="D399" i="1"/>
  <c r="D398" i="1"/>
  <c r="D397" i="1"/>
  <c r="D396" i="1"/>
  <c r="D395" i="1"/>
  <c r="D494" i="1"/>
  <c r="D493" i="1"/>
  <c r="D492" i="1"/>
  <c r="D491" i="1"/>
  <c r="D490" i="1"/>
  <c r="D489" i="1"/>
  <c r="D488" i="1"/>
  <c r="D487" i="1"/>
  <c r="D486" i="1"/>
  <c r="D485" i="1"/>
  <c r="D394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654" i="1"/>
  <c r="D653" i="1"/>
  <c r="D652" i="1"/>
  <c r="D651" i="1"/>
  <c r="D650" i="1"/>
  <c r="D649" i="1"/>
  <c r="D648" i="1"/>
  <c r="D647" i="1"/>
  <c r="D646" i="1"/>
  <c r="D645" i="1"/>
  <c r="D644" i="1"/>
  <c r="D643" i="1"/>
  <c r="D642" i="1"/>
  <c r="D641" i="1"/>
  <c r="D640" i="1"/>
  <c r="D639" i="1"/>
  <c r="D638" i="1"/>
  <c r="D637" i="1"/>
  <c r="D636" i="1"/>
  <c r="D635" i="1"/>
  <c r="D634" i="1"/>
  <c r="D633" i="1"/>
  <c r="D632" i="1"/>
  <c r="D631" i="1"/>
  <c r="D630" i="1"/>
  <c r="D629" i="1"/>
  <c r="D628" i="1"/>
  <c r="D393" i="1"/>
  <c r="D392" i="1"/>
  <c r="D391" i="1"/>
  <c r="D390" i="1"/>
  <c r="D389" i="1"/>
  <c r="D388" i="1"/>
  <c r="D387" i="1"/>
  <c r="D386" i="1"/>
  <c r="D385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627" i="1"/>
  <c r="D626" i="1"/>
  <c r="D625" i="1"/>
  <c r="D624" i="1"/>
  <c r="D623" i="1"/>
  <c r="D622" i="1"/>
  <c r="D621" i="1"/>
  <c r="D620" i="1"/>
  <c r="D619" i="1"/>
  <c r="D618" i="1"/>
  <c r="D617" i="1"/>
  <c r="D616" i="1"/>
  <c r="D615" i="1"/>
  <c r="D614" i="1"/>
  <c r="D613" i="1"/>
  <c r="D612" i="1"/>
  <c r="D611" i="1"/>
  <c r="D384" i="1"/>
  <c r="D383" i="1"/>
  <c r="D382" i="1"/>
  <c r="D381" i="1"/>
  <c r="D380" i="1"/>
  <c r="D379" i="1"/>
  <c r="D378" i="1"/>
  <c r="D377" i="1"/>
  <c r="D376" i="1"/>
  <c r="D375" i="1"/>
  <c r="D374" i="1"/>
  <c r="D373" i="1"/>
  <c r="D372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610" i="1"/>
  <c r="D609" i="1"/>
  <c r="D608" i="1"/>
  <c r="D607" i="1"/>
  <c r="D606" i="1"/>
  <c r="D605" i="1"/>
  <c r="D604" i="1"/>
  <c r="D603" i="1"/>
  <c r="D602" i="1"/>
  <c r="D601" i="1"/>
  <c r="D600" i="1"/>
  <c r="D599" i="1"/>
  <c r="D598" i="1"/>
  <c r="D597" i="1"/>
  <c r="D596" i="1"/>
  <c r="D595" i="1"/>
  <c r="D594" i="1"/>
  <c r="D593" i="1"/>
  <c r="D592" i="1"/>
  <c r="D591" i="1"/>
  <c r="D590" i="1"/>
  <c r="D589" i="1"/>
  <c r="D588" i="1"/>
  <c r="D371" i="1"/>
  <c r="D370" i="1"/>
  <c r="D369" i="1"/>
  <c r="D368" i="1"/>
  <c r="D367" i="1"/>
  <c r="D366" i="1"/>
  <c r="D365" i="1"/>
  <c r="D364" i="1"/>
  <c r="D363" i="1"/>
  <c r="D362" i="1"/>
  <c r="D361" i="1"/>
  <c r="D360" i="1"/>
  <c r="D359" i="1"/>
  <c r="D358" i="1"/>
  <c r="D357" i="1"/>
  <c r="D356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587" i="1"/>
  <c r="D586" i="1"/>
  <c r="D585" i="1"/>
  <c r="D584" i="1"/>
  <c r="D583" i="1"/>
  <c r="D582" i="1"/>
  <c r="D581" i="1"/>
  <c r="D580" i="1"/>
  <c r="D579" i="1"/>
  <c r="D578" i="1"/>
  <c r="D577" i="1"/>
  <c r="D576" i="1"/>
  <c r="D575" i="1"/>
  <c r="D574" i="1"/>
  <c r="D484" i="1"/>
  <c r="D483" i="1"/>
  <c r="D482" i="1"/>
  <c r="D481" i="1"/>
  <c r="D480" i="1"/>
  <c r="D479" i="1"/>
  <c r="D478" i="1"/>
  <c r="D477" i="1"/>
  <c r="D476" i="1"/>
  <c r="D475" i="1"/>
  <c r="D474" i="1"/>
  <c r="D473" i="1"/>
  <c r="D355" i="1"/>
  <c r="D354" i="1"/>
  <c r="D353" i="1"/>
  <c r="D352" i="1"/>
  <c r="D351" i="1"/>
  <c r="D350" i="1"/>
  <c r="D349" i="1"/>
  <c r="D348" i="1"/>
  <c r="D347" i="1"/>
  <c r="D346" i="1"/>
  <c r="D345" i="1"/>
  <c r="D344" i="1"/>
  <c r="D343" i="1"/>
  <c r="D342" i="1"/>
  <c r="D341" i="1"/>
  <c r="D340" i="1"/>
  <c r="D339" i="1"/>
  <c r="D338" i="1"/>
  <c r="D337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33" i="1"/>
  <c r="D32" i="1"/>
  <c r="D573" i="1"/>
  <c r="D572" i="1"/>
  <c r="D571" i="1"/>
  <c r="D570" i="1"/>
  <c r="D569" i="1"/>
  <c r="D568" i="1"/>
  <c r="D567" i="1"/>
  <c r="D566" i="1"/>
  <c r="D565" i="1"/>
  <c r="D564" i="1"/>
  <c r="D563" i="1"/>
  <c r="D562" i="1"/>
  <c r="D561" i="1"/>
  <c r="D560" i="1"/>
  <c r="D559" i="1"/>
  <c r="D558" i="1"/>
  <c r="D557" i="1"/>
  <c r="D556" i="1"/>
  <c r="D472" i="1"/>
  <c r="D471" i="1"/>
  <c r="D470" i="1"/>
  <c r="D469" i="1"/>
  <c r="D468" i="1"/>
  <c r="D467" i="1"/>
  <c r="D466" i="1"/>
  <c r="D465" i="1"/>
  <c r="D464" i="1"/>
  <c r="D463" i="1"/>
  <c r="D462" i="1"/>
  <c r="D461" i="1"/>
  <c r="D460" i="1"/>
  <c r="D459" i="1"/>
  <c r="D458" i="1"/>
  <c r="D457" i="1"/>
  <c r="D456" i="1"/>
  <c r="D455" i="1"/>
  <c r="D336" i="1"/>
  <c r="D335" i="1"/>
  <c r="D334" i="1"/>
  <c r="D333" i="1"/>
  <c r="D332" i="1"/>
  <c r="D331" i="1"/>
  <c r="D330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555" i="1"/>
  <c r="D554" i="1"/>
  <c r="D553" i="1"/>
  <c r="D552" i="1"/>
  <c r="D551" i="1"/>
  <c r="D550" i="1"/>
  <c r="D549" i="1"/>
  <c r="D548" i="1"/>
  <c r="D547" i="1"/>
  <c r="D546" i="1"/>
  <c r="D545" i="1"/>
  <c r="D544" i="1"/>
  <c r="D543" i="1"/>
  <c r="D542" i="1"/>
  <c r="D541" i="1"/>
  <c r="D540" i="1"/>
  <c r="D539" i="1"/>
  <c r="D454" i="1"/>
  <c r="D453" i="1"/>
  <c r="D452" i="1"/>
  <c r="D451" i="1"/>
  <c r="D450" i="1"/>
  <c r="D449" i="1"/>
  <c r="D448" i="1"/>
  <c r="D447" i="1"/>
  <c r="D446" i="1"/>
  <c r="D445" i="1"/>
  <c r="D444" i="1"/>
  <c r="D443" i="1"/>
  <c r="D442" i="1"/>
  <c r="D441" i="1"/>
  <c r="D440" i="1"/>
  <c r="D439" i="1"/>
  <c r="D329" i="1"/>
  <c r="D328" i="1"/>
  <c r="D327" i="1"/>
  <c r="D326" i="1"/>
  <c r="D325" i="1"/>
  <c r="D324" i="1"/>
  <c r="D323" i="1"/>
  <c r="D322" i="1"/>
  <c r="D321" i="1"/>
  <c r="D320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13" i="1"/>
  <c r="D12" i="1"/>
  <c r="D11" i="1"/>
  <c r="D10" i="1"/>
  <c r="D9" i="1"/>
  <c r="D8" i="1"/>
  <c r="D7" i="1"/>
  <c r="D6" i="1"/>
  <c r="D5" i="1"/>
  <c r="D4" i="1"/>
  <c r="D3" i="1"/>
  <c r="D2" i="1"/>
  <c r="CJ308" i="1"/>
  <c r="CJ309" i="1"/>
  <c r="CJ310" i="1"/>
  <c r="CJ311" i="1"/>
  <c r="CJ312" i="1"/>
  <c r="CJ313" i="1"/>
  <c r="CJ314" i="1"/>
  <c r="CJ315" i="1"/>
  <c r="CJ316" i="1"/>
  <c r="CJ317" i="1"/>
  <c r="CJ318" i="1"/>
  <c r="CJ319" i="1"/>
  <c r="CH319" i="1"/>
  <c r="CI319" i="1"/>
  <c r="CH318" i="1"/>
  <c r="CI318" i="1"/>
  <c r="CH317" i="1"/>
  <c r="CI317" i="1"/>
  <c r="CH316" i="1"/>
  <c r="CI316" i="1"/>
  <c r="CH315" i="1"/>
  <c r="CI315" i="1"/>
  <c r="CH314" i="1"/>
  <c r="CI314" i="1"/>
  <c r="CH313" i="1"/>
  <c r="CI313" i="1"/>
  <c r="CH312" i="1"/>
  <c r="CI312" i="1"/>
  <c r="CH311" i="1"/>
  <c r="CI311" i="1"/>
  <c r="CH310" i="1"/>
  <c r="CI310" i="1"/>
  <c r="CH309" i="1"/>
  <c r="CI309" i="1"/>
  <c r="CH308" i="1"/>
  <c r="CI308" i="1"/>
  <c r="L319" i="1"/>
  <c r="L318" i="1"/>
  <c r="L317" i="1"/>
  <c r="L316" i="1"/>
  <c r="L315" i="1"/>
  <c r="L314" i="1"/>
  <c r="L313" i="1"/>
  <c r="L312" i="1"/>
  <c r="L311" i="1"/>
  <c r="L310" i="1"/>
  <c r="L309" i="1"/>
  <c r="L308" i="1"/>
  <c r="CE319" i="1"/>
  <c r="CG319" i="1"/>
  <c r="CE318" i="1"/>
  <c r="CG318" i="1"/>
  <c r="CE317" i="1"/>
  <c r="CG317" i="1"/>
  <c r="CE316" i="1"/>
  <c r="CG316" i="1"/>
  <c r="CE315" i="1"/>
  <c r="CG315" i="1"/>
  <c r="CE314" i="1"/>
  <c r="CG314" i="1"/>
  <c r="CE313" i="1"/>
  <c r="CG313" i="1"/>
  <c r="CE312" i="1"/>
  <c r="CG312" i="1"/>
  <c r="CE311" i="1"/>
  <c r="CG311" i="1"/>
  <c r="CE310" i="1"/>
  <c r="CG310" i="1"/>
  <c r="CE309" i="1"/>
  <c r="CG309" i="1"/>
  <c r="CE308" i="1"/>
  <c r="CG308" i="1"/>
  <c r="CF319" i="1"/>
  <c r="CF318" i="1"/>
  <c r="CF317" i="1"/>
  <c r="CF316" i="1"/>
  <c r="CF315" i="1"/>
  <c r="CF314" i="1"/>
  <c r="CF313" i="1"/>
  <c r="CF312" i="1"/>
  <c r="CF311" i="1"/>
  <c r="CF310" i="1"/>
  <c r="CF309" i="1"/>
  <c r="CF308" i="1"/>
  <c r="C319" i="1"/>
  <c r="C318" i="1"/>
  <c r="C317" i="1"/>
  <c r="C316" i="1"/>
  <c r="C315" i="1"/>
  <c r="C314" i="1"/>
  <c r="C313" i="1"/>
  <c r="C312" i="1"/>
  <c r="C311" i="1"/>
  <c r="C310" i="1"/>
  <c r="C309" i="1"/>
  <c r="C308" i="1"/>
  <c r="C752" i="1"/>
  <c r="CJ528" i="1"/>
  <c r="CJ529" i="1"/>
  <c r="CJ530" i="1"/>
  <c r="CJ531" i="1"/>
  <c r="CJ532" i="1"/>
  <c r="CJ533" i="1"/>
  <c r="CJ534" i="1"/>
  <c r="CJ535" i="1"/>
  <c r="CJ536" i="1"/>
  <c r="CJ537" i="1"/>
  <c r="CJ538" i="1"/>
  <c r="CJ753" i="1"/>
  <c r="CJ754" i="1"/>
  <c r="CJ755" i="1"/>
  <c r="CJ756" i="1"/>
  <c r="CJ757" i="1"/>
  <c r="CJ759" i="1"/>
  <c r="CJ760" i="1"/>
  <c r="CJ761" i="1"/>
  <c r="CJ762" i="1"/>
  <c r="CJ763" i="1"/>
  <c r="BV764" i="1"/>
  <c r="CJ764" i="1" s="1"/>
  <c r="BV758" i="1"/>
  <c r="CJ758" i="1" s="1"/>
  <c r="CH764" i="1"/>
  <c r="CI764" i="1"/>
  <c r="CH763" i="1"/>
  <c r="CI763" i="1"/>
  <c r="CH762" i="1"/>
  <c r="CI762" i="1"/>
  <c r="CH761" i="1"/>
  <c r="CI761" i="1"/>
  <c r="CH760" i="1"/>
  <c r="CI760" i="1"/>
  <c r="CH759" i="1"/>
  <c r="CI759" i="1"/>
  <c r="CH758" i="1"/>
  <c r="CI758" i="1"/>
  <c r="CH757" i="1"/>
  <c r="CI757" i="1"/>
  <c r="CH756" i="1"/>
  <c r="CI756" i="1"/>
  <c r="CH755" i="1"/>
  <c r="CI755" i="1"/>
  <c r="CH754" i="1"/>
  <c r="CI754" i="1"/>
  <c r="CH753" i="1"/>
  <c r="CI753" i="1"/>
  <c r="CH538" i="1"/>
  <c r="CI538" i="1"/>
  <c r="CH537" i="1"/>
  <c r="CI537" i="1"/>
  <c r="CH536" i="1"/>
  <c r="CI536" i="1"/>
  <c r="CH535" i="1"/>
  <c r="CI535" i="1"/>
  <c r="CH534" i="1"/>
  <c r="CI534" i="1"/>
  <c r="CH533" i="1"/>
  <c r="CI533" i="1"/>
  <c r="CH532" i="1"/>
  <c r="CI532" i="1"/>
  <c r="CH531" i="1"/>
  <c r="CI531" i="1"/>
  <c r="CH530" i="1"/>
  <c r="CI530" i="1"/>
  <c r="CH529" i="1"/>
  <c r="CI529" i="1"/>
  <c r="CH528" i="1"/>
  <c r="CI528" i="1"/>
  <c r="L764" i="1"/>
  <c r="L763" i="1"/>
  <c r="L762" i="1"/>
  <c r="L761" i="1"/>
  <c r="L760" i="1"/>
  <c r="L759" i="1"/>
  <c r="L758" i="1"/>
  <c r="L757" i="1"/>
  <c r="L756" i="1"/>
  <c r="L755" i="1"/>
  <c r="L754" i="1"/>
  <c r="L753" i="1"/>
  <c r="L538" i="1"/>
  <c r="L537" i="1"/>
  <c r="L536" i="1"/>
  <c r="L535" i="1"/>
  <c r="L534" i="1"/>
  <c r="L533" i="1"/>
  <c r="L532" i="1"/>
  <c r="L531" i="1"/>
  <c r="L530" i="1"/>
  <c r="L529" i="1"/>
  <c r="L528" i="1"/>
  <c r="CE764" i="1"/>
  <c r="CG764" i="1"/>
  <c r="CE763" i="1"/>
  <c r="CG763" i="1"/>
  <c r="CE762" i="1"/>
  <c r="CG762" i="1"/>
  <c r="CE761" i="1"/>
  <c r="CG761" i="1"/>
  <c r="CE760" i="1"/>
  <c r="CG760" i="1"/>
  <c r="CE759" i="1"/>
  <c r="CG759" i="1"/>
  <c r="CE758" i="1"/>
  <c r="CG758" i="1"/>
  <c r="CE757" i="1"/>
  <c r="CG757" i="1"/>
  <c r="CE756" i="1"/>
  <c r="CG756" i="1"/>
  <c r="CE755" i="1"/>
  <c r="CG755" i="1"/>
  <c r="CE754" i="1"/>
  <c r="CG754" i="1"/>
  <c r="CE753" i="1"/>
  <c r="CG753" i="1"/>
  <c r="CE538" i="1"/>
  <c r="CG538" i="1"/>
  <c r="CE537" i="1"/>
  <c r="CG537" i="1"/>
  <c r="CE536" i="1"/>
  <c r="CG536" i="1"/>
  <c r="CE535" i="1"/>
  <c r="CG535" i="1"/>
  <c r="CE534" i="1"/>
  <c r="CG534" i="1"/>
  <c r="CE533" i="1"/>
  <c r="CG533" i="1"/>
  <c r="CE532" i="1"/>
  <c r="CG532" i="1"/>
  <c r="CE531" i="1"/>
  <c r="CG531" i="1"/>
  <c r="CE530" i="1"/>
  <c r="CG530" i="1"/>
  <c r="CE529" i="1"/>
  <c r="CG529" i="1"/>
  <c r="CE528" i="1"/>
  <c r="CG528" i="1"/>
  <c r="CF764" i="1"/>
  <c r="CF763" i="1"/>
  <c r="CF762" i="1"/>
  <c r="CF761" i="1"/>
  <c r="CF760" i="1"/>
  <c r="CF759" i="1"/>
  <c r="CF758" i="1"/>
  <c r="CF757" i="1"/>
  <c r="CF756" i="1"/>
  <c r="CF755" i="1"/>
  <c r="CF754" i="1"/>
  <c r="CF753" i="1"/>
  <c r="CF538" i="1"/>
  <c r="CF537" i="1"/>
  <c r="CF536" i="1"/>
  <c r="CF535" i="1"/>
  <c r="CF534" i="1"/>
  <c r="CF533" i="1"/>
  <c r="CF532" i="1"/>
  <c r="CF531" i="1"/>
  <c r="CF530" i="1"/>
  <c r="CF529" i="1"/>
  <c r="CF528" i="1"/>
  <c r="C764" i="1"/>
  <c r="C763" i="1"/>
  <c r="C762" i="1"/>
  <c r="C761" i="1"/>
  <c r="C760" i="1"/>
  <c r="C759" i="1"/>
  <c r="C758" i="1"/>
  <c r="C757" i="1"/>
  <c r="C756" i="1"/>
  <c r="C755" i="1"/>
  <c r="C754" i="1"/>
  <c r="C753" i="1"/>
  <c r="C538" i="1"/>
  <c r="C537" i="1"/>
  <c r="C536" i="1"/>
  <c r="C535" i="1"/>
  <c r="C534" i="1"/>
  <c r="C533" i="1"/>
  <c r="C532" i="1"/>
  <c r="C531" i="1"/>
  <c r="C530" i="1"/>
  <c r="C529" i="1"/>
  <c r="C528" i="1"/>
  <c r="CE526" i="1"/>
  <c r="CH527" i="1"/>
  <c r="CI527" i="1"/>
  <c r="CJ527" i="1"/>
  <c r="CH526" i="1"/>
  <c r="CI526" i="1"/>
  <c r="CJ526" i="1"/>
  <c r="CH525" i="1"/>
  <c r="CI525" i="1"/>
  <c r="CJ525" i="1"/>
  <c r="L527" i="1"/>
  <c r="L526" i="1"/>
  <c r="L525" i="1"/>
  <c r="CE527" i="1"/>
  <c r="CG527" i="1"/>
  <c r="CG526" i="1"/>
  <c r="CE525" i="1"/>
  <c r="CG525" i="1"/>
  <c r="CF527" i="1"/>
  <c r="CF526" i="1"/>
  <c r="CF525" i="1"/>
  <c r="C527" i="1"/>
  <c r="C526" i="1"/>
  <c r="C525" i="1"/>
  <c r="CJ751" i="1"/>
  <c r="CJ752" i="1"/>
  <c r="CJ750" i="1"/>
  <c r="CJ749" i="1"/>
  <c r="CJ748" i="1"/>
  <c r="CJ747" i="1"/>
  <c r="CJ746" i="1"/>
  <c r="CJ745" i="1"/>
  <c r="CJ744" i="1"/>
  <c r="CH752" i="1"/>
  <c r="CI752" i="1"/>
  <c r="CH751" i="1"/>
  <c r="CI751" i="1"/>
  <c r="CH750" i="1"/>
  <c r="CI750" i="1"/>
  <c r="CH749" i="1"/>
  <c r="CI749" i="1"/>
  <c r="CH748" i="1"/>
  <c r="CI748" i="1"/>
  <c r="CH747" i="1"/>
  <c r="CI747" i="1"/>
  <c r="CH746" i="1"/>
  <c r="CI746" i="1"/>
  <c r="CH745" i="1"/>
  <c r="CI745" i="1"/>
  <c r="CH744" i="1"/>
  <c r="CI744" i="1"/>
  <c r="L752" i="1"/>
  <c r="L751" i="1"/>
  <c r="L750" i="1"/>
  <c r="L749" i="1"/>
  <c r="L748" i="1"/>
  <c r="L747" i="1"/>
  <c r="L746" i="1"/>
  <c r="L745" i="1"/>
  <c r="L744" i="1"/>
  <c r="CE752" i="1"/>
  <c r="CG752" i="1"/>
  <c r="CE751" i="1"/>
  <c r="CG751" i="1"/>
  <c r="CE750" i="1"/>
  <c r="CG750" i="1"/>
  <c r="CE749" i="1"/>
  <c r="CG749" i="1"/>
  <c r="CE748" i="1"/>
  <c r="CG748" i="1"/>
  <c r="CE747" i="1"/>
  <c r="CG747" i="1"/>
  <c r="CE746" i="1"/>
  <c r="CG746" i="1"/>
  <c r="CE745" i="1"/>
  <c r="CG745" i="1"/>
  <c r="CE744" i="1"/>
  <c r="CG744" i="1"/>
  <c r="CF752" i="1"/>
  <c r="CF751" i="1"/>
  <c r="CF750" i="1"/>
  <c r="CF749" i="1"/>
  <c r="CF748" i="1"/>
  <c r="CF747" i="1"/>
  <c r="CF746" i="1"/>
  <c r="CF745" i="1"/>
  <c r="CF744" i="1"/>
  <c r="C751" i="1"/>
  <c r="C750" i="1"/>
  <c r="C749" i="1"/>
  <c r="C748" i="1"/>
  <c r="C747" i="1"/>
  <c r="C746" i="1"/>
  <c r="C745" i="1"/>
  <c r="C744" i="1"/>
  <c r="CJ735" i="1"/>
  <c r="CJ736" i="1"/>
  <c r="CJ737" i="1"/>
  <c r="CJ738" i="1"/>
  <c r="CJ739" i="1"/>
  <c r="CJ740" i="1"/>
  <c r="CJ741" i="1"/>
  <c r="CJ742" i="1"/>
  <c r="CJ743" i="1"/>
  <c r="CJ521" i="1"/>
  <c r="CJ522" i="1"/>
  <c r="CJ523" i="1"/>
  <c r="CJ524" i="1"/>
  <c r="CJ435" i="1"/>
  <c r="CJ436" i="1"/>
  <c r="CJ437" i="1"/>
  <c r="CJ438" i="1"/>
  <c r="CH438" i="1"/>
  <c r="CI438" i="1"/>
  <c r="CH437" i="1"/>
  <c r="CI437" i="1"/>
  <c r="CH436" i="1"/>
  <c r="CI436" i="1"/>
  <c r="CH435" i="1"/>
  <c r="CI435" i="1"/>
  <c r="CH524" i="1"/>
  <c r="CI524" i="1"/>
  <c r="CH523" i="1"/>
  <c r="CI523" i="1"/>
  <c r="CH522" i="1"/>
  <c r="CI522" i="1"/>
  <c r="CH521" i="1"/>
  <c r="CI521" i="1"/>
  <c r="CH743" i="1"/>
  <c r="CI743" i="1"/>
  <c r="CH742" i="1"/>
  <c r="CI742" i="1"/>
  <c r="CH741" i="1"/>
  <c r="CI741" i="1"/>
  <c r="CH740" i="1"/>
  <c r="CI740" i="1"/>
  <c r="CH739" i="1"/>
  <c r="CI739" i="1"/>
  <c r="CH738" i="1"/>
  <c r="CI738" i="1"/>
  <c r="CH737" i="1"/>
  <c r="CI737" i="1"/>
  <c r="CH736" i="1"/>
  <c r="CI736" i="1"/>
  <c r="CH735" i="1"/>
  <c r="CI735" i="1"/>
  <c r="L438" i="1"/>
  <c r="L437" i="1"/>
  <c r="L436" i="1"/>
  <c r="L435" i="1"/>
  <c r="L524" i="1"/>
  <c r="L523" i="1"/>
  <c r="L522" i="1"/>
  <c r="L521" i="1"/>
  <c r="L743" i="1"/>
  <c r="L742" i="1"/>
  <c r="L741" i="1"/>
  <c r="L740" i="1"/>
  <c r="L739" i="1"/>
  <c r="L738" i="1"/>
  <c r="L737" i="1"/>
  <c r="L736" i="1"/>
  <c r="L735" i="1"/>
  <c r="CE438" i="1"/>
  <c r="CG438" i="1"/>
  <c r="CE437" i="1"/>
  <c r="CG437" i="1"/>
  <c r="CE436" i="1"/>
  <c r="CG436" i="1"/>
  <c r="CE435" i="1"/>
  <c r="CG435" i="1"/>
  <c r="CE524" i="1"/>
  <c r="CG524" i="1"/>
  <c r="CE523" i="1"/>
  <c r="CG523" i="1"/>
  <c r="CE522" i="1"/>
  <c r="CG522" i="1"/>
  <c r="CE521" i="1"/>
  <c r="CG521" i="1"/>
  <c r="CE743" i="1"/>
  <c r="CG743" i="1"/>
  <c r="CE742" i="1"/>
  <c r="CG742" i="1"/>
  <c r="CE741" i="1"/>
  <c r="CG741" i="1"/>
  <c r="CE740" i="1"/>
  <c r="CG740" i="1"/>
  <c r="CE739" i="1"/>
  <c r="CG739" i="1"/>
  <c r="CE738" i="1"/>
  <c r="CG738" i="1"/>
  <c r="CE737" i="1"/>
  <c r="CG737" i="1"/>
  <c r="CE736" i="1"/>
  <c r="CG736" i="1"/>
  <c r="CE735" i="1"/>
  <c r="CG735" i="1"/>
  <c r="CF438" i="1"/>
  <c r="CF437" i="1"/>
  <c r="CF436" i="1"/>
  <c r="CF435" i="1"/>
  <c r="CF524" i="1"/>
  <c r="CF523" i="1"/>
  <c r="CF522" i="1"/>
  <c r="CF521" i="1"/>
  <c r="CF743" i="1"/>
  <c r="CF742" i="1"/>
  <c r="CF741" i="1"/>
  <c r="CF740" i="1"/>
  <c r="CF739" i="1"/>
  <c r="CF738" i="1"/>
  <c r="CF737" i="1"/>
  <c r="CF736" i="1"/>
  <c r="CF735" i="1"/>
  <c r="CJ294" i="1"/>
  <c r="CJ295" i="1"/>
  <c r="CJ297" i="1"/>
  <c r="CJ298" i="1"/>
  <c r="CJ299" i="1"/>
  <c r="CJ300" i="1"/>
  <c r="CJ301" i="1"/>
  <c r="CJ302" i="1"/>
  <c r="CJ303" i="1"/>
  <c r="CJ304" i="1"/>
  <c r="CJ305" i="1"/>
  <c r="CJ306" i="1"/>
  <c r="CJ307" i="1"/>
  <c r="CJ732" i="1"/>
  <c r="BV734" i="1"/>
  <c r="CJ734" i="1" s="1"/>
  <c r="BV733" i="1"/>
  <c r="CJ733" i="1" s="1"/>
  <c r="BV296" i="1"/>
  <c r="CJ296" i="1" s="1"/>
  <c r="C438" i="1"/>
  <c r="C437" i="1"/>
  <c r="C436" i="1"/>
  <c r="C435" i="1"/>
  <c r="C524" i="1"/>
  <c r="C523" i="1"/>
  <c r="C522" i="1"/>
  <c r="C521" i="1"/>
  <c r="C743" i="1"/>
  <c r="C742" i="1"/>
  <c r="C741" i="1"/>
  <c r="C740" i="1"/>
  <c r="C739" i="1"/>
  <c r="C738" i="1"/>
  <c r="C737" i="1"/>
  <c r="C736" i="1"/>
  <c r="C735" i="1"/>
  <c r="CH734" i="1"/>
  <c r="CI734" i="1"/>
  <c r="CH733" i="1"/>
  <c r="CI733" i="1"/>
  <c r="CH732" i="1"/>
  <c r="CI732" i="1"/>
  <c r="CH307" i="1"/>
  <c r="CI307" i="1"/>
  <c r="CH306" i="1"/>
  <c r="CI306" i="1"/>
  <c r="CH305" i="1"/>
  <c r="CI305" i="1"/>
  <c r="CH304" i="1"/>
  <c r="CI304" i="1"/>
  <c r="CH303" i="1"/>
  <c r="CI303" i="1"/>
  <c r="CH302" i="1"/>
  <c r="CI302" i="1"/>
  <c r="CH301" i="1"/>
  <c r="CI301" i="1"/>
  <c r="CH300" i="1"/>
  <c r="CI300" i="1"/>
  <c r="CH299" i="1"/>
  <c r="CI299" i="1"/>
  <c r="CH298" i="1"/>
  <c r="CI298" i="1"/>
  <c r="CH297" i="1"/>
  <c r="CI297" i="1"/>
  <c r="CH296" i="1"/>
  <c r="CI296" i="1"/>
  <c r="CH295" i="1"/>
  <c r="CI295" i="1"/>
  <c r="CH294" i="1"/>
  <c r="CI294" i="1"/>
  <c r="L734" i="1"/>
  <c r="L733" i="1"/>
  <c r="L732" i="1"/>
  <c r="L307" i="1"/>
  <c r="L306" i="1"/>
  <c r="L305" i="1"/>
  <c r="L304" i="1"/>
  <c r="L303" i="1"/>
  <c r="L302" i="1"/>
  <c r="L301" i="1"/>
  <c r="L300" i="1"/>
  <c r="L299" i="1"/>
  <c r="L298" i="1"/>
  <c r="L297" i="1"/>
  <c r="L296" i="1"/>
  <c r="L295" i="1"/>
  <c r="L294" i="1"/>
  <c r="CE734" i="1"/>
  <c r="CG734" i="1"/>
  <c r="CE733" i="1"/>
  <c r="CG733" i="1"/>
  <c r="CE732" i="1"/>
  <c r="CG732" i="1"/>
  <c r="CE307" i="1"/>
  <c r="CG307" i="1"/>
  <c r="CE306" i="1"/>
  <c r="CG306" i="1"/>
  <c r="CE305" i="1"/>
  <c r="CG305" i="1"/>
  <c r="CE304" i="1"/>
  <c r="CG304" i="1"/>
  <c r="CE303" i="1"/>
  <c r="CG303" i="1"/>
  <c r="CE302" i="1"/>
  <c r="CG302" i="1"/>
  <c r="CE301" i="1"/>
  <c r="CG301" i="1"/>
  <c r="CE300" i="1"/>
  <c r="CG300" i="1"/>
  <c r="CE299" i="1"/>
  <c r="CG299" i="1"/>
  <c r="CE298" i="1"/>
  <c r="CG298" i="1"/>
  <c r="CE297" i="1"/>
  <c r="CG297" i="1"/>
  <c r="CE296" i="1"/>
  <c r="CG296" i="1"/>
  <c r="CE295" i="1"/>
  <c r="CG295" i="1"/>
  <c r="CE294" i="1"/>
  <c r="CG294" i="1"/>
  <c r="CF734" i="1"/>
  <c r="CF733" i="1"/>
  <c r="CF732" i="1"/>
  <c r="CF307" i="1"/>
  <c r="CF306" i="1"/>
  <c r="CF305" i="1"/>
  <c r="CF304" i="1"/>
  <c r="CF303" i="1"/>
  <c r="CF302" i="1"/>
  <c r="CF301" i="1"/>
  <c r="CF300" i="1"/>
  <c r="CF299" i="1"/>
  <c r="CF298" i="1"/>
  <c r="CF297" i="1"/>
  <c r="CF296" i="1"/>
  <c r="CF295" i="1"/>
  <c r="CF294" i="1"/>
  <c r="C734" i="1"/>
  <c r="C733" i="1"/>
  <c r="C732" i="1"/>
  <c r="C307" i="1"/>
  <c r="C306" i="1"/>
  <c r="C305" i="1"/>
  <c r="C304" i="1"/>
  <c r="C303" i="1"/>
  <c r="C302" i="1"/>
  <c r="C301" i="1"/>
  <c r="C300" i="1"/>
  <c r="C299" i="1"/>
  <c r="C298" i="1"/>
  <c r="C297" i="1"/>
  <c r="C296" i="1"/>
  <c r="C295" i="1"/>
  <c r="C294" i="1"/>
  <c r="CJ430" i="1"/>
  <c r="CJ431" i="1"/>
  <c r="CJ432" i="1"/>
  <c r="CJ433" i="1"/>
  <c r="CJ434" i="1"/>
  <c r="CJ519" i="1"/>
  <c r="CJ520" i="1"/>
  <c r="CH520" i="1"/>
  <c r="CI520" i="1"/>
  <c r="CH519" i="1"/>
  <c r="CI519" i="1"/>
  <c r="CH434" i="1"/>
  <c r="CI434" i="1"/>
  <c r="CH433" i="1"/>
  <c r="CI433" i="1"/>
  <c r="CH432" i="1"/>
  <c r="CI432" i="1"/>
  <c r="CH431" i="1"/>
  <c r="CI431" i="1"/>
  <c r="CH430" i="1"/>
  <c r="CI430" i="1"/>
  <c r="L520" i="1"/>
  <c r="L519" i="1"/>
  <c r="L434" i="1"/>
  <c r="L433" i="1"/>
  <c r="L432" i="1"/>
  <c r="L431" i="1"/>
  <c r="L430" i="1"/>
  <c r="CE520" i="1"/>
  <c r="CG520" i="1"/>
  <c r="CE519" i="1"/>
  <c r="CG519" i="1"/>
  <c r="CE434" i="1"/>
  <c r="CG434" i="1"/>
  <c r="CE433" i="1"/>
  <c r="CG433" i="1"/>
  <c r="CE432" i="1"/>
  <c r="CG432" i="1"/>
  <c r="CE431" i="1"/>
  <c r="CG431" i="1"/>
  <c r="CE430" i="1"/>
  <c r="CG430" i="1"/>
  <c r="CF520" i="1"/>
  <c r="CF519" i="1"/>
  <c r="CF434" i="1"/>
  <c r="CF433" i="1"/>
  <c r="CF432" i="1"/>
  <c r="CF431" i="1"/>
  <c r="CF430" i="1"/>
  <c r="C520" i="1"/>
  <c r="C519" i="1"/>
  <c r="C434" i="1"/>
  <c r="C433" i="1"/>
  <c r="C432" i="1"/>
  <c r="C431" i="1"/>
  <c r="C430" i="1"/>
  <c r="CJ723" i="1"/>
  <c r="CJ724" i="1"/>
  <c r="CJ726" i="1"/>
  <c r="CJ728" i="1"/>
  <c r="CJ729" i="1"/>
  <c r="CJ730" i="1"/>
  <c r="CJ731" i="1"/>
  <c r="CJ518" i="1"/>
  <c r="CJ426" i="1"/>
  <c r="CJ427" i="1"/>
  <c r="CJ428" i="1"/>
  <c r="CJ429" i="1"/>
  <c r="CJ722" i="1"/>
  <c r="BV727" i="1"/>
  <c r="CJ727" i="1" s="1"/>
  <c r="BV725" i="1"/>
  <c r="CJ725" i="1" s="1"/>
  <c r="CJ721" i="1"/>
  <c r="CJ720" i="1"/>
  <c r="CH429" i="1"/>
  <c r="CI429" i="1"/>
  <c r="CH428" i="1"/>
  <c r="CI428" i="1"/>
  <c r="CH427" i="1"/>
  <c r="CI427" i="1"/>
  <c r="CH426" i="1"/>
  <c r="CI426" i="1"/>
  <c r="CH518" i="1"/>
  <c r="CI518" i="1"/>
  <c r="CH731" i="1"/>
  <c r="CI731" i="1"/>
  <c r="CH730" i="1"/>
  <c r="CI730" i="1"/>
  <c r="CH729" i="1"/>
  <c r="CI729" i="1"/>
  <c r="CH728" i="1"/>
  <c r="CI728" i="1"/>
  <c r="CH727" i="1"/>
  <c r="CI727" i="1"/>
  <c r="CH726" i="1"/>
  <c r="CI726" i="1"/>
  <c r="CH725" i="1"/>
  <c r="CI725" i="1"/>
  <c r="CH724" i="1"/>
  <c r="CI724" i="1"/>
  <c r="CH723" i="1"/>
  <c r="CI723" i="1"/>
  <c r="CH722" i="1"/>
  <c r="CI722" i="1"/>
  <c r="CH721" i="1"/>
  <c r="CI721" i="1"/>
  <c r="CH720" i="1"/>
  <c r="CI720" i="1"/>
  <c r="L429" i="1"/>
  <c r="L428" i="1"/>
  <c r="L427" i="1"/>
  <c r="L426" i="1"/>
  <c r="L518" i="1"/>
  <c r="L731" i="1"/>
  <c r="L730" i="1"/>
  <c r="L729" i="1"/>
  <c r="L728" i="1"/>
  <c r="L727" i="1"/>
  <c r="L726" i="1"/>
  <c r="L725" i="1"/>
  <c r="L724" i="1"/>
  <c r="L723" i="1"/>
  <c r="L722" i="1"/>
  <c r="L721" i="1"/>
  <c r="L720" i="1"/>
  <c r="CE429" i="1"/>
  <c r="CG429" i="1"/>
  <c r="CE428" i="1"/>
  <c r="CG428" i="1"/>
  <c r="CE427" i="1"/>
  <c r="CG427" i="1"/>
  <c r="CE426" i="1"/>
  <c r="CG426" i="1"/>
  <c r="CE518" i="1"/>
  <c r="CG518" i="1"/>
  <c r="CE731" i="1"/>
  <c r="CG731" i="1"/>
  <c r="CE730" i="1"/>
  <c r="CG730" i="1"/>
  <c r="CE729" i="1"/>
  <c r="CG729" i="1"/>
  <c r="CE728" i="1"/>
  <c r="CG728" i="1"/>
  <c r="CE727" i="1"/>
  <c r="CG727" i="1"/>
  <c r="CE726" i="1"/>
  <c r="CG726" i="1"/>
  <c r="CE725" i="1"/>
  <c r="CG725" i="1"/>
  <c r="CE724" i="1"/>
  <c r="CG724" i="1"/>
  <c r="CE723" i="1"/>
  <c r="CG723" i="1"/>
  <c r="CE722" i="1"/>
  <c r="CG722" i="1"/>
  <c r="CE721" i="1"/>
  <c r="CG721" i="1"/>
  <c r="CE720" i="1"/>
  <c r="CG720" i="1"/>
  <c r="CF429" i="1"/>
  <c r="CF428" i="1"/>
  <c r="CF427" i="1"/>
  <c r="CF426" i="1"/>
  <c r="CF518" i="1"/>
  <c r="CF731" i="1"/>
  <c r="CF730" i="1"/>
  <c r="CF729" i="1"/>
  <c r="CF728" i="1"/>
  <c r="CF727" i="1"/>
  <c r="CF726" i="1"/>
  <c r="CF725" i="1"/>
  <c r="CF724" i="1"/>
  <c r="CF723" i="1"/>
  <c r="CF722" i="1"/>
  <c r="CF721" i="1"/>
  <c r="CF720" i="1"/>
  <c r="C429" i="1"/>
  <c r="C428" i="1"/>
  <c r="C427" i="1"/>
  <c r="C426" i="1"/>
  <c r="C518" i="1"/>
  <c r="C731" i="1"/>
  <c r="C730" i="1"/>
  <c r="C729" i="1"/>
  <c r="C728" i="1"/>
  <c r="C727" i="1"/>
  <c r="C726" i="1"/>
  <c r="C725" i="1"/>
  <c r="C724" i="1"/>
  <c r="C723" i="1"/>
  <c r="C722" i="1"/>
  <c r="C721" i="1"/>
  <c r="C720" i="1"/>
  <c r="BV714" i="1"/>
  <c r="CJ714" i="1" s="1"/>
  <c r="CH293" i="1"/>
  <c r="CI293" i="1"/>
  <c r="CJ293" i="1"/>
  <c r="CH292" i="1"/>
  <c r="CI292" i="1"/>
  <c r="CJ292" i="1"/>
  <c r="CH291" i="1"/>
  <c r="CI291" i="1"/>
  <c r="CJ291" i="1"/>
  <c r="CH290" i="1"/>
  <c r="CI290" i="1"/>
  <c r="CJ290" i="1"/>
  <c r="CH289" i="1"/>
  <c r="CI289" i="1"/>
  <c r="CJ289" i="1"/>
  <c r="CH288" i="1"/>
  <c r="CI288" i="1"/>
  <c r="CJ288" i="1"/>
  <c r="CH287" i="1"/>
  <c r="CI287" i="1"/>
  <c r="CJ287" i="1"/>
  <c r="CH286" i="1"/>
  <c r="CI286" i="1"/>
  <c r="CJ286" i="1"/>
  <c r="CH285" i="1"/>
  <c r="CI285" i="1"/>
  <c r="CJ285" i="1"/>
  <c r="L293" i="1"/>
  <c r="L292" i="1"/>
  <c r="L291" i="1"/>
  <c r="L290" i="1"/>
  <c r="L289" i="1"/>
  <c r="L288" i="1"/>
  <c r="L287" i="1"/>
  <c r="L286" i="1"/>
  <c r="L285" i="1"/>
  <c r="CE293" i="1"/>
  <c r="CG293" i="1"/>
  <c r="CE292" i="1"/>
  <c r="CG292" i="1"/>
  <c r="CE291" i="1"/>
  <c r="CG291" i="1"/>
  <c r="CE290" i="1"/>
  <c r="CG290" i="1"/>
  <c r="CE289" i="1"/>
  <c r="CG289" i="1"/>
  <c r="CE288" i="1"/>
  <c r="CG288" i="1"/>
  <c r="CE287" i="1"/>
  <c r="CG287" i="1"/>
  <c r="CE286" i="1"/>
  <c r="CG286" i="1"/>
  <c r="CE285" i="1"/>
  <c r="CG285" i="1"/>
  <c r="CF293" i="1"/>
  <c r="CF292" i="1"/>
  <c r="CF291" i="1"/>
  <c r="CF290" i="1"/>
  <c r="CF289" i="1"/>
  <c r="CF288" i="1"/>
  <c r="CF287" i="1"/>
  <c r="CF286" i="1"/>
  <c r="CF285" i="1"/>
  <c r="C293" i="1"/>
  <c r="C292" i="1"/>
  <c r="C291" i="1"/>
  <c r="C290" i="1"/>
  <c r="C289" i="1"/>
  <c r="C288" i="1"/>
  <c r="C287" i="1"/>
  <c r="C286" i="1"/>
  <c r="C285" i="1"/>
  <c r="CH284" i="1"/>
  <c r="CI284" i="1"/>
  <c r="CJ284" i="1"/>
  <c r="CH283" i="1"/>
  <c r="CI283" i="1"/>
  <c r="CJ283" i="1"/>
  <c r="CH282" i="1"/>
  <c r="CI282" i="1"/>
  <c r="CJ282" i="1"/>
  <c r="CH281" i="1"/>
  <c r="CI281" i="1"/>
  <c r="CJ281" i="1"/>
  <c r="CH280" i="1"/>
  <c r="CI280" i="1"/>
  <c r="CJ280" i="1"/>
  <c r="CH279" i="1"/>
  <c r="CI279" i="1"/>
  <c r="CJ279" i="1"/>
  <c r="CH278" i="1"/>
  <c r="CI278" i="1"/>
  <c r="CJ278" i="1"/>
  <c r="CH277" i="1"/>
  <c r="CI277" i="1"/>
  <c r="CJ277" i="1"/>
  <c r="CH276" i="1"/>
  <c r="CI276" i="1"/>
  <c r="CJ276" i="1"/>
  <c r="CH275" i="1"/>
  <c r="CI275" i="1"/>
  <c r="CJ275" i="1"/>
  <c r="CH274" i="1"/>
  <c r="CI274" i="1"/>
  <c r="CJ274" i="1"/>
  <c r="L284" i="1"/>
  <c r="L283" i="1"/>
  <c r="L282" i="1"/>
  <c r="L281" i="1"/>
  <c r="L280" i="1"/>
  <c r="L279" i="1"/>
  <c r="L278" i="1"/>
  <c r="L277" i="1"/>
  <c r="L276" i="1"/>
  <c r="L275" i="1"/>
  <c r="L274" i="1"/>
  <c r="CE284" i="1"/>
  <c r="CG284" i="1"/>
  <c r="CE283" i="1"/>
  <c r="CG283" i="1"/>
  <c r="CE282" i="1"/>
  <c r="CG282" i="1"/>
  <c r="CE281" i="1"/>
  <c r="CG281" i="1"/>
  <c r="CE280" i="1"/>
  <c r="CG280" i="1"/>
  <c r="CE279" i="1"/>
  <c r="CG279" i="1"/>
  <c r="CE278" i="1"/>
  <c r="CG278" i="1"/>
  <c r="CE277" i="1"/>
  <c r="CG277" i="1"/>
  <c r="CE276" i="1"/>
  <c r="CG276" i="1"/>
  <c r="CE275" i="1"/>
  <c r="CG275" i="1"/>
  <c r="CE274" i="1"/>
  <c r="CG274" i="1"/>
  <c r="CF284" i="1"/>
  <c r="CF283" i="1"/>
  <c r="CF282" i="1"/>
  <c r="CF281" i="1"/>
  <c r="CF280" i="1"/>
  <c r="CF279" i="1"/>
  <c r="CF278" i="1"/>
  <c r="CF277" i="1"/>
  <c r="CF276" i="1"/>
  <c r="CF275" i="1"/>
  <c r="CF274" i="1"/>
  <c r="C284" i="1"/>
  <c r="C283" i="1"/>
  <c r="C282" i="1"/>
  <c r="C281" i="1"/>
  <c r="C280" i="1"/>
  <c r="C279" i="1"/>
  <c r="C278" i="1"/>
  <c r="C277" i="1"/>
  <c r="C276" i="1"/>
  <c r="C275" i="1"/>
  <c r="C274" i="1"/>
  <c r="CJ240" i="1"/>
  <c r="CJ244" i="1"/>
  <c r="CJ245" i="1"/>
  <c r="CJ246" i="1"/>
  <c r="CJ247" i="1"/>
  <c r="CJ248" i="1"/>
  <c r="CJ249" i="1"/>
  <c r="CJ250" i="1"/>
  <c r="CJ251" i="1"/>
  <c r="CJ252" i="1"/>
  <c r="CJ253" i="1"/>
  <c r="CJ254" i="1"/>
  <c r="CJ255" i="1"/>
  <c r="CJ256" i="1"/>
  <c r="CJ257" i="1"/>
  <c r="CJ688" i="1"/>
  <c r="CJ689" i="1"/>
  <c r="CJ690" i="1"/>
  <c r="CJ691" i="1"/>
  <c r="CJ692" i="1"/>
  <c r="CJ693" i="1"/>
  <c r="CJ694" i="1"/>
  <c r="CJ695" i="1"/>
  <c r="CJ696" i="1"/>
  <c r="CJ697" i="1"/>
  <c r="CJ698" i="1"/>
  <c r="CJ699" i="1"/>
  <c r="CJ700" i="1"/>
  <c r="CJ701" i="1"/>
  <c r="CJ702" i="1"/>
  <c r="CJ703" i="1"/>
  <c r="CJ502" i="1"/>
  <c r="CJ503" i="1"/>
  <c r="CJ504" i="1"/>
  <c r="CJ505" i="1"/>
  <c r="CJ411" i="1"/>
  <c r="CJ506" i="1"/>
  <c r="CJ507" i="1"/>
  <c r="CJ508" i="1"/>
  <c r="CJ509" i="1"/>
  <c r="CJ510" i="1"/>
  <c r="CJ511" i="1"/>
  <c r="CJ512" i="1"/>
  <c r="CJ513" i="1"/>
  <c r="CJ514" i="1"/>
  <c r="CJ416" i="1"/>
  <c r="CJ417" i="1"/>
  <c r="CJ418" i="1"/>
  <c r="CJ419" i="1"/>
  <c r="CJ258" i="1"/>
  <c r="CJ259" i="1"/>
  <c r="CJ260" i="1"/>
  <c r="CJ261" i="1"/>
  <c r="CJ262" i="1"/>
  <c r="CJ263" i="1"/>
  <c r="CJ264" i="1"/>
  <c r="CJ265" i="1"/>
  <c r="CJ266" i="1"/>
  <c r="CJ267" i="1"/>
  <c r="CJ268" i="1"/>
  <c r="CJ269" i="1"/>
  <c r="CJ270" i="1"/>
  <c r="CJ271" i="1"/>
  <c r="CJ272" i="1"/>
  <c r="CJ273" i="1"/>
  <c r="CJ420" i="1"/>
  <c r="CJ421" i="1"/>
  <c r="CJ422" i="1"/>
  <c r="CJ423" i="1"/>
  <c r="CJ424" i="1"/>
  <c r="CJ425" i="1"/>
  <c r="CJ515" i="1"/>
  <c r="CJ516" i="1"/>
  <c r="CJ517" i="1"/>
  <c r="CJ704" i="1"/>
  <c r="CJ705" i="1"/>
  <c r="CJ706" i="1"/>
  <c r="CJ707" i="1"/>
  <c r="CJ708" i="1"/>
  <c r="CJ709" i="1"/>
  <c r="CJ710" i="1"/>
  <c r="CJ711" i="1"/>
  <c r="CJ712" i="1"/>
  <c r="CJ713" i="1"/>
  <c r="CJ715" i="1"/>
  <c r="CJ716" i="1"/>
  <c r="CJ717" i="1"/>
  <c r="CJ718" i="1"/>
  <c r="CJ719" i="1"/>
  <c r="CJ238" i="1"/>
  <c r="C3" i="1"/>
  <c r="C4" i="1"/>
  <c r="C5" i="1"/>
  <c r="C6" i="1"/>
  <c r="C7" i="1"/>
  <c r="C8" i="1"/>
  <c r="C9" i="1"/>
  <c r="C10" i="1"/>
  <c r="C11" i="1"/>
  <c r="C12" i="1"/>
  <c r="C1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320" i="1"/>
  <c r="C321" i="1"/>
  <c r="C322" i="1"/>
  <c r="C323" i="1"/>
  <c r="C324" i="1"/>
  <c r="C325" i="1"/>
  <c r="C326" i="1"/>
  <c r="C327" i="1"/>
  <c r="C328" i="1"/>
  <c r="C329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330" i="1"/>
  <c r="C331" i="1"/>
  <c r="C332" i="1"/>
  <c r="C333" i="1"/>
  <c r="C334" i="1"/>
  <c r="C335" i="1"/>
  <c r="C336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32" i="1"/>
  <c r="C3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385" i="1"/>
  <c r="C386" i="1"/>
  <c r="C387" i="1"/>
  <c r="C388" i="1"/>
  <c r="C389" i="1"/>
  <c r="C390" i="1"/>
  <c r="C391" i="1"/>
  <c r="C392" i="1"/>
  <c r="C393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394" i="1"/>
  <c r="C485" i="1"/>
  <c r="C486" i="1"/>
  <c r="C487" i="1"/>
  <c r="C488" i="1"/>
  <c r="C489" i="1"/>
  <c r="C490" i="1"/>
  <c r="C491" i="1"/>
  <c r="C492" i="1"/>
  <c r="C493" i="1"/>
  <c r="C494" i="1"/>
  <c r="C395" i="1"/>
  <c r="C396" i="1"/>
  <c r="C397" i="1"/>
  <c r="C398" i="1"/>
  <c r="C399" i="1"/>
  <c r="C400" i="1"/>
  <c r="C401" i="1"/>
  <c r="C402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187" i="1"/>
  <c r="C188" i="1"/>
  <c r="C189" i="1"/>
  <c r="C190" i="1"/>
  <c r="C191" i="1"/>
  <c r="C192" i="1"/>
  <c r="C193" i="1"/>
  <c r="C194" i="1"/>
  <c r="C195" i="1"/>
  <c r="C403" i="1"/>
  <c r="C404" i="1"/>
  <c r="C405" i="1"/>
  <c r="C406" i="1"/>
  <c r="C407" i="1"/>
  <c r="C408" i="1"/>
  <c r="C409" i="1"/>
  <c r="C410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495" i="1"/>
  <c r="C496" i="1"/>
  <c r="C497" i="1"/>
  <c r="C498" i="1"/>
  <c r="C499" i="1"/>
  <c r="C500" i="1"/>
  <c r="C501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502" i="1"/>
  <c r="C503" i="1"/>
  <c r="C504" i="1"/>
  <c r="C505" i="1"/>
  <c r="C411" i="1"/>
  <c r="C412" i="1"/>
  <c r="C413" i="1"/>
  <c r="C414" i="1"/>
  <c r="C415" i="1"/>
  <c r="C506" i="1"/>
  <c r="C507" i="1"/>
  <c r="C508" i="1"/>
  <c r="C509" i="1"/>
  <c r="C510" i="1"/>
  <c r="C511" i="1"/>
  <c r="C512" i="1"/>
  <c r="C513" i="1"/>
  <c r="C514" i="1"/>
  <c r="C416" i="1"/>
  <c r="C417" i="1"/>
  <c r="C418" i="1"/>
  <c r="C419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420" i="1"/>
  <c r="C421" i="1"/>
  <c r="C422" i="1"/>
  <c r="C423" i="1"/>
  <c r="C424" i="1"/>
  <c r="C425" i="1"/>
  <c r="C515" i="1"/>
  <c r="C516" i="1"/>
  <c r="C517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H719" i="1"/>
  <c r="CI719" i="1"/>
  <c r="CH718" i="1"/>
  <c r="CI718" i="1"/>
  <c r="CH717" i="1"/>
  <c r="CI717" i="1"/>
  <c r="CH716" i="1"/>
  <c r="CI716" i="1"/>
  <c r="CH715" i="1"/>
  <c r="CI715" i="1"/>
  <c r="CH714" i="1"/>
  <c r="CI714" i="1"/>
  <c r="CH713" i="1"/>
  <c r="CI713" i="1"/>
  <c r="CH712" i="1"/>
  <c r="CI712" i="1"/>
  <c r="CH711" i="1"/>
  <c r="CI711" i="1"/>
  <c r="CH710" i="1"/>
  <c r="CI710" i="1"/>
  <c r="CH709" i="1"/>
  <c r="CI709" i="1"/>
  <c r="CH708" i="1"/>
  <c r="CI708" i="1"/>
  <c r="CH707" i="1"/>
  <c r="CI707" i="1"/>
  <c r="CH706" i="1"/>
  <c r="CI706" i="1"/>
  <c r="CH705" i="1"/>
  <c r="CI705" i="1"/>
  <c r="L719" i="1"/>
  <c r="L718" i="1"/>
  <c r="L717" i="1"/>
  <c r="L716" i="1"/>
  <c r="L715" i="1"/>
  <c r="L714" i="1"/>
  <c r="L713" i="1"/>
  <c r="L712" i="1"/>
  <c r="L711" i="1"/>
  <c r="L710" i="1"/>
  <c r="L709" i="1"/>
  <c r="L708" i="1"/>
  <c r="L707" i="1"/>
  <c r="L706" i="1"/>
  <c r="L705" i="1"/>
  <c r="CE719" i="1"/>
  <c r="CG719" i="1"/>
  <c r="CE718" i="1"/>
  <c r="CG718" i="1"/>
  <c r="CE717" i="1"/>
  <c r="CG717" i="1"/>
  <c r="CE716" i="1"/>
  <c r="CG716" i="1"/>
  <c r="CE715" i="1"/>
  <c r="CG715" i="1"/>
  <c r="CE714" i="1"/>
  <c r="CG714" i="1"/>
  <c r="CE713" i="1"/>
  <c r="CG713" i="1"/>
  <c r="CE712" i="1"/>
  <c r="CG712" i="1"/>
  <c r="CE711" i="1"/>
  <c r="CG711" i="1"/>
  <c r="CE710" i="1"/>
  <c r="CG710" i="1"/>
  <c r="CE709" i="1"/>
  <c r="CG709" i="1"/>
  <c r="CE708" i="1"/>
  <c r="CG708" i="1"/>
  <c r="CE707" i="1"/>
  <c r="CG707" i="1"/>
  <c r="CE706" i="1"/>
  <c r="CG706" i="1"/>
  <c r="CE705" i="1"/>
  <c r="CG705" i="1"/>
  <c r="CF719" i="1"/>
  <c r="CF718" i="1"/>
  <c r="CF717" i="1"/>
  <c r="CF716" i="1"/>
  <c r="CF715" i="1"/>
  <c r="CF714" i="1"/>
  <c r="CF713" i="1"/>
  <c r="CF712" i="1"/>
  <c r="CF711" i="1"/>
  <c r="CF710" i="1"/>
  <c r="CF709" i="1"/>
  <c r="CF708" i="1"/>
  <c r="CF707" i="1"/>
  <c r="CF706" i="1"/>
  <c r="CF705" i="1"/>
  <c r="CH704" i="1"/>
  <c r="CI704" i="1"/>
  <c r="CH517" i="1"/>
  <c r="CI517" i="1"/>
  <c r="CH516" i="1"/>
  <c r="CI516" i="1"/>
  <c r="CH515" i="1"/>
  <c r="CI515" i="1"/>
  <c r="CH425" i="1"/>
  <c r="CI425" i="1"/>
  <c r="CH424" i="1"/>
  <c r="CI424" i="1"/>
  <c r="CH423" i="1"/>
  <c r="CI423" i="1"/>
  <c r="CH422" i="1"/>
  <c r="CI422" i="1"/>
  <c r="CH421" i="1"/>
  <c r="CI421" i="1"/>
  <c r="CH420" i="1"/>
  <c r="CI420" i="1"/>
  <c r="CH273" i="1"/>
  <c r="CI273" i="1"/>
  <c r="CH272" i="1"/>
  <c r="CI272" i="1"/>
  <c r="CH271" i="1"/>
  <c r="CI271" i="1"/>
  <c r="CH270" i="1"/>
  <c r="CI270" i="1"/>
  <c r="CH269" i="1"/>
  <c r="CI269" i="1"/>
  <c r="CH268" i="1"/>
  <c r="CI268" i="1"/>
  <c r="CH267" i="1"/>
  <c r="CI267" i="1"/>
  <c r="CH266" i="1"/>
  <c r="CI266" i="1"/>
  <c r="CH265" i="1"/>
  <c r="CI265" i="1"/>
  <c r="CH264" i="1"/>
  <c r="CI264" i="1"/>
  <c r="CH263" i="1"/>
  <c r="CI263" i="1"/>
  <c r="CH262" i="1"/>
  <c r="CI262" i="1"/>
  <c r="CH261" i="1"/>
  <c r="CI261" i="1"/>
  <c r="CH260" i="1"/>
  <c r="CI260" i="1"/>
  <c r="CH259" i="1"/>
  <c r="CI259" i="1"/>
  <c r="CH258" i="1"/>
  <c r="CI258" i="1"/>
  <c r="L704" i="1"/>
  <c r="L517" i="1"/>
  <c r="L516" i="1"/>
  <c r="L515" i="1"/>
  <c r="L425" i="1"/>
  <c r="L424" i="1"/>
  <c r="L423" i="1"/>
  <c r="L422" i="1"/>
  <c r="L421" i="1"/>
  <c r="L420" i="1"/>
  <c r="L273" i="1"/>
  <c r="L272" i="1"/>
  <c r="L271" i="1"/>
  <c r="L270" i="1"/>
  <c r="L269" i="1"/>
  <c r="L268" i="1"/>
  <c r="L267" i="1"/>
  <c r="L266" i="1"/>
  <c r="L265" i="1"/>
  <c r="L264" i="1"/>
  <c r="L263" i="1"/>
  <c r="L262" i="1"/>
  <c r="L261" i="1"/>
  <c r="L260" i="1"/>
  <c r="L259" i="1"/>
  <c r="L258" i="1"/>
  <c r="CE704" i="1"/>
  <c r="CG704" i="1"/>
  <c r="CE517" i="1"/>
  <c r="CG517" i="1"/>
  <c r="CE516" i="1"/>
  <c r="CG516" i="1"/>
  <c r="CE515" i="1"/>
  <c r="CG515" i="1"/>
  <c r="CE425" i="1"/>
  <c r="CG425" i="1"/>
  <c r="CE424" i="1"/>
  <c r="CG424" i="1"/>
  <c r="CE423" i="1"/>
  <c r="CG423" i="1"/>
  <c r="CE422" i="1"/>
  <c r="CG422" i="1"/>
  <c r="CE421" i="1"/>
  <c r="CG421" i="1"/>
  <c r="CE420" i="1"/>
  <c r="CG420" i="1"/>
  <c r="CE273" i="1"/>
  <c r="CG273" i="1"/>
  <c r="CE272" i="1"/>
  <c r="CG272" i="1"/>
  <c r="CE271" i="1"/>
  <c r="CG271" i="1"/>
  <c r="CE270" i="1"/>
  <c r="CG270" i="1"/>
  <c r="CE269" i="1"/>
  <c r="CG269" i="1"/>
  <c r="CE268" i="1"/>
  <c r="CG268" i="1"/>
  <c r="CE267" i="1"/>
  <c r="CG267" i="1"/>
  <c r="CE266" i="1"/>
  <c r="CG266" i="1"/>
  <c r="CE265" i="1"/>
  <c r="CG265" i="1"/>
  <c r="CE264" i="1"/>
  <c r="CG264" i="1"/>
  <c r="CE263" i="1"/>
  <c r="CG263" i="1"/>
  <c r="CE262" i="1"/>
  <c r="CG262" i="1"/>
  <c r="CE261" i="1"/>
  <c r="CG261" i="1"/>
  <c r="CE260" i="1"/>
  <c r="CG260" i="1"/>
  <c r="CE259" i="1"/>
  <c r="CG259" i="1"/>
  <c r="CE258" i="1"/>
  <c r="CG258" i="1"/>
  <c r="CF704" i="1"/>
  <c r="CF517" i="1"/>
  <c r="CF516" i="1"/>
  <c r="CF515" i="1"/>
  <c r="CF425" i="1"/>
  <c r="CF424" i="1"/>
  <c r="CF423" i="1"/>
  <c r="CF422" i="1"/>
  <c r="CF421" i="1"/>
  <c r="CF420" i="1"/>
  <c r="CF273" i="1"/>
  <c r="CF272" i="1"/>
  <c r="CF271" i="1"/>
  <c r="CF270" i="1"/>
  <c r="CF269" i="1"/>
  <c r="CF268" i="1"/>
  <c r="CF267" i="1"/>
  <c r="CF266" i="1"/>
  <c r="CF265" i="1"/>
  <c r="CF264" i="1"/>
  <c r="CF263" i="1"/>
  <c r="CF262" i="1"/>
  <c r="CF261" i="1"/>
  <c r="CF260" i="1"/>
  <c r="CF259" i="1"/>
  <c r="CF258" i="1"/>
  <c r="BV415" i="1"/>
  <c r="CJ415" i="1" s="1"/>
  <c r="BV414" i="1"/>
  <c r="CJ414" i="1" s="1"/>
  <c r="BV413" i="1"/>
  <c r="CJ413" i="1" s="1"/>
  <c r="BV412" i="1"/>
  <c r="CJ412" i="1" s="1"/>
  <c r="CH419" i="1"/>
  <c r="CI419" i="1"/>
  <c r="CH418" i="1"/>
  <c r="CI418" i="1"/>
  <c r="CH417" i="1"/>
  <c r="CI417" i="1"/>
  <c r="CH416" i="1"/>
  <c r="CI416" i="1"/>
  <c r="CH514" i="1"/>
  <c r="CI514" i="1"/>
  <c r="CH513" i="1"/>
  <c r="CI513" i="1"/>
  <c r="CH512" i="1"/>
  <c r="CI512" i="1"/>
  <c r="CH511" i="1"/>
  <c r="CI511" i="1"/>
  <c r="CH510" i="1"/>
  <c r="CI510" i="1"/>
  <c r="CH509" i="1"/>
  <c r="CI509" i="1"/>
  <c r="CH508" i="1"/>
  <c r="CI508" i="1"/>
  <c r="CH507" i="1"/>
  <c r="CI507" i="1"/>
  <c r="CH506" i="1"/>
  <c r="CI506" i="1"/>
  <c r="CH415" i="1"/>
  <c r="CI415" i="1"/>
  <c r="CH414" i="1"/>
  <c r="CI414" i="1"/>
  <c r="CH413" i="1"/>
  <c r="CI413" i="1"/>
  <c r="CH412" i="1"/>
  <c r="CI412" i="1"/>
  <c r="CH411" i="1"/>
  <c r="CI411" i="1"/>
  <c r="CH505" i="1"/>
  <c r="CI505" i="1"/>
  <c r="CH504" i="1"/>
  <c r="CI504" i="1"/>
  <c r="CH503" i="1"/>
  <c r="CI503" i="1"/>
  <c r="CH502" i="1"/>
  <c r="CI502" i="1"/>
  <c r="CH703" i="1"/>
  <c r="CI703" i="1"/>
  <c r="CH702" i="1"/>
  <c r="CI702" i="1"/>
  <c r="CH701" i="1"/>
  <c r="CI701" i="1"/>
  <c r="CH700" i="1"/>
  <c r="CI700" i="1"/>
  <c r="L419" i="1"/>
  <c r="L418" i="1"/>
  <c r="L417" i="1"/>
  <c r="L416" i="1"/>
  <c r="L514" i="1"/>
  <c r="L513" i="1"/>
  <c r="L512" i="1"/>
  <c r="L511" i="1"/>
  <c r="L510" i="1"/>
  <c r="L509" i="1"/>
  <c r="L508" i="1"/>
  <c r="L507" i="1"/>
  <c r="L506" i="1"/>
  <c r="L415" i="1"/>
  <c r="L414" i="1"/>
  <c r="L413" i="1"/>
  <c r="L412" i="1"/>
  <c r="L411" i="1"/>
  <c r="L505" i="1"/>
  <c r="L504" i="1"/>
  <c r="L503" i="1"/>
  <c r="L502" i="1"/>
  <c r="L703" i="1"/>
  <c r="L702" i="1"/>
  <c r="L701" i="1"/>
  <c r="L700" i="1"/>
  <c r="CE419" i="1"/>
  <c r="CG419" i="1"/>
  <c r="CE418" i="1"/>
  <c r="CG418" i="1"/>
  <c r="CE417" i="1"/>
  <c r="CG417" i="1"/>
  <c r="CE416" i="1"/>
  <c r="CG416" i="1"/>
  <c r="CE514" i="1"/>
  <c r="CG514" i="1"/>
  <c r="CE513" i="1"/>
  <c r="CG513" i="1"/>
  <c r="CE512" i="1"/>
  <c r="CG512" i="1"/>
  <c r="CE511" i="1"/>
  <c r="CG511" i="1"/>
  <c r="CE510" i="1"/>
  <c r="CG510" i="1"/>
  <c r="CE509" i="1"/>
  <c r="CG509" i="1"/>
  <c r="CE508" i="1"/>
  <c r="CG508" i="1"/>
  <c r="CE507" i="1"/>
  <c r="CG507" i="1"/>
  <c r="CE506" i="1"/>
  <c r="CG506" i="1"/>
  <c r="CE415" i="1"/>
  <c r="CG415" i="1"/>
  <c r="CE414" i="1"/>
  <c r="CG414" i="1"/>
  <c r="CE413" i="1"/>
  <c r="CG413" i="1"/>
  <c r="CE412" i="1"/>
  <c r="CG412" i="1"/>
  <c r="CE411" i="1"/>
  <c r="CG411" i="1"/>
  <c r="CE505" i="1"/>
  <c r="CG505" i="1"/>
  <c r="CE504" i="1"/>
  <c r="CG504" i="1"/>
  <c r="CE503" i="1"/>
  <c r="CG503" i="1"/>
  <c r="CE502" i="1"/>
  <c r="CG502" i="1"/>
  <c r="CE703" i="1"/>
  <c r="CG703" i="1"/>
  <c r="CE702" i="1"/>
  <c r="CG702" i="1"/>
  <c r="CE701" i="1"/>
  <c r="CG701" i="1"/>
  <c r="CE700" i="1"/>
  <c r="CG700" i="1"/>
  <c r="CF419" i="1"/>
  <c r="CF418" i="1"/>
  <c r="CF417" i="1"/>
  <c r="CF416" i="1"/>
  <c r="CF514" i="1"/>
  <c r="CF513" i="1"/>
  <c r="CF512" i="1"/>
  <c r="CF511" i="1"/>
  <c r="CF510" i="1"/>
  <c r="CF509" i="1"/>
  <c r="CF508" i="1"/>
  <c r="CF507" i="1"/>
  <c r="CF506" i="1"/>
  <c r="CF415" i="1"/>
  <c r="CF414" i="1"/>
  <c r="CF413" i="1"/>
  <c r="CF412" i="1"/>
  <c r="CF411" i="1"/>
  <c r="CF505" i="1"/>
  <c r="CF504" i="1"/>
  <c r="CF503" i="1"/>
  <c r="CF502" i="1"/>
  <c r="CF703" i="1"/>
  <c r="CF702" i="1"/>
  <c r="CF701" i="1"/>
  <c r="CF700" i="1"/>
  <c r="BV687" i="1"/>
  <c r="CJ687" i="1" s="1"/>
  <c r="CH245" i="1"/>
  <c r="CI245" i="1"/>
  <c r="CH246" i="1"/>
  <c r="CI246" i="1"/>
  <c r="CH247" i="1"/>
  <c r="CI247" i="1"/>
  <c r="CH248" i="1"/>
  <c r="CI248" i="1"/>
  <c r="CH249" i="1"/>
  <c r="CI249" i="1"/>
  <c r="CH250" i="1"/>
  <c r="CI250" i="1"/>
  <c r="CH251" i="1"/>
  <c r="CI251" i="1"/>
  <c r="CH252" i="1"/>
  <c r="CI252" i="1"/>
  <c r="CH253" i="1"/>
  <c r="CI253" i="1"/>
  <c r="CH254" i="1"/>
  <c r="CI254" i="1"/>
  <c r="CH255" i="1"/>
  <c r="CI255" i="1"/>
  <c r="CH256" i="1"/>
  <c r="CI256" i="1"/>
  <c r="CH257" i="1"/>
  <c r="CI257" i="1"/>
  <c r="CH687" i="1"/>
  <c r="CI687" i="1"/>
  <c r="CH688" i="1"/>
  <c r="CI688" i="1"/>
  <c r="CH689" i="1"/>
  <c r="CI689" i="1"/>
  <c r="CH690" i="1"/>
  <c r="CI690" i="1"/>
  <c r="CH691" i="1"/>
  <c r="CI691" i="1"/>
  <c r="CH692" i="1"/>
  <c r="CI692" i="1"/>
  <c r="CH693" i="1"/>
  <c r="CI693" i="1"/>
  <c r="CH694" i="1"/>
  <c r="CI694" i="1"/>
  <c r="CH695" i="1"/>
  <c r="CI695" i="1"/>
  <c r="CH696" i="1"/>
  <c r="CI696" i="1"/>
  <c r="CH697" i="1"/>
  <c r="CI697" i="1"/>
  <c r="CH698" i="1"/>
  <c r="CI698" i="1"/>
  <c r="CH699" i="1"/>
  <c r="CI699" i="1"/>
  <c r="CH244" i="1"/>
  <c r="CI244" i="1"/>
  <c r="L699" i="1"/>
  <c r="L698" i="1"/>
  <c r="L697" i="1"/>
  <c r="L696" i="1"/>
  <c r="L695" i="1"/>
  <c r="L694" i="1"/>
  <c r="L693" i="1"/>
  <c r="L692" i="1"/>
  <c r="L691" i="1"/>
  <c r="L690" i="1"/>
  <c r="L689" i="1"/>
  <c r="L688" i="1"/>
  <c r="L687" i="1"/>
  <c r="L257" i="1"/>
  <c r="L256" i="1"/>
  <c r="L255" i="1"/>
  <c r="L254" i="1"/>
  <c r="L253" i="1"/>
  <c r="L252" i="1"/>
  <c r="L251" i="1"/>
  <c r="L250" i="1"/>
  <c r="L249" i="1"/>
  <c r="L248" i="1"/>
  <c r="L247" i="1"/>
  <c r="L246" i="1"/>
  <c r="L245" i="1"/>
  <c r="CE699" i="1"/>
  <c r="CG699" i="1"/>
  <c r="CE698" i="1"/>
  <c r="CG698" i="1"/>
  <c r="CE697" i="1"/>
  <c r="CG697" i="1"/>
  <c r="CE696" i="1"/>
  <c r="CG696" i="1"/>
  <c r="CE695" i="1"/>
  <c r="CG695" i="1"/>
  <c r="CE694" i="1"/>
  <c r="CG694" i="1"/>
  <c r="CE693" i="1"/>
  <c r="CG693" i="1"/>
  <c r="CE692" i="1"/>
  <c r="CG692" i="1"/>
  <c r="CE691" i="1"/>
  <c r="CG691" i="1"/>
  <c r="CE690" i="1"/>
  <c r="CG690" i="1"/>
  <c r="CE689" i="1"/>
  <c r="CG689" i="1"/>
  <c r="CE688" i="1"/>
  <c r="CG688" i="1"/>
  <c r="CE687" i="1"/>
  <c r="CG687" i="1"/>
  <c r="CE257" i="1"/>
  <c r="CG257" i="1"/>
  <c r="CE256" i="1"/>
  <c r="CG256" i="1"/>
  <c r="CE255" i="1"/>
  <c r="CG255" i="1"/>
  <c r="CE254" i="1"/>
  <c r="CG254" i="1"/>
  <c r="CE253" i="1"/>
  <c r="CG253" i="1"/>
  <c r="CE252" i="1"/>
  <c r="CG252" i="1"/>
  <c r="CE251" i="1"/>
  <c r="CG251" i="1"/>
  <c r="CE250" i="1"/>
  <c r="CG250" i="1"/>
  <c r="CE249" i="1"/>
  <c r="CG249" i="1"/>
  <c r="CE248" i="1"/>
  <c r="CG248" i="1"/>
  <c r="CE247" i="1"/>
  <c r="CG247" i="1"/>
  <c r="CE246" i="1"/>
  <c r="CG246" i="1"/>
  <c r="CE245" i="1"/>
  <c r="CG245" i="1"/>
  <c r="CF699" i="1"/>
  <c r="CF698" i="1"/>
  <c r="CF697" i="1"/>
  <c r="CF696" i="1"/>
  <c r="CF695" i="1"/>
  <c r="CF694" i="1"/>
  <c r="CF693" i="1"/>
  <c r="CF692" i="1"/>
  <c r="CF691" i="1"/>
  <c r="CF690" i="1"/>
  <c r="CF689" i="1"/>
  <c r="CF688" i="1"/>
  <c r="CF687" i="1"/>
  <c r="CF257" i="1"/>
  <c r="CF256" i="1"/>
  <c r="CF255" i="1"/>
  <c r="CF254" i="1"/>
  <c r="CF253" i="1"/>
  <c r="CF252" i="1"/>
  <c r="CF251" i="1"/>
  <c r="CF250" i="1"/>
  <c r="CF249" i="1"/>
  <c r="CF248" i="1"/>
  <c r="CF247" i="1"/>
  <c r="CF246" i="1"/>
  <c r="CF245" i="1"/>
  <c r="BV243" i="1"/>
  <c r="CJ243" i="1" s="1"/>
  <c r="BV242" i="1"/>
  <c r="CJ242" i="1" s="1"/>
  <c r="BV241" i="1"/>
  <c r="CJ241" i="1" s="1"/>
  <c r="BV239" i="1"/>
  <c r="CJ239" i="1" s="1"/>
  <c r="CJ237" i="1"/>
  <c r="CJ236" i="1"/>
  <c r="CJ235" i="1"/>
  <c r="CH243" i="1"/>
  <c r="CI243" i="1"/>
  <c r="CH242" i="1"/>
  <c r="CI242" i="1"/>
  <c r="CH241" i="1"/>
  <c r="CI241" i="1"/>
  <c r="CH240" i="1"/>
  <c r="CI240" i="1"/>
  <c r="CH239" i="1"/>
  <c r="CI239" i="1"/>
  <c r="CH238" i="1"/>
  <c r="CI238" i="1"/>
  <c r="CH237" i="1"/>
  <c r="CI237" i="1"/>
  <c r="CH236" i="1"/>
  <c r="CI236" i="1"/>
  <c r="CH235" i="1"/>
  <c r="CI235" i="1"/>
  <c r="L244" i="1"/>
  <c r="L243" i="1"/>
  <c r="L242" i="1"/>
  <c r="L241" i="1"/>
  <c r="L240" i="1"/>
  <c r="L239" i="1"/>
  <c r="L238" i="1"/>
  <c r="L237" i="1"/>
  <c r="L236" i="1"/>
  <c r="L235" i="1"/>
  <c r="CE244" i="1"/>
  <c r="CG244" i="1"/>
  <c r="CE243" i="1"/>
  <c r="CG243" i="1"/>
  <c r="CE242" i="1"/>
  <c r="CG242" i="1"/>
  <c r="CE241" i="1"/>
  <c r="CG241" i="1"/>
  <c r="CE240" i="1"/>
  <c r="CG240" i="1"/>
  <c r="CE239" i="1"/>
  <c r="CG239" i="1"/>
  <c r="CE238" i="1"/>
  <c r="CG238" i="1"/>
  <c r="CE237" i="1"/>
  <c r="CG237" i="1"/>
  <c r="CE236" i="1"/>
  <c r="CG236" i="1"/>
  <c r="CE235" i="1"/>
  <c r="CG235" i="1"/>
  <c r="CF244" i="1"/>
  <c r="CF243" i="1"/>
  <c r="CF242" i="1"/>
  <c r="CF241" i="1"/>
  <c r="CF240" i="1"/>
  <c r="CF239" i="1"/>
  <c r="CF238" i="1"/>
  <c r="CF237" i="1"/>
  <c r="CF236" i="1"/>
  <c r="CF235" i="1"/>
  <c r="CH501" i="1"/>
  <c r="CI501" i="1"/>
  <c r="CJ501" i="1"/>
  <c r="CH500" i="1"/>
  <c r="CI500" i="1"/>
  <c r="CJ500" i="1"/>
  <c r="CH499" i="1"/>
  <c r="CI499" i="1"/>
  <c r="CJ499" i="1"/>
  <c r="CH498" i="1"/>
  <c r="CI498" i="1"/>
  <c r="CJ498" i="1"/>
  <c r="CH497" i="1"/>
  <c r="CI497" i="1"/>
  <c r="CJ497" i="1"/>
  <c r="CH496" i="1"/>
  <c r="CI496" i="1"/>
  <c r="CJ496" i="1"/>
  <c r="CH495" i="1"/>
  <c r="CI495" i="1"/>
  <c r="CJ495" i="1"/>
  <c r="CH686" i="1"/>
  <c r="CI686" i="1"/>
  <c r="CJ686" i="1"/>
  <c r="CH685" i="1"/>
  <c r="CI685" i="1"/>
  <c r="CJ685" i="1"/>
  <c r="CH684" i="1"/>
  <c r="CI684" i="1"/>
  <c r="CJ684" i="1"/>
  <c r="CH683" i="1"/>
  <c r="CI683" i="1"/>
  <c r="CJ683" i="1"/>
  <c r="L501" i="1"/>
  <c r="L500" i="1"/>
  <c r="L499" i="1"/>
  <c r="L498" i="1"/>
  <c r="L497" i="1"/>
  <c r="L496" i="1"/>
  <c r="L495" i="1"/>
  <c r="L686" i="1"/>
  <c r="L685" i="1"/>
  <c r="L684" i="1"/>
  <c r="L683" i="1"/>
  <c r="CE501" i="1"/>
  <c r="CG501" i="1"/>
  <c r="CE500" i="1"/>
  <c r="CG500" i="1"/>
  <c r="CE499" i="1"/>
  <c r="CG499" i="1"/>
  <c r="CE498" i="1"/>
  <c r="CG498" i="1"/>
  <c r="CE497" i="1"/>
  <c r="CG497" i="1"/>
  <c r="CE496" i="1"/>
  <c r="CG496" i="1"/>
  <c r="CE495" i="1"/>
  <c r="CG495" i="1"/>
  <c r="CE686" i="1"/>
  <c r="CG686" i="1"/>
  <c r="CE685" i="1"/>
  <c r="CG685" i="1"/>
  <c r="CE684" i="1"/>
  <c r="CG684" i="1"/>
  <c r="CE683" i="1"/>
  <c r="CG683" i="1"/>
  <c r="CF501" i="1"/>
  <c r="CF500" i="1"/>
  <c r="CF499" i="1"/>
  <c r="CF498" i="1"/>
  <c r="CF497" i="1"/>
  <c r="CF496" i="1"/>
  <c r="CF495" i="1"/>
  <c r="CF686" i="1"/>
  <c r="CF685" i="1"/>
  <c r="CF684" i="1"/>
  <c r="CF683" i="1"/>
  <c r="CJ672" i="1"/>
  <c r="CJ673" i="1"/>
  <c r="CJ675" i="1"/>
  <c r="CJ676" i="1"/>
  <c r="CJ677" i="1"/>
  <c r="CJ678" i="1"/>
  <c r="CJ680" i="1"/>
  <c r="CJ682" i="1"/>
  <c r="CI682" i="1"/>
  <c r="CH675" i="1"/>
  <c r="CI675" i="1"/>
  <c r="CH676" i="1"/>
  <c r="CI676" i="1"/>
  <c r="CH677" i="1"/>
  <c r="CI677" i="1"/>
  <c r="CH678" i="1"/>
  <c r="CI678" i="1"/>
  <c r="CH679" i="1"/>
  <c r="CI679" i="1"/>
  <c r="CH680" i="1"/>
  <c r="CI680" i="1"/>
  <c r="CH681" i="1"/>
  <c r="CI681" i="1"/>
  <c r="CH682" i="1"/>
  <c r="BV681" i="1"/>
  <c r="CJ681" i="1" s="1"/>
  <c r="BV679" i="1"/>
  <c r="CJ679" i="1" s="1"/>
  <c r="BV674" i="1"/>
  <c r="CJ674" i="1" s="1"/>
  <c r="BV671" i="1"/>
  <c r="CJ671" i="1" s="1"/>
  <c r="BV670" i="1"/>
  <c r="CJ670" i="1" s="1"/>
  <c r="CJ234" i="1"/>
  <c r="CJ233" i="1"/>
  <c r="CJ232" i="1"/>
  <c r="CJ231" i="1"/>
  <c r="CJ230" i="1"/>
  <c r="CJ229" i="1"/>
  <c r="CJ228" i="1"/>
  <c r="CJ227" i="1"/>
  <c r="CJ226" i="1"/>
  <c r="CJ225" i="1"/>
  <c r="CJ224" i="1"/>
  <c r="CJ223" i="1"/>
  <c r="CJ222" i="1"/>
  <c r="CH674" i="1"/>
  <c r="CI674" i="1"/>
  <c r="CH673" i="1"/>
  <c r="CI673" i="1"/>
  <c r="CH672" i="1"/>
  <c r="CI672" i="1"/>
  <c r="CH671" i="1"/>
  <c r="CI671" i="1"/>
  <c r="CH670" i="1"/>
  <c r="CI670" i="1"/>
  <c r="CH234" i="1"/>
  <c r="CI234" i="1"/>
  <c r="CH233" i="1"/>
  <c r="CI233" i="1"/>
  <c r="CH232" i="1"/>
  <c r="CI232" i="1"/>
  <c r="CH231" i="1"/>
  <c r="CI231" i="1"/>
  <c r="CH230" i="1"/>
  <c r="CI230" i="1"/>
  <c r="CH229" i="1"/>
  <c r="CI229" i="1"/>
  <c r="CH228" i="1"/>
  <c r="CI228" i="1"/>
  <c r="CH227" i="1"/>
  <c r="CI227" i="1"/>
  <c r="CH226" i="1"/>
  <c r="CI226" i="1"/>
  <c r="CH225" i="1"/>
  <c r="CI225" i="1"/>
  <c r="CH224" i="1"/>
  <c r="CI224" i="1"/>
  <c r="CH223" i="1"/>
  <c r="CI223" i="1"/>
  <c r="CH222" i="1"/>
  <c r="CI222" i="1"/>
  <c r="L682" i="1"/>
  <c r="L681" i="1"/>
  <c r="L680" i="1"/>
  <c r="L679" i="1"/>
  <c r="L678" i="1"/>
  <c r="L677" i="1"/>
  <c r="L676" i="1"/>
  <c r="L675" i="1"/>
  <c r="L674" i="1"/>
  <c r="L673" i="1"/>
  <c r="L672" i="1"/>
  <c r="L671" i="1"/>
  <c r="L670" i="1"/>
  <c r="L234" i="1"/>
  <c r="L233" i="1"/>
  <c r="L232" i="1"/>
  <c r="L231" i="1"/>
  <c r="L230" i="1"/>
  <c r="L229" i="1"/>
  <c r="L228" i="1"/>
  <c r="L227" i="1"/>
  <c r="L226" i="1"/>
  <c r="L225" i="1"/>
  <c r="L224" i="1"/>
  <c r="L223" i="1"/>
  <c r="L222" i="1"/>
  <c r="CE682" i="1"/>
  <c r="CG682" i="1"/>
  <c r="CE681" i="1"/>
  <c r="CG681" i="1"/>
  <c r="CE680" i="1"/>
  <c r="CG680" i="1"/>
  <c r="CE679" i="1"/>
  <c r="CG679" i="1"/>
  <c r="CE678" i="1"/>
  <c r="CG678" i="1"/>
  <c r="CE677" i="1"/>
  <c r="CG677" i="1"/>
  <c r="CE676" i="1"/>
  <c r="CG676" i="1"/>
  <c r="CE675" i="1"/>
  <c r="CG675" i="1"/>
  <c r="CE674" i="1"/>
  <c r="CG674" i="1"/>
  <c r="CE673" i="1"/>
  <c r="CG673" i="1"/>
  <c r="CE672" i="1"/>
  <c r="CG672" i="1"/>
  <c r="CE671" i="1"/>
  <c r="CG671" i="1"/>
  <c r="CE670" i="1"/>
  <c r="CG670" i="1"/>
  <c r="CE234" i="1"/>
  <c r="CG234" i="1"/>
  <c r="CE233" i="1"/>
  <c r="CG233" i="1"/>
  <c r="CE232" i="1"/>
  <c r="CG232" i="1"/>
  <c r="CE231" i="1"/>
  <c r="CG231" i="1"/>
  <c r="CE230" i="1"/>
  <c r="CG230" i="1"/>
  <c r="CE229" i="1"/>
  <c r="CG229" i="1"/>
  <c r="CE228" i="1"/>
  <c r="CG228" i="1"/>
  <c r="CE227" i="1"/>
  <c r="CG227" i="1"/>
  <c r="CE226" i="1"/>
  <c r="CG226" i="1"/>
  <c r="CE225" i="1"/>
  <c r="CG225" i="1"/>
  <c r="CE224" i="1"/>
  <c r="CG224" i="1"/>
  <c r="CE223" i="1"/>
  <c r="CG223" i="1"/>
  <c r="CE222" i="1"/>
  <c r="CG222" i="1"/>
  <c r="CF682" i="1"/>
  <c r="CF681" i="1"/>
  <c r="CF680" i="1"/>
  <c r="CF679" i="1"/>
  <c r="CF678" i="1"/>
  <c r="CF677" i="1"/>
  <c r="CF676" i="1"/>
  <c r="CF675" i="1"/>
  <c r="CF674" i="1"/>
  <c r="CF673" i="1"/>
  <c r="CF672" i="1"/>
  <c r="CF671" i="1"/>
  <c r="CF670" i="1"/>
  <c r="CF234" i="1"/>
  <c r="CF233" i="1"/>
  <c r="CF232" i="1"/>
  <c r="CF231" i="1"/>
  <c r="CF230" i="1"/>
  <c r="CF229" i="1"/>
  <c r="CF228" i="1"/>
  <c r="CF227" i="1"/>
  <c r="CF226" i="1"/>
  <c r="CF225" i="1"/>
  <c r="CF224" i="1"/>
  <c r="CF223" i="1"/>
  <c r="CF222" i="1"/>
  <c r="CJ219" i="1"/>
  <c r="CJ218" i="1"/>
  <c r="CJ220" i="1"/>
  <c r="CJ221" i="1"/>
  <c r="CJ217" i="1"/>
  <c r="CJ216" i="1"/>
  <c r="CJ215" i="1"/>
  <c r="CJ214" i="1"/>
  <c r="CH221" i="1"/>
  <c r="CI221" i="1"/>
  <c r="CH220" i="1"/>
  <c r="CI220" i="1"/>
  <c r="CH219" i="1"/>
  <c r="CI219" i="1"/>
  <c r="CH218" i="1"/>
  <c r="CI218" i="1"/>
  <c r="CH217" i="1"/>
  <c r="CI217" i="1"/>
  <c r="CH216" i="1"/>
  <c r="CI216" i="1"/>
  <c r="CH215" i="1"/>
  <c r="CI215" i="1"/>
  <c r="CH214" i="1"/>
  <c r="CI214" i="1"/>
  <c r="L221" i="1"/>
  <c r="L220" i="1"/>
  <c r="L219" i="1"/>
  <c r="L218" i="1"/>
  <c r="L217" i="1"/>
  <c r="L216" i="1"/>
  <c r="L215" i="1"/>
  <c r="L214" i="1"/>
  <c r="CE221" i="1"/>
  <c r="CG221" i="1"/>
  <c r="CE220" i="1"/>
  <c r="CG220" i="1"/>
  <c r="CE219" i="1"/>
  <c r="CG219" i="1"/>
  <c r="CE218" i="1"/>
  <c r="CG218" i="1"/>
  <c r="CE217" i="1"/>
  <c r="CG217" i="1"/>
  <c r="CE216" i="1"/>
  <c r="CG216" i="1"/>
  <c r="CE215" i="1"/>
  <c r="CG215" i="1"/>
  <c r="CE214" i="1"/>
  <c r="CG214" i="1"/>
  <c r="CF221" i="1"/>
  <c r="CF220" i="1"/>
  <c r="CF219" i="1"/>
  <c r="CF218" i="1"/>
  <c r="CF217" i="1"/>
  <c r="CF216" i="1"/>
  <c r="CF215" i="1"/>
  <c r="CF214" i="1"/>
  <c r="CJ410" i="1"/>
  <c r="CJ197" i="1"/>
  <c r="CJ198" i="1"/>
  <c r="CJ199" i="1"/>
  <c r="CJ200" i="1"/>
  <c r="CJ201" i="1"/>
  <c r="CJ202" i="1"/>
  <c r="CJ203" i="1"/>
  <c r="CJ204" i="1"/>
  <c r="CJ205" i="1"/>
  <c r="CJ206" i="1"/>
  <c r="CJ207" i="1"/>
  <c r="CJ208" i="1"/>
  <c r="CJ209" i="1"/>
  <c r="CJ210" i="1"/>
  <c r="CJ211" i="1"/>
  <c r="CJ212" i="1"/>
  <c r="CJ213" i="1"/>
  <c r="BV196" i="1"/>
  <c r="CJ196" i="1" s="1"/>
  <c r="BV409" i="1"/>
  <c r="CJ409" i="1" s="1"/>
  <c r="BV408" i="1"/>
  <c r="CJ408" i="1" s="1"/>
  <c r="BV407" i="1"/>
  <c r="CJ407" i="1" s="1"/>
  <c r="CH213" i="1"/>
  <c r="CI213" i="1"/>
  <c r="CH212" i="1"/>
  <c r="CI212" i="1"/>
  <c r="CH211" i="1"/>
  <c r="CI211" i="1"/>
  <c r="CH210" i="1"/>
  <c r="CI210" i="1"/>
  <c r="CH209" i="1"/>
  <c r="CI209" i="1"/>
  <c r="CH208" i="1"/>
  <c r="CI208" i="1"/>
  <c r="CH207" i="1"/>
  <c r="CI207" i="1"/>
  <c r="CH206" i="1"/>
  <c r="CI206" i="1"/>
  <c r="CH205" i="1"/>
  <c r="CI205" i="1"/>
  <c r="CH204" i="1"/>
  <c r="CI204" i="1"/>
  <c r="CH203" i="1"/>
  <c r="CI203" i="1"/>
  <c r="CH202" i="1"/>
  <c r="CI202" i="1"/>
  <c r="CH201" i="1"/>
  <c r="CI201" i="1"/>
  <c r="CH200" i="1"/>
  <c r="CI200" i="1"/>
  <c r="CH199" i="1"/>
  <c r="CI199" i="1"/>
  <c r="CH198" i="1"/>
  <c r="CI198" i="1"/>
  <c r="CH197" i="1"/>
  <c r="CI197" i="1"/>
  <c r="CH196" i="1"/>
  <c r="CI196" i="1"/>
  <c r="CH410" i="1"/>
  <c r="CI410" i="1"/>
  <c r="CH409" i="1"/>
  <c r="CI409" i="1"/>
  <c r="CH408" i="1"/>
  <c r="CI408" i="1"/>
  <c r="CH407" i="1"/>
  <c r="CI407" i="1"/>
  <c r="L213" i="1"/>
  <c r="L212" i="1"/>
  <c r="L211" i="1"/>
  <c r="L210" i="1"/>
  <c r="L209" i="1"/>
  <c r="L208" i="1"/>
  <c r="L207" i="1"/>
  <c r="L206" i="1"/>
  <c r="L205" i="1"/>
  <c r="L204" i="1"/>
  <c r="L203" i="1"/>
  <c r="L202" i="1"/>
  <c r="L201" i="1"/>
  <c r="L200" i="1"/>
  <c r="L199" i="1"/>
  <c r="L198" i="1"/>
  <c r="L197" i="1"/>
  <c r="L196" i="1"/>
  <c r="L410" i="1"/>
  <c r="L409" i="1"/>
  <c r="L408" i="1"/>
  <c r="L407" i="1"/>
  <c r="CE213" i="1"/>
  <c r="CG213" i="1"/>
  <c r="CE212" i="1"/>
  <c r="CG212" i="1"/>
  <c r="CE211" i="1"/>
  <c r="CG211" i="1"/>
  <c r="CE210" i="1"/>
  <c r="CG210" i="1"/>
  <c r="CE209" i="1"/>
  <c r="CG209" i="1"/>
  <c r="CE208" i="1"/>
  <c r="CG208" i="1"/>
  <c r="CE207" i="1"/>
  <c r="CG207" i="1"/>
  <c r="CE206" i="1"/>
  <c r="CG206" i="1"/>
  <c r="CE205" i="1"/>
  <c r="CG205" i="1"/>
  <c r="CE204" i="1"/>
  <c r="CG204" i="1"/>
  <c r="CE203" i="1"/>
  <c r="CG203" i="1"/>
  <c r="CE202" i="1"/>
  <c r="CG202" i="1"/>
  <c r="CE201" i="1"/>
  <c r="CG201" i="1"/>
  <c r="CE200" i="1"/>
  <c r="CG200" i="1"/>
  <c r="CE199" i="1"/>
  <c r="CG199" i="1"/>
  <c r="CE198" i="1"/>
  <c r="CG198" i="1"/>
  <c r="CE197" i="1"/>
  <c r="CG197" i="1"/>
  <c r="CE196" i="1"/>
  <c r="CG196" i="1"/>
  <c r="CE410" i="1"/>
  <c r="CG410" i="1"/>
  <c r="CE409" i="1"/>
  <c r="CG409" i="1"/>
  <c r="CE408" i="1"/>
  <c r="CG408" i="1"/>
  <c r="CE407" i="1"/>
  <c r="CG407" i="1"/>
  <c r="CF213" i="1"/>
  <c r="CF212" i="1"/>
  <c r="CF211" i="1"/>
  <c r="CF210" i="1"/>
  <c r="CF209" i="1"/>
  <c r="CF208" i="1"/>
  <c r="CF207" i="1"/>
  <c r="CF206" i="1"/>
  <c r="CF205" i="1"/>
  <c r="CF204" i="1"/>
  <c r="CF203" i="1"/>
  <c r="CF202" i="1"/>
  <c r="CF201" i="1"/>
  <c r="CF200" i="1"/>
  <c r="CF199" i="1"/>
  <c r="CF198" i="1"/>
  <c r="CF197" i="1"/>
  <c r="CF196" i="1"/>
  <c r="CF410" i="1"/>
  <c r="CF409" i="1"/>
  <c r="CF408" i="1"/>
  <c r="CF407" i="1"/>
  <c r="CJ657" i="1"/>
  <c r="CJ658" i="1"/>
  <c r="CJ660" i="1"/>
  <c r="CJ661" i="1"/>
  <c r="CJ662" i="1"/>
  <c r="CJ663" i="1"/>
  <c r="CJ664" i="1"/>
  <c r="CJ665" i="1"/>
  <c r="CJ666" i="1"/>
  <c r="CJ667" i="1"/>
  <c r="CJ668" i="1"/>
  <c r="CJ669" i="1"/>
  <c r="CJ187" i="1"/>
  <c r="CJ188" i="1"/>
  <c r="CJ189" i="1"/>
  <c r="CJ190" i="1"/>
  <c r="CJ191" i="1"/>
  <c r="CJ192" i="1"/>
  <c r="CJ193" i="1"/>
  <c r="CJ194" i="1"/>
  <c r="CJ195" i="1"/>
  <c r="CJ405" i="1"/>
  <c r="CJ406" i="1"/>
  <c r="CJ656" i="1"/>
  <c r="BV404" i="1"/>
  <c r="CJ404" i="1" s="1"/>
  <c r="BV403" i="1"/>
  <c r="CJ403" i="1" s="1"/>
  <c r="BV659" i="1"/>
  <c r="CJ659" i="1" s="1"/>
  <c r="CH406" i="1"/>
  <c r="CI406" i="1"/>
  <c r="CH405" i="1"/>
  <c r="CI405" i="1"/>
  <c r="CH404" i="1"/>
  <c r="CI404" i="1"/>
  <c r="CH403" i="1"/>
  <c r="CI403" i="1"/>
  <c r="CH195" i="1"/>
  <c r="CI195" i="1"/>
  <c r="CH194" i="1"/>
  <c r="CI194" i="1"/>
  <c r="CH193" i="1"/>
  <c r="CI193" i="1"/>
  <c r="CH192" i="1"/>
  <c r="CI192" i="1"/>
  <c r="CH191" i="1"/>
  <c r="CI191" i="1"/>
  <c r="CH190" i="1"/>
  <c r="CI190" i="1"/>
  <c r="CH189" i="1"/>
  <c r="CI189" i="1"/>
  <c r="CH188" i="1"/>
  <c r="CI188" i="1"/>
  <c r="CH187" i="1"/>
  <c r="CI187" i="1"/>
  <c r="CH669" i="1"/>
  <c r="CI669" i="1"/>
  <c r="CH668" i="1"/>
  <c r="CI668" i="1"/>
  <c r="CH667" i="1"/>
  <c r="CI667" i="1"/>
  <c r="CH666" i="1"/>
  <c r="CI666" i="1"/>
  <c r="CH665" i="1"/>
  <c r="CI665" i="1"/>
  <c r="CH664" i="1"/>
  <c r="CI664" i="1"/>
  <c r="CH663" i="1"/>
  <c r="CI663" i="1"/>
  <c r="CH662" i="1"/>
  <c r="CI662" i="1"/>
  <c r="CH661" i="1"/>
  <c r="CI661" i="1"/>
  <c r="CH660" i="1"/>
  <c r="CI660" i="1"/>
  <c r="CH659" i="1"/>
  <c r="CI659" i="1"/>
  <c r="CH658" i="1"/>
  <c r="CI658" i="1"/>
  <c r="CH657" i="1"/>
  <c r="CI657" i="1"/>
  <c r="L406" i="1"/>
  <c r="L405" i="1"/>
  <c r="L404" i="1"/>
  <c r="L403" i="1"/>
  <c r="L195" i="1"/>
  <c r="L194" i="1"/>
  <c r="L193" i="1"/>
  <c r="L192" i="1"/>
  <c r="L191" i="1"/>
  <c r="L190" i="1"/>
  <c r="L189" i="1"/>
  <c r="L188" i="1"/>
  <c r="L187" i="1"/>
  <c r="L669" i="1"/>
  <c r="L668" i="1"/>
  <c r="L667" i="1"/>
  <c r="L666" i="1"/>
  <c r="L665" i="1"/>
  <c r="L664" i="1"/>
  <c r="L663" i="1"/>
  <c r="L662" i="1"/>
  <c r="L661" i="1"/>
  <c r="L660" i="1"/>
  <c r="L659" i="1"/>
  <c r="L658" i="1"/>
  <c r="L657" i="1"/>
  <c r="CE406" i="1"/>
  <c r="CG406" i="1"/>
  <c r="CE405" i="1"/>
  <c r="CG405" i="1"/>
  <c r="CE404" i="1"/>
  <c r="CG404" i="1"/>
  <c r="CE403" i="1"/>
  <c r="CG403" i="1"/>
  <c r="CE195" i="1"/>
  <c r="CG195" i="1"/>
  <c r="CE194" i="1"/>
  <c r="CG194" i="1"/>
  <c r="CE193" i="1"/>
  <c r="CG193" i="1"/>
  <c r="CE192" i="1"/>
  <c r="CG192" i="1"/>
  <c r="CE191" i="1"/>
  <c r="CG191" i="1"/>
  <c r="CE190" i="1"/>
  <c r="CG190" i="1"/>
  <c r="CE189" i="1"/>
  <c r="CG189" i="1"/>
  <c r="CE188" i="1"/>
  <c r="CG188" i="1"/>
  <c r="CE187" i="1"/>
  <c r="CG187" i="1"/>
  <c r="CE669" i="1"/>
  <c r="CG669" i="1"/>
  <c r="CE668" i="1"/>
  <c r="CG668" i="1"/>
  <c r="CE667" i="1"/>
  <c r="CG667" i="1"/>
  <c r="CE666" i="1"/>
  <c r="CG666" i="1"/>
  <c r="CE665" i="1"/>
  <c r="CG665" i="1"/>
  <c r="CE664" i="1"/>
  <c r="CG664" i="1"/>
  <c r="CE663" i="1"/>
  <c r="CG663" i="1"/>
  <c r="CE662" i="1"/>
  <c r="CG662" i="1"/>
  <c r="CE661" i="1"/>
  <c r="CG661" i="1"/>
  <c r="CE660" i="1"/>
  <c r="CG660" i="1"/>
  <c r="CE659" i="1"/>
  <c r="CG659" i="1"/>
  <c r="CE658" i="1"/>
  <c r="CG658" i="1"/>
  <c r="CE657" i="1"/>
  <c r="CG657" i="1"/>
  <c r="CF406" i="1"/>
  <c r="CF405" i="1"/>
  <c r="CF404" i="1"/>
  <c r="CF403" i="1"/>
  <c r="CF195" i="1"/>
  <c r="CF194" i="1"/>
  <c r="CF193" i="1"/>
  <c r="CF192" i="1"/>
  <c r="CF191" i="1"/>
  <c r="CF190" i="1"/>
  <c r="CF189" i="1"/>
  <c r="CF188" i="1"/>
  <c r="CF187" i="1"/>
  <c r="CF669" i="1"/>
  <c r="CF668" i="1"/>
  <c r="CF667" i="1"/>
  <c r="CF666" i="1"/>
  <c r="CF665" i="1"/>
  <c r="CF664" i="1"/>
  <c r="CF663" i="1"/>
  <c r="CF662" i="1"/>
  <c r="CF661" i="1"/>
  <c r="CF660" i="1"/>
  <c r="CF659" i="1"/>
  <c r="CF658" i="1"/>
  <c r="CF657" i="1"/>
  <c r="CI2" i="1"/>
  <c r="BV485" i="1"/>
  <c r="CJ485" i="1" s="1"/>
  <c r="CH656" i="1"/>
  <c r="CI656" i="1"/>
  <c r="CH655" i="1"/>
  <c r="CI655" i="1"/>
  <c r="CJ655" i="1"/>
  <c r="CH402" i="1"/>
  <c r="CI402" i="1"/>
  <c r="CJ402" i="1"/>
  <c r="CH401" i="1"/>
  <c r="CI401" i="1"/>
  <c r="CJ401" i="1"/>
  <c r="CH400" i="1"/>
  <c r="CI400" i="1"/>
  <c r="CJ400" i="1"/>
  <c r="CH399" i="1"/>
  <c r="CI399" i="1"/>
  <c r="CJ399" i="1"/>
  <c r="CH398" i="1"/>
  <c r="CI398" i="1"/>
  <c r="CJ398" i="1"/>
  <c r="CH397" i="1"/>
  <c r="CI397" i="1"/>
  <c r="CJ397" i="1"/>
  <c r="CH396" i="1"/>
  <c r="CI396" i="1"/>
  <c r="CJ396" i="1"/>
  <c r="CH395" i="1"/>
  <c r="CI395" i="1"/>
  <c r="CJ395" i="1"/>
  <c r="CH494" i="1"/>
  <c r="CI494" i="1"/>
  <c r="CJ494" i="1"/>
  <c r="CH493" i="1"/>
  <c r="CI493" i="1"/>
  <c r="CJ493" i="1"/>
  <c r="CH492" i="1"/>
  <c r="CI492" i="1"/>
  <c r="CJ492" i="1"/>
  <c r="CH491" i="1"/>
  <c r="CI491" i="1"/>
  <c r="CJ491" i="1"/>
  <c r="CH490" i="1"/>
  <c r="CI490" i="1"/>
  <c r="CJ490" i="1"/>
  <c r="CH489" i="1"/>
  <c r="CI489" i="1"/>
  <c r="CJ489" i="1"/>
  <c r="CH488" i="1"/>
  <c r="CI488" i="1"/>
  <c r="CJ488" i="1"/>
  <c r="CH487" i="1"/>
  <c r="CI487" i="1"/>
  <c r="CJ487" i="1"/>
  <c r="CH486" i="1"/>
  <c r="CI486" i="1"/>
  <c r="CJ486" i="1"/>
  <c r="CH485" i="1"/>
  <c r="CI485" i="1"/>
  <c r="CH394" i="1"/>
  <c r="CI394" i="1"/>
  <c r="CJ394" i="1"/>
  <c r="CH186" i="1"/>
  <c r="CI186" i="1"/>
  <c r="CJ186" i="1"/>
  <c r="CH185" i="1"/>
  <c r="CI185" i="1"/>
  <c r="CJ185" i="1"/>
  <c r="CH184" i="1"/>
  <c r="CI184" i="1"/>
  <c r="CJ184" i="1"/>
  <c r="CH183" i="1"/>
  <c r="CI183" i="1"/>
  <c r="CJ183" i="1"/>
  <c r="CH182" i="1"/>
  <c r="CI182" i="1"/>
  <c r="CJ182" i="1"/>
  <c r="L656" i="1"/>
  <c r="L655" i="1"/>
  <c r="L402" i="1"/>
  <c r="L401" i="1"/>
  <c r="L400" i="1"/>
  <c r="L399" i="1"/>
  <c r="L398" i="1"/>
  <c r="L397" i="1"/>
  <c r="L396" i="1"/>
  <c r="L395" i="1"/>
  <c r="L494" i="1"/>
  <c r="L493" i="1"/>
  <c r="L492" i="1"/>
  <c r="L491" i="1"/>
  <c r="L490" i="1"/>
  <c r="L489" i="1"/>
  <c r="L488" i="1"/>
  <c r="L487" i="1"/>
  <c r="L486" i="1"/>
  <c r="L485" i="1"/>
  <c r="L394" i="1"/>
  <c r="L186" i="1"/>
  <c r="L185" i="1"/>
  <c r="L184" i="1"/>
  <c r="L183" i="1"/>
  <c r="L182" i="1"/>
  <c r="CE656" i="1"/>
  <c r="CG656" i="1"/>
  <c r="CE655" i="1"/>
  <c r="CG655" i="1"/>
  <c r="CE402" i="1"/>
  <c r="CG402" i="1"/>
  <c r="CE401" i="1"/>
  <c r="CG401" i="1"/>
  <c r="CE400" i="1"/>
  <c r="CG400" i="1"/>
  <c r="CE399" i="1"/>
  <c r="CG399" i="1"/>
  <c r="CE398" i="1"/>
  <c r="CG398" i="1"/>
  <c r="CE397" i="1"/>
  <c r="CG397" i="1"/>
  <c r="CE396" i="1"/>
  <c r="CG396" i="1"/>
  <c r="CE395" i="1"/>
  <c r="CG395" i="1"/>
  <c r="CE494" i="1"/>
  <c r="CG494" i="1"/>
  <c r="CE493" i="1"/>
  <c r="CG493" i="1"/>
  <c r="CE492" i="1"/>
  <c r="CG492" i="1"/>
  <c r="CE491" i="1"/>
  <c r="CG491" i="1"/>
  <c r="CE490" i="1"/>
  <c r="CG490" i="1"/>
  <c r="CE489" i="1"/>
  <c r="CG489" i="1"/>
  <c r="CE488" i="1"/>
  <c r="CG488" i="1"/>
  <c r="CE487" i="1"/>
  <c r="CG487" i="1"/>
  <c r="CE486" i="1"/>
  <c r="CG486" i="1"/>
  <c r="CE485" i="1"/>
  <c r="CG485" i="1"/>
  <c r="CE394" i="1"/>
  <c r="CG394" i="1"/>
  <c r="CE186" i="1"/>
  <c r="CG186" i="1"/>
  <c r="CE185" i="1"/>
  <c r="CG185" i="1"/>
  <c r="CE184" i="1"/>
  <c r="CG184" i="1"/>
  <c r="CE183" i="1"/>
  <c r="CG183" i="1"/>
  <c r="CE182" i="1"/>
  <c r="CG182" i="1"/>
  <c r="CF656" i="1"/>
  <c r="CF655" i="1"/>
  <c r="CF402" i="1"/>
  <c r="CF401" i="1"/>
  <c r="CF400" i="1"/>
  <c r="CF399" i="1"/>
  <c r="CF398" i="1"/>
  <c r="CF397" i="1"/>
  <c r="CF396" i="1"/>
  <c r="CF395" i="1"/>
  <c r="CF494" i="1"/>
  <c r="CF493" i="1"/>
  <c r="CF492" i="1"/>
  <c r="CF491" i="1"/>
  <c r="CF490" i="1"/>
  <c r="CF489" i="1"/>
  <c r="CF488" i="1"/>
  <c r="CF487" i="1"/>
  <c r="CF486" i="1"/>
  <c r="CF485" i="1"/>
  <c r="CF394" i="1"/>
  <c r="CF186" i="1"/>
  <c r="CF185" i="1"/>
  <c r="CF184" i="1"/>
  <c r="CF183" i="1"/>
  <c r="CF182" i="1"/>
  <c r="CE172" i="1"/>
  <c r="CF172" i="1"/>
  <c r="CG172" i="1"/>
  <c r="CH172" i="1"/>
  <c r="CI172" i="1"/>
  <c r="CE173" i="1"/>
  <c r="CF173" i="1"/>
  <c r="CG173" i="1"/>
  <c r="CH173" i="1"/>
  <c r="CI173" i="1"/>
  <c r="CJ173" i="1"/>
  <c r="CE174" i="1"/>
  <c r="CF174" i="1"/>
  <c r="CG174" i="1"/>
  <c r="CH174" i="1"/>
  <c r="CI174" i="1"/>
  <c r="CJ174" i="1"/>
  <c r="CE175" i="1"/>
  <c r="CF175" i="1"/>
  <c r="CG175" i="1"/>
  <c r="CH175" i="1"/>
  <c r="CI175" i="1"/>
  <c r="CJ175" i="1"/>
  <c r="CE176" i="1"/>
  <c r="CF176" i="1"/>
  <c r="CG176" i="1"/>
  <c r="CH176" i="1"/>
  <c r="CI176" i="1"/>
  <c r="CJ176" i="1"/>
  <c r="CE177" i="1"/>
  <c r="CF177" i="1"/>
  <c r="CG177" i="1"/>
  <c r="CH177" i="1"/>
  <c r="CI177" i="1"/>
  <c r="CJ177" i="1"/>
  <c r="CE178" i="1"/>
  <c r="CF178" i="1"/>
  <c r="CG178" i="1"/>
  <c r="CH178" i="1"/>
  <c r="CI178" i="1"/>
  <c r="CE179" i="1"/>
  <c r="CF179" i="1"/>
  <c r="CG179" i="1"/>
  <c r="CH179" i="1"/>
  <c r="CI179" i="1"/>
  <c r="CJ179" i="1"/>
  <c r="CE180" i="1"/>
  <c r="CF180" i="1"/>
  <c r="CG180" i="1"/>
  <c r="CH180" i="1"/>
  <c r="CI180" i="1"/>
  <c r="CJ180" i="1"/>
  <c r="CE181" i="1"/>
  <c r="CF181" i="1"/>
  <c r="CG181" i="1"/>
  <c r="CH181" i="1"/>
  <c r="CI181" i="1"/>
  <c r="CJ181" i="1"/>
  <c r="CE653" i="1"/>
  <c r="BV178" i="1"/>
  <c r="CJ178" i="1" s="1"/>
  <c r="BV172" i="1"/>
  <c r="CJ172" i="1" s="1"/>
  <c r="L181" i="1"/>
  <c r="L180" i="1"/>
  <c r="L179" i="1"/>
  <c r="L178" i="1"/>
  <c r="L177" i="1"/>
  <c r="L176" i="1"/>
  <c r="L175" i="1"/>
  <c r="L174" i="1"/>
  <c r="L173" i="1"/>
  <c r="L172" i="1"/>
  <c r="L654" i="1"/>
  <c r="L653" i="1"/>
  <c r="L652" i="1"/>
  <c r="L651" i="1"/>
  <c r="L650" i="1"/>
  <c r="L649" i="1"/>
  <c r="L648" i="1"/>
  <c r="L647" i="1"/>
  <c r="L646" i="1"/>
  <c r="L645" i="1"/>
  <c r="L644" i="1"/>
  <c r="L643" i="1"/>
  <c r="L642" i="1"/>
  <c r="L641" i="1"/>
  <c r="L640" i="1"/>
  <c r="L639" i="1"/>
  <c r="L638" i="1"/>
  <c r="L637" i="1"/>
  <c r="L636" i="1"/>
  <c r="L635" i="1"/>
  <c r="L634" i="1"/>
  <c r="L633" i="1"/>
  <c r="L632" i="1"/>
  <c r="L631" i="1"/>
  <c r="L630" i="1"/>
  <c r="L629" i="1"/>
  <c r="L628" i="1"/>
  <c r="L393" i="1"/>
  <c r="L392" i="1"/>
  <c r="L391" i="1"/>
  <c r="L390" i="1"/>
  <c r="L389" i="1"/>
  <c r="L388" i="1"/>
  <c r="L387" i="1"/>
  <c r="L386" i="1"/>
  <c r="L385" i="1"/>
  <c r="L171" i="1"/>
  <c r="L170" i="1"/>
  <c r="L169" i="1"/>
  <c r="L168" i="1"/>
  <c r="L167" i="1"/>
  <c r="L166" i="1"/>
  <c r="L165" i="1"/>
  <c r="L164" i="1"/>
  <c r="L163" i="1"/>
  <c r="L162" i="1"/>
  <c r="L161" i="1"/>
  <c r="L160" i="1"/>
  <c r="L159" i="1"/>
  <c r="L158" i="1"/>
  <c r="L157" i="1"/>
  <c r="L156" i="1"/>
  <c r="L155" i="1"/>
  <c r="L154" i="1"/>
  <c r="L153" i="1"/>
  <c r="L152" i="1"/>
  <c r="L151" i="1"/>
  <c r="L150" i="1"/>
  <c r="L149" i="1"/>
  <c r="L148" i="1"/>
  <c r="L147" i="1"/>
  <c r="L146" i="1"/>
  <c r="L627" i="1"/>
  <c r="L626" i="1"/>
  <c r="L625" i="1"/>
  <c r="L624" i="1"/>
  <c r="L623" i="1"/>
  <c r="L622" i="1"/>
  <c r="L621" i="1"/>
  <c r="L620" i="1"/>
  <c r="L619" i="1"/>
  <c r="L618" i="1"/>
  <c r="L617" i="1"/>
  <c r="L616" i="1"/>
  <c r="L615" i="1"/>
  <c r="L614" i="1"/>
  <c r="L613" i="1"/>
  <c r="L612" i="1"/>
  <c r="L611" i="1"/>
  <c r="L384" i="1"/>
  <c r="L383" i="1"/>
  <c r="L382" i="1"/>
  <c r="L381" i="1"/>
  <c r="L380" i="1"/>
  <c r="L379" i="1"/>
  <c r="L378" i="1"/>
  <c r="L377" i="1"/>
  <c r="L376" i="1"/>
  <c r="L375" i="1"/>
  <c r="L374" i="1"/>
  <c r="L373" i="1"/>
  <c r="L372" i="1"/>
  <c r="L145" i="1"/>
  <c r="L144" i="1"/>
  <c r="L143" i="1"/>
  <c r="L142" i="1"/>
  <c r="L141" i="1"/>
  <c r="L140" i="1"/>
  <c r="L139" i="1"/>
  <c r="L138" i="1"/>
  <c r="L137" i="1"/>
  <c r="L136" i="1"/>
  <c r="L135" i="1"/>
  <c r="L134" i="1"/>
  <c r="L133" i="1"/>
  <c r="L132" i="1"/>
  <c r="L131" i="1"/>
  <c r="L130" i="1"/>
  <c r="L129" i="1"/>
  <c r="L128" i="1"/>
  <c r="L127" i="1"/>
  <c r="L126" i="1"/>
  <c r="L125" i="1"/>
  <c r="L124" i="1"/>
  <c r="L123" i="1"/>
  <c r="L122" i="1"/>
  <c r="L121" i="1"/>
  <c r="L120" i="1"/>
  <c r="L119" i="1"/>
  <c r="L118" i="1"/>
  <c r="L117" i="1"/>
  <c r="L610" i="1"/>
  <c r="L609" i="1"/>
  <c r="L608" i="1"/>
  <c r="L607" i="1"/>
  <c r="L606" i="1"/>
  <c r="L605" i="1"/>
  <c r="L604" i="1"/>
  <c r="L603" i="1"/>
  <c r="L602" i="1"/>
  <c r="L601" i="1"/>
  <c r="L600" i="1"/>
  <c r="L599" i="1"/>
  <c r="L598" i="1"/>
  <c r="L597" i="1"/>
  <c r="L596" i="1"/>
  <c r="L595" i="1"/>
  <c r="L594" i="1"/>
  <c r="L593" i="1"/>
  <c r="L592" i="1"/>
  <c r="L591" i="1"/>
  <c r="L590" i="1"/>
  <c r="L589" i="1"/>
  <c r="L588" i="1"/>
  <c r="L371" i="1"/>
  <c r="L370" i="1"/>
  <c r="L369" i="1"/>
  <c r="L368" i="1"/>
  <c r="L367" i="1"/>
  <c r="L366" i="1"/>
  <c r="L365" i="1"/>
  <c r="L364" i="1"/>
  <c r="L363" i="1"/>
  <c r="L362" i="1"/>
  <c r="L361" i="1"/>
  <c r="L360" i="1"/>
  <c r="L359" i="1"/>
  <c r="L358" i="1"/>
  <c r="L357" i="1"/>
  <c r="L356" i="1"/>
  <c r="L116" i="1"/>
  <c r="L115" i="1"/>
  <c r="L114" i="1"/>
  <c r="L113" i="1"/>
  <c r="L112" i="1"/>
  <c r="L111" i="1"/>
  <c r="L110" i="1"/>
  <c r="L109" i="1"/>
  <c r="L108" i="1"/>
  <c r="L107" i="1"/>
  <c r="L106" i="1"/>
  <c r="L105" i="1"/>
  <c r="L104" i="1"/>
  <c r="L103" i="1"/>
  <c r="L102" i="1"/>
  <c r="L101" i="1"/>
  <c r="L100" i="1"/>
  <c r="L99" i="1"/>
  <c r="L98" i="1"/>
  <c r="L97" i="1"/>
  <c r="L96" i="1"/>
  <c r="L95" i="1"/>
  <c r="L94" i="1"/>
  <c r="L93" i="1"/>
  <c r="L92" i="1"/>
  <c r="L587" i="1"/>
  <c r="L586" i="1"/>
  <c r="L585" i="1"/>
  <c r="L584" i="1"/>
  <c r="L583" i="1"/>
  <c r="L582" i="1"/>
  <c r="L581" i="1"/>
  <c r="L580" i="1"/>
  <c r="L579" i="1"/>
  <c r="L578" i="1"/>
  <c r="L577" i="1"/>
  <c r="L576" i="1"/>
  <c r="L575" i="1"/>
  <c r="L574" i="1"/>
  <c r="L484" i="1"/>
  <c r="L483" i="1"/>
  <c r="L482" i="1"/>
  <c r="L481" i="1"/>
  <c r="L480" i="1"/>
  <c r="L479" i="1"/>
  <c r="L478" i="1"/>
  <c r="L477" i="1"/>
  <c r="L476" i="1"/>
  <c r="L475" i="1"/>
  <c r="L474" i="1"/>
  <c r="L473" i="1"/>
  <c r="L355" i="1"/>
  <c r="L354" i="1"/>
  <c r="L353" i="1"/>
  <c r="L352" i="1"/>
  <c r="L351" i="1"/>
  <c r="L350" i="1"/>
  <c r="L349" i="1"/>
  <c r="L348" i="1"/>
  <c r="L347" i="1"/>
  <c r="L346" i="1"/>
  <c r="L345" i="1"/>
  <c r="L344" i="1"/>
  <c r="L343" i="1"/>
  <c r="L342" i="1"/>
  <c r="L341" i="1"/>
  <c r="L340" i="1"/>
  <c r="L339" i="1"/>
  <c r="L338" i="1"/>
  <c r="L337" i="1"/>
  <c r="L91" i="1"/>
  <c r="L90" i="1"/>
  <c r="L89" i="1"/>
  <c r="L88" i="1"/>
  <c r="L87" i="1"/>
  <c r="L86" i="1"/>
  <c r="L85" i="1"/>
  <c r="L84" i="1"/>
  <c r="L83" i="1"/>
  <c r="L82" i="1"/>
  <c r="L81" i="1"/>
  <c r="L80" i="1"/>
  <c r="L79" i="1"/>
  <c r="L78" i="1"/>
  <c r="L77" i="1"/>
  <c r="L76" i="1"/>
  <c r="L75" i="1"/>
  <c r="L74" i="1"/>
  <c r="L33" i="1"/>
  <c r="L32" i="1"/>
  <c r="L573" i="1"/>
  <c r="L572" i="1"/>
  <c r="L571" i="1"/>
  <c r="L570" i="1"/>
  <c r="L569" i="1"/>
  <c r="L568" i="1"/>
  <c r="L567" i="1"/>
  <c r="L566" i="1"/>
  <c r="L565" i="1"/>
  <c r="L564" i="1"/>
  <c r="L563" i="1"/>
  <c r="L562" i="1"/>
  <c r="L561" i="1"/>
  <c r="L560" i="1"/>
  <c r="L559" i="1"/>
  <c r="L558" i="1"/>
  <c r="L557" i="1"/>
  <c r="L556" i="1"/>
  <c r="L472" i="1"/>
  <c r="L471" i="1"/>
  <c r="L470" i="1"/>
  <c r="L469" i="1"/>
  <c r="L468" i="1"/>
  <c r="L467" i="1"/>
  <c r="L466" i="1"/>
  <c r="L465" i="1"/>
  <c r="L464" i="1"/>
  <c r="L463" i="1"/>
  <c r="L462" i="1"/>
  <c r="L461" i="1"/>
  <c r="L460" i="1"/>
  <c r="L459" i="1"/>
  <c r="L458" i="1"/>
  <c r="L457" i="1"/>
  <c r="L456" i="1"/>
  <c r="L455" i="1"/>
  <c r="L336" i="1"/>
  <c r="L335" i="1"/>
  <c r="L334" i="1"/>
  <c r="L333" i="1"/>
  <c r="L332" i="1"/>
  <c r="L331" i="1"/>
  <c r="L330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555" i="1"/>
  <c r="L554" i="1"/>
  <c r="L553" i="1"/>
  <c r="L552" i="1"/>
  <c r="L551" i="1"/>
  <c r="L550" i="1"/>
  <c r="L549" i="1"/>
  <c r="L548" i="1"/>
  <c r="L547" i="1"/>
  <c r="L546" i="1"/>
  <c r="L545" i="1"/>
  <c r="L544" i="1"/>
  <c r="L543" i="1"/>
  <c r="L542" i="1"/>
  <c r="L541" i="1"/>
  <c r="L540" i="1"/>
  <c r="L539" i="1"/>
  <c r="L454" i="1"/>
  <c r="L453" i="1"/>
  <c r="L452" i="1"/>
  <c r="L451" i="1"/>
  <c r="L450" i="1"/>
  <c r="L449" i="1"/>
  <c r="L448" i="1"/>
  <c r="L447" i="1"/>
  <c r="L446" i="1"/>
  <c r="L445" i="1"/>
  <c r="L444" i="1"/>
  <c r="L443" i="1"/>
  <c r="L442" i="1"/>
  <c r="L441" i="1"/>
  <c r="L440" i="1"/>
  <c r="L439" i="1"/>
  <c r="L329" i="1"/>
  <c r="L328" i="1"/>
  <c r="L327" i="1"/>
  <c r="L326" i="1"/>
  <c r="L325" i="1"/>
  <c r="L324" i="1"/>
  <c r="L323" i="1"/>
  <c r="L322" i="1"/>
  <c r="L321" i="1"/>
  <c r="L320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13" i="1"/>
  <c r="L12" i="1"/>
  <c r="L11" i="1"/>
  <c r="L10" i="1"/>
  <c r="L9" i="1"/>
  <c r="L8" i="1"/>
  <c r="L7" i="1"/>
  <c r="L6" i="1"/>
  <c r="L5" i="1"/>
  <c r="L4" i="1"/>
  <c r="L3" i="1"/>
  <c r="L2" i="1"/>
  <c r="CJ653" i="1"/>
  <c r="CI653" i="1"/>
  <c r="CH653" i="1"/>
  <c r="CG653" i="1"/>
  <c r="CF653" i="1"/>
  <c r="CJ652" i="1"/>
  <c r="CI652" i="1"/>
  <c r="CH652" i="1"/>
  <c r="CG652" i="1"/>
  <c r="CF652" i="1"/>
  <c r="CE652" i="1"/>
  <c r="CJ651" i="1"/>
  <c r="CI651" i="1"/>
  <c r="CH651" i="1"/>
  <c r="CG651" i="1"/>
  <c r="CF651" i="1"/>
  <c r="CE651" i="1"/>
  <c r="CJ650" i="1"/>
  <c r="CI650" i="1"/>
  <c r="CH650" i="1"/>
  <c r="CG650" i="1"/>
  <c r="CF650" i="1"/>
  <c r="CE650" i="1"/>
  <c r="CJ649" i="1"/>
  <c r="CI649" i="1"/>
  <c r="CH649" i="1"/>
  <c r="CG649" i="1"/>
  <c r="CF649" i="1"/>
  <c r="CE649" i="1"/>
  <c r="CJ648" i="1"/>
  <c r="CI648" i="1"/>
  <c r="CH648" i="1"/>
  <c r="CG648" i="1"/>
  <c r="CF648" i="1"/>
  <c r="CE648" i="1"/>
  <c r="CJ647" i="1"/>
  <c r="CI647" i="1"/>
  <c r="CH647" i="1"/>
  <c r="CG647" i="1"/>
  <c r="CF647" i="1"/>
  <c r="CE647" i="1"/>
  <c r="CJ646" i="1"/>
  <c r="CI646" i="1"/>
  <c r="CH646" i="1"/>
  <c r="CG646" i="1"/>
  <c r="CF646" i="1"/>
  <c r="CE646" i="1"/>
  <c r="CJ645" i="1"/>
  <c r="CI645" i="1"/>
  <c r="CH645" i="1"/>
  <c r="CG645" i="1"/>
  <c r="CF645" i="1"/>
  <c r="CE645" i="1"/>
  <c r="CJ644" i="1"/>
  <c r="CI644" i="1"/>
  <c r="CH644" i="1"/>
  <c r="CG644" i="1"/>
  <c r="CF644" i="1"/>
  <c r="CE644" i="1"/>
  <c r="CJ643" i="1"/>
  <c r="CI643" i="1"/>
  <c r="CH643" i="1"/>
  <c r="CG643" i="1"/>
  <c r="CF643" i="1"/>
  <c r="CE643" i="1"/>
  <c r="CJ642" i="1"/>
  <c r="CI642" i="1"/>
  <c r="CH642" i="1"/>
  <c r="CG642" i="1"/>
  <c r="CF642" i="1"/>
  <c r="CE642" i="1"/>
  <c r="CJ641" i="1"/>
  <c r="CI641" i="1"/>
  <c r="CH641" i="1"/>
  <c r="CG641" i="1"/>
  <c r="CF641" i="1"/>
  <c r="CE641" i="1"/>
  <c r="CJ640" i="1"/>
  <c r="CI640" i="1"/>
  <c r="CH640" i="1"/>
  <c r="CG640" i="1"/>
  <c r="CF640" i="1"/>
  <c r="CE640" i="1"/>
  <c r="CJ639" i="1"/>
  <c r="CI639" i="1"/>
  <c r="CH639" i="1"/>
  <c r="CG639" i="1"/>
  <c r="CF639" i="1"/>
  <c r="CE639" i="1"/>
  <c r="CJ638" i="1"/>
  <c r="CI638" i="1"/>
  <c r="CH638" i="1"/>
  <c r="CG638" i="1"/>
  <c r="CF638" i="1"/>
  <c r="CE638" i="1"/>
  <c r="CJ637" i="1"/>
  <c r="CI637" i="1"/>
  <c r="CH637" i="1"/>
  <c r="CG637" i="1"/>
  <c r="CF637" i="1"/>
  <c r="CE637" i="1"/>
  <c r="CJ636" i="1"/>
  <c r="CI636" i="1"/>
  <c r="CH636" i="1"/>
  <c r="CG636" i="1"/>
  <c r="CF636" i="1"/>
  <c r="CE636" i="1"/>
  <c r="CJ635" i="1"/>
  <c r="CI635" i="1"/>
  <c r="CH635" i="1"/>
  <c r="CG635" i="1"/>
  <c r="CF635" i="1"/>
  <c r="CE635" i="1"/>
  <c r="CJ634" i="1"/>
  <c r="CI634" i="1"/>
  <c r="CH634" i="1"/>
  <c r="CG634" i="1"/>
  <c r="CF634" i="1"/>
  <c r="CE634" i="1"/>
  <c r="CJ633" i="1"/>
  <c r="CI633" i="1"/>
  <c r="CH633" i="1"/>
  <c r="CG633" i="1"/>
  <c r="CF633" i="1"/>
  <c r="CE633" i="1"/>
  <c r="CJ632" i="1"/>
  <c r="CI632" i="1"/>
  <c r="CH632" i="1"/>
  <c r="CG632" i="1"/>
  <c r="CF632" i="1"/>
  <c r="CE632" i="1"/>
  <c r="CJ631" i="1"/>
  <c r="CI631" i="1"/>
  <c r="CH631" i="1"/>
  <c r="CG631" i="1"/>
  <c r="CF631" i="1"/>
  <c r="CE631" i="1"/>
  <c r="CJ630" i="1"/>
  <c r="CI630" i="1"/>
  <c r="CH630" i="1"/>
  <c r="CG630" i="1"/>
  <c r="CF630" i="1"/>
  <c r="CE630" i="1"/>
  <c r="CJ629" i="1"/>
  <c r="CI629" i="1"/>
  <c r="CH629" i="1"/>
  <c r="CG629" i="1"/>
  <c r="CF629" i="1"/>
  <c r="CE629" i="1"/>
  <c r="CJ628" i="1"/>
  <c r="CI628" i="1"/>
  <c r="CH628" i="1"/>
  <c r="CG628" i="1"/>
  <c r="CF628" i="1"/>
  <c r="CE628" i="1"/>
  <c r="CJ393" i="1"/>
  <c r="CI393" i="1"/>
  <c r="CH393" i="1"/>
  <c r="CG393" i="1"/>
  <c r="CF393" i="1"/>
  <c r="CE393" i="1"/>
  <c r="CJ392" i="1"/>
  <c r="CI392" i="1"/>
  <c r="CH392" i="1"/>
  <c r="CG392" i="1"/>
  <c r="CF392" i="1"/>
  <c r="CE392" i="1"/>
  <c r="CJ391" i="1"/>
  <c r="CI391" i="1"/>
  <c r="CH391" i="1"/>
  <c r="CG391" i="1"/>
  <c r="CF391" i="1"/>
  <c r="CE391" i="1"/>
  <c r="CJ390" i="1"/>
  <c r="CI390" i="1"/>
  <c r="CH390" i="1"/>
  <c r="CG390" i="1"/>
  <c r="CF390" i="1"/>
  <c r="CE390" i="1"/>
  <c r="CJ389" i="1"/>
  <c r="CI389" i="1"/>
  <c r="CH389" i="1"/>
  <c r="CG389" i="1"/>
  <c r="CF389" i="1"/>
  <c r="CE389" i="1"/>
  <c r="CJ388" i="1"/>
  <c r="CI388" i="1"/>
  <c r="CH388" i="1"/>
  <c r="CG388" i="1"/>
  <c r="CF388" i="1"/>
  <c r="CE388" i="1"/>
  <c r="CJ387" i="1"/>
  <c r="CI387" i="1"/>
  <c r="CH387" i="1"/>
  <c r="CG387" i="1"/>
  <c r="CF387" i="1"/>
  <c r="CE387" i="1"/>
  <c r="CJ386" i="1"/>
  <c r="CI386" i="1"/>
  <c r="CH386" i="1"/>
  <c r="CG386" i="1"/>
  <c r="CF386" i="1"/>
  <c r="CE386" i="1"/>
  <c r="CJ385" i="1"/>
  <c r="CI385" i="1"/>
  <c r="CH385" i="1"/>
  <c r="CG385" i="1"/>
  <c r="CF385" i="1"/>
  <c r="CE385" i="1"/>
  <c r="CJ171" i="1"/>
  <c r="CI171" i="1"/>
  <c r="CH171" i="1"/>
  <c r="CG171" i="1"/>
  <c r="CF171" i="1"/>
  <c r="CE171" i="1"/>
  <c r="CJ170" i="1"/>
  <c r="CI170" i="1"/>
  <c r="CH170" i="1"/>
  <c r="CG170" i="1"/>
  <c r="CF170" i="1"/>
  <c r="CE170" i="1"/>
  <c r="CJ169" i="1"/>
  <c r="CI169" i="1"/>
  <c r="CH169" i="1"/>
  <c r="CG169" i="1"/>
  <c r="CF169" i="1"/>
  <c r="CE169" i="1"/>
  <c r="CJ168" i="1"/>
  <c r="CI168" i="1"/>
  <c r="CH168" i="1"/>
  <c r="CG168" i="1"/>
  <c r="CF168" i="1"/>
  <c r="CE168" i="1"/>
  <c r="CJ167" i="1"/>
  <c r="CI167" i="1"/>
  <c r="CH167" i="1"/>
  <c r="CG167" i="1"/>
  <c r="CF167" i="1"/>
  <c r="CE167" i="1"/>
  <c r="CJ166" i="1"/>
  <c r="CI166" i="1"/>
  <c r="CH166" i="1"/>
  <c r="CG166" i="1"/>
  <c r="CF166" i="1"/>
  <c r="CE166" i="1"/>
  <c r="CJ165" i="1"/>
  <c r="CI165" i="1"/>
  <c r="CH165" i="1"/>
  <c r="CG165" i="1"/>
  <c r="CF165" i="1"/>
  <c r="CE165" i="1"/>
  <c r="CJ164" i="1"/>
  <c r="CI164" i="1"/>
  <c r="CH164" i="1"/>
  <c r="CG164" i="1"/>
  <c r="CF164" i="1"/>
  <c r="CE164" i="1"/>
  <c r="CJ163" i="1"/>
  <c r="CI163" i="1"/>
  <c r="CH163" i="1"/>
  <c r="CG163" i="1"/>
  <c r="CF163" i="1"/>
  <c r="CE163" i="1"/>
  <c r="CJ162" i="1"/>
  <c r="CI162" i="1"/>
  <c r="CH162" i="1"/>
  <c r="CG162" i="1"/>
  <c r="CF162" i="1"/>
  <c r="CE162" i="1"/>
  <c r="CJ161" i="1"/>
  <c r="CI161" i="1"/>
  <c r="CH161" i="1"/>
  <c r="CG161" i="1"/>
  <c r="CF161" i="1"/>
  <c r="CE161" i="1"/>
  <c r="CJ160" i="1"/>
  <c r="CI160" i="1"/>
  <c r="CH160" i="1"/>
  <c r="CG160" i="1"/>
  <c r="CF160" i="1"/>
  <c r="CE160" i="1"/>
  <c r="CI159" i="1"/>
  <c r="CH159" i="1"/>
  <c r="CG159" i="1"/>
  <c r="CF159" i="1"/>
  <c r="CE159" i="1"/>
  <c r="CI158" i="1"/>
  <c r="CH158" i="1"/>
  <c r="CG158" i="1"/>
  <c r="CF158" i="1"/>
  <c r="CE158" i="1"/>
  <c r="CI157" i="1"/>
  <c r="CH157" i="1"/>
  <c r="CG157" i="1"/>
  <c r="CF157" i="1"/>
  <c r="CE157" i="1"/>
  <c r="CI156" i="1"/>
  <c r="CH156" i="1"/>
  <c r="CG156" i="1"/>
  <c r="CF156" i="1"/>
  <c r="CE156" i="1"/>
  <c r="CI155" i="1"/>
  <c r="CH155" i="1"/>
  <c r="CG155" i="1"/>
  <c r="CF155" i="1"/>
  <c r="CE155" i="1"/>
  <c r="CI154" i="1"/>
  <c r="CH154" i="1"/>
  <c r="CG154" i="1"/>
  <c r="CF154" i="1"/>
  <c r="CE154" i="1"/>
  <c r="CJ153" i="1"/>
  <c r="CI153" i="1"/>
  <c r="CH153" i="1"/>
  <c r="CG153" i="1"/>
  <c r="CF153" i="1"/>
  <c r="CE153" i="1"/>
  <c r="CJ152" i="1"/>
  <c r="CI152" i="1"/>
  <c r="CH152" i="1"/>
  <c r="CG152" i="1"/>
  <c r="CF152" i="1"/>
  <c r="CE152" i="1"/>
  <c r="CJ151" i="1"/>
  <c r="CI151" i="1"/>
  <c r="CH151" i="1"/>
  <c r="CG151" i="1"/>
  <c r="CF151" i="1"/>
  <c r="CE151" i="1"/>
  <c r="CJ150" i="1"/>
  <c r="CI150" i="1"/>
  <c r="CH150" i="1"/>
  <c r="CG150" i="1"/>
  <c r="CF150" i="1"/>
  <c r="CE150" i="1"/>
  <c r="CI149" i="1"/>
  <c r="CH149" i="1"/>
  <c r="CG149" i="1"/>
  <c r="CF149" i="1"/>
  <c r="CE149" i="1"/>
  <c r="CI148" i="1"/>
  <c r="CH148" i="1"/>
  <c r="CG148" i="1"/>
  <c r="CF148" i="1"/>
  <c r="CE148" i="1"/>
  <c r="CJ147" i="1"/>
  <c r="CI147" i="1"/>
  <c r="CH147" i="1"/>
  <c r="CG147" i="1"/>
  <c r="CF147" i="1"/>
  <c r="CE147" i="1"/>
  <c r="CI146" i="1"/>
  <c r="CI627" i="1"/>
  <c r="CH146" i="1"/>
  <c r="CG146" i="1"/>
  <c r="CF146" i="1"/>
  <c r="CE146" i="1"/>
  <c r="BV159" i="1"/>
  <c r="CJ159" i="1" s="1"/>
  <c r="BV158" i="1"/>
  <c r="CJ158" i="1" s="1"/>
  <c r="BV157" i="1"/>
  <c r="CJ157" i="1" s="1"/>
  <c r="BV156" i="1"/>
  <c r="CJ156" i="1" s="1"/>
  <c r="BV155" i="1"/>
  <c r="CJ155" i="1" s="1"/>
  <c r="BV154" i="1"/>
  <c r="CJ154" i="1" s="1"/>
  <c r="BV149" i="1"/>
  <c r="CJ149" i="1" s="1"/>
  <c r="BV148" i="1"/>
  <c r="CJ148" i="1" s="1"/>
  <c r="BV146" i="1"/>
  <c r="CJ146" i="1" s="1"/>
  <c r="BV337" i="1"/>
  <c r="CJ337" i="1" s="1"/>
  <c r="CJ626" i="1"/>
  <c r="CJ586" i="1"/>
  <c r="CJ627" i="1"/>
  <c r="CJ625" i="1"/>
  <c r="CJ624" i="1"/>
  <c r="CJ623" i="1"/>
  <c r="CJ621" i="1"/>
  <c r="CJ620" i="1"/>
  <c r="CJ619" i="1"/>
  <c r="CJ618" i="1"/>
  <c r="CJ617" i="1"/>
  <c r="CJ616" i="1"/>
  <c r="CJ615" i="1"/>
  <c r="CJ614" i="1"/>
  <c r="CJ613" i="1"/>
  <c r="CJ612" i="1"/>
  <c r="CJ611" i="1"/>
  <c r="CJ384" i="1"/>
  <c r="CJ383" i="1"/>
  <c r="CJ382" i="1"/>
  <c r="CJ381" i="1"/>
  <c r="CJ380" i="1"/>
  <c r="CJ379" i="1"/>
  <c r="CJ378" i="1"/>
  <c r="CJ377" i="1"/>
  <c r="CJ376" i="1"/>
  <c r="CJ375" i="1"/>
  <c r="CJ374" i="1"/>
  <c r="CJ373" i="1"/>
  <c r="CJ372" i="1"/>
  <c r="CJ145" i="1"/>
  <c r="CJ144" i="1"/>
  <c r="CJ143" i="1"/>
  <c r="CJ142" i="1"/>
  <c r="CJ141" i="1"/>
  <c r="CJ140" i="1"/>
  <c r="CJ139" i="1"/>
  <c r="CJ138" i="1"/>
  <c r="CJ137" i="1"/>
  <c r="CJ136" i="1"/>
  <c r="CJ135" i="1"/>
  <c r="CJ134" i="1"/>
  <c r="CJ133" i="1"/>
  <c r="CJ132" i="1"/>
  <c r="CJ131" i="1"/>
  <c r="CJ130" i="1"/>
  <c r="CJ129" i="1"/>
  <c r="CJ128" i="1"/>
  <c r="CJ127" i="1"/>
  <c r="CJ126" i="1"/>
  <c r="CJ125" i="1"/>
  <c r="CJ124" i="1"/>
  <c r="CJ123" i="1"/>
  <c r="CJ122" i="1"/>
  <c r="CJ121" i="1"/>
  <c r="CJ120" i="1"/>
  <c r="CJ119" i="1"/>
  <c r="CJ118" i="1"/>
  <c r="CJ117" i="1"/>
  <c r="CJ610" i="1"/>
  <c r="CJ609" i="1"/>
  <c r="CJ608" i="1"/>
  <c r="CJ607" i="1"/>
  <c r="CJ606" i="1"/>
  <c r="CJ605" i="1"/>
  <c r="CJ604" i="1"/>
  <c r="CJ603" i="1"/>
  <c r="CJ602" i="1"/>
  <c r="CJ601" i="1"/>
  <c r="CJ600" i="1"/>
  <c r="CJ599" i="1"/>
  <c r="CJ598" i="1"/>
  <c r="CJ597" i="1"/>
  <c r="CJ596" i="1"/>
  <c r="CJ595" i="1"/>
  <c r="CJ594" i="1"/>
  <c r="CJ593" i="1"/>
  <c r="CJ592" i="1"/>
  <c r="CJ591" i="1"/>
  <c r="CJ590" i="1"/>
  <c r="CJ589" i="1"/>
  <c r="CJ588" i="1"/>
  <c r="CJ371" i="1"/>
  <c r="CJ370" i="1"/>
  <c r="CJ369" i="1"/>
  <c r="CJ368" i="1"/>
  <c r="CJ367" i="1"/>
  <c r="CJ366" i="1"/>
  <c r="CJ365" i="1"/>
  <c r="CJ364" i="1"/>
  <c r="CJ363" i="1"/>
  <c r="CJ362" i="1"/>
  <c r="CJ361" i="1"/>
  <c r="CJ360" i="1"/>
  <c r="CJ359" i="1"/>
  <c r="CJ358" i="1"/>
  <c r="CJ357" i="1"/>
  <c r="CJ356" i="1"/>
  <c r="CJ116" i="1"/>
  <c r="CJ115" i="1"/>
  <c r="CJ114" i="1"/>
  <c r="CJ113" i="1"/>
  <c r="CJ112" i="1"/>
  <c r="CJ111" i="1"/>
  <c r="CJ110" i="1"/>
  <c r="CJ109" i="1"/>
  <c r="CJ108" i="1"/>
  <c r="CJ107" i="1"/>
  <c r="CJ106" i="1"/>
  <c r="CJ105" i="1"/>
  <c r="CJ104" i="1"/>
  <c r="CJ103" i="1"/>
  <c r="CJ102" i="1"/>
  <c r="CJ101" i="1"/>
  <c r="CJ100" i="1"/>
  <c r="CJ99" i="1"/>
  <c r="CJ98" i="1"/>
  <c r="CJ97" i="1"/>
  <c r="CJ96" i="1"/>
  <c r="CJ95" i="1"/>
  <c r="CJ94" i="1"/>
  <c r="CJ93" i="1"/>
  <c r="CJ92" i="1"/>
  <c r="CJ587" i="1"/>
  <c r="CJ585" i="1"/>
  <c r="CJ583" i="1"/>
  <c r="CJ582" i="1"/>
  <c r="CJ581" i="1"/>
  <c r="CJ580" i="1"/>
  <c r="CJ579" i="1"/>
  <c r="CJ578" i="1"/>
  <c r="CJ577" i="1"/>
  <c r="CJ576" i="1"/>
  <c r="CJ575" i="1"/>
  <c r="CJ574" i="1"/>
  <c r="CJ484" i="1"/>
  <c r="CJ483" i="1"/>
  <c r="CJ482" i="1"/>
  <c r="CJ481" i="1"/>
  <c r="CJ480" i="1"/>
  <c r="CJ479" i="1"/>
  <c r="CJ478" i="1"/>
  <c r="CJ477" i="1"/>
  <c r="CJ476" i="1"/>
  <c r="CJ475" i="1"/>
  <c r="CJ474" i="1"/>
  <c r="CJ473" i="1"/>
  <c r="CJ355" i="1"/>
  <c r="CJ354" i="1"/>
  <c r="CJ353" i="1"/>
  <c r="CJ352" i="1"/>
  <c r="CJ351" i="1"/>
  <c r="CJ350" i="1"/>
  <c r="CJ349" i="1"/>
  <c r="CJ348" i="1"/>
  <c r="CJ347" i="1"/>
  <c r="CJ346" i="1"/>
  <c r="CJ345" i="1"/>
  <c r="CJ344" i="1"/>
  <c r="CJ343" i="1"/>
  <c r="CJ342" i="1"/>
  <c r="CJ341" i="1"/>
  <c r="CJ340" i="1"/>
  <c r="CJ339" i="1"/>
  <c r="CJ338" i="1"/>
  <c r="CJ91" i="1"/>
  <c r="CJ90" i="1"/>
  <c r="CJ89" i="1"/>
  <c r="CJ88" i="1"/>
  <c r="CJ87" i="1"/>
  <c r="CJ86" i="1"/>
  <c r="CJ85" i="1"/>
  <c r="CJ84" i="1"/>
  <c r="CJ83" i="1"/>
  <c r="CJ82" i="1"/>
  <c r="CJ81" i="1"/>
  <c r="CJ79" i="1"/>
  <c r="CJ78" i="1"/>
  <c r="CJ77" i="1"/>
  <c r="CJ76" i="1"/>
  <c r="CJ75" i="1"/>
  <c r="CJ74" i="1"/>
  <c r="CJ33" i="1"/>
  <c r="CJ32" i="1"/>
  <c r="N80" i="1"/>
  <c r="O80" i="1"/>
  <c r="CH80" i="1" s="1"/>
  <c r="CG627" i="1"/>
  <c r="CG626" i="1"/>
  <c r="CG625" i="1"/>
  <c r="CG624" i="1"/>
  <c r="CG623" i="1"/>
  <c r="CG622" i="1"/>
  <c r="CG621" i="1"/>
  <c r="CG620" i="1"/>
  <c r="CG619" i="1"/>
  <c r="CG618" i="1"/>
  <c r="CG617" i="1"/>
  <c r="CG616" i="1"/>
  <c r="CG615" i="1"/>
  <c r="CG614" i="1"/>
  <c r="CG613" i="1"/>
  <c r="CG612" i="1"/>
  <c r="CG611" i="1"/>
  <c r="CG145" i="1"/>
  <c r="CG144" i="1"/>
  <c r="CG143" i="1"/>
  <c r="CG142" i="1"/>
  <c r="CG141" i="1"/>
  <c r="CG140" i="1"/>
  <c r="CG139" i="1"/>
  <c r="CG138" i="1"/>
  <c r="CG137" i="1"/>
  <c r="CG136" i="1"/>
  <c r="CG135" i="1"/>
  <c r="CG134" i="1"/>
  <c r="CG133" i="1"/>
  <c r="CG132" i="1"/>
  <c r="CG131" i="1"/>
  <c r="CG130" i="1"/>
  <c r="CG129" i="1"/>
  <c r="CG128" i="1"/>
  <c r="CG127" i="1"/>
  <c r="CG126" i="1"/>
  <c r="CG125" i="1"/>
  <c r="CG124" i="1"/>
  <c r="CG123" i="1"/>
  <c r="CG122" i="1"/>
  <c r="CG121" i="1"/>
  <c r="CG120" i="1"/>
  <c r="CG119" i="1"/>
  <c r="CG118" i="1"/>
  <c r="CG117" i="1"/>
  <c r="CG371" i="1"/>
  <c r="CG370" i="1"/>
  <c r="CG369" i="1"/>
  <c r="CG368" i="1"/>
  <c r="CG367" i="1"/>
  <c r="CG366" i="1"/>
  <c r="CG365" i="1"/>
  <c r="CG364" i="1"/>
  <c r="CG363" i="1"/>
  <c r="CG362" i="1"/>
  <c r="CG361" i="1"/>
  <c r="CG360" i="1"/>
  <c r="CG359" i="1"/>
  <c r="CG358" i="1"/>
  <c r="CG357" i="1"/>
  <c r="CG356" i="1"/>
  <c r="CG610" i="1"/>
  <c r="CG609" i="1"/>
  <c r="CG608" i="1"/>
  <c r="CG607" i="1"/>
  <c r="CG606" i="1"/>
  <c r="CG605" i="1"/>
  <c r="CG604" i="1"/>
  <c r="CG603" i="1"/>
  <c r="CG602" i="1"/>
  <c r="CG601" i="1"/>
  <c r="CG600" i="1"/>
  <c r="CG598" i="1"/>
  <c r="CG596" i="1"/>
  <c r="CG595" i="1"/>
  <c r="CG594" i="1"/>
  <c r="CG593" i="1"/>
  <c r="CG592" i="1"/>
  <c r="CG591" i="1"/>
  <c r="CG590" i="1"/>
  <c r="CG589" i="1"/>
  <c r="CG588" i="1"/>
  <c r="CG116" i="1"/>
  <c r="CG115" i="1"/>
  <c r="CG114" i="1"/>
  <c r="CG113" i="1"/>
  <c r="CG112" i="1"/>
  <c r="CG111" i="1"/>
  <c r="CG110" i="1"/>
  <c r="CG109" i="1"/>
  <c r="CG108" i="1"/>
  <c r="CG107" i="1"/>
  <c r="CG106" i="1"/>
  <c r="CG105" i="1"/>
  <c r="CG104" i="1"/>
  <c r="CG103" i="1"/>
  <c r="CG102" i="1"/>
  <c r="CG101" i="1"/>
  <c r="CG100" i="1"/>
  <c r="CG99" i="1"/>
  <c r="CG98" i="1"/>
  <c r="CG97" i="1"/>
  <c r="CG96" i="1"/>
  <c r="CG95" i="1"/>
  <c r="CG94" i="1"/>
  <c r="CG93" i="1"/>
  <c r="CG92" i="1"/>
  <c r="CG355" i="1"/>
  <c r="CG354" i="1"/>
  <c r="CG353" i="1"/>
  <c r="CG352" i="1"/>
  <c r="CG351" i="1"/>
  <c r="CG350" i="1"/>
  <c r="CG349" i="1"/>
  <c r="CG348" i="1"/>
  <c r="CG347" i="1"/>
  <c r="CG346" i="1"/>
  <c r="CG345" i="1"/>
  <c r="CG344" i="1"/>
  <c r="CG343" i="1"/>
  <c r="CG342" i="1"/>
  <c r="CG341" i="1"/>
  <c r="CG340" i="1"/>
  <c r="CG339" i="1"/>
  <c r="CG338" i="1"/>
  <c r="CG337" i="1"/>
  <c r="CG484" i="1"/>
  <c r="CG483" i="1"/>
  <c r="CG482" i="1"/>
  <c r="CG481" i="1"/>
  <c r="CG480" i="1"/>
  <c r="CG479" i="1"/>
  <c r="CG478" i="1"/>
  <c r="CG477" i="1"/>
  <c r="CG476" i="1"/>
  <c r="CG475" i="1"/>
  <c r="CG474" i="1"/>
  <c r="CG473" i="1"/>
  <c r="CG587" i="1"/>
  <c r="CG586" i="1"/>
  <c r="CG585" i="1"/>
  <c r="CG584" i="1"/>
  <c r="CG33" i="1"/>
  <c r="CG32" i="1"/>
  <c r="CG583" i="1"/>
  <c r="CG582" i="1"/>
  <c r="CG581" i="1"/>
  <c r="CG91" i="1"/>
  <c r="CG90" i="1"/>
  <c r="CG89" i="1"/>
  <c r="CG88" i="1"/>
  <c r="CG87" i="1"/>
  <c r="CG86" i="1"/>
  <c r="CG85" i="1"/>
  <c r="CG580" i="1"/>
  <c r="CG579" i="1"/>
  <c r="CG578" i="1"/>
  <c r="CG577" i="1"/>
  <c r="CG576" i="1"/>
  <c r="CG575" i="1"/>
  <c r="CG574" i="1"/>
  <c r="CG84" i="1"/>
  <c r="CG83" i="1"/>
  <c r="CG82" i="1"/>
  <c r="CG81" i="1"/>
  <c r="CG80" i="1"/>
  <c r="CG79" i="1"/>
  <c r="CG78" i="1"/>
  <c r="CG77" i="1"/>
  <c r="CG76" i="1"/>
  <c r="CG75" i="1"/>
  <c r="CG74" i="1"/>
  <c r="CG336" i="1"/>
  <c r="CG335" i="1"/>
  <c r="CG334" i="1"/>
  <c r="CG333" i="1"/>
  <c r="CG332" i="1"/>
  <c r="CG331" i="1"/>
  <c r="CG330" i="1"/>
  <c r="CG472" i="1"/>
  <c r="CG471" i="1"/>
  <c r="CG470" i="1"/>
  <c r="CG469" i="1"/>
  <c r="CG468" i="1"/>
  <c r="CG467" i="1"/>
  <c r="CG466" i="1"/>
  <c r="CG465" i="1"/>
  <c r="CG464" i="1"/>
  <c r="CG463" i="1"/>
  <c r="CG462" i="1"/>
  <c r="CG461" i="1"/>
  <c r="CG460" i="1"/>
  <c r="CG459" i="1"/>
  <c r="CG458" i="1"/>
  <c r="CG457" i="1"/>
  <c r="CG456" i="1"/>
  <c r="CG455" i="1"/>
  <c r="CG31" i="1"/>
  <c r="CG30" i="1"/>
  <c r="CG29" i="1"/>
  <c r="CG28" i="1"/>
  <c r="CG27" i="1"/>
  <c r="CG26" i="1"/>
  <c r="CG25" i="1"/>
  <c r="CG24" i="1"/>
  <c r="CG23" i="1"/>
  <c r="CG22" i="1"/>
  <c r="CG21" i="1"/>
  <c r="CG20" i="1"/>
  <c r="CG19" i="1"/>
  <c r="CG18" i="1"/>
  <c r="CG17" i="1"/>
  <c r="CG16" i="1"/>
  <c r="CG15" i="1"/>
  <c r="CG14" i="1"/>
  <c r="CG72" i="1"/>
  <c r="CG71" i="1"/>
  <c r="CG70" i="1"/>
  <c r="CG69" i="1"/>
  <c r="CG68" i="1"/>
  <c r="CG67" i="1"/>
  <c r="CG66" i="1"/>
  <c r="CG65" i="1"/>
  <c r="CG64" i="1"/>
  <c r="CG63" i="1"/>
  <c r="CG62" i="1"/>
  <c r="CG61" i="1"/>
  <c r="CG60" i="1"/>
  <c r="CG59" i="1"/>
  <c r="CG58" i="1"/>
  <c r="CG57" i="1"/>
  <c r="CG56" i="1"/>
  <c r="CG573" i="1"/>
  <c r="CG572" i="1"/>
  <c r="CG571" i="1"/>
  <c r="CG570" i="1"/>
  <c r="CG569" i="1"/>
  <c r="CG568" i="1"/>
  <c r="CG567" i="1"/>
  <c r="CG566" i="1"/>
  <c r="CG565" i="1"/>
  <c r="CG564" i="1"/>
  <c r="CG563" i="1"/>
  <c r="CG562" i="1"/>
  <c r="CG561" i="1"/>
  <c r="CG560" i="1"/>
  <c r="CG559" i="1"/>
  <c r="CG558" i="1"/>
  <c r="CG557" i="1"/>
  <c r="CG556" i="1"/>
  <c r="CG329" i="1"/>
  <c r="CG328" i="1"/>
  <c r="CG327" i="1"/>
  <c r="CG326" i="1"/>
  <c r="CG454" i="1"/>
  <c r="CG453" i="1"/>
  <c r="CG452" i="1"/>
  <c r="CG451" i="1"/>
  <c r="CG450" i="1"/>
  <c r="CG449" i="1"/>
  <c r="CG448" i="1"/>
  <c r="CG447" i="1"/>
  <c r="CG446" i="1"/>
  <c r="CG445" i="1"/>
  <c r="CG444" i="1"/>
  <c r="CG443" i="1"/>
  <c r="CG442" i="1"/>
  <c r="CG441" i="1"/>
  <c r="CG440" i="1"/>
  <c r="CG439" i="1"/>
  <c r="CG325" i="1"/>
  <c r="CG324" i="1"/>
  <c r="CG323" i="1"/>
  <c r="CG322" i="1"/>
  <c r="CG321" i="1"/>
  <c r="CG320" i="1"/>
  <c r="CG55" i="1"/>
  <c r="CG54" i="1"/>
  <c r="CG53" i="1"/>
  <c r="CG52" i="1"/>
  <c r="CG51" i="1"/>
  <c r="CG50" i="1"/>
  <c r="CG49" i="1"/>
  <c r="CG48" i="1"/>
  <c r="CG47" i="1"/>
  <c r="CG45" i="1"/>
  <c r="CG44" i="1"/>
  <c r="CG13" i="1"/>
  <c r="CG12" i="1"/>
  <c r="CG555" i="1"/>
  <c r="CG554" i="1"/>
  <c r="CG553" i="1"/>
  <c r="CG552" i="1"/>
  <c r="CG551" i="1"/>
  <c r="CG550" i="1"/>
  <c r="CG549" i="1"/>
  <c r="CG548" i="1"/>
  <c r="CG547" i="1"/>
  <c r="CG546" i="1"/>
  <c r="CG545" i="1"/>
  <c r="CG544" i="1"/>
  <c r="CG543" i="1"/>
  <c r="CG542" i="1"/>
  <c r="CG541" i="1"/>
  <c r="CG540" i="1"/>
  <c r="CG539" i="1"/>
  <c r="CG43" i="1"/>
  <c r="CG42" i="1"/>
  <c r="CG41" i="1"/>
  <c r="CG40" i="1"/>
  <c r="CG39" i="1"/>
  <c r="CG38" i="1"/>
  <c r="CG37" i="1"/>
  <c r="CG36" i="1"/>
  <c r="CG35" i="1"/>
  <c r="CG34" i="1"/>
  <c r="CG11" i="1"/>
  <c r="CG10" i="1"/>
  <c r="CG9" i="1"/>
  <c r="CG8" i="1"/>
  <c r="CG7" i="1"/>
  <c r="CG6" i="1"/>
  <c r="CG4" i="1"/>
  <c r="CG3" i="1"/>
  <c r="CG2" i="1"/>
  <c r="CE117" i="1"/>
  <c r="CF117" i="1"/>
  <c r="CH117" i="1"/>
  <c r="CI117" i="1"/>
  <c r="CE118" i="1"/>
  <c r="CF118" i="1"/>
  <c r="CH118" i="1"/>
  <c r="CI118" i="1"/>
  <c r="CE119" i="1"/>
  <c r="CF119" i="1"/>
  <c r="CH119" i="1"/>
  <c r="CI119" i="1"/>
  <c r="CE120" i="1"/>
  <c r="CF120" i="1"/>
  <c r="CH120" i="1"/>
  <c r="CI120" i="1"/>
  <c r="CE121" i="1"/>
  <c r="CF121" i="1"/>
  <c r="CH121" i="1"/>
  <c r="CI121" i="1"/>
  <c r="CE122" i="1"/>
  <c r="CF122" i="1"/>
  <c r="CH122" i="1"/>
  <c r="CI122" i="1"/>
  <c r="CE123" i="1"/>
  <c r="CF123" i="1"/>
  <c r="CH123" i="1"/>
  <c r="CI123" i="1"/>
  <c r="CE124" i="1"/>
  <c r="CF124" i="1"/>
  <c r="CH124" i="1"/>
  <c r="CI124" i="1"/>
  <c r="CE125" i="1"/>
  <c r="CF125" i="1"/>
  <c r="CH125" i="1"/>
  <c r="CI125" i="1"/>
  <c r="CE126" i="1"/>
  <c r="CF126" i="1"/>
  <c r="CH126" i="1"/>
  <c r="CI126" i="1"/>
  <c r="CE127" i="1"/>
  <c r="CF127" i="1"/>
  <c r="CH127" i="1"/>
  <c r="CI127" i="1"/>
  <c r="CE128" i="1"/>
  <c r="CF128" i="1"/>
  <c r="CH128" i="1"/>
  <c r="CI128" i="1"/>
  <c r="CE129" i="1"/>
  <c r="CF129" i="1"/>
  <c r="CH129" i="1"/>
  <c r="CI129" i="1"/>
  <c r="CE130" i="1"/>
  <c r="CF130" i="1"/>
  <c r="CH130" i="1"/>
  <c r="CI130" i="1"/>
  <c r="CE131" i="1"/>
  <c r="CF131" i="1"/>
  <c r="CH131" i="1"/>
  <c r="CI131" i="1"/>
  <c r="CE132" i="1"/>
  <c r="CF132" i="1"/>
  <c r="CH132" i="1"/>
  <c r="CI132" i="1"/>
  <c r="CE133" i="1"/>
  <c r="CF133" i="1"/>
  <c r="CH133" i="1"/>
  <c r="CI133" i="1"/>
  <c r="CE134" i="1"/>
  <c r="CF134" i="1"/>
  <c r="CH134" i="1"/>
  <c r="CI134" i="1"/>
  <c r="CE135" i="1"/>
  <c r="CF135" i="1"/>
  <c r="CH135" i="1"/>
  <c r="CI135" i="1"/>
  <c r="CE136" i="1"/>
  <c r="CF136" i="1"/>
  <c r="CH136" i="1"/>
  <c r="CI136" i="1"/>
  <c r="CE137" i="1"/>
  <c r="CF137" i="1"/>
  <c r="CH137" i="1"/>
  <c r="CI137" i="1"/>
  <c r="CE138" i="1"/>
  <c r="CF138" i="1"/>
  <c r="CH138" i="1"/>
  <c r="CI138" i="1"/>
  <c r="CE139" i="1"/>
  <c r="CF139" i="1"/>
  <c r="CH139" i="1"/>
  <c r="CI139" i="1"/>
  <c r="CE140" i="1"/>
  <c r="CF140" i="1"/>
  <c r="CH140" i="1"/>
  <c r="CI140" i="1"/>
  <c r="CE141" i="1"/>
  <c r="CF141" i="1"/>
  <c r="CH141" i="1"/>
  <c r="CI141" i="1"/>
  <c r="CE142" i="1"/>
  <c r="CF142" i="1"/>
  <c r="CH142" i="1"/>
  <c r="CI142" i="1"/>
  <c r="CE143" i="1"/>
  <c r="CF143" i="1"/>
  <c r="CH143" i="1"/>
  <c r="CI143" i="1"/>
  <c r="CE144" i="1"/>
  <c r="CF144" i="1"/>
  <c r="CH144" i="1"/>
  <c r="CI144" i="1"/>
  <c r="CE145" i="1"/>
  <c r="CF145" i="1"/>
  <c r="CH145" i="1"/>
  <c r="CI145" i="1"/>
  <c r="CE611" i="1"/>
  <c r="CF611" i="1"/>
  <c r="CH611" i="1"/>
  <c r="CI611" i="1"/>
  <c r="CE612" i="1"/>
  <c r="CF612" i="1"/>
  <c r="CH612" i="1"/>
  <c r="CI612" i="1"/>
  <c r="CE613" i="1"/>
  <c r="CF613" i="1"/>
  <c r="CH613" i="1"/>
  <c r="CI613" i="1"/>
  <c r="CE614" i="1"/>
  <c r="CF614" i="1"/>
  <c r="CH614" i="1"/>
  <c r="CI614" i="1"/>
  <c r="CE615" i="1"/>
  <c r="CF615" i="1"/>
  <c r="CH615" i="1"/>
  <c r="CI615" i="1"/>
  <c r="CE616" i="1"/>
  <c r="CF616" i="1"/>
  <c r="CH616" i="1"/>
  <c r="CI616" i="1"/>
  <c r="CE617" i="1"/>
  <c r="CF617" i="1"/>
  <c r="CH617" i="1"/>
  <c r="CI617" i="1"/>
  <c r="CE618" i="1"/>
  <c r="CF618" i="1"/>
  <c r="CH618" i="1"/>
  <c r="CI618" i="1"/>
  <c r="CE619" i="1"/>
  <c r="CF619" i="1"/>
  <c r="CH619" i="1"/>
  <c r="CI619" i="1"/>
  <c r="CE620" i="1"/>
  <c r="CF620" i="1"/>
  <c r="CH620" i="1"/>
  <c r="CI620" i="1"/>
  <c r="CE621" i="1"/>
  <c r="CF621" i="1"/>
  <c r="CH621" i="1"/>
  <c r="CI621" i="1"/>
  <c r="CE622" i="1"/>
  <c r="CF622" i="1"/>
  <c r="CE623" i="1"/>
  <c r="CF623" i="1"/>
  <c r="CH623" i="1"/>
  <c r="CI623" i="1"/>
  <c r="CE624" i="1"/>
  <c r="CF624" i="1"/>
  <c r="CH624" i="1"/>
  <c r="CI624" i="1"/>
  <c r="CE625" i="1"/>
  <c r="CF625" i="1"/>
  <c r="CH625" i="1"/>
  <c r="CI625" i="1"/>
  <c r="CE626" i="1"/>
  <c r="CF626" i="1"/>
  <c r="CH626" i="1"/>
  <c r="CI626" i="1"/>
  <c r="CE627" i="1"/>
  <c r="CF627" i="1"/>
  <c r="CH627" i="1"/>
  <c r="CE370" i="1"/>
  <c r="CH2" i="1"/>
  <c r="CF2" i="1"/>
  <c r="D49" i="2"/>
  <c r="D48" i="2"/>
  <c r="D47" i="2"/>
  <c r="CI560" i="1"/>
  <c r="CI559" i="1"/>
  <c r="CI558" i="1"/>
  <c r="CI557" i="1"/>
  <c r="CI556" i="1"/>
  <c r="CI329" i="1"/>
  <c r="CI328" i="1"/>
  <c r="CI327" i="1"/>
  <c r="CI326" i="1"/>
  <c r="CI454" i="1"/>
  <c r="CI453" i="1"/>
  <c r="CI451" i="1"/>
  <c r="CI450" i="1"/>
  <c r="CI449" i="1"/>
  <c r="CI448" i="1"/>
  <c r="CI447" i="1"/>
  <c r="CI446" i="1"/>
  <c r="CI445" i="1"/>
  <c r="CI444" i="1"/>
  <c r="CI443" i="1"/>
  <c r="CI442" i="1"/>
  <c r="CI441" i="1"/>
  <c r="CI440" i="1"/>
  <c r="CI439" i="1"/>
  <c r="CI325" i="1"/>
  <c r="CI324" i="1"/>
  <c r="CI323" i="1"/>
  <c r="CI322" i="1"/>
  <c r="CI321" i="1"/>
  <c r="CI320" i="1"/>
  <c r="CI54" i="1"/>
  <c r="CI53" i="1"/>
  <c r="CI52" i="1"/>
  <c r="CI51" i="1"/>
  <c r="CI50" i="1"/>
  <c r="CI49" i="1"/>
  <c r="CI48" i="1"/>
  <c r="CI47" i="1"/>
  <c r="CI45" i="1"/>
  <c r="CI44" i="1"/>
  <c r="CI13" i="1"/>
  <c r="CI12" i="1"/>
  <c r="CI555" i="1"/>
  <c r="CI554" i="1"/>
  <c r="CI553" i="1"/>
  <c r="CI552" i="1"/>
  <c r="CI551" i="1"/>
  <c r="CI550" i="1"/>
  <c r="CI549" i="1"/>
  <c r="CI548" i="1"/>
  <c r="CI547" i="1"/>
  <c r="CI546" i="1"/>
  <c r="CI545" i="1"/>
  <c r="CI544" i="1"/>
  <c r="CI543" i="1"/>
  <c r="CI542" i="1"/>
  <c r="CI541" i="1"/>
  <c r="CI540" i="1"/>
  <c r="CI539" i="1"/>
  <c r="CI43" i="1"/>
  <c r="CI42" i="1"/>
  <c r="CI41" i="1"/>
  <c r="CI39" i="1"/>
  <c r="CI38" i="1"/>
  <c r="CI37" i="1"/>
  <c r="CI36" i="1"/>
  <c r="CI35" i="1"/>
  <c r="CI34" i="1"/>
  <c r="CI11" i="1"/>
  <c r="CI10" i="1"/>
  <c r="CI9" i="1"/>
  <c r="CI8" i="1"/>
  <c r="CI7" i="1"/>
  <c r="CI6" i="1"/>
  <c r="CI4" i="1"/>
  <c r="CI3" i="1"/>
  <c r="CI562" i="1"/>
  <c r="CI601" i="1"/>
  <c r="CI600" i="1"/>
  <c r="CI599" i="1"/>
  <c r="CI598" i="1"/>
  <c r="CI597" i="1"/>
  <c r="CI596" i="1"/>
  <c r="CI595" i="1"/>
  <c r="CI594" i="1"/>
  <c r="CI593" i="1"/>
  <c r="CI592" i="1"/>
  <c r="CI591" i="1"/>
  <c r="CI590" i="1"/>
  <c r="CI589" i="1"/>
  <c r="CI588" i="1"/>
  <c r="CI116" i="1"/>
  <c r="CI115" i="1"/>
  <c r="CI114" i="1"/>
  <c r="CI113" i="1"/>
  <c r="CI112" i="1"/>
  <c r="CI111" i="1"/>
  <c r="CI110" i="1"/>
  <c r="CI109" i="1"/>
  <c r="CI108" i="1"/>
  <c r="CI107" i="1"/>
  <c r="CI106" i="1"/>
  <c r="CI105" i="1"/>
  <c r="CI104" i="1"/>
  <c r="CI103" i="1"/>
  <c r="CI102" i="1"/>
  <c r="CI101" i="1"/>
  <c r="CI100" i="1"/>
  <c r="CI99" i="1"/>
  <c r="CI98" i="1"/>
  <c r="CI97" i="1"/>
  <c r="CI96" i="1"/>
  <c r="CI95" i="1"/>
  <c r="CI94" i="1"/>
  <c r="CI93" i="1"/>
  <c r="CI92" i="1"/>
  <c r="CI355" i="1"/>
  <c r="CI354" i="1"/>
  <c r="CI353" i="1"/>
  <c r="CI352" i="1"/>
  <c r="CI351" i="1"/>
  <c r="CI350" i="1"/>
  <c r="CI349" i="1"/>
  <c r="CI348" i="1"/>
  <c r="CI347" i="1"/>
  <c r="CI346" i="1"/>
  <c r="CI345" i="1"/>
  <c r="CI344" i="1"/>
  <c r="CI343" i="1"/>
  <c r="CI342" i="1"/>
  <c r="CI341" i="1"/>
  <c r="CI340" i="1"/>
  <c r="CI339" i="1"/>
  <c r="CI338" i="1"/>
  <c r="CI337" i="1"/>
  <c r="CI484" i="1"/>
  <c r="CI483" i="1"/>
  <c r="CI482" i="1"/>
  <c r="CI481" i="1"/>
  <c r="CI480" i="1"/>
  <c r="CI479" i="1"/>
  <c r="CI478" i="1"/>
  <c r="CI477" i="1"/>
  <c r="CI476" i="1"/>
  <c r="CI475" i="1"/>
  <c r="CI474" i="1"/>
  <c r="CI473" i="1"/>
  <c r="CI587" i="1"/>
  <c r="CI586" i="1"/>
  <c r="CI585" i="1"/>
  <c r="CI33" i="1"/>
  <c r="CI32" i="1"/>
  <c r="CI583" i="1"/>
  <c r="CI582" i="1"/>
  <c r="CI581" i="1"/>
  <c r="CI91" i="1"/>
  <c r="CI90" i="1"/>
  <c r="CI89" i="1"/>
  <c r="CI88" i="1"/>
  <c r="CI87" i="1"/>
  <c r="CI86" i="1"/>
  <c r="CI85" i="1"/>
  <c r="CI580" i="1"/>
  <c r="CI579" i="1"/>
  <c r="CI578" i="1"/>
  <c r="CI577" i="1"/>
  <c r="CI576" i="1"/>
  <c r="CI575" i="1"/>
  <c r="CI574" i="1"/>
  <c r="CI84" i="1"/>
  <c r="CI83" i="1"/>
  <c r="CI82" i="1"/>
  <c r="CI81" i="1"/>
  <c r="CI79" i="1"/>
  <c r="CI78" i="1"/>
  <c r="CI77" i="1"/>
  <c r="CI76" i="1"/>
  <c r="CI75" i="1"/>
  <c r="CI74" i="1"/>
  <c r="CI336" i="1"/>
  <c r="CI335" i="1"/>
  <c r="CI334" i="1"/>
  <c r="CI333" i="1"/>
  <c r="CI332" i="1"/>
  <c r="CI331" i="1"/>
  <c r="CI330" i="1"/>
  <c r="CI472" i="1"/>
  <c r="CI471" i="1"/>
  <c r="CI470" i="1"/>
  <c r="CI469" i="1"/>
  <c r="CI468" i="1"/>
  <c r="CI467" i="1"/>
  <c r="CI466" i="1"/>
  <c r="CI465" i="1"/>
  <c r="CI464" i="1"/>
  <c r="CI463" i="1"/>
  <c r="CI462" i="1"/>
  <c r="CI461" i="1"/>
  <c r="CI460" i="1"/>
  <c r="CI459" i="1"/>
  <c r="CI458" i="1"/>
  <c r="CI457" i="1"/>
  <c r="CI456" i="1"/>
  <c r="CI455" i="1"/>
  <c r="CI31" i="1"/>
  <c r="CI30" i="1"/>
  <c r="CI29" i="1"/>
  <c r="CI28" i="1"/>
  <c r="CI27" i="1"/>
  <c r="CI26" i="1"/>
  <c r="CI25" i="1"/>
  <c r="CI24" i="1"/>
  <c r="CI23" i="1"/>
  <c r="CI22" i="1"/>
  <c r="CI21" i="1"/>
  <c r="CI20" i="1"/>
  <c r="CI19" i="1"/>
  <c r="CI18" i="1"/>
  <c r="CI17" i="1"/>
  <c r="CI16" i="1"/>
  <c r="CI15" i="1"/>
  <c r="CI14" i="1"/>
  <c r="CI72" i="1"/>
  <c r="CI71" i="1"/>
  <c r="CI70" i="1"/>
  <c r="CI69" i="1"/>
  <c r="CI68" i="1"/>
  <c r="CI67" i="1"/>
  <c r="CI66" i="1"/>
  <c r="CI65" i="1"/>
  <c r="CI64" i="1"/>
  <c r="CI63" i="1"/>
  <c r="CI62" i="1"/>
  <c r="CI61" i="1"/>
  <c r="CI60" i="1"/>
  <c r="CI59" i="1"/>
  <c r="CI58" i="1"/>
  <c r="CI57" i="1"/>
  <c r="CI56" i="1"/>
  <c r="CI573" i="1"/>
  <c r="CI572" i="1"/>
  <c r="CI571" i="1"/>
  <c r="CI570" i="1"/>
  <c r="CI569" i="1"/>
  <c r="CI568" i="1"/>
  <c r="CI567" i="1"/>
  <c r="CI566" i="1"/>
  <c r="CI565" i="1"/>
  <c r="CI564" i="1"/>
  <c r="CI563" i="1"/>
  <c r="CI357" i="1"/>
  <c r="CI366" i="1"/>
  <c r="CI367" i="1"/>
  <c r="CE365" i="1"/>
  <c r="CF365" i="1"/>
  <c r="CH365" i="1"/>
  <c r="CI365" i="1"/>
  <c r="CE366" i="1"/>
  <c r="CF366" i="1"/>
  <c r="CH366" i="1"/>
  <c r="CE367" i="1"/>
  <c r="CF367" i="1"/>
  <c r="CH367" i="1"/>
  <c r="CE368" i="1"/>
  <c r="CF368" i="1"/>
  <c r="CH368" i="1"/>
  <c r="CI368" i="1"/>
  <c r="CE369" i="1"/>
  <c r="CF369" i="1"/>
  <c r="CH369" i="1"/>
  <c r="CI369" i="1"/>
  <c r="CF370" i="1"/>
  <c r="CH370" i="1"/>
  <c r="CI370" i="1"/>
  <c r="CE371" i="1"/>
  <c r="CF371" i="1"/>
  <c r="CH371" i="1"/>
  <c r="CI371" i="1"/>
  <c r="CE592" i="1"/>
  <c r="CF592" i="1"/>
  <c r="CH592" i="1"/>
  <c r="CE593" i="1"/>
  <c r="CF593" i="1"/>
  <c r="CH593" i="1"/>
  <c r="CE594" i="1"/>
  <c r="CF594" i="1"/>
  <c r="CH594" i="1"/>
  <c r="CE595" i="1"/>
  <c r="CF595" i="1"/>
  <c r="CH595" i="1"/>
  <c r="CE596" i="1"/>
  <c r="CF596" i="1"/>
  <c r="CH596" i="1"/>
  <c r="CF597" i="1"/>
  <c r="CH597" i="1"/>
  <c r="CE598" i="1"/>
  <c r="CF598" i="1"/>
  <c r="CH598" i="1"/>
  <c r="CF599" i="1"/>
  <c r="CH599" i="1"/>
  <c r="CE600" i="1"/>
  <c r="CF600" i="1"/>
  <c r="CH600" i="1"/>
  <c r="CE601" i="1"/>
  <c r="CF601" i="1"/>
  <c r="CH601" i="1"/>
  <c r="CE602" i="1"/>
  <c r="CF602" i="1"/>
  <c r="CH602" i="1"/>
  <c r="CI602" i="1"/>
  <c r="CE603" i="1"/>
  <c r="CF603" i="1"/>
  <c r="CH603" i="1"/>
  <c r="CI603" i="1"/>
  <c r="CE604" i="1"/>
  <c r="CF604" i="1"/>
  <c r="CH604" i="1"/>
  <c r="CI604" i="1"/>
  <c r="CE605" i="1"/>
  <c r="CF605" i="1"/>
  <c r="CH605" i="1"/>
  <c r="CI605" i="1"/>
  <c r="CE606" i="1"/>
  <c r="CF606" i="1"/>
  <c r="CH606" i="1"/>
  <c r="CI606" i="1"/>
  <c r="CE607" i="1"/>
  <c r="CF607" i="1"/>
  <c r="CH607" i="1"/>
  <c r="CI607" i="1"/>
  <c r="CE608" i="1"/>
  <c r="CF608" i="1"/>
  <c r="CH608" i="1"/>
  <c r="CI608" i="1"/>
  <c r="CE609" i="1"/>
  <c r="CF609" i="1"/>
  <c r="CH609" i="1"/>
  <c r="CI609" i="1"/>
  <c r="CE610" i="1"/>
  <c r="CF610" i="1"/>
  <c r="CH610" i="1"/>
  <c r="CI610" i="1"/>
  <c r="CE356" i="1"/>
  <c r="CF356" i="1"/>
  <c r="CH356" i="1"/>
  <c r="CI356" i="1"/>
  <c r="CE357" i="1"/>
  <c r="CF357" i="1"/>
  <c r="CH357" i="1"/>
  <c r="CE358" i="1"/>
  <c r="CF358" i="1"/>
  <c r="CH358" i="1"/>
  <c r="CI358" i="1"/>
  <c r="CE359" i="1"/>
  <c r="CF359" i="1"/>
  <c r="CH359" i="1"/>
  <c r="CI359" i="1"/>
  <c r="CE360" i="1"/>
  <c r="CF360" i="1"/>
  <c r="CH360" i="1"/>
  <c r="CI360" i="1"/>
  <c r="CE361" i="1"/>
  <c r="CF361" i="1"/>
  <c r="CH361" i="1"/>
  <c r="CI361" i="1"/>
  <c r="CE362" i="1"/>
  <c r="CF362" i="1"/>
  <c r="CH362" i="1"/>
  <c r="CI362" i="1"/>
  <c r="CE363" i="1"/>
  <c r="CF363" i="1"/>
  <c r="CH363" i="1"/>
  <c r="CI363" i="1"/>
  <c r="CE364" i="1"/>
  <c r="CF364" i="1"/>
  <c r="CH364" i="1"/>
  <c r="CI364" i="1"/>
  <c r="CE94" i="1"/>
  <c r="CF94" i="1"/>
  <c r="CH94" i="1"/>
  <c r="CE95" i="1"/>
  <c r="CF95" i="1"/>
  <c r="CH95" i="1"/>
  <c r="CE96" i="1"/>
  <c r="CF96" i="1"/>
  <c r="CH96" i="1"/>
  <c r="CE97" i="1"/>
  <c r="CF97" i="1"/>
  <c r="CH97" i="1"/>
  <c r="CE98" i="1"/>
  <c r="CF98" i="1"/>
  <c r="CH98" i="1"/>
  <c r="CE99" i="1"/>
  <c r="CF99" i="1"/>
  <c r="CH99" i="1"/>
  <c r="CE100" i="1"/>
  <c r="CF100" i="1"/>
  <c r="CH100" i="1"/>
  <c r="CE101" i="1"/>
  <c r="CF101" i="1"/>
  <c r="CH101" i="1"/>
  <c r="CE102" i="1"/>
  <c r="CF102" i="1"/>
  <c r="CH102" i="1"/>
  <c r="CE103" i="1"/>
  <c r="CF103" i="1"/>
  <c r="CH103" i="1"/>
  <c r="CE104" i="1"/>
  <c r="CF104" i="1"/>
  <c r="CH104" i="1"/>
  <c r="CE105" i="1"/>
  <c r="CF105" i="1"/>
  <c r="CH105" i="1"/>
  <c r="CE106" i="1"/>
  <c r="CF106" i="1"/>
  <c r="CH106" i="1"/>
  <c r="CE107" i="1"/>
  <c r="CF107" i="1"/>
  <c r="CH107" i="1"/>
  <c r="CE108" i="1"/>
  <c r="CF108" i="1"/>
  <c r="CH108" i="1"/>
  <c r="CE109" i="1"/>
  <c r="CF109" i="1"/>
  <c r="CH109" i="1"/>
  <c r="CE110" i="1"/>
  <c r="CF110" i="1"/>
  <c r="CH110" i="1"/>
  <c r="CE111" i="1"/>
  <c r="CF111" i="1"/>
  <c r="CH111" i="1"/>
  <c r="CE112" i="1"/>
  <c r="CF112" i="1"/>
  <c r="CH112" i="1"/>
  <c r="CE113" i="1"/>
  <c r="CF113" i="1"/>
  <c r="CH113" i="1"/>
  <c r="CE114" i="1"/>
  <c r="CF114" i="1"/>
  <c r="CH114" i="1"/>
  <c r="CE115" i="1"/>
  <c r="CF115" i="1"/>
  <c r="CH115" i="1"/>
  <c r="CE116" i="1"/>
  <c r="CF116" i="1"/>
  <c r="CH116" i="1"/>
  <c r="CE588" i="1"/>
  <c r="CF588" i="1"/>
  <c r="CH588" i="1"/>
  <c r="CE589" i="1"/>
  <c r="CF589" i="1"/>
  <c r="CH589" i="1"/>
  <c r="CE590" i="1"/>
  <c r="CF590" i="1"/>
  <c r="CH590" i="1"/>
  <c r="CE591" i="1"/>
  <c r="CF591" i="1"/>
  <c r="CH591" i="1"/>
  <c r="CE473" i="1"/>
  <c r="CF473" i="1"/>
  <c r="CH473" i="1"/>
  <c r="CE474" i="1"/>
  <c r="CF474" i="1"/>
  <c r="CH474" i="1"/>
  <c r="CE475" i="1"/>
  <c r="CF475" i="1"/>
  <c r="CH475" i="1"/>
  <c r="CE476" i="1"/>
  <c r="CF476" i="1"/>
  <c r="CH476" i="1"/>
  <c r="CE477" i="1"/>
  <c r="CF477" i="1"/>
  <c r="CH477" i="1"/>
  <c r="CE478" i="1"/>
  <c r="CF478" i="1"/>
  <c r="CH478" i="1"/>
  <c r="CE479" i="1"/>
  <c r="CF479" i="1"/>
  <c r="CH479" i="1"/>
  <c r="CE480" i="1"/>
  <c r="CF480" i="1"/>
  <c r="CH480" i="1"/>
  <c r="CE481" i="1"/>
  <c r="CF481" i="1"/>
  <c r="CH481" i="1"/>
  <c r="CE482" i="1"/>
  <c r="CF482" i="1"/>
  <c r="CH482" i="1"/>
  <c r="CE483" i="1"/>
  <c r="CF483" i="1"/>
  <c r="CH483" i="1"/>
  <c r="CE484" i="1"/>
  <c r="CF484" i="1"/>
  <c r="CH484" i="1"/>
  <c r="CE337" i="1"/>
  <c r="CF337" i="1"/>
  <c r="CH337" i="1"/>
  <c r="CE338" i="1"/>
  <c r="CF338" i="1"/>
  <c r="CH338" i="1"/>
  <c r="CE339" i="1"/>
  <c r="CF339" i="1"/>
  <c r="CH339" i="1"/>
  <c r="CE340" i="1"/>
  <c r="CF340" i="1"/>
  <c r="CH340" i="1"/>
  <c r="CE341" i="1"/>
  <c r="CF341" i="1"/>
  <c r="CH341" i="1"/>
  <c r="CE342" i="1"/>
  <c r="CF342" i="1"/>
  <c r="CH342" i="1"/>
  <c r="CE343" i="1"/>
  <c r="CF343" i="1"/>
  <c r="CH343" i="1"/>
  <c r="CE344" i="1"/>
  <c r="CF344" i="1"/>
  <c r="CH344" i="1"/>
  <c r="CE345" i="1"/>
  <c r="CF345" i="1"/>
  <c r="CH345" i="1"/>
  <c r="CE346" i="1"/>
  <c r="CF346" i="1"/>
  <c r="CH346" i="1"/>
  <c r="CE347" i="1"/>
  <c r="CF347" i="1"/>
  <c r="CH347" i="1"/>
  <c r="CE348" i="1"/>
  <c r="CF348" i="1"/>
  <c r="CH348" i="1"/>
  <c r="CE349" i="1"/>
  <c r="CF349" i="1"/>
  <c r="CH349" i="1"/>
  <c r="CE350" i="1"/>
  <c r="CF350" i="1"/>
  <c r="CH350" i="1"/>
  <c r="CE351" i="1"/>
  <c r="CF351" i="1"/>
  <c r="CH351" i="1"/>
  <c r="CE352" i="1"/>
  <c r="CF352" i="1"/>
  <c r="CH352" i="1"/>
  <c r="CE353" i="1"/>
  <c r="CF353" i="1"/>
  <c r="CH353" i="1"/>
  <c r="CE354" i="1"/>
  <c r="CF354" i="1"/>
  <c r="CH354" i="1"/>
  <c r="CE355" i="1"/>
  <c r="CF355" i="1"/>
  <c r="CH355" i="1"/>
  <c r="CE92" i="1"/>
  <c r="CF92" i="1"/>
  <c r="CH92" i="1"/>
  <c r="CE93" i="1"/>
  <c r="CF93" i="1"/>
  <c r="CH93" i="1"/>
  <c r="CE2" i="1"/>
  <c r="CE582" i="1"/>
  <c r="CF582" i="1"/>
  <c r="CH582" i="1"/>
  <c r="CE583" i="1"/>
  <c r="CF583" i="1"/>
  <c r="CH583" i="1"/>
  <c r="CE32" i="1"/>
  <c r="CF32" i="1"/>
  <c r="CH32" i="1"/>
  <c r="CE33" i="1"/>
  <c r="CF33" i="1"/>
  <c r="CH33" i="1"/>
  <c r="CE584" i="1"/>
  <c r="CF584" i="1"/>
  <c r="CH584" i="1"/>
  <c r="CE585" i="1"/>
  <c r="CF585" i="1"/>
  <c r="CH585" i="1"/>
  <c r="CE586" i="1"/>
  <c r="CF586" i="1"/>
  <c r="CH586" i="1"/>
  <c r="CE587" i="1"/>
  <c r="CF587" i="1"/>
  <c r="CH587" i="1"/>
  <c r="CE74" i="1"/>
  <c r="CF74" i="1"/>
  <c r="CH74" i="1"/>
  <c r="CE75" i="1"/>
  <c r="CF75" i="1"/>
  <c r="CH75" i="1"/>
  <c r="CE76" i="1"/>
  <c r="CF76" i="1"/>
  <c r="CH76" i="1"/>
  <c r="CE77" i="1"/>
  <c r="CF77" i="1"/>
  <c r="CH77" i="1"/>
  <c r="CE78" i="1"/>
  <c r="CF78" i="1"/>
  <c r="CH78" i="1"/>
  <c r="CE79" i="1"/>
  <c r="CF79" i="1"/>
  <c r="CH79" i="1"/>
  <c r="CE80" i="1"/>
  <c r="CF80" i="1"/>
  <c r="CE81" i="1"/>
  <c r="CF81" i="1"/>
  <c r="CH81" i="1"/>
  <c r="CE82" i="1"/>
  <c r="CF82" i="1"/>
  <c r="CH82" i="1"/>
  <c r="CE83" i="1"/>
  <c r="CF83" i="1"/>
  <c r="CH83" i="1"/>
  <c r="CE84" i="1"/>
  <c r="CF84" i="1"/>
  <c r="CH84" i="1"/>
  <c r="CE574" i="1"/>
  <c r="CF574" i="1"/>
  <c r="CH574" i="1"/>
  <c r="CE575" i="1"/>
  <c r="CF575" i="1"/>
  <c r="CH575" i="1"/>
  <c r="CE576" i="1"/>
  <c r="CF576" i="1"/>
  <c r="CH576" i="1"/>
  <c r="CE577" i="1"/>
  <c r="CF577" i="1"/>
  <c r="CH577" i="1"/>
  <c r="CE578" i="1"/>
  <c r="CF578" i="1"/>
  <c r="CH578" i="1"/>
  <c r="CE579" i="1"/>
  <c r="CF579" i="1"/>
  <c r="CH579" i="1"/>
  <c r="CE580" i="1"/>
  <c r="CF580" i="1"/>
  <c r="CH580" i="1"/>
  <c r="CE85" i="1"/>
  <c r="CF85" i="1"/>
  <c r="CH85" i="1"/>
  <c r="CE86" i="1"/>
  <c r="CF86" i="1"/>
  <c r="CH86" i="1"/>
  <c r="CE87" i="1"/>
  <c r="CF87" i="1"/>
  <c r="CH87" i="1"/>
  <c r="CE88" i="1"/>
  <c r="CF88" i="1"/>
  <c r="CH88" i="1"/>
  <c r="CE89" i="1"/>
  <c r="CF89" i="1"/>
  <c r="CH89" i="1"/>
  <c r="CE90" i="1"/>
  <c r="CF90" i="1"/>
  <c r="CH90" i="1"/>
  <c r="CE91" i="1"/>
  <c r="CF91" i="1"/>
  <c r="CH91" i="1"/>
  <c r="CE581" i="1"/>
  <c r="CF581" i="1"/>
  <c r="CH581" i="1"/>
  <c r="CE468" i="1"/>
  <c r="CF468" i="1"/>
  <c r="CH468" i="1"/>
  <c r="CE469" i="1"/>
  <c r="CF469" i="1"/>
  <c r="CH469" i="1"/>
  <c r="CE470" i="1"/>
  <c r="CF470" i="1"/>
  <c r="CH470" i="1"/>
  <c r="CE471" i="1"/>
  <c r="CF471" i="1"/>
  <c r="CH471" i="1"/>
  <c r="CE472" i="1"/>
  <c r="CF472" i="1"/>
  <c r="CH472" i="1"/>
  <c r="CE330" i="1"/>
  <c r="CF330" i="1"/>
  <c r="CH330" i="1"/>
  <c r="CE331" i="1"/>
  <c r="CF331" i="1"/>
  <c r="CH331" i="1"/>
  <c r="CE332" i="1"/>
  <c r="CF332" i="1"/>
  <c r="CH332" i="1"/>
  <c r="CE333" i="1"/>
  <c r="CF333" i="1"/>
  <c r="CH333" i="1"/>
  <c r="CE334" i="1"/>
  <c r="CF334" i="1"/>
  <c r="CH334" i="1"/>
  <c r="CE335" i="1"/>
  <c r="CF335" i="1"/>
  <c r="CH335" i="1"/>
  <c r="CE336" i="1"/>
  <c r="CF336" i="1"/>
  <c r="CH336" i="1"/>
  <c r="CH467" i="1"/>
  <c r="CF467" i="1"/>
  <c r="CE467" i="1"/>
  <c r="CH466" i="1"/>
  <c r="CF466" i="1"/>
  <c r="CE466" i="1"/>
  <c r="CH465" i="1"/>
  <c r="CF465" i="1"/>
  <c r="CE465" i="1"/>
  <c r="CH464" i="1"/>
  <c r="CF464" i="1"/>
  <c r="CE464" i="1"/>
  <c r="CH463" i="1"/>
  <c r="CF463" i="1"/>
  <c r="CE463" i="1"/>
  <c r="CH462" i="1"/>
  <c r="CF462" i="1"/>
  <c r="CE462" i="1"/>
  <c r="CH461" i="1"/>
  <c r="CF461" i="1"/>
  <c r="CE461" i="1"/>
  <c r="CH460" i="1"/>
  <c r="CF460" i="1"/>
  <c r="CE460" i="1"/>
  <c r="CH459" i="1"/>
  <c r="CF459" i="1"/>
  <c r="CE459" i="1"/>
  <c r="CH458" i="1"/>
  <c r="CF458" i="1"/>
  <c r="CE458" i="1"/>
  <c r="CH457" i="1"/>
  <c r="CF457" i="1"/>
  <c r="CE457" i="1"/>
  <c r="CH456" i="1"/>
  <c r="CF456" i="1"/>
  <c r="CE456" i="1"/>
  <c r="CH455" i="1"/>
  <c r="CF455" i="1"/>
  <c r="CE455" i="1"/>
  <c r="CH31" i="1"/>
  <c r="CF31" i="1"/>
  <c r="CE31" i="1"/>
  <c r="CH30" i="1"/>
  <c r="CF30" i="1"/>
  <c r="CE30" i="1"/>
  <c r="CH29" i="1"/>
  <c r="CF29" i="1"/>
  <c r="CE29" i="1"/>
  <c r="CH28" i="1"/>
  <c r="CF28" i="1"/>
  <c r="CE28" i="1"/>
  <c r="CE63" i="1"/>
  <c r="CF63" i="1"/>
  <c r="CH63" i="1"/>
  <c r="CE64" i="1"/>
  <c r="CF64" i="1"/>
  <c r="CH64" i="1"/>
  <c r="CE65" i="1"/>
  <c r="CF65" i="1"/>
  <c r="CH65" i="1"/>
  <c r="CE66" i="1"/>
  <c r="CF66" i="1"/>
  <c r="CH66" i="1"/>
  <c r="CE67" i="1"/>
  <c r="CF67" i="1"/>
  <c r="CH67" i="1"/>
  <c r="CE68" i="1"/>
  <c r="CF68" i="1"/>
  <c r="CH68" i="1"/>
  <c r="CE69" i="1"/>
  <c r="CF69" i="1"/>
  <c r="CH69" i="1"/>
  <c r="CE70" i="1"/>
  <c r="CF70" i="1"/>
  <c r="CH70" i="1"/>
  <c r="CE71" i="1"/>
  <c r="CF71" i="1"/>
  <c r="CH71" i="1"/>
  <c r="CE72" i="1"/>
  <c r="CF72" i="1"/>
  <c r="CH72" i="1"/>
  <c r="CE14" i="1"/>
  <c r="CF14" i="1"/>
  <c r="CH14" i="1"/>
  <c r="CE15" i="1"/>
  <c r="CF15" i="1"/>
  <c r="CH15" i="1"/>
  <c r="CE16" i="1"/>
  <c r="CF16" i="1"/>
  <c r="CH16" i="1"/>
  <c r="CE17" i="1"/>
  <c r="CF17" i="1"/>
  <c r="CH17" i="1"/>
  <c r="CE18" i="1"/>
  <c r="CF18" i="1"/>
  <c r="CH18" i="1"/>
  <c r="CE19" i="1"/>
  <c r="CF19" i="1"/>
  <c r="CH19" i="1"/>
  <c r="CE20" i="1"/>
  <c r="CF20" i="1"/>
  <c r="CH20" i="1"/>
  <c r="CE21" i="1"/>
  <c r="CF21" i="1"/>
  <c r="CH21" i="1"/>
  <c r="CE22" i="1"/>
  <c r="CF22" i="1"/>
  <c r="CH22" i="1"/>
  <c r="CE23" i="1"/>
  <c r="CF23" i="1"/>
  <c r="CH23" i="1"/>
  <c r="CE24" i="1"/>
  <c r="CF24" i="1"/>
  <c r="CH24" i="1"/>
  <c r="CE25" i="1"/>
  <c r="CF25" i="1"/>
  <c r="CH25" i="1"/>
  <c r="CE26" i="1"/>
  <c r="CF26" i="1"/>
  <c r="CH26" i="1"/>
  <c r="CE27" i="1"/>
  <c r="CF27" i="1"/>
  <c r="CH27" i="1"/>
  <c r="CE556" i="1"/>
  <c r="CF556" i="1"/>
  <c r="CH556" i="1"/>
  <c r="CE557" i="1"/>
  <c r="CF557" i="1"/>
  <c r="CH557" i="1"/>
  <c r="CE558" i="1"/>
  <c r="CF558" i="1"/>
  <c r="CH558" i="1"/>
  <c r="CE559" i="1"/>
  <c r="CF559" i="1"/>
  <c r="CH559" i="1"/>
  <c r="CE560" i="1"/>
  <c r="CF560" i="1"/>
  <c r="CH560" i="1"/>
  <c r="CE561" i="1"/>
  <c r="CF561" i="1"/>
  <c r="CH561" i="1"/>
  <c r="CE562" i="1"/>
  <c r="CF562" i="1"/>
  <c r="CH562" i="1"/>
  <c r="CE563" i="1"/>
  <c r="CF563" i="1"/>
  <c r="CH563" i="1"/>
  <c r="CE564" i="1"/>
  <c r="CF564" i="1"/>
  <c r="CH564" i="1"/>
  <c r="CE565" i="1"/>
  <c r="CF565" i="1"/>
  <c r="CH565" i="1"/>
  <c r="CE566" i="1"/>
  <c r="CF566" i="1"/>
  <c r="CH566" i="1"/>
  <c r="CE567" i="1"/>
  <c r="CF567" i="1"/>
  <c r="CH567" i="1"/>
  <c r="CE568" i="1"/>
  <c r="CF568" i="1"/>
  <c r="CH568" i="1"/>
  <c r="CE569" i="1"/>
  <c r="CF569" i="1"/>
  <c r="CH569" i="1"/>
  <c r="CE570" i="1"/>
  <c r="CF570" i="1"/>
  <c r="CH570" i="1"/>
  <c r="CE571" i="1"/>
  <c r="CF571" i="1"/>
  <c r="CH571" i="1"/>
  <c r="CE572" i="1"/>
  <c r="CF572" i="1"/>
  <c r="CH572" i="1"/>
  <c r="CE573" i="1"/>
  <c r="CF573" i="1"/>
  <c r="CH573" i="1"/>
  <c r="CE56" i="1"/>
  <c r="CF56" i="1"/>
  <c r="CH56" i="1"/>
  <c r="CE57" i="1"/>
  <c r="CF57" i="1"/>
  <c r="CH57" i="1"/>
  <c r="CE58" i="1"/>
  <c r="CF58" i="1"/>
  <c r="CH58" i="1"/>
  <c r="CE59" i="1"/>
  <c r="CF59" i="1"/>
  <c r="CH59" i="1"/>
  <c r="CE60" i="1"/>
  <c r="CF60" i="1"/>
  <c r="CH60" i="1"/>
  <c r="CE61" i="1"/>
  <c r="CF61" i="1"/>
  <c r="CH61" i="1"/>
  <c r="CE62" i="1"/>
  <c r="CF62" i="1"/>
  <c r="CH62" i="1"/>
  <c r="CH329" i="1"/>
  <c r="CH328" i="1"/>
  <c r="CH327" i="1"/>
  <c r="CH326" i="1"/>
  <c r="CH454" i="1"/>
  <c r="CE329" i="1"/>
  <c r="CE328" i="1"/>
  <c r="CE327" i="1"/>
  <c r="CE326" i="1"/>
  <c r="CF329" i="1"/>
  <c r="CF328" i="1"/>
  <c r="CF327" i="1"/>
  <c r="CF326" i="1"/>
  <c r="CH3" i="1"/>
  <c r="CH4" i="1"/>
  <c r="CH6" i="1"/>
  <c r="CH7" i="1"/>
  <c r="CH8" i="1"/>
  <c r="CH9" i="1"/>
  <c r="CH10" i="1"/>
  <c r="CH11" i="1"/>
  <c r="CH34" i="1"/>
  <c r="CH35" i="1"/>
  <c r="CH36" i="1"/>
  <c r="CH37" i="1"/>
  <c r="CH38" i="1"/>
  <c r="CH39" i="1"/>
  <c r="CH40" i="1"/>
  <c r="CH41" i="1"/>
  <c r="CH42" i="1"/>
  <c r="CH43" i="1"/>
  <c r="CH539" i="1"/>
  <c r="CH540" i="1"/>
  <c r="CH541" i="1"/>
  <c r="CH542" i="1"/>
  <c r="CH543" i="1"/>
  <c r="CH544" i="1"/>
  <c r="CH545" i="1"/>
  <c r="CH546" i="1"/>
  <c r="CH547" i="1"/>
  <c r="CH548" i="1"/>
  <c r="CH549" i="1"/>
  <c r="CH550" i="1"/>
  <c r="CH551" i="1"/>
  <c r="CH552" i="1"/>
  <c r="CH553" i="1"/>
  <c r="CH554" i="1"/>
  <c r="CH555" i="1"/>
  <c r="CH12" i="1"/>
  <c r="CH13" i="1"/>
  <c r="CH44" i="1"/>
  <c r="CH45" i="1"/>
  <c r="CH47" i="1"/>
  <c r="CH48" i="1"/>
  <c r="CH49" i="1"/>
  <c r="CH50" i="1"/>
  <c r="CH51" i="1"/>
  <c r="CH52" i="1"/>
  <c r="CH53" i="1"/>
  <c r="CH54" i="1"/>
  <c r="CH55" i="1"/>
  <c r="CH320" i="1"/>
  <c r="CH321" i="1"/>
  <c r="CH322" i="1"/>
  <c r="CH323" i="1"/>
  <c r="CH324" i="1"/>
  <c r="CH325" i="1"/>
  <c r="CH439" i="1"/>
  <c r="CH440" i="1"/>
  <c r="CH441" i="1"/>
  <c r="CH442" i="1"/>
  <c r="CH443" i="1"/>
  <c r="CH444" i="1"/>
  <c r="CH445" i="1"/>
  <c r="CH446" i="1"/>
  <c r="CH447" i="1"/>
  <c r="CH448" i="1"/>
  <c r="CH449" i="1"/>
  <c r="CH450" i="1"/>
  <c r="CH451" i="1"/>
  <c r="CH452" i="1"/>
  <c r="CH453" i="1"/>
  <c r="CE448" i="1"/>
  <c r="CF448" i="1"/>
  <c r="CE449" i="1"/>
  <c r="CF449" i="1"/>
  <c r="CE450" i="1"/>
  <c r="CF450" i="1"/>
  <c r="CE451" i="1"/>
  <c r="CF451" i="1"/>
  <c r="CE452" i="1"/>
  <c r="CF452" i="1"/>
  <c r="CE453" i="1"/>
  <c r="CF453" i="1"/>
  <c r="CE454" i="1"/>
  <c r="CF454" i="1"/>
  <c r="CE447" i="1"/>
  <c r="CF447" i="1"/>
  <c r="CE446" i="1"/>
  <c r="CF446" i="1"/>
  <c r="CE445" i="1"/>
  <c r="CF445" i="1"/>
  <c r="CE444" i="1"/>
  <c r="CF444" i="1"/>
  <c r="CE443" i="1"/>
  <c r="CF443" i="1"/>
  <c r="CE442" i="1"/>
  <c r="CF442" i="1"/>
  <c r="CE441" i="1"/>
  <c r="CF441" i="1"/>
  <c r="CE440" i="1"/>
  <c r="CF440" i="1"/>
  <c r="CE439" i="1"/>
  <c r="CF439" i="1"/>
  <c r="CE325" i="1"/>
  <c r="CF325" i="1"/>
  <c r="CE324" i="1"/>
  <c r="CF324" i="1"/>
  <c r="CE323" i="1"/>
  <c r="CF323" i="1"/>
  <c r="CE322" i="1"/>
  <c r="CF322" i="1"/>
  <c r="CE321" i="1"/>
  <c r="CF321" i="1"/>
  <c r="CE320" i="1"/>
  <c r="CF320" i="1"/>
  <c r="CE3" i="1"/>
  <c r="CF3" i="1"/>
  <c r="CE4" i="1"/>
  <c r="CF4" i="1"/>
  <c r="CE6" i="1"/>
  <c r="CF6" i="1"/>
  <c r="CE7" i="1"/>
  <c r="CF7" i="1"/>
  <c r="CE8" i="1"/>
  <c r="CF8" i="1"/>
  <c r="CE9" i="1"/>
  <c r="CF9" i="1"/>
  <c r="CE10" i="1"/>
  <c r="CF10" i="1"/>
  <c r="CE11" i="1"/>
  <c r="CF11" i="1"/>
  <c r="CE34" i="1"/>
  <c r="CF34" i="1"/>
  <c r="CE35" i="1"/>
  <c r="CF35" i="1"/>
  <c r="CE36" i="1"/>
  <c r="CF36" i="1"/>
  <c r="CE37" i="1"/>
  <c r="CF37" i="1"/>
  <c r="CF38" i="1"/>
  <c r="CE39" i="1"/>
  <c r="CF39" i="1"/>
  <c r="CE40" i="1"/>
  <c r="CF40" i="1"/>
  <c r="CE41" i="1"/>
  <c r="CF41" i="1"/>
  <c r="CE42" i="1"/>
  <c r="CF42" i="1"/>
  <c r="CE43" i="1"/>
  <c r="CF43" i="1"/>
  <c r="CE539" i="1"/>
  <c r="CF539" i="1"/>
  <c r="CE540" i="1"/>
  <c r="CF540" i="1"/>
  <c r="CE541" i="1"/>
  <c r="CF541" i="1"/>
  <c r="CE542" i="1"/>
  <c r="CF542" i="1"/>
  <c r="CE543" i="1"/>
  <c r="CF543" i="1"/>
  <c r="CE544" i="1"/>
  <c r="CF544" i="1"/>
  <c r="CE545" i="1"/>
  <c r="CF545" i="1"/>
  <c r="CE546" i="1"/>
  <c r="CF546" i="1"/>
  <c r="CE547" i="1"/>
  <c r="CF547" i="1"/>
  <c r="CE548" i="1"/>
  <c r="CF548" i="1"/>
  <c r="CE549" i="1"/>
  <c r="CF549" i="1"/>
  <c r="CE550" i="1"/>
  <c r="CF550" i="1"/>
  <c r="CE551" i="1"/>
  <c r="CF551" i="1"/>
  <c r="CE552" i="1"/>
  <c r="CF552" i="1"/>
  <c r="CE553" i="1"/>
  <c r="CF553" i="1"/>
  <c r="CE554" i="1"/>
  <c r="CF554" i="1"/>
  <c r="CE555" i="1"/>
  <c r="CF555" i="1"/>
  <c r="CE12" i="1"/>
  <c r="CF12" i="1"/>
  <c r="CE13" i="1"/>
  <c r="CF13" i="1"/>
  <c r="CE44" i="1"/>
  <c r="CF44" i="1"/>
  <c r="CE45" i="1"/>
  <c r="CF45" i="1"/>
  <c r="CE47" i="1"/>
  <c r="CF47" i="1"/>
  <c r="CE48" i="1"/>
  <c r="CF48" i="1"/>
  <c r="CE49" i="1"/>
  <c r="CF49" i="1"/>
  <c r="CE50" i="1"/>
  <c r="CF50" i="1"/>
  <c r="CE51" i="1"/>
  <c r="CF51" i="1"/>
  <c r="CE52" i="1"/>
  <c r="CF52" i="1"/>
  <c r="CE53" i="1"/>
  <c r="CF53" i="1"/>
  <c r="CE54" i="1"/>
  <c r="CF54" i="1"/>
  <c r="CE55" i="1"/>
  <c r="CF55" i="1"/>
  <c r="CJ80" i="1" l="1"/>
  <c r="CI80" i="1"/>
</calcChain>
</file>

<file path=xl/sharedStrings.xml><?xml version="1.0" encoding="utf-8"?>
<sst xmlns="http://schemas.openxmlformats.org/spreadsheetml/2006/main" count="6166" uniqueCount="1555">
  <si>
    <t>FishCode</t>
  </si>
  <si>
    <t>Pond</t>
  </si>
  <si>
    <t>SizeClass</t>
  </si>
  <si>
    <t>TLEN</t>
  </si>
  <si>
    <t>FLEN</t>
  </si>
  <si>
    <t>RWT</t>
  </si>
  <si>
    <t>Liver</t>
  </si>
  <si>
    <t>Gonad</t>
  </si>
  <si>
    <t>Sex</t>
  </si>
  <si>
    <t>Fgut</t>
  </si>
  <si>
    <t>Egut</t>
  </si>
  <si>
    <t>Contents</t>
  </si>
  <si>
    <t>Date</t>
  </si>
  <si>
    <t>Sample</t>
  </si>
  <si>
    <t>Comments</t>
  </si>
  <si>
    <t>GSI</t>
  </si>
  <si>
    <t>HSI</t>
  </si>
  <si>
    <t>SHSI</t>
  </si>
  <si>
    <t>GUSI</t>
  </si>
  <si>
    <t>GFI</t>
  </si>
  <si>
    <t>CaptureMethod</t>
  </si>
  <si>
    <t>ParasiteLoad</t>
  </si>
  <si>
    <t>PU-GBP-1</t>
  </si>
  <si>
    <t>GBP</t>
  </si>
  <si>
    <t>F22</t>
  </si>
  <si>
    <t>Odonate larvae</t>
  </si>
  <si>
    <t>18/12/2020</t>
  </si>
  <si>
    <t>NA</t>
  </si>
  <si>
    <t>PU-GBP-2</t>
  </si>
  <si>
    <t>Inverts</t>
  </si>
  <si>
    <t>Na</t>
  </si>
  <si>
    <t>PU-GBP-3</t>
  </si>
  <si>
    <t>Inerts</t>
  </si>
  <si>
    <t>PU-GBP-4</t>
  </si>
  <si>
    <t>Too small/squished</t>
  </si>
  <si>
    <t>PU-GBP-5</t>
  </si>
  <si>
    <t>MT</t>
  </si>
  <si>
    <t>PU-GBP-6</t>
  </si>
  <si>
    <t>M22</t>
  </si>
  <si>
    <t>Gonads very small</t>
  </si>
  <si>
    <t>PU-GBP-7</t>
  </si>
  <si>
    <t>Mt</t>
  </si>
  <si>
    <t>PU-GBP-8</t>
  </si>
  <si>
    <t>PU-GBP-9</t>
  </si>
  <si>
    <t>PU-GBP-10</t>
  </si>
  <si>
    <t>PU-GSP-1</t>
  </si>
  <si>
    <t>GSP</t>
  </si>
  <si>
    <t>PU-GSP-2</t>
  </si>
  <si>
    <t>PU-GSP-3</t>
  </si>
  <si>
    <t>Eye parasite, gonads pronounced</t>
  </si>
  <si>
    <t>PU-GSP-4</t>
  </si>
  <si>
    <t>PU-GSP-5</t>
  </si>
  <si>
    <t>Gonads lost</t>
  </si>
  <si>
    <t>PU-GSP-6</t>
  </si>
  <si>
    <t>PU-GSP-7</t>
  </si>
  <si>
    <t>PU-GSP-8</t>
  </si>
  <si>
    <t>PU-GSP-9</t>
  </si>
  <si>
    <t>PU-GSP-10</t>
  </si>
  <si>
    <t>Big tail parasite</t>
  </si>
  <si>
    <t>PU-PP-1</t>
  </si>
  <si>
    <t>PP</t>
  </si>
  <si>
    <t>PU-PP-2</t>
  </si>
  <si>
    <t>PU-PP-3</t>
  </si>
  <si>
    <t>Caddisfly, odonate larvae</t>
  </si>
  <si>
    <t>PU-PP-4</t>
  </si>
  <si>
    <t>Worm</t>
  </si>
  <si>
    <t>Heart parasite</t>
  </si>
  <si>
    <t>PU-PP-5</t>
  </si>
  <si>
    <t>Worm, inverts</t>
  </si>
  <si>
    <t>Gut not kept</t>
  </si>
  <si>
    <t>PU-PP-6</t>
  </si>
  <si>
    <t>PU-PP-7</t>
  </si>
  <si>
    <t>PU-PP-8</t>
  </si>
  <si>
    <t>PU-PP-9</t>
  </si>
  <si>
    <t>PU-PP-10</t>
  </si>
  <si>
    <t>PU-PP-11</t>
  </si>
  <si>
    <t>PU-PP-12</t>
  </si>
  <si>
    <t>Chironomids, inverts</t>
  </si>
  <si>
    <t>PU-PP-13</t>
  </si>
  <si>
    <t>PU-PP-14</t>
  </si>
  <si>
    <t>PU-PP-15</t>
  </si>
  <si>
    <t>PU-PP-16</t>
  </si>
  <si>
    <t>PU-PP-17</t>
  </si>
  <si>
    <t>PU-GBP-11</t>
  </si>
  <si>
    <t>Leech</t>
  </si>
  <si>
    <t>19/12/2020</t>
  </si>
  <si>
    <t>PU-GBP-12</t>
  </si>
  <si>
    <t>PU-GSP-11</t>
  </si>
  <si>
    <t>Parasites</t>
  </si>
  <si>
    <t>PU-GSP-12</t>
  </si>
  <si>
    <t>PU-GSP-13</t>
  </si>
  <si>
    <t>PU-GSP-14</t>
  </si>
  <si>
    <t>PU-GSP-15</t>
  </si>
  <si>
    <t>Cranefly larva, caddisfly larva</t>
  </si>
  <si>
    <t>PU-GSP-16</t>
  </si>
  <si>
    <t>PU-GSP-17</t>
  </si>
  <si>
    <t>PU-GSP-18</t>
  </si>
  <si>
    <t>PU-GSP-19</t>
  </si>
  <si>
    <t>PU-GSP-20</t>
  </si>
  <si>
    <t>PU-GSP-21</t>
  </si>
  <si>
    <t>PU-GSP-22</t>
  </si>
  <si>
    <t>PU-KSB-1</t>
  </si>
  <si>
    <t>KSB</t>
  </si>
  <si>
    <t>21/12/2020</t>
  </si>
  <si>
    <t>Liver subsampled</t>
  </si>
  <si>
    <t>A</t>
  </si>
  <si>
    <t>PU-KSB-2</t>
  </si>
  <si>
    <t>PU-KSB-3</t>
  </si>
  <si>
    <t>PU-KSB-4</t>
  </si>
  <si>
    <t>PU-KSB-5</t>
  </si>
  <si>
    <t>PU-KSB-6</t>
  </si>
  <si>
    <t>PU-KSS-1</t>
  </si>
  <si>
    <t>KSS</t>
  </si>
  <si>
    <t>PU-KSS-2</t>
  </si>
  <si>
    <t>PU-KSS-3</t>
  </si>
  <si>
    <t>PU-KSS-4</t>
  </si>
  <si>
    <t>Chaoborous</t>
  </si>
  <si>
    <t>PU-KSS-5</t>
  </si>
  <si>
    <t>PU-KSS-6</t>
  </si>
  <si>
    <t>PU-KSS-7</t>
  </si>
  <si>
    <t>PU-KSS-8</t>
  </si>
  <si>
    <t>PU-KSS-9</t>
  </si>
  <si>
    <t>PU-KSS-10</t>
  </si>
  <si>
    <t>Gonads not kept</t>
  </si>
  <si>
    <t>PU-KSS-11</t>
  </si>
  <si>
    <t>PU-KSS-12</t>
  </si>
  <si>
    <t>PU-KSS-13</t>
  </si>
  <si>
    <t>PU-KSS-14</t>
  </si>
  <si>
    <t>PU-KSS-15</t>
  </si>
  <si>
    <t>PU-KSS-16</t>
  </si>
  <si>
    <t>PU-KSB-7</t>
  </si>
  <si>
    <t>30/12/2020</t>
  </si>
  <si>
    <t>PU-KSB-8</t>
  </si>
  <si>
    <t>1 odonate, 3 caddis larvae</t>
  </si>
  <si>
    <t>PU-KSB-9</t>
  </si>
  <si>
    <t>11 damselfly, 1 mayfly, 1 caddis larva</t>
  </si>
  <si>
    <t>PU-KSB-10</t>
  </si>
  <si>
    <t>Liver subsampled, developed gonads</t>
  </si>
  <si>
    <t>PU-PP-18</t>
  </si>
  <si>
    <t>Inverts (orange)</t>
  </si>
  <si>
    <t>16/01/2021</t>
  </si>
  <si>
    <t>Trapped</t>
  </si>
  <si>
    <t>T</t>
  </si>
  <si>
    <t>PU-PP-19</t>
  </si>
  <si>
    <t>Angled</t>
  </si>
  <si>
    <t>PU-PP-20</t>
  </si>
  <si>
    <t>Chironomids</t>
  </si>
  <si>
    <t>PU-PP-21</t>
  </si>
  <si>
    <t>PU-PP-22</t>
  </si>
  <si>
    <t>Angled, heavily parasitized</t>
  </si>
  <si>
    <t>PU-PP-23</t>
  </si>
  <si>
    <t>PU-PP-24</t>
  </si>
  <si>
    <t>PU-PP-25</t>
  </si>
  <si>
    <t>Chironomids, 1 Caddisfly larva</t>
  </si>
  <si>
    <t>PU-PP-26</t>
  </si>
  <si>
    <t>1 Pumpkinseed YOY, chironomids</t>
  </si>
  <si>
    <t>PU-PP-27</t>
  </si>
  <si>
    <t>1 Odonate, chironomids</t>
  </si>
  <si>
    <t>PU-PP-28</t>
  </si>
  <si>
    <t>PU-PP-29</t>
  </si>
  <si>
    <t>1 Damselfly larva</t>
  </si>
  <si>
    <t>PU-PP-30</t>
  </si>
  <si>
    <t>PU-PP-31</t>
  </si>
  <si>
    <t>White goo</t>
  </si>
  <si>
    <t>PU-PP-32</t>
  </si>
  <si>
    <t>PU-PP-33</t>
  </si>
  <si>
    <t>PU-PP-34</t>
  </si>
  <si>
    <t>1 Odonate larva, chironomids</t>
  </si>
  <si>
    <t>PU-PP-35</t>
  </si>
  <si>
    <t>PU-GSP-23</t>
  </si>
  <si>
    <t>PU-GSP-24</t>
  </si>
  <si>
    <t>PU-GSP-25</t>
  </si>
  <si>
    <t>PU-GSP-26</t>
  </si>
  <si>
    <t>PU-GSP-27</t>
  </si>
  <si>
    <t>PU-GSP-28</t>
  </si>
  <si>
    <t>PU-GSP-29</t>
  </si>
  <si>
    <t>PU-GSP-30</t>
  </si>
  <si>
    <t>PU-GSP-31</t>
  </si>
  <si>
    <t>PU-GSP-32</t>
  </si>
  <si>
    <t>PU-GSP-33</t>
  </si>
  <si>
    <t>PU-GSP-34</t>
  </si>
  <si>
    <t>PU-GSP-35</t>
  </si>
  <si>
    <t>PU-GSP-36</t>
  </si>
  <si>
    <t>PU-GSP-37</t>
  </si>
  <si>
    <t>PU-GSP-38</t>
  </si>
  <si>
    <t>PU-GSP-39</t>
  </si>
  <si>
    <t>Inverts (bait)</t>
  </si>
  <si>
    <t>Anlged</t>
  </si>
  <si>
    <t>PU-GSP-40</t>
  </si>
  <si>
    <t>PU-GBP-13</t>
  </si>
  <si>
    <t>18/01/2021</t>
  </si>
  <si>
    <t>PU-GBP-14</t>
  </si>
  <si>
    <t>PU-GBP-15</t>
  </si>
  <si>
    <t>PU-GBP-16</t>
  </si>
  <si>
    <t>PU-GBP-17</t>
  </si>
  <si>
    <t>PU-GBP-18</t>
  </si>
  <si>
    <t>PU-GBP-19</t>
  </si>
  <si>
    <t>PU-GBP-20</t>
  </si>
  <si>
    <t>PU-GBP-21</t>
  </si>
  <si>
    <t>PU-GBP-22</t>
  </si>
  <si>
    <t>1 damselfly larva</t>
  </si>
  <si>
    <t>PU-GBP-23</t>
  </si>
  <si>
    <t>PU-GBP-24</t>
  </si>
  <si>
    <t>1 chironomid</t>
  </si>
  <si>
    <t>PU-GBP-25</t>
  </si>
  <si>
    <t>PU-GBP-26</t>
  </si>
  <si>
    <t>PU-GBP-27</t>
  </si>
  <si>
    <t>PU-GBP-28</t>
  </si>
  <si>
    <t>PU-GBP-29</t>
  </si>
  <si>
    <t>PU-GBP-30</t>
  </si>
  <si>
    <t>PU-KSS-17</t>
  </si>
  <si>
    <t>1 caddis, 1 odonate</t>
  </si>
  <si>
    <t>20/01/2021</t>
  </si>
  <si>
    <t>PU-KSS-18</t>
  </si>
  <si>
    <t>3 odonate, 5 damselfly</t>
  </si>
  <si>
    <t>PU-KSS-19</t>
  </si>
  <si>
    <t>PU-KSS-20</t>
  </si>
  <si>
    <t>PU-KSS-21</t>
  </si>
  <si>
    <t>22 mayfly</t>
  </si>
  <si>
    <t>PU-KSS-22</t>
  </si>
  <si>
    <t>3 odonate</t>
  </si>
  <si>
    <t>PU-KSS-23</t>
  </si>
  <si>
    <t>PU-KSS-24</t>
  </si>
  <si>
    <t>1 odonate</t>
  </si>
  <si>
    <t>PU-KSS-25</t>
  </si>
  <si>
    <t>2 mayfly</t>
  </si>
  <si>
    <t>PU-KSS-26</t>
  </si>
  <si>
    <t>21/01/2021</t>
  </si>
  <si>
    <t>Trapped, gonads not kept</t>
  </si>
  <si>
    <t>PU-KSS-27</t>
  </si>
  <si>
    <t>1 odonate, 1 damselfly, 2 chironomids</t>
  </si>
  <si>
    <t>PU-KSS-28</t>
  </si>
  <si>
    <t>PU-KSS-29</t>
  </si>
  <si>
    <t>3 chironomids</t>
  </si>
  <si>
    <t>PU-KSS-30</t>
  </si>
  <si>
    <t>PU-KSS-31</t>
  </si>
  <si>
    <t>PU-KSS-32</t>
  </si>
  <si>
    <t>2 chironomids</t>
  </si>
  <si>
    <t>PU-KSS-33</t>
  </si>
  <si>
    <t>PU-KSS-34</t>
  </si>
  <si>
    <t>PU-KSB-11</t>
  </si>
  <si>
    <t>Trapped, small gonads</t>
  </si>
  <si>
    <t>PU-KSB-12</t>
  </si>
  <si>
    <t>1 mayfly, 3 chironomids</t>
  </si>
  <si>
    <t>PU-KSB-13</t>
  </si>
  <si>
    <t>PU-KSB-14</t>
  </si>
  <si>
    <t>22/01/2021</t>
  </si>
  <si>
    <t>PU-KSB-15</t>
  </si>
  <si>
    <t>1 damselfly larva, 2 caddisfly larva</t>
  </si>
  <si>
    <t>PU-KSB-16</t>
  </si>
  <si>
    <t>4 damselfly, 1 mayfly</t>
  </si>
  <si>
    <t>PU-KSB-17</t>
  </si>
  <si>
    <t>4 caddis, 2 odonates</t>
  </si>
  <si>
    <t>Angled, no parasites</t>
  </si>
  <si>
    <t>PU-GSP-41</t>
  </si>
  <si>
    <t>1 odonate: 0.013</t>
  </si>
  <si>
    <t>Trapped, heavily parasitized</t>
  </si>
  <si>
    <t>PU-GSP-42</t>
  </si>
  <si>
    <t>PU-GSP-43</t>
  </si>
  <si>
    <t>1 caddis: 0.008, 1 chiro: 0.002</t>
  </si>
  <si>
    <t>PU-GSP-44</t>
  </si>
  <si>
    <t>PU-GSP-45</t>
  </si>
  <si>
    <t>PU-GSP-46</t>
  </si>
  <si>
    <t>PU-GSP-47</t>
  </si>
  <si>
    <t>3 chironomids: 0.008</t>
  </si>
  <si>
    <t>PU-GSP-48</t>
  </si>
  <si>
    <t>PU-GSP-49</t>
  </si>
  <si>
    <t>Trapped, Pic 1</t>
  </si>
  <si>
    <t>PU-GSP-50</t>
  </si>
  <si>
    <t>Trapped, Pic 2</t>
  </si>
  <si>
    <t>PU-GSP-51</t>
  </si>
  <si>
    <t>F10</t>
  </si>
  <si>
    <t>Trapped, Pic 3</t>
  </si>
  <si>
    <t>PU-PP-36</t>
  </si>
  <si>
    <t>1 caddisfly: 0.05</t>
  </si>
  <si>
    <t>Angled, some parasites</t>
  </si>
  <si>
    <t>PU-PP-37</t>
  </si>
  <si>
    <t>bait: 0.089</t>
  </si>
  <si>
    <t>PU-PP-38</t>
  </si>
  <si>
    <t>3 chironomids: 0.003</t>
  </si>
  <si>
    <t>PU-PP-39</t>
  </si>
  <si>
    <t>PU-PP-40</t>
  </si>
  <si>
    <t>PU-PP-41</t>
  </si>
  <si>
    <t>PU-PP-42</t>
  </si>
  <si>
    <t>2 odonate: 0.266</t>
  </si>
  <si>
    <t>Angled, heavily parasitized, gonads: one overdeveloped, one underdeveloped</t>
  </si>
  <si>
    <t>PU-GSP-52</t>
  </si>
  <si>
    <t>4 chironomids: 0.004</t>
  </si>
  <si>
    <t>Trapped, no parasites</t>
  </si>
  <si>
    <t>PU-GSP-53</t>
  </si>
  <si>
    <t>Trapped, some parasites</t>
  </si>
  <si>
    <t>PU-GSP-54</t>
  </si>
  <si>
    <t>1 chironomid: 0.001</t>
  </si>
  <si>
    <t>PU-GSP-55</t>
  </si>
  <si>
    <t>PU-GSP-56</t>
  </si>
  <si>
    <t>PU-GSP-57</t>
  </si>
  <si>
    <t>PU-GSP-58</t>
  </si>
  <si>
    <t>Inverts: 0.004</t>
  </si>
  <si>
    <t>Trapped, no parasites, Picture 4</t>
  </si>
  <si>
    <t>PU-PP-43</t>
  </si>
  <si>
    <t>PU-PP-44</t>
  </si>
  <si>
    <t>PU-PP-45</t>
  </si>
  <si>
    <t>Inverts: 0.048</t>
  </si>
  <si>
    <t>PU-GBP-31</t>
  </si>
  <si>
    <t>2 chironomids: 0.005</t>
  </si>
  <si>
    <t>Trapped dead, no parasites</t>
  </si>
  <si>
    <t>PU-GBP-32</t>
  </si>
  <si>
    <t>PU-PP-46</t>
  </si>
  <si>
    <t>PU-PP-47</t>
  </si>
  <si>
    <t>2 damselfly larvae: 0.017</t>
  </si>
  <si>
    <t>PU-PP-48</t>
  </si>
  <si>
    <t>1 chironomid: 0.004</t>
  </si>
  <si>
    <t>PU-PP-49</t>
  </si>
  <si>
    <t>1 Inverts: 0.075, bait?</t>
  </si>
  <si>
    <t>PU-KSS-35</t>
  </si>
  <si>
    <t>PU-KSS-36</t>
  </si>
  <si>
    <t>M10</t>
  </si>
  <si>
    <t>Trapped dead, some parasites</t>
  </si>
  <si>
    <t>PU-KSS-37</t>
  </si>
  <si>
    <t>2 mayflies: 0.015</t>
  </si>
  <si>
    <t>PU-KSS-38</t>
  </si>
  <si>
    <t>Inverts: 0.013</t>
  </si>
  <si>
    <t>PU-KSS-39</t>
  </si>
  <si>
    <t>9 chiro: 0.015</t>
  </si>
  <si>
    <t>Trapped dead, heavily parasitized, tail broken but salvaged for length</t>
  </si>
  <si>
    <t>PU-KSS-40</t>
  </si>
  <si>
    <t>Inverts: 0.001</t>
  </si>
  <si>
    <t>Trapped dead, heavily parasitized</t>
  </si>
  <si>
    <t>PU-KSS-41</t>
  </si>
  <si>
    <t>PU-KSS-42</t>
  </si>
  <si>
    <t>2 x chiro: 0.008</t>
  </si>
  <si>
    <t>Trapped dead, heavily parasitized, picture #5</t>
  </si>
  <si>
    <t>PU-KSS-43</t>
  </si>
  <si>
    <t>PU-KSS-44</t>
  </si>
  <si>
    <t>Goo: 0.003</t>
  </si>
  <si>
    <t>PU-KSS-45</t>
  </si>
  <si>
    <t>F20</t>
  </si>
  <si>
    <t>Goo: 0.006</t>
  </si>
  <si>
    <t>Trapped dead, heavily parasitized, picture #6</t>
  </si>
  <si>
    <t>PU-KSS-46</t>
  </si>
  <si>
    <t>Goo: NW</t>
  </si>
  <si>
    <t>Trapped dead, heavily parasitized, picture #7 IMG_2905-07</t>
  </si>
  <si>
    <t>PU-KSB-18</t>
  </si>
  <si>
    <t>9 damsel: 0.044; 2 odonate: 0.018</t>
  </si>
  <si>
    <t>PU-KSB-19</t>
  </si>
  <si>
    <t>6 chiro: 0.004</t>
  </si>
  <si>
    <t>PU-KSB-20</t>
  </si>
  <si>
    <t>10 chiro: 0.017; 1 caddis: 0.006</t>
  </si>
  <si>
    <t>PU-KSB-21</t>
  </si>
  <si>
    <t>5 chiro: 0.009</t>
  </si>
  <si>
    <t>PU-KSB-22</t>
  </si>
  <si>
    <t>6 chiro: 0.006</t>
  </si>
  <si>
    <t>PU-KSB-23</t>
  </si>
  <si>
    <t>15 damsel: 0.031</t>
  </si>
  <si>
    <t>PU-KSB-24</t>
  </si>
  <si>
    <t>2 damsnel: 0.048; 4 inverts: 0.01</t>
  </si>
  <si>
    <t>PU-KSB-25</t>
  </si>
  <si>
    <t>3 damsel: 0.015; 3 chiro: 0.007</t>
  </si>
  <si>
    <t>PU-KSB-26</t>
  </si>
  <si>
    <t>M20</t>
  </si>
  <si>
    <t>1 damsel: 0.001; 3 chiro: 0.007</t>
  </si>
  <si>
    <t>Trapped, some parasites, gonads not kept</t>
  </si>
  <si>
    <t>PU-KSB-27</t>
  </si>
  <si>
    <t>10 chiro: 0.012</t>
  </si>
  <si>
    <t>PU-KSB-28</t>
  </si>
  <si>
    <t>1 damsel: 0.006; 4 chiro: 0.005</t>
  </si>
  <si>
    <t>PU-KSB-29</t>
  </si>
  <si>
    <t>5 damsel: 0.02</t>
  </si>
  <si>
    <t>PU-KSB-30</t>
  </si>
  <si>
    <t>16 chiro: 0.037</t>
  </si>
  <si>
    <t>Trapped, heavily parasitized, gonads not kept</t>
  </si>
  <si>
    <t>PU-KSB-31</t>
  </si>
  <si>
    <t>7 damsel: 0.024</t>
  </si>
  <si>
    <t>PU-KSB-32</t>
  </si>
  <si>
    <t>10 damsel: 0.041; 1 mayfly: 0.004; 3 chiro: 0.005</t>
  </si>
  <si>
    <t>PU-KSB-33</t>
  </si>
  <si>
    <t>8 damsel: 0.016</t>
  </si>
  <si>
    <t>PU-KSB-34</t>
  </si>
  <si>
    <t>PU-KSB-35</t>
  </si>
  <si>
    <t>3 chiro: 0.004</t>
  </si>
  <si>
    <t>PU-KSB-36</t>
  </si>
  <si>
    <t>4 chiro: 0.008</t>
  </si>
  <si>
    <t>PU-GSP-59</t>
  </si>
  <si>
    <t>19/2/2021</t>
  </si>
  <si>
    <t>PU-GSP-60</t>
  </si>
  <si>
    <t>PU-GSP-61</t>
  </si>
  <si>
    <t>1 chiro: &lt;0.001</t>
  </si>
  <si>
    <t>PU-GSP-62</t>
  </si>
  <si>
    <t>PU-GSP-63</t>
  </si>
  <si>
    <t>PU-GSP-64</t>
  </si>
  <si>
    <t>PU-GSP-65</t>
  </si>
  <si>
    <t>PU-GSP-66</t>
  </si>
  <si>
    <t>PU-GSP-67</t>
  </si>
  <si>
    <t>PU-GSP-68</t>
  </si>
  <si>
    <t>PU-GSP-69</t>
  </si>
  <si>
    <t>1 invert: 0.001</t>
  </si>
  <si>
    <t>PU-GSP-70</t>
  </si>
  <si>
    <t>PU-GSP-71</t>
  </si>
  <si>
    <t>PU-GSP-72</t>
  </si>
  <si>
    <t>PU-GSP-73</t>
  </si>
  <si>
    <t>2 zoops: 0.001</t>
  </si>
  <si>
    <t>PU-GSP-74</t>
  </si>
  <si>
    <t>3 zoops: 0.001</t>
  </si>
  <si>
    <t>PU-GSP-75</t>
  </si>
  <si>
    <t>1 zoops: &lt;0.001</t>
  </si>
  <si>
    <t>PU-GSP-76</t>
  </si>
  <si>
    <t>&gt;10 zoops: 0.002</t>
  </si>
  <si>
    <t>PU-GSP-77</t>
  </si>
  <si>
    <t>2 zoops: &lt;0.001</t>
  </si>
  <si>
    <t>PU-GSP-78</t>
  </si>
  <si>
    <t>~5 zoops: &lt;0.001</t>
  </si>
  <si>
    <t>PU-GSP-79</t>
  </si>
  <si>
    <t>PU-GSP-80</t>
  </si>
  <si>
    <t>~20 zoops: 0.003</t>
  </si>
  <si>
    <t>PU-GSP-81</t>
  </si>
  <si>
    <t>PU-GSP-82</t>
  </si>
  <si>
    <t>3 zoops: &lt;0.001</t>
  </si>
  <si>
    <t>PU-GSP-83</t>
  </si>
  <si>
    <t>PU-PP-50</t>
  </si>
  <si>
    <t>10 chiro: 0.02</t>
  </si>
  <si>
    <t>20/2/2021</t>
  </si>
  <si>
    <t>PU-PP-51</t>
  </si>
  <si>
    <t>7 chiro: 0.019</t>
  </si>
  <si>
    <t>PU-PP-52</t>
  </si>
  <si>
    <t>PU-PP-53</t>
  </si>
  <si>
    <t>4 chiro: 0.013</t>
  </si>
  <si>
    <t>PU-PP-54</t>
  </si>
  <si>
    <t>10 chiro: 0.02; 1 odo: 0.005</t>
  </si>
  <si>
    <t>PU-PP-55</t>
  </si>
  <si>
    <t>Trapped, heavily parasitized, 1 UNDEV gonad</t>
  </si>
  <si>
    <t>PU-PP-56</t>
  </si>
  <si>
    <t>3 damsel: 0.018</t>
  </si>
  <si>
    <t>PU-PP-57</t>
  </si>
  <si>
    <t>9 chiro: 0.03</t>
  </si>
  <si>
    <t>PU-PP-58</t>
  </si>
  <si>
    <t>5 chiro: 0.006</t>
  </si>
  <si>
    <t>PU-PP-59</t>
  </si>
  <si>
    <t>&lt;0.001</t>
  </si>
  <si>
    <t>2 chiro: 0.001</t>
  </si>
  <si>
    <t>PU-PP-60</t>
  </si>
  <si>
    <t>6 chiro: 0.002</t>
  </si>
  <si>
    <t>PU-PP-61</t>
  </si>
  <si>
    <t>~4 zoops: &lt;0.001</t>
  </si>
  <si>
    <t>PU-PP-62</t>
  </si>
  <si>
    <t>~2 zoops: &lt;0.001</t>
  </si>
  <si>
    <t>PU-PP-63</t>
  </si>
  <si>
    <t>6 damsel: 0.045</t>
  </si>
  <si>
    <t>21/02/2021</t>
  </si>
  <si>
    <t>PU-PP-64</t>
  </si>
  <si>
    <t>9 chiro: 0.039</t>
  </si>
  <si>
    <t>21/2/21</t>
  </si>
  <si>
    <t>PU-PP-65</t>
  </si>
  <si>
    <t>PU-PP-66</t>
  </si>
  <si>
    <t>3 inverts: 0.004</t>
  </si>
  <si>
    <t>PU-PP-67</t>
  </si>
  <si>
    <t>9 chiro: 0.023, 1 damsel: 0.007</t>
  </si>
  <si>
    <t>PU-PP-68</t>
  </si>
  <si>
    <t>PU-PP-69</t>
  </si>
  <si>
    <t>PU-PP-70</t>
  </si>
  <si>
    <t>4 chiro: 0.011</t>
  </si>
  <si>
    <t>PU-PP-71</t>
  </si>
  <si>
    <t>goo: 0.006</t>
  </si>
  <si>
    <t>PU-PP-72</t>
  </si>
  <si>
    <t>2 chiro: 0.004</t>
  </si>
  <si>
    <t>PU-KSB-37</t>
  </si>
  <si>
    <t>PU-KSB-38</t>
  </si>
  <si>
    <t>12 damsel: 0.045</t>
  </si>
  <si>
    <t>PU-KSB-39</t>
  </si>
  <si>
    <t>12 damsel: 0.058</t>
  </si>
  <si>
    <t>PU-KSB-40</t>
  </si>
  <si>
    <t>PU-KSB-41</t>
  </si>
  <si>
    <t>PU-KSB-42</t>
  </si>
  <si>
    <t>5 chiro: 0.013</t>
  </si>
  <si>
    <t>PU-KSB-43</t>
  </si>
  <si>
    <t>PU-KSB-44</t>
  </si>
  <si>
    <t>Trapped, XTREME parasites</t>
  </si>
  <si>
    <t>PU-KSB-45</t>
  </si>
  <si>
    <t>~10 zoops: 0.003</t>
  </si>
  <si>
    <t>PU-KSB-46</t>
  </si>
  <si>
    <t>14 chiro: 0.021; 4 damsel: 0.01</t>
  </si>
  <si>
    <t>PU-KSB-47</t>
  </si>
  <si>
    <t>3 chiro: 0.005</t>
  </si>
  <si>
    <t>PU-KSB-48</t>
  </si>
  <si>
    <t>inverts: 0.018</t>
  </si>
  <si>
    <t>PU-KSB-49</t>
  </si>
  <si>
    <t>1 chiro: 0.002</t>
  </si>
  <si>
    <t>PU-KSB-50</t>
  </si>
  <si>
    <t>Inverts: 0.003</t>
  </si>
  <si>
    <t>PU-KSB-51</t>
  </si>
  <si>
    <t>1 chiro: 0.001</t>
  </si>
  <si>
    <t>PU-KSB-52</t>
  </si>
  <si>
    <t>2 chiro: 0.004; 1 damsel: 0.001</t>
  </si>
  <si>
    <t>PU-GSP-84</t>
  </si>
  <si>
    <t>PU-GSP-85</t>
  </si>
  <si>
    <t>PU-GSP-86</t>
  </si>
  <si>
    <t>PU-GSP-87</t>
  </si>
  <si>
    <t>zoops &lt;0.001</t>
  </si>
  <si>
    <t>PU-GSP-88</t>
  </si>
  <si>
    <t>PU-GSP-89</t>
  </si>
  <si>
    <t>2 chiro: 0.003</t>
  </si>
  <si>
    <t>PU-GSP-90</t>
  </si>
  <si>
    <t>goo</t>
  </si>
  <si>
    <t>PU-GSP-91</t>
  </si>
  <si>
    <t>PU-GSP-92</t>
  </si>
  <si>
    <t>7 chiro: 0.024</t>
  </si>
  <si>
    <t>PU-GSP-93</t>
  </si>
  <si>
    <t>PU-GSP-94</t>
  </si>
  <si>
    <t>PU-GSP-95</t>
  </si>
  <si>
    <t>3 chiro: 0.003, inverts: 0.013</t>
  </si>
  <si>
    <t>PU-GSP-96</t>
  </si>
  <si>
    <t>3 chiro:0.004</t>
  </si>
  <si>
    <t>PU-GSP-97</t>
  </si>
  <si>
    <t>PU-GSP-98</t>
  </si>
  <si>
    <t>5 chiro: 0.052</t>
  </si>
  <si>
    <t>PU-GSP-99</t>
  </si>
  <si>
    <t>PU-GSP-100</t>
  </si>
  <si>
    <t>PU-GSP-101</t>
  </si>
  <si>
    <t>inverts: 0.01</t>
  </si>
  <si>
    <t>PU-GSP-102</t>
  </si>
  <si>
    <t>PU-GSP-103</t>
  </si>
  <si>
    <t>PU-GSP-104</t>
  </si>
  <si>
    <t>1 chiro: 0.004</t>
  </si>
  <si>
    <t>PU-GSP-105</t>
  </si>
  <si>
    <t>PU-GSP-106</t>
  </si>
  <si>
    <t>2 chiro: 0.008</t>
  </si>
  <si>
    <t>PU-GSP-107</t>
  </si>
  <si>
    <t>PU-GSP-108</t>
  </si>
  <si>
    <t>PU-GSP-109</t>
  </si>
  <si>
    <t>PU-GSP-110</t>
  </si>
  <si>
    <t>PU-GSP-111</t>
  </si>
  <si>
    <t>PU-GSP-112</t>
  </si>
  <si>
    <t>PU-PP-73</t>
  </si>
  <si>
    <t>PU-PP-74</t>
  </si>
  <si>
    <t>Damaged tail</t>
  </si>
  <si>
    <t>PU-PP-75</t>
  </si>
  <si>
    <t>3 chiro: 0.012</t>
  </si>
  <si>
    <t>PU-PP-76</t>
  </si>
  <si>
    <t>5 chiro: 0.019</t>
  </si>
  <si>
    <t>PU-PP-77</t>
  </si>
  <si>
    <t>3 chiro: 0.014</t>
  </si>
  <si>
    <t>PU-PP-78</t>
  </si>
  <si>
    <t>PU-PP-79</t>
  </si>
  <si>
    <t>PU-PP-80</t>
  </si>
  <si>
    <t>3 chiro: 0.009; 1 odo: 0.003</t>
  </si>
  <si>
    <t>PU-PP-81</t>
  </si>
  <si>
    <t>4 chiro: 0.022; 1 odo: 0.008</t>
  </si>
  <si>
    <t>PU-PP-82</t>
  </si>
  <si>
    <t>PU-PP-84</t>
  </si>
  <si>
    <t>2 chiro: 0.012</t>
  </si>
  <si>
    <t>PU-PP-85</t>
  </si>
  <si>
    <t>2 chiro: 0.007; 1 odo: 0.01</t>
  </si>
  <si>
    <t>PU-PP-83</t>
  </si>
  <si>
    <t>PU-PP-86</t>
  </si>
  <si>
    <t>PU-PP-87</t>
  </si>
  <si>
    <t>PU-PP-88</t>
  </si>
  <si>
    <t>PU-PP-89</t>
  </si>
  <si>
    <t>PU-KSB-53</t>
  </si>
  <si>
    <t>S</t>
  </si>
  <si>
    <t>6 chiro: 0.013</t>
  </si>
  <si>
    <t>PU-KSB-54</t>
  </si>
  <si>
    <t>PU-KSB-55</t>
  </si>
  <si>
    <t>zoops: 0.001</t>
  </si>
  <si>
    <t>PU-KSB-56</t>
  </si>
  <si>
    <t>PU-KSB-57</t>
  </si>
  <si>
    <t>PU-KSB-58</t>
  </si>
  <si>
    <t>PU-KSB-59</t>
  </si>
  <si>
    <t>PU-KSB-60</t>
  </si>
  <si>
    <t>zoops: 0.003</t>
  </si>
  <si>
    <t>PU-KSB-61</t>
  </si>
  <si>
    <t>PU-KSB-62</t>
  </si>
  <si>
    <t>PU-KSB-63</t>
  </si>
  <si>
    <t>1 damsel: 0.012</t>
  </si>
  <si>
    <t>PU-KSB-64</t>
  </si>
  <si>
    <t>PU-KSB-65</t>
  </si>
  <si>
    <t>Row Labels</t>
  </si>
  <si>
    <t>Average of TLEN</t>
  </si>
  <si>
    <t>Average of GSI</t>
  </si>
  <si>
    <t>StdDev of GSI</t>
  </si>
  <si>
    <t>Average of HSI</t>
  </si>
  <si>
    <t>StdDev of HSI</t>
  </si>
  <si>
    <t>Average of SHSI</t>
  </si>
  <si>
    <t>Average of GUSI</t>
  </si>
  <si>
    <t>Count of FishCode</t>
  </si>
  <si>
    <t>Average of GFI</t>
  </si>
  <si>
    <t>(blank)</t>
  </si>
  <si>
    <t>Grand Total</t>
  </si>
  <si>
    <t>Location</t>
  </si>
  <si>
    <t>TotalIceThickness</t>
  </si>
  <si>
    <t>WhiteIce</t>
  </si>
  <si>
    <t>ClearIce</t>
  </si>
  <si>
    <t>SlushThickness</t>
  </si>
  <si>
    <t>SnowDepth</t>
  </si>
  <si>
    <t>WaterTemp</t>
  </si>
  <si>
    <t>Conductivity</t>
  </si>
  <si>
    <t>Time</t>
  </si>
  <si>
    <t>20/12/2020</t>
  </si>
  <si>
    <t>31/12/2020</t>
  </si>
  <si>
    <t>13/2/2021</t>
  </si>
  <si>
    <t>Average of Conductivity</t>
  </si>
  <si>
    <t>GBP Total</t>
  </si>
  <si>
    <t>GSP Total</t>
  </si>
  <si>
    <t>KSB Total</t>
  </si>
  <si>
    <t>KSS Total</t>
  </si>
  <si>
    <t>PP Total</t>
  </si>
  <si>
    <t>(blank) Total</t>
  </si>
  <si>
    <t>Legend</t>
  </si>
  <si>
    <t>All masses in grams, all lengths in mm</t>
  </si>
  <si>
    <t>B</t>
  </si>
  <si>
    <t>&gt;100 mm total length</t>
  </si>
  <si>
    <t>Total Length</t>
  </si>
  <si>
    <t>Fork Length</t>
  </si>
  <si>
    <t>Round/Wet Weight</t>
  </si>
  <si>
    <t>M</t>
  </si>
  <si>
    <t>Male</t>
  </si>
  <si>
    <t>F</t>
  </si>
  <si>
    <t>Female</t>
  </si>
  <si>
    <t>Immature</t>
  </si>
  <si>
    <t>Developing</t>
  </si>
  <si>
    <t>Royal Stouffville Golf Course Small Pond</t>
  </si>
  <si>
    <t>Royal Stouffville Golf Course Big Pond</t>
  </si>
  <si>
    <t>KSR small pond</t>
  </si>
  <si>
    <t>KSR big pond</t>
  </si>
  <si>
    <t>Private Pond: 13798 Kennedy Road, Stouffville ON L4A 4B3</t>
  </si>
  <si>
    <t>Full gut mass</t>
  </si>
  <si>
    <t>Empty gut mass</t>
  </si>
  <si>
    <t>4 = XTREME</t>
  </si>
  <si>
    <t>&gt;100 digenean trematode cysts</t>
  </si>
  <si>
    <t>3 = Heavily/many/lots</t>
  </si>
  <si>
    <t>10 or more cysts</t>
  </si>
  <si>
    <t>2 = Some/few</t>
  </si>
  <si>
    <t>&lt;10 cysts</t>
  </si>
  <si>
    <t>1 = None/no</t>
  </si>
  <si>
    <t>0 cysts</t>
  </si>
  <si>
    <t>Gut Contents</t>
  </si>
  <si>
    <t>Odonate/odo</t>
  </si>
  <si>
    <t>Dragonfly larvae (Anisoptera)</t>
  </si>
  <si>
    <t>chiro/chironomid</t>
  </si>
  <si>
    <t>Midge larvae (Chironomidae)</t>
  </si>
  <si>
    <t>Damsel/damselfly</t>
  </si>
  <si>
    <t>Damselfly larvae (Zygoptera)</t>
  </si>
  <si>
    <t>caddis/caddisfly</t>
  </si>
  <si>
    <t>Caddisfly larvae (Trichoptera)</t>
  </si>
  <si>
    <t>zoops</t>
  </si>
  <si>
    <t>Unidentifiable zooplankton (Cladocera, Copepoda, etc.)</t>
  </si>
  <si>
    <t>Unidentifiable macroinvertebrates</t>
  </si>
  <si>
    <t>Day/Month/Year</t>
  </si>
  <si>
    <t>Gonadosomatic Index</t>
  </si>
  <si>
    <t>Gonad Weight / (Round Weight - Gonad Weight) * 100</t>
  </si>
  <si>
    <t>Hepatosomatic Index</t>
  </si>
  <si>
    <t>LiverWeight / (Round Weight - Liver Weight) * 100</t>
  </si>
  <si>
    <t>Gastrointestinal Index</t>
  </si>
  <si>
    <t>EmptyGI Weight / (Round Weight - EmptyGI Weight) * 100</t>
  </si>
  <si>
    <t>Gut Fullness Index</t>
  </si>
  <si>
    <t>(FullGI - EmptyGI) / Round Weight * 100</t>
  </si>
  <si>
    <t>Unsampled Fish Counts</t>
  </si>
  <si>
    <t>Pumpkinseed</t>
  </si>
  <si>
    <t>Bass</t>
  </si>
  <si>
    <t>RBDace</t>
  </si>
  <si>
    <t>KSRSP</t>
  </si>
  <si>
    <t>GCBP</t>
  </si>
  <si>
    <t>GCSP</t>
  </si>
  <si>
    <t>PU-GSP-113</t>
  </si>
  <si>
    <t>PU-GSP-114</t>
  </si>
  <si>
    <t>PU-GSP-115</t>
  </si>
  <si>
    <t>PU-GSP-116</t>
  </si>
  <si>
    <t>PU-GSP-117</t>
  </si>
  <si>
    <t>PU-GSP-118</t>
  </si>
  <si>
    <t>PU-GSP-119</t>
  </si>
  <si>
    <t>PU-GSP-120</t>
  </si>
  <si>
    <t>PU-GSP-121</t>
  </si>
  <si>
    <t>PU-GSP-122</t>
  </si>
  <si>
    <t>PU-GSP-123</t>
  </si>
  <si>
    <t>PU-GSP-124</t>
  </si>
  <si>
    <t>PU-GSP-125</t>
  </si>
  <si>
    <t>PU-GSP-126</t>
  </si>
  <si>
    <t>PU-GSP-127</t>
  </si>
  <si>
    <t>PU-GSP-128</t>
  </si>
  <si>
    <t>PU-GSP-129</t>
  </si>
  <si>
    <t>PU-GSP-130</t>
  </si>
  <si>
    <t>PU-GSP-131</t>
  </si>
  <si>
    <t>PU-GSP-132</t>
  </si>
  <si>
    <t>8 cranefly: 0.809; 2 odonate: 0.078</t>
  </si>
  <si>
    <t>2 chiro: 0.015</t>
  </si>
  <si>
    <t>4 earthworm: 0.76; 1 soldierfly larva: 0.031; 1 mussel: 0.042; 1 odonate: 0.026</t>
  </si>
  <si>
    <t>1 earthworm: 0.225; 7 chiro: 0.064</t>
  </si>
  <si>
    <t>1 cranefly: 0.017; 1 caddis: 0.08; 1 soldierfly: 0.01</t>
  </si>
  <si>
    <t>8 chiro: 0.033</t>
  </si>
  <si>
    <t>2 cranefly: 0.11; 2 odo: 0.046</t>
  </si>
  <si>
    <t>3 earthworm: 0.366; 25 chiro: 0.117; 1 odo: 0.036</t>
  </si>
  <si>
    <t>1 damsel: 0.021; 1 earthworm: 0.162; 3 cranefly: 0.083</t>
  </si>
  <si>
    <t>8 chiro: 0.049; 2 damsel: 0.042; 1 cranefly: 0.036; inverts: 0.02</t>
  </si>
  <si>
    <t>41 chiro: 0.286; 1 cranefly: 0.021</t>
  </si>
  <si>
    <t>16 chiro: 0.106; 1 earthworm: 0.04; 1 soldierfly: 0.035</t>
  </si>
  <si>
    <t>32 chiro: 0.17; 2 damsel: 0.036; 1 earthworm: 0.03</t>
  </si>
  <si>
    <t>16 chiro: 0.077; 1 leech: 0.012</t>
  </si>
  <si>
    <t>29 chiro: 0.126</t>
  </si>
  <si>
    <t>17 chaoborous: 0.016</t>
  </si>
  <si>
    <t>12 chiro: 0.05</t>
  </si>
  <si>
    <t>zoops: 0.004</t>
  </si>
  <si>
    <t>23 chiro: 0.097</t>
  </si>
  <si>
    <t>17/3/2021</t>
  </si>
  <si>
    <t>PU-GSP-133</t>
  </si>
  <si>
    <t>PU-GSP-134</t>
  </si>
  <si>
    <t>PU-GSP-135</t>
  </si>
  <si>
    <t>PU-GSP-136</t>
  </si>
  <si>
    <t>PU-GSP-137</t>
  </si>
  <si>
    <t>PU-GSP-138</t>
  </si>
  <si>
    <t>PU-PP-90</t>
  </si>
  <si>
    <t>PU-PP-91</t>
  </si>
  <si>
    <t>PU-PP-92</t>
  </si>
  <si>
    <t>PU-PP-93</t>
  </si>
  <si>
    <t>PU-PP-94</t>
  </si>
  <si>
    <t>PU-PP-95</t>
  </si>
  <si>
    <t>PU-PP-96</t>
  </si>
  <si>
    <t>PU-PP-97</t>
  </si>
  <si>
    <t>PU-PP-98</t>
  </si>
  <si>
    <t>PU-PP-99</t>
  </si>
  <si>
    <t>PU-PP-100</t>
  </si>
  <si>
    <t>PU-PP-101</t>
  </si>
  <si>
    <t>PU-PP-102</t>
  </si>
  <si>
    <t>PU-PP-103</t>
  </si>
  <si>
    <t>PU-PP-104</t>
  </si>
  <si>
    <t>PU-PP-105</t>
  </si>
  <si>
    <t>PU-PP-106</t>
  </si>
  <si>
    <t>PU-PP-107</t>
  </si>
  <si>
    <t>PU-PP-108</t>
  </si>
  <si>
    <t>PU-PP-109</t>
  </si>
  <si>
    <t>~50 chaoborous: 0.024</t>
  </si>
  <si>
    <t>20 chiro: 0.09</t>
  </si>
  <si>
    <t>11 chiro: 0.06</t>
  </si>
  <si>
    <t>15 chiro: 0.078</t>
  </si>
  <si>
    <t>1 fish: 0.117</t>
  </si>
  <si>
    <t>18/3/2021</t>
  </si>
  <si>
    <t>7 chiro: 0.026; inverts: 0.01</t>
  </si>
  <si>
    <t>11 chiro: 0.034; inverts: 0.013</t>
  </si>
  <si>
    <t>13 chiro: 0.051; 2 giant chiro: 0.063</t>
  </si>
  <si>
    <t>24 chiro: 0.134; 1 giant chiro: 0.023</t>
  </si>
  <si>
    <t>2 chiro: 0.013</t>
  </si>
  <si>
    <t>9 chiro: 0.042</t>
  </si>
  <si>
    <t>9 chiro: 0.043</t>
  </si>
  <si>
    <t>6 chiro: 0.029; 2 giant chiro: 0.035</t>
  </si>
  <si>
    <t>1 fish: 0.15</t>
  </si>
  <si>
    <t>10 chiro: 0.03; inverts: 0.012</t>
  </si>
  <si>
    <t>4 chiro: 0.028</t>
  </si>
  <si>
    <t>PU-PP-110</t>
  </si>
  <si>
    <t>PU-PP-111</t>
  </si>
  <si>
    <t>PU-PP-112</t>
  </si>
  <si>
    <t>PU-PP-113</t>
  </si>
  <si>
    <t>PU-PP-114</t>
  </si>
  <si>
    <t>PU-PP-115</t>
  </si>
  <si>
    <t>PU-PP-116</t>
  </si>
  <si>
    <t>PU-KSB-66</t>
  </si>
  <si>
    <t>PU-KSB-67</t>
  </si>
  <si>
    <t>PU-KSB-68</t>
  </si>
  <si>
    <t>PU-KSB-69</t>
  </si>
  <si>
    <t>PU-KSB-70</t>
  </si>
  <si>
    <t>PU-KSB-71</t>
  </si>
  <si>
    <t>PU-KSB-72</t>
  </si>
  <si>
    <t>PU-KSB-73</t>
  </si>
  <si>
    <t>PU-KSB-74</t>
  </si>
  <si>
    <t>2 chiro: 0.002</t>
  </si>
  <si>
    <t>7 chiro: 0.03</t>
  </si>
  <si>
    <t>2 chiro: 0.007; 1 odo: 0.029</t>
  </si>
  <si>
    <t>2 chiro: 0.007</t>
  </si>
  <si>
    <t>zoops: 0.01</t>
  </si>
  <si>
    <t>1 mayfly: 0.008; 2 chiro: 0.002</t>
  </si>
  <si>
    <t>1 damsel: 0.003</t>
  </si>
  <si>
    <t>19/03/2021</t>
  </si>
  <si>
    <t>ContentMass</t>
  </si>
  <si>
    <t>GFI2</t>
  </si>
  <si>
    <t>Average of GFI2</t>
  </si>
  <si>
    <t>I</t>
  </si>
  <si>
    <t>Frozen whole</t>
  </si>
  <si>
    <t>PU-GSP-139</t>
  </si>
  <si>
    <t>PU-GSP-140</t>
  </si>
  <si>
    <t>PU-GSP-141</t>
  </si>
  <si>
    <t>PU-GSP-142</t>
  </si>
  <si>
    <t>PU-GSP-143</t>
  </si>
  <si>
    <t>PU-GSP-144</t>
  </si>
  <si>
    <t>PU-GSP-145</t>
  </si>
  <si>
    <t>PU-GSP-146</t>
  </si>
  <si>
    <t>PU-GSP-147</t>
  </si>
  <si>
    <t>PU-GSP-148</t>
  </si>
  <si>
    <t>19/3/2021</t>
  </si>
  <si>
    <t>Stage</t>
  </si>
  <si>
    <t>SexStage</t>
  </si>
  <si>
    <t>F23</t>
  </si>
  <si>
    <t>2 earthworms: 0.288; veg: 0.026; 1 snail: 0.004</t>
  </si>
  <si>
    <t>1 earthworm: 0.307</t>
  </si>
  <si>
    <t>1 caddis: 0.069</t>
  </si>
  <si>
    <t>1 damsel: 0.014; 1 caddis: 0.030</t>
  </si>
  <si>
    <t>1 soldierfly larv: 0.070; 2 earthworm: 0.071</t>
  </si>
  <si>
    <t>~50 chiro: 0.484; 1 jumbo chiro: 0.016</t>
  </si>
  <si>
    <t>1 caddis: 0.024</t>
  </si>
  <si>
    <t>~15 chiro: 0.025</t>
  </si>
  <si>
    <t>PU-GSP-149</t>
  </si>
  <si>
    <t>PU-GSP-150</t>
  </si>
  <si>
    <t>PU-GSP-151</t>
  </si>
  <si>
    <t>PU-GSP-152</t>
  </si>
  <si>
    <t>PU-GSP-153</t>
  </si>
  <si>
    <t>PU-KSB-75</t>
  </si>
  <si>
    <t>PU-KSS-47</t>
  </si>
  <si>
    <t>PU-KSS-48</t>
  </si>
  <si>
    <t>PU-KSS-49</t>
  </si>
  <si>
    <t>PU-KSS-50</t>
  </si>
  <si>
    <t>PU-KSS-51</t>
  </si>
  <si>
    <t>PU-KSS-52</t>
  </si>
  <si>
    <t>PU-KSS-53</t>
  </si>
  <si>
    <t>PU-KSS-54</t>
  </si>
  <si>
    <t>PU-KSS-55</t>
  </si>
  <si>
    <t>PU-KSS-56</t>
  </si>
  <si>
    <t>PU-KSB-76</t>
  </si>
  <si>
    <t>PU-KSB-77</t>
  </si>
  <si>
    <t>PU-KSB-78</t>
  </si>
  <si>
    <t>PU-KSB-79</t>
  </si>
  <si>
    <t>PU-KSB-80</t>
  </si>
  <si>
    <t>PU-KSB-81</t>
  </si>
  <si>
    <t>PU-KSB-82</t>
  </si>
  <si>
    <t>PU-KSB-83</t>
  </si>
  <si>
    <t>PU-PP-117</t>
  </si>
  <si>
    <t>PU-PP-118</t>
  </si>
  <si>
    <t>8 chiro: 0.034</t>
  </si>
  <si>
    <t>2 chiro: 0.014</t>
  </si>
  <si>
    <t>2 mayfly: 0.014; 2 damsel: 0.026</t>
  </si>
  <si>
    <t>4 damsel: 0.053; 1 invert: 0.018</t>
  </si>
  <si>
    <t>1 damsel: 0.025; ~4 inverts: 0.004</t>
  </si>
  <si>
    <t>inverts: 0.005</t>
  </si>
  <si>
    <t>inverts: 0.004</t>
  </si>
  <si>
    <t>1 scud: 0.018</t>
  </si>
  <si>
    <t>2 scud: 0.024</t>
  </si>
  <si>
    <t>2 mayfly: 0.001</t>
  </si>
  <si>
    <t>inverts: 0.016</t>
  </si>
  <si>
    <t>3 damsel: 0.041; 2 scud: 0.005</t>
  </si>
  <si>
    <t>1 invert: 0.007</t>
  </si>
  <si>
    <t>2 chiro: 0.015; 2 soldier: 0.009</t>
  </si>
  <si>
    <t>~100 zoops: 0.012</t>
  </si>
  <si>
    <t>inverts: 0.009</t>
  </si>
  <si>
    <t>~200 zoops: 0.027</t>
  </si>
  <si>
    <t>3 chiro: 0.017</t>
  </si>
  <si>
    <t>1 mayfly: 0.012; 1 pupa: 0.041</t>
  </si>
  <si>
    <t>15/4/2021</t>
  </si>
  <si>
    <t>PU-PP-119</t>
  </si>
  <si>
    <t>PU-PP-120</t>
  </si>
  <si>
    <t>PU-PP-121</t>
  </si>
  <si>
    <t>PU-PP-122</t>
  </si>
  <si>
    <t>PU-PP-123</t>
  </si>
  <si>
    <t>PU-PP-124</t>
  </si>
  <si>
    <t>PU-PP-125</t>
  </si>
  <si>
    <t>PU-PP-126</t>
  </si>
  <si>
    <t>PU-PP-127</t>
  </si>
  <si>
    <t>PU-PP-128</t>
  </si>
  <si>
    <t>PU-PP-129</t>
  </si>
  <si>
    <t>PU-PP-130</t>
  </si>
  <si>
    <t>PU-PP-131</t>
  </si>
  <si>
    <t>PU-GSP-154</t>
  </si>
  <si>
    <t>PU-GSP-155</t>
  </si>
  <si>
    <t>PU-GSP-156</t>
  </si>
  <si>
    <t>PU-GSP-157</t>
  </si>
  <si>
    <t>PU-GSP-158</t>
  </si>
  <si>
    <t>PU-GSP-159</t>
  </si>
  <si>
    <t>PU-GSP-160</t>
  </si>
  <si>
    <t>PU-GSP-161</t>
  </si>
  <si>
    <t>PU-GSP-162</t>
  </si>
  <si>
    <t>PU-KSB-84</t>
  </si>
  <si>
    <t>PU-KSB-85</t>
  </si>
  <si>
    <t>PU-KSB-86</t>
  </si>
  <si>
    <t>PU-KSB-87</t>
  </si>
  <si>
    <t>F30</t>
  </si>
  <si>
    <t>M30</t>
  </si>
  <si>
    <t>~40 chiro: 0.165; 2 mussel: 0.004</t>
  </si>
  <si>
    <t>~50 chiro: 0.085; 1 damsel: 0.019</t>
  </si>
  <si>
    <t>14 damsel: 0.082</t>
  </si>
  <si>
    <t>~30 chiro: 0.063</t>
  </si>
  <si>
    <t>3 inverts: 0.008</t>
  </si>
  <si>
    <t>15 chiro: 0.053; 2 scud: 0.011</t>
  </si>
  <si>
    <t>zoops: 0.008</t>
  </si>
  <si>
    <t>1 pump: 0.832</t>
  </si>
  <si>
    <t>19/4/2021</t>
  </si>
  <si>
    <t>veg: 0.023</t>
  </si>
  <si>
    <t>1 snail: 0.096</t>
  </si>
  <si>
    <t>1 mussel: 0.006</t>
  </si>
  <si>
    <t>4 snail: 0.034; 3 mayfly: 0.015</t>
  </si>
  <si>
    <t>9 chiro: 0.003; 9 mayfly: 0.082; 1 damsel: 0.008</t>
  </si>
  <si>
    <t>1 pupa: 0.095; 1 snail: 0.04</t>
  </si>
  <si>
    <t>11 caddis: 0.667; 4 mayfly: 0.064; 1 odo: 0.283; 8 chiro: 0.11; 5 snail: 0.115; veg: 0.034</t>
  </si>
  <si>
    <t>~35 chiro: 0.193; 1 mussel: 0.016</t>
  </si>
  <si>
    <t>inverts: 0.258</t>
  </si>
  <si>
    <t>inverts: 1.005</t>
  </si>
  <si>
    <t>PU-KSB-88</t>
  </si>
  <si>
    <t>PU-KSB-89</t>
  </si>
  <si>
    <t>PU-KSB-90</t>
  </si>
  <si>
    <t>PU-KSB-91</t>
  </si>
  <si>
    <t>PU-GSP-163</t>
  </si>
  <si>
    <t>PU-GSP-164</t>
  </si>
  <si>
    <t>PU-GSP-165</t>
  </si>
  <si>
    <t>PU-GSP-166</t>
  </si>
  <si>
    <t>PU-GSP-167</t>
  </si>
  <si>
    <t>PU-GSP-168</t>
  </si>
  <si>
    <t>PU-GSP-169</t>
  </si>
  <si>
    <t>PU-GSP-170</t>
  </si>
  <si>
    <t>PU-GSP-171</t>
  </si>
  <si>
    <t>PU-GSP-172</t>
  </si>
  <si>
    <t>PU-GSP-173</t>
  </si>
  <si>
    <t>PU-GSP-174</t>
  </si>
  <si>
    <t>PU-GSP-175</t>
  </si>
  <si>
    <t>PU-GSP-176</t>
  </si>
  <si>
    <t>PU-GSP-177</t>
  </si>
  <si>
    <t>PU-GSP-178</t>
  </si>
  <si>
    <t>PU-GSP-179</t>
  </si>
  <si>
    <t>PU-GSP-180</t>
  </si>
  <si>
    <t>M23</t>
  </si>
  <si>
    <t>4 mussel: 0.066; 3 caddis: 0.12; 6 odo: 0.51; 2 snail: 0.038; inverts:0.137; 1 mayfly: 0.022</t>
  </si>
  <si>
    <t>12 caddis: 0.817; 3 mites: 0.05; 1 mayfly: 0.017; 2 odo: 0.153</t>
  </si>
  <si>
    <t>inverts: 0.481; 2 odonate: 0.292</t>
  </si>
  <si>
    <t>4 odo: 0.812; 43 mayfly: 0.422</t>
  </si>
  <si>
    <t>1 leech: 0.5; 3 worm: 0.445; veg: 0.041</t>
  </si>
  <si>
    <t>inverts: 0.072</t>
  </si>
  <si>
    <t>16 chiro: 0.046</t>
  </si>
  <si>
    <t>20/4/2021</t>
  </si>
  <si>
    <t>zoops: 0.015</t>
  </si>
  <si>
    <t>zoops (chaoborous): 0.117</t>
  </si>
  <si>
    <t>1 worm: 0.035</t>
  </si>
  <si>
    <t>inverts: 0.043</t>
  </si>
  <si>
    <t>zoops: 0.017</t>
  </si>
  <si>
    <t>8 chiro: 0.037</t>
  </si>
  <si>
    <t>zoops: 0.018</t>
  </si>
  <si>
    <t>~20 chiro: 0.048</t>
  </si>
  <si>
    <t>~10 chiro: 0.025; 2 snail: 0.005</t>
  </si>
  <si>
    <t>2 snail: 0.013</t>
  </si>
  <si>
    <t>inverts: 0.739</t>
  </si>
  <si>
    <t>3 pupa: 0.39; 1 snail: 0.009</t>
  </si>
  <si>
    <t>gill parasites</t>
  </si>
  <si>
    <t>PU-GSP-181</t>
  </si>
  <si>
    <t>PU-GSP-182</t>
  </si>
  <si>
    <t>PU-GSP-183</t>
  </si>
  <si>
    <t>PU-GSP-184</t>
  </si>
  <si>
    <t>PU-GSP-185</t>
  </si>
  <si>
    <t>PU-GSP-186</t>
  </si>
  <si>
    <t>PU-GSP-187</t>
  </si>
  <si>
    <t>PU-GSP-188</t>
  </si>
  <si>
    <t>5 worms: 0.639; veg: 0.008</t>
  </si>
  <si>
    <t>5 worms: 0.513</t>
  </si>
  <si>
    <t>2 worms: 0.218</t>
  </si>
  <si>
    <t>1 caddis: 0.156</t>
  </si>
  <si>
    <t>1 worm: 0.456</t>
  </si>
  <si>
    <t>6 worms: 1.66</t>
  </si>
  <si>
    <t>4 worms: 0.821</t>
  </si>
  <si>
    <t>1 tapeworm</t>
  </si>
  <si>
    <t>branch</t>
  </si>
  <si>
    <t>PU-GSP-189</t>
  </si>
  <si>
    <t>PU-GSP-190</t>
  </si>
  <si>
    <t>PU-GSP-191</t>
  </si>
  <si>
    <t>PU-GSP-192</t>
  </si>
  <si>
    <t>PU-GSP-193</t>
  </si>
  <si>
    <t>PU-GSP-194</t>
  </si>
  <si>
    <t>PU-GSP-195</t>
  </si>
  <si>
    <t>PU-GSP-196</t>
  </si>
  <si>
    <t>PU-GSP-197</t>
  </si>
  <si>
    <t>PU-GSP-198</t>
  </si>
  <si>
    <t>PU-GSP-199</t>
  </si>
  <si>
    <t>PU-GSP-200</t>
  </si>
  <si>
    <t>PU-GSP-201</t>
  </si>
  <si>
    <t>PU-PP-132</t>
  </si>
  <si>
    <t>PU-PP-133</t>
  </si>
  <si>
    <t>PU-PP-134</t>
  </si>
  <si>
    <t>PU-PP-135</t>
  </si>
  <si>
    <t>PU-PP-136</t>
  </si>
  <si>
    <t>PU-PP-137</t>
  </si>
  <si>
    <t>PU-PP-138</t>
  </si>
  <si>
    <t>PU-PP-139</t>
  </si>
  <si>
    <t>PU-PP-140</t>
  </si>
  <si>
    <t>PU-PP-141</t>
  </si>
  <si>
    <t>PU-PP-142</t>
  </si>
  <si>
    <t>PU-PP-143</t>
  </si>
  <si>
    <t>PU-PP-144</t>
  </si>
  <si>
    <t>11 chiro: 0.05</t>
  </si>
  <si>
    <t>inverts: 0.051</t>
  </si>
  <si>
    <t>1 soldierfly larv: 0.019</t>
  </si>
  <si>
    <t>9 chiro: 0.047</t>
  </si>
  <si>
    <t>inverts: 0.017</t>
  </si>
  <si>
    <t>zoops: 0.05</t>
  </si>
  <si>
    <t>zoops: 0.034</t>
  </si>
  <si>
    <t>zoops: 0.053</t>
  </si>
  <si>
    <t>inverts: 0.028</t>
  </si>
  <si>
    <t>zoops: 0.049</t>
  </si>
  <si>
    <t>zoops: 0.021</t>
  </si>
  <si>
    <t>zoops: 0.022</t>
  </si>
  <si>
    <t>2 fish: 0.699; 2 worms: 0.46</t>
  </si>
  <si>
    <t>2 caddis: 0.276; 1 snail: 0.04</t>
  </si>
  <si>
    <t>inverts: 0.215</t>
  </si>
  <si>
    <t>2 fish: 1.209; 1 earwig: 0.089</t>
  </si>
  <si>
    <t>1 odo: 0.023</t>
  </si>
  <si>
    <t>8 chiro: 0.052</t>
  </si>
  <si>
    <t>13 chiro: 0.146</t>
  </si>
  <si>
    <t>8 chiro: 0.068</t>
  </si>
  <si>
    <t>6 chiro: 0.014; inverts: 0.054</t>
  </si>
  <si>
    <t>20 chiro: 0.064; 1 snail: 0.003</t>
  </si>
  <si>
    <t>nematode worm</t>
  </si>
  <si>
    <t>PU-PP-145</t>
  </si>
  <si>
    <t>PU-PP-146</t>
  </si>
  <si>
    <t>PU-PP-147</t>
  </si>
  <si>
    <t>PU-PP-148</t>
  </si>
  <si>
    <t>PU-KSS-57</t>
  </si>
  <si>
    <t>PU-KSS-58</t>
  </si>
  <si>
    <t>PU-KSS-59</t>
  </si>
  <si>
    <t>PU-KSS-60</t>
  </si>
  <si>
    <t>PU-KSS-61</t>
  </si>
  <si>
    <t>PU-KSS-62</t>
  </si>
  <si>
    <t>PU-KSS-63</t>
  </si>
  <si>
    <t>inverts: 0.054</t>
  </si>
  <si>
    <t>1 chiro: 0.003</t>
  </si>
  <si>
    <t>10 inverts: 0.015</t>
  </si>
  <si>
    <t>17 chiro: 0.098</t>
  </si>
  <si>
    <t>6 chiro: 0.02</t>
  </si>
  <si>
    <t/>
  </si>
  <si>
    <t>GSP_br</t>
  </si>
  <si>
    <t>Average of WaterTemp</t>
  </si>
  <si>
    <t>Branch of Royal Stouffville Golf Course Small Pond</t>
  </si>
  <si>
    <t>Developed (protracted anal pore and proximal gonadal sphincter; loosened and opaque gonad)</t>
  </si>
  <si>
    <t>Ripe (opaque gonads with developed gametes)</t>
  </si>
  <si>
    <t>Spent</t>
  </si>
  <si>
    <t>&lt;70 mm total length</t>
  </si>
  <si>
    <t>70-100 mm total length</t>
  </si>
  <si>
    <t>Cranefly</t>
  </si>
  <si>
    <t>Cranefly larva (Tipulidae)</t>
  </si>
  <si>
    <t>Soldierfly larva (Stratiomyidae)</t>
  </si>
  <si>
    <t>Scud</t>
  </si>
  <si>
    <t>Amphipoda</t>
  </si>
  <si>
    <t>Fishfly</t>
  </si>
  <si>
    <t>Megaloptera: Coryalidae</t>
  </si>
  <si>
    <t>soldier/soldierfly</t>
  </si>
  <si>
    <t>PU-GSP-202</t>
  </si>
  <si>
    <t>PU-GSP-203</t>
  </si>
  <si>
    <t>PU-GSP-204</t>
  </si>
  <si>
    <t>PU-GSP-205</t>
  </si>
  <si>
    <t>PU-GSP-206</t>
  </si>
  <si>
    <t>PU-GSP-207</t>
  </si>
  <si>
    <t>PU-GSP-208</t>
  </si>
  <si>
    <t>PU-GSP-209</t>
  </si>
  <si>
    <t>PU-GSP-210</t>
  </si>
  <si>
    <t>PU-GSP-211</t>
  </si>
  <si>
    <t>~40 chaob: 0.053</t>
  </si>
  <si>
    <t>~75 zoops: 0.03; 2 chiro: 0.007</t>
  </si>
  <si>
    <t>9 chiro: 0.035; 1 worm: 0.066</t>
  </si>
  <si>
    <t>~100 zoops: 0.029</t>
  </si>
  <si>
    <t>1 pred div beet: 0.415; 1 worm: 0.368</t>
  </si>
  <si>
    <t>~200 zoops: 0.089</t>
  </si>
  <si>
    <t>1 mussel: 0.039; 1 chiro: 0.005; 2 div beet: 0.05</t>
  </si>
  <si>
    <t>2 snail: 0.032; veg: 0.015</t>
  </si>
  <si>
    <t>6 snails: 0.221; 3 caddis: 0.208; 1 leech: 0.333</t>
  </si>
  <si>
    <t>6 inverts: 0.049; ~40 zoops: 0.042</t>
  </si>
  <si>
    <t>18/5/2021</t>
  </si>
  <si>
    <t>PU-GSP-212</t>
  </si>
  <si>
    <t>PU-GSP-213</t>
  </si>
  <si>
    <t>PU-GSP-214</t>
  </si>
  <si>
    <t>PU-GSP-215</t>
  </si>
  <si>
    <t>PU-GSP-216</t>
  </si>
  <si>
    <t>PU-GSP-217</t>
  </si>
  <si>
    <t>PU-GSP-218</t>
  </si>
  <si>
    <t>PU-GSP-219</t>
  </si>
  <si>
    <t>PU-GSP-220</t>
  </si>
  <si>
    <t>PU-GSP-221</t>
  </si>
  <si>
    <t>PU-GSP-222</t>
  </si>
  <si>
    <t>PU-GSP-223</t>
  </si>
  <si>
    <t>PU-GSP-224</t>
  </si>
  <si>
    <t>PU-PP-150</t>
  </si>
  <si>
    <t>PU-PP-149</t>
  </si>
  <si>
    <t>PU-PP-152</t>
  </si>
  <si>
    <t>PU-PP-153</t>
  </si>
  <si>
    <t>PU-PP-154</t>
  </si>
  <si>
    <t>PU-PP-155</t>
  </si>
  <si>
    <t>PU-PP-156</t>
  </si>
  <si>
    <t>PU-PP-157</t>
  </si>
  <si>
    <t>PU-PP-158</t>
  </si>
  <si>
    <t>PU-PP-159</t>
  </si>
  <si>
    <t>PU-PP-160</t>
  </si>
  <si>
    <t>PU-PP-161</t>
  </si>
  <si>
    <t>PU-PP-162</t>
  </si>
  <si>
    <t>PU-PP-163</t>
  </si>
  <si>
    <t>PU-PP-164</t>
  </si>
  <si>
    <t>PU-PP-165</t>
  </si>
  <si>
    <t>PU-PP-166</t>
  </si>
  <si>
    <t>pupa: 0.102</t>
  </si>
  <si>
    <t>2 inverts: NA; ~30 zoops: 0.023</t>
  </si>
  <si>
    <t>~100 zoops: 0.04; 7 chiro: 0.014</t>
  </si>
  <si>
    <t>3 chiro: 0.006</t>
  </si>
  <si>
    <t>1 pump: 0.993</t>
  </si>
  <si>
    <t>2 odo: 0.228</t>
  </si>
  <si>
    <t>1 pump: 0.925</t>
  </si>
  <si>
    <t>8 chiro: 0.045; 2 damsel: 0.021</t>
  </si>
  <si>
    <t>5 chiro: 0.008</t>
  </si>
  <si>
    <t>~200 zoops: 0.083</t>
  </si>
  <si>
    <t>~100 zoops: 0.083</t>
  </si>
  <si>
    <t>~40 zoops: 0.022</t>
  </si>
  <si>
    <t>veg: 0.064; 1 odo: 0.015; 2 mussels: 0.047</t>
  </si>
  <si>
    <t>2 dace: 1.928</t>
  </si>
  <si>
    <t>4 inverts: 0.036</t>
  </si>
  <si>
    <t xml:space="preserve">11 chiro: 0.057; 1 snail: 0.008; 1 ant: 0.007 </t>
  </si>
  <si>
    <t>15 chiro: 0.068</t>
  </si>
  <si>
    <t>~4 inverts: 0.01</t>
  </si>
  <si>
    <t>6 chiro: 0.016; 2 inverts: 0.071</t>
  </si>
  <si>
    <t>1 invert: 0.011</t>
  </si>
  <si>
    <t>2 inverts: 0.037</t>
  </si>
  <si>
    <t>1 fathead: 0.872; 1 stickleback: 0.222</t>
  </si>
  <si>
    <t>~20 zoops: 0.019; 3 rocks: 0.008</t>
  </si>
  <si>
    <t>4 chiro: 0.015</t>
  </si>
  <si>
    <t>9 chiro: 0.012</t>
  </si>
  <si>
    <t>PU-KSS-64</t>
  </si>
  <si>
    <t>PU-KSS-65</t>
  </si>
  <si>
    <t>PU-KSS-66</t>
  </si>
  <si>
    <t>PU-KSS-67</t>
  </si>
  <si>
    <t>PU-KSB-92</t>
  </si>
  <si>
    <t>PU-KSB-93</t>
  </si>
  <si>
    <t>PU-KSB-94</t>
  </si>
  <si>
    <t>PU-KSB-95</t>
  </si>
  <si>
    <t>PU-KSB-96</t>
  </si>
  <si>
    <t>PU-KSS-68</t>
  </si>
  <si>
    <t>PU-KSS-69</t>
  </si>
  <si>
    <t>PU-KSS-70</t>
  </si>
  <si>
    <t>PU-KSS-71</t>
  </si>
  <si>
    <t>PU-KSS-72</t>
  </si>
  <si>
    <t>PU-KSS-73</t>
  </si>
  <si>
    <t>PU-KSS-74</t>
  </si>
  <si>
    <t>PU-KSS-75</t>
  </si>
  <si>
    <t>PU-KSS-76</t>
  </si>
  <si>
    <t>PU-KSB-97</t>
  </si>
  <si>
    <t>PU-KSB-98</t>
  </si>
  <si>
    <t>PU-KSB-99</t>
  </si>
  <si>
    <t>PU-KSB-100</t>
  </si>
  <si>
    <t>3 chiro: 0.015</t>
  </si>
  <si>
    <t>~10 inverts: 0.026</t>
  </si>
  <si>
    <t>~25 chiro: 0.073</t>
  </si>
  <si>
    <t>1 wasp: 0.005; 2 inverts: 0.017</t>
  </si>
  <si>
    <t>7 chiro: 0.026; 2 caddis: 0.036; ~20 inverts: 0.146</t>
  </si>
  <si>
    <t>1 damsel: 0.048; ~15 inverts: 0.056</t>
  </si>
  <si>
    <t>~23 chiro: 0.119</t>
  </si>
  <si>
    <t>~45 chiro: 0.434; 1 mayfly: 0.016; 5 odo: 0.664</t>
  </si>
  <si>
    <t>2 odo: 0.276; 5 chiro: 0.035</t>
  </si>
  <si>
    <t>~20 mussels: 0.099; 1 damsel: 0.01; ~30 chiro: 0.494</t>
  </si>
  <si>
    <t>3 odo: 0.024; 1 scud: 0.003; 5 mussels: 0.026; ~10 inverts: 0.049</t>
  </si>
  <si>
    <t>inverts: 0.015</t>
  </si>
  <si>
    <t>2 damsel: 0.041; ~10 inverts: 0.104; 2 mayfly: 0.011</t>
  </si>
  <si>
    <t>~50 inverts: 0.099; 2 mayfly: 0.008</t>
  </si>
  <si>
    <t>~200 zoops: 0.087</t>
  </si>
  <si>
    <t>~50 chiro: 0.182</t>
  </si>
  <si>
    <t>1 caddis: 0.008; ~15 chiro: 0.018</t>
  </si>
  <si>
    <t>1 caddis: 0.08; 1 odo: 0.106</t>
  </si>
  <si>
    <t>~30 chiro: 0.163; 3 mayfly: 0.011</t>
  </si>
  <si>
    <t>~40 chiro: 0.128</t>
  </si>
  <si>
    <t>~4 arthropod: 0.12</t>
  </si>
  <si>
    <t>1 odo: 0.042; 1 caddis: 0.019</t>
  </si>
  <si>
    <t>goo: 0.027 (MT)</t>
  </si>
  <si>
    <t>6 chiro: 0.032</t>
  </si>
  <si>
    <t>19/5/2021</t>
  </si>
  <si>
    <t>20/5/2021</t>
  </si>
  <si>
    <t>PU-GSP-225</t>
  </si>
  <si>
    <t>PU-GSP-226</t>
  </si>
  <si>
    <t>PU-GSP-227</t>
  </si>
  <si>
    <t>PU-GSP-228</t>
  </si>
  <si>
    <t>PU-GSP-229</t>
  </si>
  <si>
    <t>PU-GSP-230</t>
  </si>
  <si>
    <t>PU-GSP-231</t>
  </si>
  <si>
    <t>PU-GSP-232</t>
  </si>
  <si>
    <t>PU-GSP-233</t>
  </si>
  <si>
    <t>PU-GSP-234</t>
  </si>
  <si>
    <t>PU-GSP-235</t>
  </si>
  <si>
    <t>PU-GSP-236</t>
  </si>
  <si>
    <t>PU-GSP-237</t>
  </si>
  <si>
    <t>PU-GSP-238</t>
  </si>
  <si>
    <t>PU-GSP-239</t>
  </si>
  <si>
    <t>PU-GSP-240</t>
  </si>
  <si>
    <t>PU-KSB-101</t>
  </si>
  <si>
    <t>PU-KSB-102</t>
  </si>
  <si>
    <t>PU-KSB-103</t>
  </si>
  <si>
    <t>PU-KSB-104</t>
  </si>
  <si>
    <t>PU-KSB-105</t>
  </si>
  <si>
    <t>PU-KSB-106</t>
  </si>
  <si>
    <t>PU-KSS-77</t>
  </si>
  <si>
    <t>PU-KSS-78</t>
  </si>
  <si>
    <t>PU-KSS-79</t>
  </si>
  <si>
    <t>PU-PP-167</t>
  </si>
  <si>
    <t>M40</t>
  </si>
  <si>
    <t>1 pump: 0.811</t>
  </si>
  <si>
    <t>1 mayfly: 0.041; 1 odo: 0.084</t>
  </si>
  <si>
    <t>6 inverts: 0.126; 1 chiro: 0.009</t>
  </si>
  <si>
    <t>~10 chiro: 0.103</t>
  </si>
  <si>
    <t>~30 zoops: 0.019</t>
  </si>
  <si>
    <t>2 inverts: 0.018</t>
  </si>
  <si>
    <t>3 inverts: 0.114</t>
  </si>
  <si>
    <t>1 inverts: 0.003</t>
  </si>
  <si>
    <t>~5 inverts: 0.110</t>
  </si>
  <si>
    <t>1 pupa: 0.013</t>
  </si>
  <si>
    <t>~30 chaob: 0.055</t>
  </si>
  <si>
    <t>~10 inverts: 0.093</t>
  </si>
  <si>
    <t>1 Inverts: 0.07</t>
  </si>
  <si>
    <t>PU-PP-168</t>
  </si>
  <si>
    <t>PU-PP-169</t>
  </si>
  <si>
    <t>PU-PP-170</t>
  </si>
  <si>
    <t>PU-PP-171</t>
  </si>
  <si>
    <t>PU-PP-172</t>
  </si>
  <si>
    <t>PU-PP-173</t>
  </si>
  <si>
    <t>PU-PP-174</t>
  </si>
  <si>
    <t>PU-PP-175</t>
  </si>
  <si>
    <t>PU-PP-176</t>
  </si>
  <si>
    <t>PU-PP-177</t>
  </si>
  <si>
    <t>PU-PP-178</t>
  </si>
  <si>
    <t>PU-PP-179</t>
  </si>
  <si>
    <t>PU-PP-180</t>
  </si>
  <si>
    <t>PU-PP-181</t>
  </si>
  <si>
    <t>PU-PP-182</t>
  </si>
  <si>
    <t>F40</t>
  </si>
  <si>
    <t>1 cray: 0.59</t>
  </si>
  <si>
    <t>2 cricket: 0.127</t>
  </si>
  <si>
    <t>1 boatman: 0.006</t>
  </si>
  <si>
    <t>1 caddis: 0.077; 3 chiro: 0.056</t>
  </si>
  <si>
    <t>~2 chiro: 0.03</t>
  </si>
  <si>
    <t>~5 inverts: 0.067</t>
  </si>
  <si>
    <t>~10 chiro: 0.024</t>
  </si>
  <si>
    <t>PU-GSP-241</t>
  </si>
  <si>
    <t>PU-GSP-242</t>
  </si>
  <si>
    <t>PU-GSP-243</t>
  </si>
  <si>
    <t>PU-GSP-244</t>
  </si>
  <si>
    <t>PU-GSP-245</t>
  </si>
  <si>
    <t>PU-GSP-246</t>
  </si>
  <si>
    <t>PU-GSP-247</t>
  </si>
  <si>
    <t>PU-GSP-248</t>
  </si>
  <si>
    <t>PU-GSP-249</t>
  </si>
  <si>
    <t>PU-GSP-250</t>
  </si>
  <si>
    <t>PU-GSP-251</t>
  </si>
  <si>
    <t>Veg: 0.132</t>
  </si>
  <si>
    <t>3 odo: 0.755</t>
  </si>
  <si>
    <t>1 leech: 0.755</t>
  </si>
  <si>
    <t>1 june bug: 0.345</t>
  </si>
  <si>
    <t>1 gypsy moth cat: 0.177</t>
  </si>
  <si>
    <t>1 wasp: 0.025</t>
  </si>
  <si>
    <t>23/6/2021</t>
  </si>
  <si>
    <t>main</t>
  </si>
  <si>
    <t>SC TAKEN main</t>
  </si>
  <si>
    <t>main SC TAKEN</t>
  </si>
  <si>
    <t>PU-GSP-252</t>
  </si>
  <si>
    <t>PU-GSP-253</t>
  </si>
  <si>
    <t>PU-GSP-254</t>
  </si>
  <si>
    <t>PU-GSP-255</t>
  </si>
  <si>
    <t>PU-GSP-256</t>
  </si>
  <si>
    <t>PU-GSP-257</t>
  </si>
  <si>
    <t>PU-GSP-258</t>
  </si>
  <si>
    <t>PU-GSP-259</t>
  </si>
  <si>
    <t>PU-GSP-260</t>
  </si>
  <si>
    <t>1 invert: 0.013</t>
  </si>
  <si>
    <t>1 invert: 0.035</t>
  </si>
  <si>
    <t>1 june bug: 0.391</t>
  </si>
  <si>
    <t>4 zoops: 0.007</t>
  </si>
  <si>
    <t>~20 zoops: 0.012</t>
  </si>
  <si>
    <t>veg: 0.013</t>
  </si>
  <si>
    <t>veg: 0.022</t>
  </si>
  <si>
    <t>22/6/2021</t>
  </si>
  <si>
    <t>main, SC KEPT</t>
  </si>
  <si>
    <t>branch, SC Kept</t>
  </si>
  <si>
    <t>PU-PP-183</t>
  </si>
  <si>
    <t>PU-PP-184</t>
  </si>
  <si>
    <t>PU-PP-185</t>
  </si>
  <si>
    <t>PU-PP-186</t>
  </si>
  <si>
    <t>PU-PP-187</t>
  </si>
  <si>
    <t>PU-PP-188</t>
  </si>
  <si>
    <t>PU-PP-189</t>
  </si>
  <si>
    <t>PU-PP-190</t>
  </si>
  <si>
    <t>PU-PP-191</t>
  </si>
  <si>
    <t>PU-PP-192</t>
  </si>
  <si>
    <t>PU-PP-193</t>
  </si>
  <si>
    <t>PU-PP-194</t>
  </si>
  <si>
    <t>PU-KSS-80</t>
  </si>
  <si>
    <t>PU-KSB-107</t>
  </si>
  <si>
    <t>PU-KSB-108</t>
  </si>
  <si>
    <t>PU-KSB-109</t>
  </si>
  <si>
    <t>PU-KSB-110</t>
  </si>
  <si>
    <t>4 redbelly dace: 6.143</t>
  </si>
  <si>
    <t>1 redbelly dace: 1.077</t>
  </si>
  <si>
    <t>2 redbelly dace: 2.22</t>
  </si>
  <si>
    <t>1 redbelly dace: 1.243</t>
  </si>
  <si>
    <t>3 redbelly dace: 3.438; 1 fathead: 1.136</t>
  </si>
  <si>
    <t>1 pump: 1.314; 1 fathead: 0.826</t>
  </si>
  <si>
    <t>1 redbelly: 0.356</t>
  </si>
  <si>
    <t>~10 inverts: 0.024</t>
  </si>
  <si>
    <t>~5 inverts: 0.019</t>
  </si>
  <si>
    <t>4 inverts: 0.011</t>
  </si>
  <si>
    <t>1 inverts: 0.057</t>
  </si>
  <si>
    <t>SC taken</t>
  </si>
  <si>
    <t>Gonad not kept</t>
  </si>
  <si>
    <t>PU-KSB-111</t>
  </si>
  <si>
    <t>PU-KSB-112</t>
  </si>
  <si>
    <t>PU-KSB-113</t>
  </si>
  <si>
    <t>PU-KSB-114</t>
  </si>
  <si>
    <t>PU-KSB-115</t>
  </si>
  <si>
    <t>PU-KSS-81</t>
  </si>
  <si>
    <t>PU-KSS-82</t>
  </si>
  <si>
    <t>F20/40</t>
  </si>
  <si>
    <t>M10/40</t>
  </si>
  <si>
    <t>20/40</t>
  </si>
  <si>
    <t>1 damsel: 0.015</t>
  </si>
  <si>
    <t>~25 zoops: 0.066</t>
  </si>
  <si>
    <t>24/6/2021</t>
  </si>
  <si>
    <t>SC kept</t>
  </si>
  <si>
    <t>AssayClass</t>
  </si>
  <si>
    <t>PU-GSP-261</t>
  </si>
  <si>
    <t>PU-GSP-262</t>
  </si>
  <si>
    <t>PU-GSP-263</t>
  </si>
  <si>
    <t>PU-GSP-264</t>
  </si>
  <si>
    <t>PU-GSP-265</t>
  </si>
  <si>
    <t>PU-GSP-266</t>
  </si>
  <si>
    <t>PU-GSP-267</t>
  </si>
  <si>
    <t>PU-GSP-268</t>
  </si>
  <si>
    <t>PU-GSP-269</t>
  </si>
  <si>
    <t>PU-GSP-270</t>
  </si>
  <si>
    <t>PU-GSP-271</t>
  </si>
  <si>
    <t>PU-GSP-272</t>
  </si>
  <si>
    <t>PU-GSP-273</t>
  </si>
  <si>
    <t>PU-GSP-274</t>
  </si>
  <si>
    <t>PU-PP-195</t>
  </si>
  <si>
    <t>PU-PP-196</t>
  </si>
  <si>
    <t>PU-PP-197</t>
  </si>
  <si>
    <t>PU-PP-198</t>
  </si>
  <si>
    <t>PU-PP-199</t>
  </si>
  <si>
    <t>PU-PP-200</t>
  </si>
  <si>
    <t>PU-PP-201</t>
  </si>
  <si>
    <t>PU-PP-202</t>
  </si>
  <si>
    <t>PU-PP-203</t>
  </si>
  <si>
    <t>PU-PP-204</t>
  </si>
  <si>
    <t>PU-PP-205</t>
  </si>
  <si>
    <t>PU-PP-206</t>
  </si>
  <si>
    <t>PU-KSS-83</t>
  </si>
  <si>
    <t>PU-KSS-84</t>
  </si>
  <si>
    <t>PU-KSS-85</t>
  </si>
  <si>
    <t>PU-KSS-86</t>
  </si>
  <si>
    <t>PU-KSB-116</t>
  </si>
  <si>
    <t>PU-KSB-117</t>
  </si>
  <si>
    <t>PU-KSB-118</t>
  </si>
  <si>
    <t>PU-KSB-119</t>
  </si>
  <si>
    <t>M30-40</t>
  </si>
  <si>
    <t>30-40</t>
  </si>
  <si>
    <t>1 june bug: 0.316; 3 snail: 0.013</t>
  </si>
  <si>
    <t>1 gypsy moth cat: 0.093; 1 june bug (2 legs): 0.017</t>
  </si>
  <si>
    <t>1 june bug: 0.271; 25 chiro: 0.058; 1 damsel: 0.02</t>
  </si>
  <si>
    <t>1 june bug: 0.25</t>
  </si>
  <si>
    <t>3 inverts: 0.061</t>
  </si>
  <si>
    <t>2 water strider: 0.077</t>
  </si>
  <si>
    <t>veg: 0.01</t>
  </si>
  <si>
    <t>1 caddis: 0.039</t>
  </si>
  <si>
    <t>1 inverts: 0.029</t>
  </si>
  <si>
    <t>3 inverts: 0.023</t>
  </si>
  <si>
    <t>3 redbelly dace: 3.705</t>
  </si>
  <si>
    <t>1 fathead: 0.887; 2 redbelly dace: 1.5</t>
  </si>
  <si>
    <t>2 junebug: 0.686; 2 redbelly dace: 2.208</t>
  </si>
  <si>
    <t>Mislabelled (241); SC kept</t>
  </si>
  <si>
    <t>Mislabelled (242); SC kept</t>
  </si>
  <si>
    <t>Mislabelled (243); SC kept</t>
  </si>
  <si>
    <t>Mislabelled (244); SC kept</t>
  </si>
  <si>
    <t>Mislabelled (245)</t>
  </si>
  <si>
    <t>Mislabelled (246); SC kept</t>
  </si>
  <si>
    <t>Mislabelled (247)</t>
  </si>
  <si>
    <t>Mislabelled (248)</t>
  </si>
  <si>
    <t>Mislabelled (249)</t>
  </si>
  <si>
    <t>Mislabelled (250)</t>
  </si>
  <si>
    <t>Mislabelled (251)</t>
  </si>
  <si>
    <t>Mislabelled (252)</t>
  </si>
  <si>
    <t>Mislabelled (253)</t>
  </si>
  <si>
    <t>Mislabelled (254)</t>
  </si>
  <si>
    <t>10 zoops: 0.01</t>
  </si>
  <si>
    <t>1 redbelly dace: 1.181</t>
  </si>
  <si>
    <t>10 inverts: 0.06</t>
  </si>
  <si>
    <t>2 snail: 0.011</t>
  </si>
  <si>
    <t>2 fathead: 1.558</t>
  </si>
  <si>
    <t>3 odo: 0.485</t>
  </si>
  <si>
    <t>NA (missed)</t>
  </si>
  <si>
    <t>3 pump YOY: 0.799</t>
  </si>
  <si>
    <t>6 pump YOY: 1.824</t>
  </si>
  <si>
    <t>2 pump YOY: 0.976</t>
  </si>
  <si>
    <t>1 caddis: 0.057</t>
  </si>
  <si>
    <t>2 inverts: 0.104</t>
  </si>
  <si>
    <t>9 snails: 0.202; veg: 0.015</t>
  </si>
  <si>
    <t>5 chiro: 0.015</t>
  </si>
  <si>
    <t>2 fathead: 1.911</t>
  </si>
  <si>
    <t>PU-PP-207</t>
  </si>
  <si>
    <t>PU-PP-208</t>
  </si>
  <si>
    <t>PU-PP-209</t>
  </si>
  <si>
    <t>PU-PP-210</t>
  </si>
  <si>
    <t>PU-PP-211</t>
  </si>
  <si>
    <t>PU-PP-212</t>
  </si>
  <si>
    <t>PU-PP-213</t>
  </si>
  <si>
    <t>PU-PP-214</t>
  </si>
  <si>
    <t>PU-PP-215</t>
  </si>
  <si>
    <t>PU-KSS-87</t>
  </si>
  <si>
    <t>PU-KSS-88</t>
  </si>
  <si>
    <t>PU-KSS-89</t>
  </si>
  <si>
    <t>1 invert: 0.019</t>
  </si>
  <si>
    <t>1 red belly dace: 1.08</t>
  </si>
  <si>
    <t>1 red belly dace: 0.733</t>
  </si>
  <si>
    <t>2 fathead: 1.721</t>
  </si>
  <si>
    <t>1 invert: 0.042</t>
  </si>
  <si>
    <t>~5 inverts: 0.079</t>
  </si>
  <si>
    <t>~2 inverts: 0.013</t>
  </si>
  <si>
    <t>Gonad parasites</t>
  </si>
  <si>
    <t>4 PU: 1.855</t>
  </si>
  <si>
    <t>~20 snails: 0.352</t>
  </si>
  <si>
    <t>16/7/2021</t>
  </si>
  <si>
    <t>PU-KSS-90</t>
  </si>
  <si>
    <t>PU-KSS-91</t>
  </si>
  <si>
    <t>PU-KSS-92</t>
  </si>
  <si>
    <t>PU-KSS-93</t>
  </si>
  <si>
    <t>PU-KSS-94</t>
  </si>
  <si>
    <t>PU-KSS-95</t>
  </si>
  <si>
    <t>PU-KSS-96</t>
  </si>
  <si>
    <t>PU-KSS-97</t>
  </si>
  <si>
    <t>PU-KSS-98</t>
  </si>
  <si>
    <t>PU-KSS-99</t>
  </si>
  <si>
    <t>PU-KSS-100</t>
  </si>
  <si>
    <t>PU-PP-216</t>
  </si>
  <si>
    <t>PU-PP-217</t>
  </si>
  <si>
    <t>PU-PP-218</t>
  </si>
  <si>
    <t>PU-PP-219</t>
  </si>
  <si>
    <t>PU-PP-220</t>
  </si>
  <si>
    <t>PU-PP-221</t>
  </si>
  <si>
    <t>PU-PP-222</t>
  </si>
  <si>
    <t>PU-PP-223</t>
  </si>
  <si>
    <t>PU-PP-224</t>
  </si>
  <si>
    <t>PU-PP-225</t>
  </si>
  <si>
    <t>PU-PP-226</t>
  </si>
  <si>
    <t>PU-PP-227</t>
  </si>
  <si>
    <t>INVERTS: 0.037</t>
  </si>
  <si>
    <t>1 pumpkinseed: 0.062</t>
  </si>
  <si>
    <t>2 PU: 0.62</t>
  </si>
  <si>
    <t>2 PU: 1.229</t>
  </si>
  <si>
    <t>1 mayfly: 0.021</t>
  </si>
  <si>
    <t>caterpillar: 0.054</t>
  </si>
  <si>
    <t>6 chiro: 0.061</t>
  </si>
  <si>
    <t>1 RBD: 0.826</t>
  </si>
  <si>
    <t>inverts: 0.067</t>
  </si>
  <si>
    <t>1 fathead: 2.467; 1 RBD: 1.579</t>
  </si>
  <si>
    <t>6 inverts: 0.059</t>
  </si>
  <si>
    <t>4 chiro: 0.022</t>
  </si>
  <si>
    <t>~25 zoops: 0.014</t>
  </si>
  <si>
    <t>1 damsel: 0.009</t>
  </si>
  <si>
    <t>9 chiro: 0.038</t>
  </si>
  <si>
    <t>17 chiro: 0.066; 1 mayfly: 0.008</t>
  </si>
  <si>
    <t>PU-GSP-275</t>
  </si>
  <si>
    <t>PU-GSP-276</t>
  </si>
  <si>
    <t>PU-GSP-277</t>
  </si>
  <si>
    <t>PU-GSP-278</t>
  </si>
  <si>
    <t>PU-GSP-279</t>
  </si>
  <si>
    <t>PU-GSP-280</t>
  </si>
  <si>
    <t>PU-GSP-281</t>
  </si>
  <si>
    <t>PU-GSP-282</t>
  </si>
  <si>
    <t>PU-GSP-283</t>
  </si>
  <si>
    <t>PU-GSP-284</t>
  </si>
  <si>
    <t>PU-GSP-285</t>
  </si>
  <si>
    <t>PU-GSP-286</t>
  </si>
  <si>
    <t>F21 (skip?)</t>
  </si>
  <si>
    <t>veg: 0.027</t>
  </si>
  <si>
    <t>1 PU: 0.219</t>
  </si>
  <si>
    <t>5 snails: 0.018; 4 mayfly: 0.028</t>
  </si>
  <si>
    <t>~50 zoops: 0.039</t>
  </si>
  <si>
    <t>~12 chiro: 0.021; 1 caterpillar: 0.024</t>
  </si>
  <si>
    <t>Dormant gonads</t>
  </si>
  <si>
    <t>Earthworm (Annelida)</t>
  </si>
  <si>
    <t>Period</t>
  </si>
  <si>
    <t>SD_GSI</t>
  </si>
  <si>
    <t>SD_HSI</t>
  </si>
  <si>
    <t>SizeClass_Eco</t>
  </si>
  <si>
    <t>Count of GSI</t>
  </si>
  <si>
    <t>Reweighted Gut Fullness Index (FullG - EmptyG + ContentMass) / Round Weight *100</t>
  </si>
  <si>
    <t>Anisoptera_num</t>
  </si>
  <si>
    <t>Anisoptera_mass</t>
  </si>
  <si>
    <t>Zygoptera_num</t>
  </si>
  <si>
    <t>Zygoptera_mass</t>
  </si>
  <si>
    <t>Chaoboridae_num</t>
  </si>
  <si>
    <t>Chaoboridae_mass</t>
  </si>
  <si>
    <t>Chironomidae_mass</t>
  </si>
  <si>
    <t>Chironomidae_num</t>
  </si>
  <si>
    <t>Tipulidae_num</t>
  </si>
  <si>
    <t>Tipulidae_mass</t>
  </si>
  <si>
    <t>Stratiomyidae_num</t>
  </si>
  <si>
    <t>Stratiomyidae_mass</t>
  </si>
  <si>
    <t>Trichoptera_num</t>
  </si>
  <si>
    <t>Trichoptera_mass</t>
  </si>
  <si>
    <t>Ephemeroptera_num</t>
  </si>
  <si>
    <t>Ephemeroptera_mass</t>
  </si>
  <si>
    <t>Hirudinae_num</t>
  </si>
  <si>
    <t>Hirudinae_mass</t>
  </si>
  <si>
    <t>Oligochaeta_num</t>
  </si>
  <si>
    <t>Oligochaeta_mass</t>
  </si>
  <si>
    <t>RBD_num</t>
  </si>
  <si>
    <t>RBD_mass</t>
  </si>
  <si>
    <t>PU_num</t>
  </si>
  <si>
    <t>PU_mass</t>
  </si>
  <si>
    <t>FatH_num</t>
  </si>
  <si>
    <t>FatH_mass</t>
  </si>
  <si>
    <t>chiro</t>
  </si>
  <si>
    <t>Bivalvia_num</t>
  </si>
  <si>
    <t>Bivalvia_mass</t>
  </si>
  <si>
    <t>Gastropoda_num</t>
  </si>
  <si>
    <t>Gastropoda_mass</t>
  </si>
  <si>
    <t>DigestedArthropoda_num</t>
  </si>
  <si>
    <t>DigestedArthropoda_mass</t>
  </si>
  <si>
    <t>1 swimming mayfly larv: 0.012</t>
  </si>
  <si>
    <t>9 chiro: 0.026; 2 mayfly: 0.008; 1 swimming mayfly larva: 0.005</t>
  </si>
  <si>
    <t>Fish_num</t>
  </si>
  <si>
    <t>Fish_mass</t>
  </si>
  <si>
    <t>Vegetation_mass</t>
  </si>
  <si>
    <t>Amphipoda_num</t>
  </si>
  <si>
    <t>Amphipoda_mass</t>
  </si>
  <si>
    <t>CladCop_num</t>
  </si>
  <si>
    <t>CladCop_mass</t>
  </si>
  <si>
    <t>Vegetation_num</t>
  </si>
  <si>
    <t>Hydrachnidia_num</t>
  </si>
  <si>
    <t>Hydrachnidia_mass</t>
  </si>
  <si>
    <t>TerrestrialInvert_num</t>
  </si>
  <si>
    <t>Belostomatidae_num</t>
  </si>
  <si>
    <t>Belostomatidae_mass</t>
  </si>
  <si>
    <t>Dytiscidae_num</t>
  </si>
  <si>
    <t>Dytiscidae_mass</t>
  </si>
  <si>
    <t xml:space="preserve">  </t>
  </si>
  <si>
    <t>Stickle_num</t>
  </si>
  <si>
    <t>Stickle_mass</t>
  </si>
  <si>
    <t>Rock_num</t>
  </si>
  <si>
    <t>Rock_mass</t>
  </si>
  <si>
    <t>Cambaridae_num</t>
  </si>
  <si>
    <t>Cambaridae_mass</t>
  </si>
  <si>
    <t>Corixidae_num</t>
  </si>
  <si>
    <t>Corixidae_mass</t>
  </si>
  <si>
    <t>Fullness</t>
  </si>
  <si>
    <t>MesLip</t>
  </si>
  <si>
    <t>Mesenteric bulk lipid (g)</t>
  </si>
  <si>
    <t>MesInd</t>
  </si>
  <si>
    <t>MusLipP</t>
  </si>
  <si>
    <t>FormDate</t>
  </si>
  <si>
    <t>Day</t>
  </si>
  <si>
    <t>Month</t>
  </si>
  <si>
    <t>Year</t>
  </si>
  <si>
    <t>JulianDate</t>
  </si>
  <si>
    <t>Region</t>
  </si>
  <si>
    <t>Main</t>
  </si>
  <si>
    <t>Branch</t>
  </si>
  <si>
    <t>LivProt</t>
  </si>
  <si>
    <t>GonProt</t>
  </si>
  <si>
    <t>PS_WB_YG</t>
  </si>
  <si>
    <t>PS_WB_BS</t>
  </si>
  <si>
    <t>PS_MU_BS</t>
  </si>
  <si>
    <t>PS_MU_YG</t>
  </si>
  <si>
    <t>Count of MusLipP</t>
  </si>
  <si>
    <t>Count of LivProt</t>
  </si>
  <si>
    <t>Count of GonProt</t>
  </si>
  <si>
    <t>G</t>
  </si>
  <si>
    <t>N</t>
  </si>
  <si>
    <t>Sum of MesLip</t>
  </si>
  <si>
    <t>Average of TotalIceThickness</t>
  </si>
  <si>
    <t>Dormant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</si>
</sst>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4" fontId="0" fillId="0" borderId="0" xfId="0" applyNumberForma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0" borderId="0" xfId="0" applyAlignment="1">
      <alignment horizontal="left" indent="2"/>
    </xf>
    <xf numFmtId="0" fontId="5" fillId="0" borderId="0" xfId="0" applyFont="1"/>
    <xf numFmtId="14" fontId="4" fillId="0" borderId="0" xfId="0" applyNumberFormat="1" applyFont="1" applyAlignment="1">
      <alignment wrapText="1"/>
    </xf>
    <xf numFmtId="0" fontId="6" fillId="0" borderId="0" xfId="0" applyFont="1" applyAlignment="1">
      <alignment wrapText="1"/>
    </xf>
    <xf numFmtId="164" fontId="0" fillId="0" borderId="0" xfId="0" applyNumberFormat="1"/>
    <xf numFmtId="0" fontId="0" fillId="0" borderId="0" xfId="0" applyAlignment="1">
      <alignment horizontal="right" vertical="top"/>
    </xf>
    <xf numFmtId="0" fontId="0" fillId="0" borderId="0" xfId="0" applyAlignment="1">
      <alignment horizontal="right"/>
    </xf>
    <xf numFmtId="0" fontId="0" fillId="0" borderId="0" xfId="0" applyAlignment="1">
      <alignment horizontal="left" indent="3"/>
    </xf>
    <xf numFmtId="0" fontId="0" fillId="0" borderId="0" xfId="0" applyAlignment="1">
      <alignment horizontal="left" indent="4"/>
    </xf>
    <xf numFmtId="0" fontId="7" fillId="0" borderId="0" xfId="0" applyFont="1"/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FishSummary!$M$6</c:f>
              <c:strCache>
                <c:ptCount val="1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FishSummary!$R$6:$R$19</c:f>
                <c:numCache>
                  <c:formatCode>General</c:formatCode>
                  <c:ptCount val="14"/>
                </c:numCache>
              </c:numRef>
            </c:plus>
            <c:minus>
              <c:numRef>
                <c:f>FishSummary!$R$6:$R$19</c:f>
                <c:numCache>
                  <c:formatCode>General</c:formatCode>
                  <c:ptCount val="14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FishSummary!$N$6:$N$20</c:f>
              <c:numCache>
                <c:formatCode>General</c:formatCode>
                <c:ptCount val="15"/>
              </c:numCache>
            </c:numRef>
          </c:xVal>
          <c:yVal>
            <c:numRef>
              <c:f>FishSummary!$Q$6:$Q$19</c:f>
              <c:numCache>
                <c:formatCode>General</c:formatCode>
                <c:ptCount val="14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F29-4FD2-8A9B-7F40E558D70A}"/>
            </c:ext>
          </c:extLst>
        </c:ser>
        <c:ser>
          <c:idx val="3"/>
          <c:order val="1"/>
          <c:tx>
            <c:strRef>
              <c:f>FishSummary!$M$46</c:f>
              <c:strCache>
                <c:ptCount val="1"/>
              </c:strCache>
            </c:strRef>
          </c:tx>
          <c:spPr>
            <a:ln w="2540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FishSummary!$R$44:$R$56</c:f>
                <c:numCache>
                  <c:formatCode>General</c:formatCode>
                  <c:ptCount val="13"/>
                </c:numCache>
              </c:numRef>
            </c:plus>
            <c:minus>
              <c:numRef>
                <c:f>FishSummary!$R$44:$R$56</c:f>
                <c:numCache>
                  <c:formatCode>General</c:formatCode>
                  <c:ptCount val="13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FishSummary!$N$45:$N$57</c:f>
              <c:numCache>
                <c:formatCode>General</c:formatCode>
                <c:ptCount val="13"/>
              </c:numCache>
            </c:numRef>
          </c:xVal>
          <c:yVal>
            <c:numRef>
              <c:f>FishSummary!$Q$44:$Q$56</c:f>
              <c:numCache>
                <c:formatCode>General</c:formatCode>
                <c:ptCount val="13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F29-4FD2-8A9B-7F40E558D70A}"/>
            </c:ext>
          </c:extLst>
        </c:ser>
        <c:ser>
          <c:idx val="1"/>
          <c:order val="2"/>
          <c:tx>
            <c:strRef>
              <c:f>FishSummary!$M$35</c:f>
              <c:strCache>
                <c:ptCount val="1"/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FishSummary!$N$35:$N$42</c:f>
              <c:numCache>
                <c:formatCode>General</c:formatCode>
                <c:ptCount val="8"/>
              </c:numCache>
            </c:numRef>
          </c:xVal>
          <c:yVal>
            <c:numRef>
              <c:f>FishSummary!$Q$34:$Q$41</c:f>
              <c:numCache>
                <c:formatCode>General</c:formatCode>
                <c:ptCount val="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ADB-4C0F-AA28-AC24322910F0}"/>
            </c:ext>
          </c:extLst>
        </c:ser>
        <c:ser>
          <c:idx val="2"/>
          <c:order val="3"/>
          <c:tx>
            <c:strRef>
              <c:f>FishSummary!$M$25</c:f>
              <c:strCache>
                <c:ptCount val="1"/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FishSummary!$N$25:$N$32</c:f>
              <c:numCache>
                <c:formatCode>General</c:formatCode>
                <c:ptCount val="8"/>
              </c:numCache>
            </c:numRef>
          </c:xVal>
          <c:yVal>
            <c:numRef>
              <c:f>FishSummary!$Q$24:$Q$31</c:f>
              <c:numCache>
                <c:formatCode>General</c:formatCode>
                <c:ptCount val="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1ADB-4C0F-AA28-AC24322910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5116735"/>
        <c:axId val="885124639"/>
      </c:scatterChart>
      <c:valAx>
        <c:axId val="8851167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5124639"/>
        <c:crosses val="autoZero"/>
        <c:crossBetween val="midCat"/>
      </c:valAx>
      <c:valAx>
        <c:axId val="88512463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HSI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511673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457200</xdr:colOff>
      <xdr:row>15</xdr:row>
      <xdr:rowOff>117475</xdr:rowOff>
    </xdr:from>
    <xdr:to>
      <xdr:col>24</xdr:col>
      <xdr:colOff>0</xdr:colOff>
      <xdr:row>29</xdr:row>
      <xdr:rowOff>15875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FE3C6FC-8683-49D3-960C-E2BC3677ED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imot" refreshedDate="44439.574329861112" createdVersion="7" refreshedVersion="7" minRefreshableVersion="3" recordCount="43" xr:uid="{700FD7C9-EEF8-4628-9E6B-689978231044}">
  <cacheSource type="worksheet">
    <worksheetSource ref="A1:F44" sheet="PopulationSummary"/>
  </cacheSource>
  <cacheFields count="6">
    <cacheField name="Pond" numFmtId="0">
      <sharedItems count="4">
        <s v="GSP"/>
        <s v="KSB"/>
        <s v="KSS"/>
        <s v="PP"/>
      </sharedItems>
    </cacheField>
    <cacheField name="Period" numFmtId="0">
      <sharedItems containsSemiMixedTypes="0" containsString="0" containsNumber="1" containsInteger="1" minValue="1" maxValue="15" count="15">
        <n v="1"/>
        <n v="2"/>
        <n v="3"/>
        <n v="4"/>
        <n v="5"/>
        <n v="6"/>
        <n v="7"/>
        <n v="8"/>
        <n v="9"/>
        <n v="10"/>
        <n v="11"/>
        <n v="12"/>
        <n v="13"/>
        <n v="15"/>
        <n v="14"/>
      </sharedItems>
    </cacheField>
    <cacheField name="GSI" numFmtId="0">
      <sharedItems containsSemiMixedTypes="0" containsString="0" containsNumber="1" minValue="0.70092967461388511" maxValue="19.639766540557822"/>
    </cacheField>
    <cacheField name="SD_GSI" numFmtId="0">
      <sharedItems containsSemiMixedTypes="0" containsString="0" containsNumber="1" minValue="3.7004088564117937E-2" maxValue="6.5244327595008711"/>
    </cacheField>
    <cacheField name="HSI" numFmtId="0">
      <sharedItems containsSemiMixedTypes="0" containsString="0" containsNumber="1" minValue="0.84447657489520878" maxValue="3.8916276697294796"/>
    </cacheField>
    <cacheField name="SD_HSI" numFmtId="0">
      <sharedItems containsSemiMixedTypes="0" containsString="0" containsNumber="1" minValue="4.9889713261453375E-2" maxValue="1.164291977147374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imot" refreshedDate="44900.819631944447" createdVersion="7" refreshedVersion="8" minRefreshableVersion="3" recordCount="188" xr:uid="{6EB9B916-7944-4129-AF9E-F357D31D89DC}">
  <cacheSource type="worksheet">
    <worksheetSource ref="A1:L1048576" sheet="EnvironmentalData"/>
  </cacheSource>
  <cacheFields count="12">
    <cacheField name="Location" numFmtId="0">
      <sharedItems containsBlank="1" count="7">
        <s v="GBP"/>
        <s v="GSP"/>
        <s v="PP"/>
        <s v="KSB"/>
        <s v="KSS"/>
        <m/>
        <s v="GSP_br" u="1"/>
      </sharedItems>
    </cacheField>
    <cacheField name="Region" numFmtId="0">
      <sharedItems containsBlank="1"/>
    </cacheField>
    <cacheField name="TotalIceThickness" numFmtId="0">
      <sharedItems containsString="0" containsBlank="1" containsNumber="1" minValue="6.5" maxValue="33.5"/>
    </cacheField>
    <cacheField name="WhiteIce" numFmtId="0">
      <sharedItems containsString="0" containsBlank="1" containsNumber="1" minValue="5.9" maxValue="29.5"/>
    </cacheField>
    <cacheField name="ClearIce" numFmtId="0">
      <sharedItems containsString="0" containsBlank="1" containsNumber="1" minValue="0" maxValue="14"/>
    </cacheField>
    <cacheField name="SlushThickness" numFmtId="0">
      <sharedItems containsString="0" containsBlank="1" containsNumber="1" minValue="0.7" maxValue="7"/>
    </cacheField>
    <cacheField name="SnowDepth" numFmtId="0">
      <sharedItems containsString="0" containsBlank="1" containsNumber="1" minValue="0" maxValue="14.8"/>
    </cacheField>
    <cacheField name="WaterTemp" numFmtId="0">
      <sharedItems containsString="0" containsBlank="1" containsNumber="1" minValue="0" maxValue="28"/>
    </cacheField>
    <cacheField name="Conductivity" numFmtId="0">
      <sharedItems containsString="0" containsBlank="1" containsNumber="1" minValue="3.05" maxValue="784"/>
    </cacheField>
    <cacheField name="Date" numFmtId="0">
      <sharedItems containsDate="1" containsBlank="1" containsMixedTypes="1" minDate="2021-03-04T00:00:00" maxDate="2021-12-03T00:00:00"/>
    </cacheField>
    <cacheField name="Time" numFmtId="0">
      <sharedItems containsString="0" containsBlank="1" containsNumber="1" containsInteger="1" minValue="1430" maxValue="1430"/>
    </cacheField>
    <cacheField name="Sample" numFmtId="0">
      <sharedItems containsString="0" containsBlank="1" containsNumber="1" containsInteger="1" minValue="1" maxValue="13" count="13">
        <n v="1"/>
        <n v="2"/>
        <n v="3"/>
        <n v="5"/>
        <n v="6"/>
        <n v="7"/>
        <n v="8"/>
        <n v="9"/>
        <n v="10"/>
        <n v="11"/>
        <n v="12"/>
        <n v="13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imot" refreshedDate="45072.414364467593" createdVersion="6" refreshedVersion="8" minRefreshableVersion="3" recordCount="764" xr:uid="{2BBAA6CF-F89E-4651-8FBB-2775B7001B3C}">
  <cacheSource type="worksheet">
    <worksheetSource ref="A1:CL1048576" sheet="FishData"/>
  </cacheSource>
  <cacheFields count="92">
    <cacheField name="FishCode" numFmtId="0">
      <sharedItems containsBlank="1"/>
    </cacheField>
    <cacheField name="Pond" numFmtId="0">
      <sharedItems containsBlank="1" count="6">
        <s v="GBP"/>
        <s v="GSP"/>
        <s v="KSB"/>
        <s v="KSS"/>
        <s v="PP"/>
        <m/>
      </sharedItems>
    </cacheField>
    <cacheField name="SizeClass" numFmtId="0">
      <sharedItems containsBlank="1"/>
    </cacheField>
    <cacheField name="SizeClass_Eco" numFmtId="0">
      <sharedItems containsBlank="1"/>
    </cacheField>
    <cacheField name="AssayClass" numFmtId="0">
      <sharedItems containsBlank="1"/>
    </cacheField>
    <cacheField name="TLEN" numFmtId="0">
      <sharedItems containsString="0" containsBlank="1" containsNumber="1" containsInteger="1" minValue="30" maxValue="207"/>
    </cacheField>
    <cacheField name="FLEN" numFmtId="0">
      <sharedItems containsString="0" containsBlank="1" containsNumber="1" containsInteger="1" minValue="29" maxValue="198"/>
    </cacheField>
    <cacheField name="RWT" numFmtId="0">
      <sharedItems containsString="0" containsBlank="1" containsNumber="1" minValue="0.41499999999999998" maxValue="181.53"/>
    </cacheField>
    <cacheField name="Liver" numFmtId="0">
      <sharedItems containsString="0" containsBlank="1" containsNumber="1" minValue="1.0999999999999999E-2" maxValue="4.048"/>
    </cacheField>
    <cacheField name="Gonad" numFmtId="0">
      <sharedItems containsBlank="1" containsMixedTypes="1" containsNumber="1" minValue="0" maxValue="10.717000000000001"/>
    </cacheField>
    <cacheField name="SexStage" numFmtId="0">
      <sharedItems containsBlank="1"/>
    </cacheField>
    <cacheField name="Sex" numFmtId="0">
      <sharedItems containsBlank="1" count="10">
        <s v="F"/>
        <s v=""/>
        <s v="M"/>
        <m/>
        <s v="F22" u="1"/>
        <s v="F10" u="1"/>
        <s v="M20" u="1"/>
        <s v="M22" u="1"/>
        <s v="F20" u="1"/>
        <s v="M10" u="1"/>
      </sharedItems>
    </cacheField>
    <cacheField name="Stage" numFmtId="0">
      <sharedItems containsBlank="1" containsMixedTypes="1" containsNumber="1" containsInteger="1" minValue="10" maxValue="40"/>
    </cacheField>
    <cacheField name="Fgut" numFmtId="0">
      <sharedItems containsString="0" containsBlank="1" containsNumber="1" minValue="1.7000000000000001E-2" maxValue="10.848000000000001"/>
    </cacheField>
    <cacheField name="Egut" numFmtId="0">
      <sharedItems containsString="0" containsBlank="1" containsNumber="1" minValue="1.2E-2" maxValue="8"/>
    </cacheField>
    <cacheField name="Contents" numFmtId="0">
      <sharedItems containsBlank="1"/>
    </cacheField>
    <cacheField name="Fullness" numFmtId="0">
      <sharedItems containsBlank="1"/>
    </cacheField>
    <cacheField name="Rock_num" numFmtId="0">
      <sharedItems containsString="0" containsBlank="1" containsNumber="1" containsInteger="1" minValue="3" maxValue="3"/>
    </cacheField>
    <cacheField name="Rock_mass" numFmtId="0">
      <sharedItems containsString="0" containsBlank="1" containsNumber="1" minValue="8.0000000000000002E-3" maxValue="8.0000000000000002E-3"/>
    </cacheField>
    <cacheField name="DigestedArthropoda_num" numFmtId="0">
      <sharedItems containsString="0" containsBlank="1" containsNumber="1" containsInteger="1" minValue="1" maxValue="50"/>
    </cacheField>
    <cacheField name="DigestedArthropoda_mass" numFmtId="0">
      <sharedItems containsString="0" containsBlank="1" containsNumber="1" minValue="1E-3" maxValue="1.0049999999999999"/>
    </cacheField>
    <cacheField name="TerrestrialInvert_num" numFmtId="0">
      <sharedItems containsString="0" containsBlank="1" containsNumber="1" containsInteger="1" minValue="1" maxValue="3"/>
    </cacheField>
    <cacheField name="TerrestrialInvert_num2" numFmtId="0">
      <sharedItems containsString="0" containsBlank="1" containsNumber="1" minValue="5.0000000000000001E-3" maxValue="0.39100000000000001"/>
    </cacheField>
    <cacheField name="Cambaridae_num" numFmtId="0">
      <sharedItems containsString="0" containsBlank="1" containsNumber="1" containsInteger="1" minValue="1" maxValue="1"/>
    </cacheField>
    <cacheField name="Cambaridae_mass" numFmtId="0">
      <sharedItems containsString="0" containsBlank="1" containsNumber="1" minValue="0.59" maxValue="0.59"/>
    </cacheField>
    <cacheField name="Corixidae_num" numFmtId="0">
      <sharedItems containsString="0" containsBlank="1" containsNumber="1" containsInteger="1" minValue="1" maxValue="1"/>
    </cacheField>
    <cacheField name="Corixidae_mass" numFmtId="0">
      <sharedItems containsString="0" containsBlank="1" containsNumber="1" minValue="6.0000000000000001E-3" maxValue="6.0000000000000001E-3"/>
    </cacheField>
    <cacheField name="Dytiscidae_num" numFmtId="0">
      <sharedItems containsString="0" containsBlank="1" containsNumber="1" containsInteger="1" minValue="2" maxValue="2"/>
    </cacheField>
    <cacheField name="Dytiscidae_mass" numFmtId="0">
      <sharedItems containsString="0" containsBlank="1" containsNumber="1" minValue="0.05" maxValue="0.05"/>
    </cacheField>
    <cacheField name="Belostomatidae_num" numFmtId="0">
      <sharedItems containsString="0" containsBlank="1" containsNumber="1" containsInteger="1" minValue="1" maxValue="1"/>
    </cacheField>
    <cacheField name="Belostomatidae_mass" numFmtId="0">
      <sharedItems containsString="0" containsBlank="1" containsNumber="1" minValue="0.41499999999999998" maxValue="0.41499999999999998"/>
    </cacheField>
    <cacheField name="Amphipoda_num" numFmtId="0">
      <sharedItems containsString="0" containsBlank="1" containsNumber="1" containsInteger="1" minValue="1" maxValue="2"/>
    </cacheField>
    <cacheField name="Amphipoda_mass" numFmtId="0">
      <sharedItems containsBlank="1" containsMixedTypes="1" containsNumber="1" minValue="3.0000000000000001E-3" maxValue="2.4E-2"/>
    </cacheField>
    <cacheField name="Bivalvia_num" numFmtId="0">
      <sharedItems containsString="0" containsBlank="1" containsNumber="1" containsInteger="1" minValue="1" maxValue="20"/>
    </cacheField>
    <cacheField name="Bivalvia_mass" numFmtId="0">
      <sharedItems containsString="0" containsBlank="1" containsNumber="1" minValue="4.0000000000000001E-3" maxValue="9.9000000000000005E-2"/>
    </cacheField>
    <cacheField name="Gastropoda_num" numFmtId="0">
      <sharedItems containsString="0" containsBlank="1" containsNumber="1" containsInteger="1" minValue="1" maxValue="20"/>
    </cacheField>
    <cacheField name="Gastropoda_mass" numFmtId="0">
      <sharedItems containsString="0" containsBlank="1" containsNumber="1" minValue="3.0000000000000001E-3" maxValue="0.35199999999999998"/>
    </cacheField>
    <cacheField name="Hydrachnidia_num" numFmtId="0">
      <sharedItems containsString="0" containsBlank="1" containsNumber="1" containsInteger="1" minValue="3" maxValue="3"/>
    </cacheField>
    <cacheField name="Hydrachnidia_mass" numFmtId="0">
      <sharedItems containsString="0" containsBlank="1" containsNumber="1" minValue="0.05" maxValue="0.05"/>
    </cacheField>
    <cacheField name="CladCop_num" numFmtId="0">
      <sharedItems containsString="0" containsBlank="1" containsNumber="1" containsInteger="1" minValue="1" maxValue="200"/>
    </cacheField>
    <cacheField name="CladCop_mass" numFmtId="0">
      <sharedItems containsString="0" containsBlank="1" containsNumber="1" minValue="0" maxValue="8.8999999999999996E-2"/>
    </cacheField>
    <cacheField name="Anisoptera_num" numFmtId="0">
      <sharedItems containsString="0" containsBlank="1" containsNumber="1" containsInteger="1" minValue="1" maxValue="6"/>
    </cacheField>
    <cacheField name="Anisoptera_mass" numFmtId="0">
      <sharedItems containsString="0" containsBlank="1" containsNumber="1" minValue="3.0000000000000001E-3" maxValue="0.81200000000000006"/>
    </cacheField>
    <cacheField name="Zygoptera_num" numFmtId="0">
      <sharedItems containsString="0" containsBlank="1" containsNumber="1" containsInteger="1" minValue="1" maxValue="15"/>
    </cacheField>
    <cacheField name="Zygoptera_mass" numFmtId="0">
      <sharedItems containsString="0" containsBlank="1" containsNumber="1" minValue="1E-3" maxValue="8.2000000000000003E-2"/>
    </cacheField>
    <cacheField name="Chaoboridae_num" numFmtId="0">
      <sharedItems containsString="0" containsBlank="1" containsNumber="1" containsInteger="1" minValue="17" maxValue="200"/>
    </cacheField>
    <cacheField name="Chaoboridae_mass" numFmtId="0">
      <sharedItems containsString="0" containsBlank="1" containsNumber="1" minValue="1.6E-2" maxValue="0.11700000000000001"/>
    </cacheField>
    <cacheField name="Chironomidae_num" numFmtId="0">
      <sharedItems containsString="0" containsBlank="1" containsNumber="1" containsInteger="1" minValue="1" maxValue="50"/>
    </cacheField>
    <cacheField name="Chironomidae_mass" numFmtId="0">
      <sharedItems containsBlank="1" containsMixedTypes="1" containsNumber="1" minValue="0" maxValue="0.49399999999999999"/>
    </cacheField>
    <cacheField name="Tipulidae_num" numFmtId="0">
      <sharedItems containsString="0" containsBlank="1" containsNumber="1" containsInteger="1" minValue="1" maxValue="8"/>
    </cacheField>
    <cacheField name="Tipulidae_mass" numFmtId="0">
      <sharedItems containsString="0" containsBlank="1" containsNumber="1" minValue="1.6E-2" maxValue="0.80900000000000005"/>
    </cacheField>
    <cacheField name="Stratiomyidae_num" numFmtId="0">
      <sharedItems containsString="0" containsBlank="1" containsNumber="1" containsInteger="1" minValue="1" maxValue="2"/>
    </cacheField>
    <cacheField name="Stratiomyidae_mass" numFmtId="0">
      <sharedItems containsString="0" containsBlank="1" containsNumber="1" minValue="8.9999999999999993E-3" maxValue="7.0000000000000007E-2"/>
    </cacheField>
    <cacheField name="Trichoptera_num" numFmtId="0">
      <sharedItems containsString="0" containsBlank="1" containsNumber="1" minValue="3.9E-2" maxValue="12"/>
    </cacheField>
    <cacheField name="Trichoptera_mass" numFmtId="0">
      <sharedItems containsString="0" containsBlank="1" containsNumber="1" minValue="6.0000000000000001E-3" maxValue="0.81699999999999995"/>
    </cacheField>
    <cacheField name="Ephemeroptera_num" numFmtId="0">
      <sharedItems containsString="0" containsBlank="1" containsNumber="1" containsInteger="1" minValue="1" maxValue="43"/>
    </cacheField>
    <cacheField name="Ephemeroptera_mass" numFmtId="0">
      <sharedItems containsString="0" containsBlank="1" containsNumber="1" minValue="1E-3" maxValue="0.42199999999999999"/>
    </cacheField>
    <cacheField name="Hirudinae_num" numFmtId="0">
      <sharedItems containsString="0" containsBlank="1" containsNumber="1" containsInteger="1" minValue="1" maxValue="1"/>
    </cacheField>
    <cacheField name="Hirudinae_mass" numFmtId="0">
      <sharedItems containsString="0" containsBlank="1" containsNumber="1" minValue="1.2E-2" maxValue="0.755"/>
    </cacheField>
    <cacheField name="Oligochaeta_num" numFmtId="0">
      <sharedItems containsString="0" containsBlank="1" containsNumber="1" containsInteger="1" minValue="1" maxValue="6"/>
    </cacheField>
    <cacheField name="Oligochaeta_mass" numFmtId="0">
      <sharedItems containsString="0" containsBlank="1" containsNumber="1" minValue="0.01" maxValue="1.66"/>
    </cacheField>
    <cacheField name="Stickle_num" numFmtId="0">
      <sharedItems containsString="0" containsBlank="1" containsNumber="1" containsInteger="1" minValue="1" maxValue="1"/>
    </cacheField>
    <cacheField name="Stickle_mass" numFmtId="0">
      <sharedItems containsString="0" containsBlank="1" containsNumber="1" minValue="0.222" maxValue="0.222"/>
    </cacheField>
    <cacheField name="FatH_num" numFmtId="0">
      <sharedItems containsString="0" containsBlank="1" containsNumber="1" containsInteger="1" minValue="1" maxValue="2"/>
    </cacheField>
    <cacheField name="FatH_mass" numFmtId="0">
      <sharedItems containsString="0" containsBlank="1" containsNumber="1" minValue="0.82599999999999996" maxValue="2.4670000000000001"/>
    </cacheField>
    <cacheField name="RBD_num" numFmtId="0">
      <sharedItems containsString="0" containsBlank="1" containsNumber="1" containsInteger="1" minValue="1" maxValue="4"/>
    </cacheField>
    <cacheField name="RBD_mass" numFmtId="0">
      <sharedItems containsString="0" containsBlank="1" containsNumber="1" minValue="0.35599999999999998" maxValue="6.1429999999999998"/>
    </cacheField>
    <cacheField name="PU_num" numFmtId="0">
      <sharedItems containsString="0" containsBlank="1" containsNumber="1" containsInteger="1" minValue="1" maxValue="6"/>
    </cacheField>
    <cacheField name="PU_mass" numFmtId="0">
      <sharedItems containsString="0" containsBlank="1" containsNumber="1" minValue="6.2E-2" maxValue="1.855"/>
    </cacheField>
    <cacheField name="Fish_num" numFmtId="0">
      <sharedItems containsString="0" containsBlank="1" containsNumber="1" containsInteger="1" minValue="1" maxValue="2"/>
    </cacheField>
    <cacheField name="Fish_mass" numFmtId="0">
      <sharedItems containsString="0" containsBlank="1" containsNumber="1" minValue="0.11700000000000001" maxValue="1.2090000000000001"/>
    </cacheField>
    <cacheField name="Vegetation_num" numFmtId="0">
      <sharedItems containsString="0" containsBlank="1" containsNumber="1" containsInteger="1" minValue="1" maxValue="1"/>
    </cacheField>
    <cacheField name="Vegetation_mass" numFmtId="0">
      <sharedItems containsString="0" containsBlank="1" containsNumber="1" minValue="8.0000000000000002E-3" maxValue="0.13200000000000001"/>
    </cacheField>
    <cacheField name="ContentMass" numFmtId="0">
      <sharedItems containsString="0" containsBlank="1" containsNumber="1" minValue="0" maxValue="6.1429999999999998"/>
    </cacheField>
    <cacheField name="Date" numFmtId="0">
      <sharedItems containsDate="1" containsBlank="1" containsMixedTypes="1" minDate="2021-01-08T00:00:00" maxDate="2021-11-03T00:00:00"/>
    </cacheField>
    <cacheField name="Day" numFmtId="0">
      <sharedItems containsBlank="1" containsMixedTypes="1" containsNumber="1" containsInteger="1" minValue="1" maxValue="11"/>
    </cacheField>
    <cacheField name="Month" numFmtId="0">
      <sharedItems containsBlank="1" containsMixedTypes="1" containsNumber="1" containsInteger="1" minValue="2" maxValue="8"/>
    </cacheField>
    <cacheField name="Year" numFmtId="0">
      <sharedItems containsBlank="1" containsMixedTypes="1" containsNumber="1" containsInteger="1" minValue="2021" maxValue="2021"/>
    </cacheField>
    <cacheField name="FormDate" numFmtId="0">
      <sharedItems containsNonDate="0" containsDate="1" containsString="0" containsBlank="1" minDate="2020-12-18T00:00:00" maxDate="2021-08-02T00:00:00" count="48">
        <d v="2020-12-18T00:00:00"/>
        <d v="2020-12-19T00:00:00"/>
        <d v="2021-01-18T00:00:00"/>
        <d v="2021-02-06T00:00:00"/>
        <d v="2021-01-16T00:00:00"/>
        <d v="2021-02-05T00:00:00"/>
        <d v="2021-02-19T00:00:00"/>
        <d v="2021-03-05T00:00:00"/>
        <d v="2021-03-17T00:00:00"/>
        <d v="2021-04-03T00:00:00"/>
        <d v="2021-04-19T00:00:00"/>
        <d v="2021-04-20T00:00:00"/>
        <d v="2021-05-04T00:00:00"/>
        <d v="2021-05-18T00:00:00"/>
        <d v="2021-06-06T00:00:00"/>
        <d v="2021-06-22T00:00:00"/>
        <d v="2021-07-07T00:00:00"/>
        <d v="2021-08-01T00:00:00"/>
        <d v="2020-12-21T00:00:00"/>
        <d v="2020-12-30T00:00:00"/>
        <d v="2021-01-21T00:00:00"/>
        <d v="2021-01-22T00:00:00"/>
        <d v="2021-02-11T00:00:00"/>
        <d v="2021-02-21T00:00:00"/>
        <d v="2021-03-07T00:00:00"/>
        <d v="2021-03-08T00:00:00"/>
        <d v="2021-03-18T00:00:00"/>
        <d v="2021-03-19T00:00:00"/>
        <d v="2021-04-07T00:00:00"/>
        <d v="2021-04-09T00:00:00"/>
        <d v="2021-05-19T00:00:00"/>
        <d v="2021-05-20T00:00:00"/>
        <d v="2021-06-07T00:00:00"/>
        <d v="2021-06-23T00:00:00"/>
        <d v="2021-06-24T00:00:00"/>
        <d v="2021-07-08T00:00:00"/>
        <d v="2021-01-20T00:00:00"/>
        <d v="2021-02-09T00:00:00"/>
        <d v="2021-02-10T00:00:00"/>
        <d v="2021-04-08T00:00:00"/>
        <d v="2021-05-06T00:00:00"/>
        <d v="2021-05-08T00:00:00"/>
        <d v="2021-06-08T00:00:00"/>
        <d v="2021-07-16T00:00:00"/>
        <d v="2021-02-20T00:00:00"/>
        <d v="2021-04-15T00:00:00"/>
        <d v="2021-05-05T00:00:00"/>
        <m/>
      </sharedItems>
      <fieldGroup par="91" base="78">
        <rangePr groupBy="months" startDate="2020-12-18T00:00:00" endDate="2021-08-02T00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8/2/2021"/>
        </groupItems>
      </fieldGroup>
    </cacheField>
    <cacheField name="JulianDate" numFmtId="0">
      <sharedItems containsString="0" containsBlank="1" containsNumber="1" containsInteger="1" minValue="16" maxValue="365" count="48">
        <n v="353"/>
        <n v="18"/>
        <n v="37"/>
        <n v="354"/>
        <n v="16"/>
        <n v="36"/>
        <n v="50"/>
        <n v="64"/>
        <n v="76"/>
        <n v="93"/>
        <n v="109"/>
        <n v="110"/>
        <n v="124"/>
        <n v="138"/>
        <n v="157"/>
        <n v="173"/>
        <n v="188"/>
        <n v="213"/>
        <n v="356"/>
        <n v="365"/>
        <n v="21"/>
        <n v="22"/>
        <n v="42"/>
        <n v="52"/>
        <n v="66"/>
        <n v="67"/>
        <n v="77"/>
        <n v="78"/>
        <n v="97"/>
        <n v="99"/>
        <n v="139"/>
        <n v="140"/>
        <n v="158"/>
        <n v="174"/>
        <n v="175"/>
        <n v="189"/>
        <n v="20"/>
        <n v="40"/>
        <n v="41"/>
        <n v="98"/>
        <n v="126"/>
        <n v="128"/>
        <n v="159"/>
        <n v="197"/>
        <n v="51"/>
        <n v="105"/>
        <n v="125"/>
        <m/>
      </sharedItems>
    </cacheField>
    <cacheField name="Sample" numFmtId="0">
      <sharedItems containsString="0" containsBlank="1" containsNumber="1" containsInteger="1" minValue="1" maxValue="15" count="16">
        <n v="1"/>
        <n v="2"/>
        <n v="3"/>
        <n v="4"/>
        <n v="5"/>
        <n v="6"/>
        <n v="7"/>
        <n v="8"/>
        <n v="9"/>
        <n v="10"/>
        <n v="11"/>
        <n v="12"/>
        <n v="13"/>
        <n v="15"/>
        <n v="14"/>
        <m/>
      </sharedItems>
    </cacheField>
    <cacheField name="Comments" numFmtId="0">
      <sharedItems containsBlank="1"/>
    </cacheField>
    <cacheField name="GSI" numFmtId="0">
      <sharedItems containsString="0" containsBlank="1" containsNumber="1" minValue="0" maxValue="28.050458715596331"/>
    </cacheField>
    <cacheField name="HSI" numFmtId="0">
      <sharedItems containsString="0" containsBlank="1" containsNumber="1" minValue="0.64910979228486654" maxValue="5.2694610778443121"/>
    </cacheField>
    <cacheField name="SHSI" numFmtId="0">
      <sharedItems containsString="0" containsBlank="1" containsNumber="1" minValue="6.4947114492484703E-3" maxValue="4.6486148066990136"/>
    </cacheField>
    <cacheField name="GUSI" numFmtId="0">
      <sharedItems containsString="0" containsBlank="1" containsNumber="1" minValue="0" maxValue="9.0070061977903517"/>
    </cacheField>
    <cacheField name="GFI" numFmtId="0">
      <sharedItems containsString="0" containsBlank="1" containsNumber="1" minValue="0" maxValue="11.386316641193925"/>
    </cacheField>
    <cacheField name="GFI2" numFmtId="0">
      <sharedItems containsString="0" containsBlank="1" containsNumber="1" minValue="0" maxValue="21.666816506338222"/>
    </cacheField>
    <cacheField name="CaptureMethod" numFmtId="0">
      <sharedItems containsBlank="1"/>
    </cacheField>
    <cacheField name="ParasiteLoad" numFmtId="0">
      <sharedItems containsString="0" containsBlank="1" containsNumber="1" containsInteger="1" minValue="1" maxValue="4"/>
    </cacheField>
    <cacheField name="Quarters" numFmtId="0" databaseField="0">
      <fieldGroup base="78">
        <rangePr groupBy="quarters" startDate="2020-12-18T00:00:00" endDate="2021-08-02T00:00:00"/>
        <groupItems count="6">
          <s v="&lt;12/18/2020"/>
          <s v="Qtr1"/>
          <s v="Qtr2"/>
          <s v="Qtr3"/>
          <s v="Qtr4"/>
          <s v="&gt;8/2/2021"/>
        </groupItems>
      </fieldGroup>
    </cacheField>
    <cacheField name="Years" numFmtId="0" databaseField="0">
      <fieldGroup base="78">
        <rangePr groupBy="years" startDate="2020-12-18T00:00:00" endDate="2021-08-02T00:00:00"/>
        <groupItems count="4">
          <s v="&lt;12/18/2020"/>
          <s v="2020"/>
          <s v="2021"/>
          <s v="&gt;8/2/202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imot" refreshedDate="45072.414547453707" createdVersion="8" refreshedVersion="8" minRefreshableVersion="3" recordCount="764" xr:uid="{3714D7BF-DD93-4361-BA71-B6DB80E10B5F}">
  <cacheSource type="worksheet">
    <worksheetSource ref="A1:CU1048576" sheet="FishData"/>
  </cacheSource>
  <cacheFields count="101">
    <cacheField name="FishCode" numFmtId="0">
      <sharedItems containsBlank="1" count="764">
        <s v="PU-GBP-1"/>
        <s v="PU-GBP-2"/>
        <s v="PU-GBP-3"/>
        <s v="PU-GBP-4"/>
        <s v="PU-GBP-5"/>
        <s v="PU-GBP-6"/>
        <s v="PU-GBP-7"/>
        <s v="PU-GBP-8"/>
        <s v="PU-GBP-9"/>
        <s v="PU-GBP-10"/>
        <s v="PU-GBP-11"/>
        <s v="PU-GBP-12"/>
        <s v="PU-GBP-13"/>
        <s v="PU-GBP-14"/>
        <s v="PU-GBP-15"/>
        <s v="PU-GBP-16"/>
        <s v="PU-GBP-17"/>
        <s v="PU-GBP-18"/>
        <s v="PU-GBP-19"/>
        <s v="PU-GBP-20"/>
        <s v="PU-GBP-21"/>
        <s v="PU-GBP-22"/>
        <s v="PU-GBP-23"/>
        <s v="PU-GBP-24"/>
        <s v="PU-GBP-25"/>
        <s v="PU-GBP-26"/>
        <s v="PU-GBP-27"/>
        <s v="PU-GBP-28"/>
        <s v="PU-GBP-29"/>
        <s v="PU-GBP-30"/>
        <s v="PU-GBP-31"/>
        <s v="PU-GBP-32"/>
        <s v="PU-GSP-1"/>
        <s v="PU-GSP-2"/>
        <s v="PU-GSP-3"/>
        <s v="PU-GSP-4"/>
        <s v="PU-GSP-5"/>
        <s v="PU-GSP-6"/>
        <s v="PU-GSP-7"/>
        <s v="PU-GSP-8"/>
        <s v="PU-GSP-9"/>
        <s v="PU-GSP-10"/>
        <s v="PU-GSP-11"/>
        <s v="PU-GSP-12"/>
        <s v="PU-GSP-13"/>
        <s v="PU-GSP-14"/>
        <s v="PU-GSP-15"/>
        <s v="PU-GSP-16"/>
        <s v="PU-GSP-17"/>
        <s v="PU-GSP-18"/>
        <s v="PU-GSP-19"/>
        <s v="PU-GSP-20"/>
        <s v="PU-GSP-21"/>
        <s v="PU-GSP-22"/>
        <s v="PU-GSP-23"/>
        <s v="PU-GSP-24"/>
        <s v="PU-GSP-25"/>
        <s v="PU-GSP-26"/>
        <s v="PU-GSP-27"/>
        <s v="PU-GSP-28"/>
        <s v="PU-GSP-29"/>
        <s v="PU-GSP-30"/>
        <s v="PU-GSP-31"/>
        <s v="PU-GSP-32"/>
        <s v="PU-GSP-33"/>
        <s v="PU-GSP-34"/>
        <s v="PU-GSP-35"/>
        <s v="PU-GSP-36"/>
        <s v="PU-GSP-37"/>
        <s v="PU-GSP-38"/>
        <s v="PU-GSP-39"/>
        <s v="PU-GSP-40"/>
        <s v="PU-GSP-41"/>
        <s v="PU-GSP-42"/>
        <s v="PU-GSP-43"/>
        <s v="PU-GSP-44"/>
        <s v="PU-GSP-45"/>
        <s v="PU-GSP-46"/>
        <s v="PU-GSP-47"/>
        <s v="PU-GSP-48"/>
        <s v="PU-GSP-49"/>
        <s v="PU-GSP-50"/>
        <s v="PU-GSP-51"/>
        <s v="PU-GSP-52"/>
        <s v="PU-GSP-53"/>
        <s v="PU-GSP-54"/>
        <s v="PU-GSP-55"/>
        <s v="PU-GSP-56"/>
        <s v="PU-GSP-57"/>
        <s v="PU-GSP-58"/>
        <s v="PU-GSP-59"/>
        <s v="PU-GSP-60"/>
        <s v="PU-GSP-61"/>
        <s v="PU-GSP-62"/>
        <s v="PU-GSP-63"/>
        <s v="PU-GSP-64"/>
        <s v="PU-GSP-65"/>
        <s v="PU-GSP-66"/>
        <s v="PU-GSP-67"/>
        <s v="PU-GSP-68"/>
        <s v="PU-GSP-69"/>
        <s v="PU-GSP-70"/>
        <s v="PU-GSP-71"/>
        <s v="PU-GSP-72"/>
        <s v="PU-GSP-73"/>
        <s v="PU-GSP-74"/>
        <s v="PU-GSP-75"/>
        <s v="PU-GSP-76"/>
        <s v="PU-GSP-77"/>
        <s v="PU-GSP-78"/>
        <s v="PU-GSP-79"/>
        <s v="PU-GSP-80"/>
        <s v="PU-GSP-81"/>
        <s v="PU-GSP-82"/>
        <s v="PU-GSP-83"/>
        <s v="PU-GSP-84"/>
        <s v="PU-GSP-85"/>
        <s v="PU-GSP-86"/>
        <s v="PU-GSP-87"/>
        <s v="PU-GSP-88"/>
        <s v="PU-GSP-89"/>
        <s v="PU-GSP-90"/>
        <s v="PU-GSP-91"/>
        <s v="PU-GSP-92"/>
        <s v="PU-GSP-93"/>
        <s v="PU-GSP-94"/>
        <s v="PU-GSP-95"/>
        <s v="PU-GSP-96"/>
        <s v="PU-GSP-97"/>
        <s v="PU-GSP-98"/>
        <s v="PU-GSP-99"/>
        <s v="PU-GSP-100"/>
        <s v="PU-GSP-101"/>
        <s v="PU-GSP-102"/>
        <s v="PU-GSP-103"/>
        <s v="PU-GSP-104"/>
        <s v="PU-GSP-105"/>
        <s v="PU-GSP-106"/>
        <s v="PU-GSP-107"/>
        <s v="PU-GSP-108"/>
        <s v="PU-GSP-109"/>
        <s v="PU-GSP-110"/>
        <s v="PU-GSP-111"/>
        <s v="PU-GSP-112"/>
        <s v="PU-GSP-113"/>
        <s v="PU-GSP-114"/>
        <s v="PU-GSP-115"/>
        <s v="PU-GSP-116"/>
        <s v="PU-GSP-117"/>
        <s v="PU-GSP-118"/>
        <s v="PU-GSP-119"/>
        <s v="PU-GSP-120"/>
        <s v="PU-GSP-121"/>
        <s v="PU-GSP-122"/>
        <s v="PU-GSP-123"/>
        <s v="PU-GSP-124"/>
        <s v="PU-GSP-125"/>
        <s v="PU-GSP-126"/>
        <s v="PU-GSP-127"/>
        <s v="PU-GSP-128"/>
        <s v="PU-GSP-129"/>
        <s v="PU-GSP-130"/>
        <s v="PU-GSP-131"/>
        <s v="PU-GSP-132"/>
        <s v="PU-GSP-133"/>
        <s v="PU-GSP-134"/>
        <s v="PU-GSP-135"/>
        <s v="PU-GSP-136"/>
        <s v="PU-GSP-137"/>
        <s v="PU-GSP-138"/>
        <s v="PU-GSP-139"/>
        <s v="PU-GSP-140"/>
        <s v="PU-GSP-141"/>
        <s v="PU-GSP-142"/>
        <s v="PU-GSP-143"/>
        <s v="PU-GSP-144"/>
        <s v="PU-GSP-145"/>
        <s v="PU-GSP-146"/>
        <s v="PU-GSP-147"/>
        <s v="PU-GSP-148"/>
        <s v="PU-GSP-149"/>
        <s v="PU-GSP-150"/>
        <s v="PU-GSP-151"/>
        <s v="PU-GSP-152"/>
        <s v="PU-GSP-153"/>
        <s v="PU-GSP-154"/>
        <s v="PU-GSP-155"/>
        <s v="PU-GSP-156"/>
        <s v="PU-GSP-157"/>
        <s v="PU-GSP-158"/>
        <s v="PU-GSP-159"/>
        <s v="PU-GSP-160"/>
        <s v="PU-GSP-161"/>
        <s v="PU-GSP-162"/>
        <s v="PU-GSP-163"/>
        <s v="PU-GSP-164"/>
        <s v="PU-GSP-165"/>
        <s v="PU-GSP-166"/>
        <s v="PU-GSP-167"/>
        <s v="PU-GSP-168"/>
        <s v="PU-GSP-169"/>
        <s v="PU-GSP-170"/>
        <s v="PU-GSP-171"/>
        <s v="PU-GSP-172"/>
        <s v="PU-GSP-173"/>
        <s v="PU-GSP-174"/>
        <s v="PU-GSP-175"/>
        <s v="PU-GSP-176"/>
        <s v="PU-GSP-177"/>
        <s v="PU-GSP-178"/>
        <s v="PU-GSP-179"/>
        <s v="PU-GSP-180"/>
        <s v="PU-GSP-181"/>
        <s v="PU-GSP-182"/>
        <s v="PU-GSP-183"/>
        <s v="PU-GSP-184"/>
        <s v="PU-GSP-185"/>
        <s v="PU-GSP-186"/>
        <s v="PU-GSP-187"/>
        <s v="PU-GSP-188"/>
        <s v="PU-GSP-189"/>
        <s v="PU-GSP-190"/>
        <s v="PU-GSP-191"/>
        <s v="PU-GSP-192"/>
        <s v="PU-GSP-193"/>
        <s v="PU-GSP-194"/>
        <s v="PU-GSP-195"/>
        <s v="PU-GSP-196"/>
        <s v="PU-GSP-197"/>
        <s v="PU-GSP-198"/>
        <s v="PU-GSP-199"/>
        <s v="PU-GSP-200"/>
        <s v="PU-GSP-201"/>
        <s v="PU-GSP-202"/>
        <s v="PU-GSP-203"/>
        <s v="PU-GSP-204"/>
        <s v="PU-GSP-205"/>
        <s v="PU-GSP-206"/>
        <s v="PU-GSP-207"/>
        <s v="PU-GSP-208"/>
        <s v="PU-GSP-209"/>
        <s v="PU-GSP-210"/>
        <s v="PU-GSP-211"/>
        <s v="PU-GSP-212"/>
        <s v="PU-GSP-213"/>
        <s v="PU-GSP-214"/>
        <s v="PU-GSP-215"/>
        <s v="PU-GSP-216"/>
        <s v="PU-GSP-217"/>
        <s v="PU-GSP-218"/>
        <s v="PU-GSP-219"/>
        <s v="PU-GSP-220"/>
        <s v="PU-GSP-221"/>
        <s v="PU-GSP-222"/>
        <s v="PU-GSP-223"/>
        <s v="PU-GSP-224"/>
        <s v="PU-GSP-225"/>
        <s v="PU-GSP-226"/>
        <s v="PU-GSP-227"/>
        <s v="PU-GSP-228"/>
        <s v="PU-GSP-229"/>
        <s v="PU-GSP-230"/>
        <s v="PU-GSP-231"/>
        <s v="PU-GSP-232"/>
        <s v="PU-GSP-233"/>
        <s v="PU-GSP-234"/>
        <s v="PU-GSP-235"/>
        <s v="PU-GSP-236"/>
        <s v="PU-GSP-237"/>
        <s v="PU-GSP-238"/>
        <s v="PU-GSP-239"/>
        <s v="PU-GSP-240"/>
        <s v="PU-GSP-241"/>
        <s v="PU-GSP-242"/>
        <s v="PU-GSP-243"/>
        <s v="PU-GSP-244"/>
        <s v="PU-GSP-245"/>
        <s v="PU-GSP-246"/>
        <s v="PU-GSP-247"/>
        <s v="PU-GSP-248"/>
        <s v="PU-GSP-249"/>
        <s v="PU-GSP-250"/>
        <s v="PU-GSP-251"/>
        <s v="PU-GSP-252"/>
        <s v="PU-GSP-253"/>
        <s v="PU-GSP-254"/>
        <s v="PU-GSP-255"/>
        <s v="PU-GSP-256"/>
        <s v="PU-GSP-257"/>
        <s v="PU-GSP-258"/>
        <s v="PU-GSP-259"/>
        <s v="PU-GSP-260"/>
        <s v="PU-GSP-261"/>
        <s v="PU-GSP-262"/>
        <s v="PU-GSP-263"/>
        <s v="PU-GSP-264"/>
        <s v="PU-GSP-265"/>
        <s v="PU-GSP-266"/>
        <s v="PU-GSP-267"/>
        <s v="PU-GSP-268"/>
        <s v="PU-GSP-269"/>
        <s v="PU-GSP-270"/>
        <s v="PU-GSP-271"/>
        <s v="PU-GSP-272"/>
        <s v="PU-GSP-273"/>
        <s v="PU-GSP-274"/>
        <s v="PU-GSP-275"/>
        <s v="PU-GSP-276"/>
        <s v="PU-GSP-277"/>
        <s v="PU-GSP-278"/>
        <s v="PU-GSP-279"/>
        <s v="PU-GSP-280"/>
        <s v="PU-GSP-281"/>
        <s v="PU-GSP-282"/>
        <s v="PU-GSP-283"/>
        <s v="PU-GSP-284"/>
        <s v="PU-GSP-285"/>
        <s v="PU-GSP-286"/>
        <s v="PU-KSB-1"/>
        <s v="PU-KSB-2"/>
        <s v="PU-KSB-3"/>
        <s v="PU-KSB-4"/>
        <s v="PU-KSB-5"/>
        <s v="PU-KSB-6"/>
        <s v="PU-KSB-7"/>
        <s v="PU-KSB-8"/>
        <s v="PU-KSB-9"/>
        <s v="PU-KSB-10"/>
        <s v="PU-KSB-11"/>
        <s v="PU-KSB-12"/>
        <s v="PU-KSB-13"/>
        <s v="PU-KSB-14"/>
        <s v="PU-KSB-15"/>
        <s v="PU-KSB-16"/>
        <s v="PU-KSB-17"/>
        <s v="PU-KSB-18"/>
        <s v="PU-KSB-19"/>
        <s v="PU-KSB-20"/>
        <s v="PU-KSB-21"/>
        <s v="PU-KSB-22"/>
        <s v="PU-KSB-23"/>
        <s v="PU-KSB-24"/>
        <s v="PU-KSB-25"/>
        <s v="PU-KSB-26"/>
        <s v="PU-KSB-27"/>
        <s v="PU-KSB-28"/>
        <s v="PU-KSB-29"/>
        <s v="PU-KSB-30"/>
        <s v="PU-KSB-31"/>
        <s v="PU-KSB-32"/>
        <s v="PU-KSB-33"/>
        <s v="PU-KSB-34"/>
        <s v="PU-KSB-35"/>
        <s v="PU-KSB-36"/>
        <s v="PU-KSB-37"/>
        <s v="PU-KSB-38"/>
        <s v="PU-KSB-39"/>
        <s v="PU-KSB-40"/>
        <s v="PU-KSB-41"/>
        <s v="PU-KSB-42"/>
        <s v="PU-KSB-43"/>
        <s v="PU-KSB-44"/>
        <s v="PU-KSB-45"/>
        <s v="PU-KSB-46"/>
        <s v="PU-KSB-47"/>
        <s v="PU-KSB-48"/>
        <s v="PU-KSB-49"/>
        <s v="PU-KSB-50"/>
        <s v="PU-KSB-51"/>
        <s v="PU-KSB-52"/>
        <s v="PU-KSB-53"/>
        <s v="PU-KSB-54"/>
        <s v="PU-KSB-55"/>
        <s v="PU-KSB-56"/>
        <s v="PU-KSB-57"/>
        <s v="PU-KSB-58"/>
        <s v="PU-KSB-59"/>
        <s v="PU-KSB-60"/>
        <s v="PU-KSB-61"/>
        <s v="PU-KSB-62"/>
        <s v="PU-KSB-63"/>
        <s v="PU-KSB-64"/>
        <s v="PU-KSB-65"/>
        <s v="PU-KSB-66"/>
        <s v="PU-KSB-67"/>
        <s v="PU-KSB-68"/>
        <s v="PU-KSB-69"/>
        <s v="PU-KSB-70"/>
        <s v="PU-KSB-71"/>
        <s v="PU-KSB-72"/>
        <s v="PU-KSB-73"/>
        <s v="PU-KSB-74"/>
        <s v="PU-KSB-75"/>
        <s v="PU-KSB-76"/>
        <s v="PU-KSB-77"/>
        <s v="PU-KSB-78"/>
        <s v="PU-KSB-79"/>
        <s v="PU-KSB-80"/>
        <s v="PU-KSB-81"/>
        <s v="PU-KSB-82"/>
        <s v="PU-KSB-83"/>
        <s v="PU-KSB-84"/>
        <s v="PU-KSB-85"/>
        <s v="PU-KSB-86"/>
        <s v="PU-KSB-87"/>
        <s v="PU-KSB-88"/>
        <s v="PU-KSB-89"/>
        <s v="PU-KSB-90"/>
        <s v="PU-KSB-91"/>
        <s v="PU-KSB-92"/>
        <s v="PU-KSB-93"/>
        <s v="PU-KSB-94"/>
        <s v="PU-KSB-95"/>
        <s v="PU-KSB-96"/>
        <s v="PU-KSB-97"/>
        <s v="PU-KSB-98"/>
        <s v="PU-KSB-99"/>
        <s v="PU-KSB-100"/>
        <s v="PU-KSB-101"/>
        <s v="PU-KSB-102"/>
        <s v="PU-KSB-103"/>
        <s v="PU-KSB-104"/>
        <s v="PU-KSB-105"/>
        <s v="PU-KSB-106"/>
        <s v="PU-KSB-107"/>
        <s v="PU-KSB-108"/>
        <s v="PU-KSB-109"/>
        <s v="PU-KSB-110"/>
        <s v="PU-KSB-111"/>
        <s v="PU-KSB-112"/>
        <s v="PU-KSB-113"/>
        <s v="PU-KSB-114"/>
        <s v="PU-KSB-115"/>
        <s v="PU-KSB-116"/>
        <s v="PU-KSB-117"/>
        <s v="PU-KSB-118"/>
        <s v="PU-KSB-119"/>
        <s v="PU-KSS-1"/>
        <s v="PU-KSS-2"/>
        <s v="PU-KSS-3"/>
        <s v="PU-KSS-4"/>
        <s v="PU-KSS-5"/>
        <s v="PU-KSS-6"/>
        <s v="PU-KSS-7"/>
        <s v="PU-KSS-8"/>
        <s v="PU-KSS-9"/>
        <s v="PU-KSS-10"/>
        <s v="PU-KSS-11"/>
        <s v="PU-KSS-12"/>
        <s v="PU-KSS-13"/>
        <s v="PU-KSS-14"/>
        <s v="PU-KSS-15"/>
        <s v="PU-KSS-16"/>
        <s v="PU-KSS-17"/>
        <s v="PU-KSS-18"/>
        <s v="PU-KSS-19"/>
        <s v="PU-KSS-20"/>
        <s v="PU-KSS-21"/>
        <s v="PU-KSS-22"/>
        <s v="PU-KSS-23"/>
        <s v="PU-KSS-24"/>
        <s v="PU-KSS-25"/>
        <s v="PU-KSS-26"/>
        <s v="PU-KSS-27"/>
        <s v="PU-KSS-28"/>
        <s v="PU-KSS-29"/>
        <s v="PU-KSS-30"/>
        <s v="PU-KSS-31"/>
        <s v="PU-KSS-32"/>
        <s v="PU-KSS-33"/>
        <s v="PU-KSS-34"/>
        <s v="PU-KSS-35"/>
        <s v="PU-KSS-36"/>
        <s v="PU-KSS-37"/>
        <s v="PU-KSS-38"/>
        <s v="PU-KSS-39"/>
        <s v="PU-KSS-40"/>
        <s v="PU-KSS-41"/>
        <s v="PU-KSS-42"/>
        <s v="PU-KSS-43"/>
        <s v="PU-KSS-44"/>
        <s v="PU-KSS-45"/>
        <s v="PU-KSS-46"/>
        <s v="PU-KSS-47"/>
        <s v="PU-KSS-48"/>
        <s v="PU-KSS-49"/>
        <s v="PU-KSS-50"/>
        <s v="PU-KSS-51"/>
        <s v="PU-KSS-52"/>
        <s v="PU-KSS-53"/>
        <s v="PU-KSS-54"/>
        <s v="PU-KSS-55"/>
        <s v="PU-KSS-56"/>
        <s v="PU-KSS-57"/>
        <s v="PU-KSS-58"/>
        <s v="PU-KSS-59"/>
        <s v="PU-KSS-60"/>
        <s v="PU-KSS-61"/>
        <s v="PU-KSS-62"/>
        <s v="PU-KSS-63"/>
        <s v="PU-KSS-64"/>
        <s v="PU-KSS-65"/>
        <s v="PU-KSS-66"/>
        <s v="PU-KSS-67"/>
        <s v="PU-KSS-68"/>
        <s v="PU-KSS-69"/>
        <s v="PU-KSS-70"/>
        <s v="PU-KSS-71"/>
        <s v="PU-KSS-72"/>
        <s v="PU-KSS-73"/>
        <s v="PU-KSS-74"/>
        <s v="PU-KSS-75"/>
        <s v="PU-KSS-76"/>
        <s v="PU-KSS-77"/>
        <s v="PU-KSS-78"/>
        <s v="PU-KSS-79"/>
        <s v="PU-KSS-80"/>
        <s v="PU-KSS-81"/>
        <s v="PU-KSS-82"/>
        <s v="PU-KSS-83"/>
        <s v="PU-KSS-84"/>
        <s v="PU-KSS-85"/>
        <s v="PU-KSS-86"/>
        <s v="PU-KSS-87"/>
        <s v="PU-KSS-88"/>
        <s v="PU-KSS-89"/>
        <s v="PU-KSS-90"/>
        <s v="PU-KSS-91"/>
        <s v="PU-KSS-92"/>
        <s v="PU-KSS-93"/>
        <s v="PU-KSS-94"/>
        <s v="PU-KSS-95"/>
        <s v="PU-KSS-96"/>
        <s v="PU-KSS-97"/>
        <s v="PU-KSS-98"/>
        <s v="PU-KSS-99"/>
        <s v="PU-KSS-100"/>
        <s v="PU-PP-1"/>
        <s v="PU-PP-2"/>
        <s v="PU-PP-3"/>
        <s v="PU-PP-4"/>
        <s v="PU-PP-5"/>
        <s v="PU-PP-6"/>
        <s v="PU-PP-7"/>
        <s v="PU-PP-8"/>
        <s v="PU-PP-9"/>
        <s v="PU-PP-10"/>
        <s v="PU-PP-11"/>
        <s v="PU-PP-12"/>
        <s v="PU-PP-13"/>
        <s v="PU-PP-14"/>
        <s v="PU-PP-15"/>
        <s v="PU-PP-16"/>
        <s v="PU-PP-17"/>
        <s v="PU-PP-18"/>
        <s v="PU-PP-19"/>
        <s v="PU-PP-20"/>
        <s v="PU-PP-21"/>
        <s v="PU-PP-22"/>
        <s v="PU-PP-23"/>
        <s v="PU-PP-24"/>
        <s v="PU-PP-25"/>
        <s v="PU-PP-26"/>
        <s v="PU-PP-27"/>
        <s v="PU-PP-28"/>
        <s v="PU-PP-29"/>
        <s v="PU-PP-30"/>
        <s v="PU-PP-31"/>
        <s v="PU-PP-32"/>
        <s v="PU-PP-33"/>
        <s v="PU-PP-34"/>
        <s v="PU-PP-35"/>
        <s v="PU-PP-36"/>
        <s v="PU-PP-37"/>
        <s v="PU-PP-38"/>
        <s v="PU-PP-39"/>
        <s v="PU-PP-40"/>
        <s v="PU-PP-41"/>
        <s v="PU-PP-42"/>
        <s v="PU-PP-43"/>
        <s v="PU-PP-44"/>
        <s v="PU-PP-45"/>
        <s v="PU-PP-46"/>
        <s v="PU-PP-47"/>
        <s v="PU-PP-48"/>
        <s v="PU-PP-49"/>
        <s v="PU-PP-50"/>
        <s v="PU-PP-51"/>
        <s v="PU-PP-52"/>
        <s v="PU-PP-53"/>
        <s v="PU-PP-54"/>
        <s v="PU-PP-55"/>
        <s v="PU-PP-56"/>
        <s v="PU-PP-57"/>
        <s v="PU-PP-58"/>
        <s v="PU-PP-59"/>
        <s v="PU-PP-60"/>
        <s v="PU-PP-61"/>
        <s v="PU-PP-62"/>
        <s v="PU-PP-63"/>
        <s v="PU-PP-64"/>
        <s v="PU-PP-65"/>
        <s v="PU-PP-66"/>
        <s v="PU-PP-67"/>
        <s v="PU-PP-68"/>
        <s v="PU-PP-69"/>
        <s v="PU-PP-70"/>
        <s v="PU-PP-71"/>
        <s v="PU-PP-72"/>
        <s v="PU-PP-73"/>
        <s v="PU-PP-74"/>
        <s v="PU-PP-75"/>
        <s v="PU-PP-76"/>
        <s v="PU-PP-77"/>
        <s v="PU-PP-78"/>
        <s v="PU-PP-79"/>
        <s v="PU-PP-80"/>
        <s v="PU-PP-81"/>
        <s v="PU-PP-82"/>
        <s v="PU-PP-84"/>
        <s v="PU-PP-85"/>
        <s v="PU-PP-83"/>
        <s v="PU-PP-86"/>
        <s v="PU-PP-87"/>
        <s v="PU-PP-88"/>
        <s v="PU-PP-89"/>
        <s v="PU-PP-90"/>
        <s v="PU-PP-91"/>
        <s v="PU-PP-92"/>
        <s v="PU-PP-93"/>
        <s v="PU-PP-94"/>
        <s v="PU-PP-95"/>
        <s v="PU-PP-96"/>
        <s v="PU-PP-97"/>
        <s v="PU-PP-98"/>
        <s v="PU-PP-99"/>
        <s v="PU-PP-100"/>
        <s v="PU-PP-101"/>
        <s v="PU-PP-102"/>
        <s v="PU-PP-103"/>
        <s v="PU-PP-104"/>
        <s v="PU-PP-105"/>
        <s v="PU-PP-106"/>
        <s v="PU-PP-107"/>
        <s v="PU-PP-108"/>
        <s v="PU-PP-109"/>
        <s v="PU-PP-110"/>
        <s v="PU-PP-111"/>
        <s v="PU-PP-112"/>
        <s v="PU-PP-113"/>
        <s v="PU-PP-114"/>
        <s v="PU-PP-115"/>
        <s v="PU-PP-116"/>
        <s v="PU-PP-117"/>
        <s v="PU-PP-118"/>
        <s v="PU-PP-119"/>
        <s v="PU-PP-120"/>
        <s v="PU-PP-121"/>
        <s v="PU-PP-122"/>
        <s v="PU-PP-123"/>
        <s v="PU-PP-124"/>
        <s v="PU-PP-125"/>
        <s v="PU-PP-126"/>
        <s v="PU-PP-127"/>
        <s v="PU-PP-128"/>
        <s v="PU-PP-129"/>
        <s v="PU-PP-130"/>
        <s v="PU-PP-131"/>
        <s v="PU-PP-132"/>
        <s v="PU-PP-133"/>
        <s v="PU-PP-134"/>
        <s v="PU-PP-135"/>
        <s v="PU-PP-136"/>
        <s v="PU-PP-137"/>
        <s v="PU-PP-138"/>
        <s v="PU-PP-139"/>
        <s v="PU-PP-140"/>
        <s v="PU-PP-141"/>
        <s v="PU-PP-142"/>
        <s v="PU-PP-143"/>
        <s v="PU-PP-144"/>
        <s v="PU-PP-145"/>
        <s v="PU-PP-146"/>
        <s v="PU-PP-147"/>
        <s v="PU-PP-148"/>
        <s v="PU-PP-150"/>
        <s v="PU-PP-149"/>
        <s v="PU-PP-152"/>
        <s v="PU-PP-153"/>
        <s v="PU-PP-154"/>
        <s v="PU-PP-155"/>
        <s v="PU-PP-156"/>
        <s v="PU-PP-157"/>
        <s v="PU-PP-158"/>
        <s v="PU-PP-159"/>
        <s v="PU-PP-160"/>
        <s v="PU-PP-161"/>
        <s v="PU-PP-162"/>
        <s v="PU-PP-163"/>
        <s v="PU-PP-164"/>
        <s v="PU-PP-165"/>
        <s v="PU-PP-166"/>
        <s v="PU-PP-167"/>
        <s v="PU-PP-168"/>
        <s v="PU-PP-169"/>
        <s v="PU-PP-170"/>
        <s v="PU-PP-171"/>
        <s v="PU-PP-172"/>
        <s v="PU-PP-173"/>
        <s v="PU-PP-174"/>
        <s v="PU-PP-175"/>
        <s v="PU-PP-176"/>
        <s v="PU-PP-177"/>
        <s v="PU-PP-178"/>
        <s v="PU-PP-179"/>
        <s v="PU-PP-180"/>
        <s v="PU-PP-181"/>
        <s v="PU-PP-182"/>
        <s v="PU-PP-183"/>
        <s v="PU-PP-184"/>
        <s v="PU-PP-185"/>
        <s v="PU-PP-186"/>
        <s v="PU-PP-187"/>
        <s v="PU-PP-188"/>
        <s v="PU-PP-189"/>
        <s v="PU-PP-190"/>
        <s v="PU-PP-191"/>
        <s v="PU-PP-192"/>
        <s v="PU-PP-193"/>
        <s v="PU-PP-194"/>
        <s v="PU-PP-195"/>
        <s v="PU-PP-196"/>
        <s v="PU-PP-197"/>
        <s v="PU-PP-198"/>
        <s v="PU-PP-199"/>
        <s v="PU-PP-200"/>
        <s v="PU-PP-201"/>
        <s v="PU-PP-202"/>
        <s v="PU-PP-203"/>
        <s v="PU-PP-204"/>
        <s v="PU-PP-205"/>
        <s v="PU-PP-206"/>
        <s v="PU-PP-207"/>
        <s v="PU-PP-208"/>
        <s v="PU-PP-209"/>
        <s v="PU-PP-210"/>
        <s v="PU-PP-211"/>
        <s v="PU-PP-212"/>
        <s v="PU-PP-213"/>
        <s v="PU-PP-214"/>
        <s v="PU-PP-215"/>
        <s v="PU-PP-216"/>
        <s v="PU-PP-217"/>
        <s v="PU-PP-218"/>
        <s v="PU-PP-219"/>
        <s v="PU-PP-220"/>
        <s v="PU-PP-221"/>
        <s v="PU-PP-222"/>
        <s v="PU-PP-223"/>
        <s v="PU-PP-224"/>
        <s v="PU-PP-225"/>
        <s v="PU-PP-226"/>
        <s v="PU-PP-227"/>
        <m/>
      </sharedItems>
    </cacheField>
    <cacheField name="Pond" numFmtId="0">
      <sharedItems containsBlank="1" count="6">
        <s v="GBP"/>
        <s v="GSP"/>
        <s v="KSB"/>
        <s v="KSS"/>
        <s v="PP"/>
        <m/>
      </sharedItems>
    </cacheField>
    <cacheField name="SizeClass" numFmtId="0">
      <sharedItems containsBlank="1"/>
    </cacheField>
    <cacheField name="SizeClass_Eco" numFmtId="0">
      <sharedItems containsBlank="1"/>
    </cacheField>
    <cacheField name="AssayClass" numFmtId="0">
      <sharedItems containsBlank="1" count="3">
        <s v="G"/>
        <s v="N"/>
        <m/>
      </sharedItems>
    </cacheField>
    <cacheField name="TLEN" numFmtId="0">
      <sharedItems containsString="0" containsBlank="1" containsNumber="1" containsInteger="1" minValue="30" maxValue="207"/>
    </cacheField>
    <cacheField name="FLEN" numFmtId="0">
      <sharedItems containsString="0" containsBlank="1" containsNumber="1" containsInteger="1" minValue="29" maxValue="198"/>
    </cacheField>
    <cacheField name="RWT" numFmtId="0">
      <sharedItems containsString="0" containsBlank="1" containsNumber="1" minValue="0.41499999999999998" maxValue="181.53"/>
    </cacheField>
    <cacheField name="Liver" numFmtId="0">
      <sharedItems containsString="0" containsBlank="1" containsNumber="1" minValue="1.0999999999999999E-2" maxValue="4.048"/>
    </cacheField>
    <cacheField name="Gonad" numFmtId="0">
      <sharedItems containsBlank="1" containsMixedTypes="1" containsNumber="1" minValue="0" maxValue="10.717000000000001"/>
    </cacheField>
    <cacheField name="SexStage" numFmtId="0">
      <sharedItems containsBlank="1"/>
    </cacheField>
    <cacheField name="Sex" numFmtId="0">
      <sharedItems containsBlank="1" count="4">
        <s v="F"/>
        <s v=""/>
        <s v="M"/>
        <m/>
      </sharedItems>
    </cacheField>
    <cacheField name="Stage" numFmtId="0">
      <sharedItems containsBlank="1" containsMixedTypes="1" containsNumber="1" containsInteger="1" minValue="10" maxValue="40"/>
    </cacheField>
    <cacheField name="Fgut" numFmtId="0">
      <sharedItems containsString="0" containsBlank="1" containsNumber="1" minValue="1.7000000000000001E-2" maxValue="10.848000000000001"/>
    </cacheField>
    <cacheField name="Egut" numFmtId="0">
      <sharedItems containsString="0" containsBlank="1" containsNumber="1" minValue="1.2E-2" maxValue="8"/>
    </cacheField>
    <cacheField name="Contents" numFmtId="0">
      <sharedItems containsBlank="1"/>
    </cacheField>
    <cacheField name="Fullness" numFmtId="0">
      <sharedItems containsBlank="1"/>
    </cacheField>
    <cacheField name="Rock_num" numFmtId="0">
      <sharedItems containsString="0" containsBlank="1" containsNumber="1" containsInteger="1" minValue="3" maxValue="3"/>
    </cacheField>
    <cacheField name="Rock_mass" numFmtId="0">
      <sharedItems containsString="0" containsBlank="1" containsNumber="1" minValue="8.0000000000000002E-3" maxValue="8.0000000000000002E-3"/>
    </cacheField>
    <cacheField name="DigestedArthropoda_num" numFmtId="0">
      <sharedItems containsString="0" containsBlank="1" containsNumber="1" containsInteger="1" minValue="1" maxValue="50"/>
    </cacheField>
    <cacheField name="DigestedArthropoda_mass" numFmtId="0">
      <sharedItems containsString="0" containsBlank="1" containsNumber="1" minValue="1E-3" maxValue="1.0049999999999999"/>
    </cacheField>
    <cacheField name="TerrestrialInvert_num" numFmtId="0">
      <sharedItems containsString="0" containsBlank="1" containsNumber="1" containsInteger="1" minValue="1" maxValue="3"/>
    </cacheField>
    <cacheField name="TerrestrialInvert_num2" numFmtId="0">
      <sharedItems containsString="0" containsBlank="1" containsNumber="1" minValue="5.0000000000000001E-3" maxValue="0.39100000000000001"/>
    </cacheField>
    <cacheField name="Cambaridae_num" numFmtId="0">
      <sharedItems containsString="0" containsBlank="1" containsNumber="1" containsInteger="1" minValue="1" maxValue="1"/>
    </cacheField>
    <cacheField name="Cambaridae_mass" numFmtId="0">
      <sharedItems containsString="0" containsBlank="1" containsNumber="1" minValue="0.59" maxValue="0.59"/>
    </cacheField>
    <cacheField name="Corixidae_num" numFmtId="0">
      <sharedItems containsString="0" containsBlank="1" containsNumber="1" containsInteger="1" minValue="1" maxValue="1"/>
    </cacheField>
    <cacheField name="Corixidae_mass" numFmtId="0">
      <sharedItems containsString="0" containsBlank="1" containsNumber="1" minValue="6.0000000000000001E-3" maxValue="6.0000000000000001E-3"/>
    </cacheField>
    <cacheField name="Dytiscidae_num" numFmtId="0">
      <sharedItems containsString="0" containsBlank="1" containsNumber="1" containsInteger="1" minValue="2" maxValue="2"/>
    </cacheField>
    <cacheField name="Dytiscidae_mass" numFmtId="0">
      <sharedItems containsString="0" containsBlank="1" containsNumber="1" minValue="0.05" maxValue="0.05"/>
    </cacheField>
    <cacheField name="Belostomatidae_num" numFmtId="0">
      <sharedItems containsString="0" containsBlank="1" containsNumber="1" containsInteger="1" minValue="1" maxValue="1"/>
    </cacheField>
    <cacheField name="Belostomatidae_mass" numFmtId="0">
      <sharedItems containsString="0" containsBlank="1" containsNumber="1" minValue="0.41499999999999998" maxValue="0.41499999999999998"/>
    </cacheField>
    <cacheField name="Amphipoda_num" numFmtId="0">
      <sharedItems containsString="0" containsBlank="1" containsNumber="1" containsInteger="1" minValue="1" maxValue="2"/>
    </cacheField>
    <cacheField name="Amphipoda_mass" numFmtId="0">
      <sharedItems containsBlank="1" containsMixedTypes="1" containsNumber="1" minValue="3.0000000000000001E-3" maxValue="2.4E-2"/>
    </cacheField>
    <cacheField name="Bivalvia_num" numFmtId="0">
      <sharedItems containsString="0" containsBlank="1" containsNumber="1" containsInteger="1" minValue="1" maxValue="20"/>
    </cacheField>
    <cacheField name="Bivalvia_mass" numFmtId="0">
      <sharedItems containsString="0" containsBlank="1" containsNumber="1" minValue="4.0000000000000001E-3" maxValue="9.9000000000000005E-2"/>
    </cacheField>
    <cacheField name="Gastropoda_num" numFmtId="0">
      <sharedItems containsString="0" containsBlank="1" containsNumber="1" containsInteger="1" minValue="1" maxValue="20"/>
    </cacheField>
    <cacheField name="Gastropoda_mass" numFmtId="0">
      <sharedItems containsString="0" containsBlank="1" containsNumber="1" minValue="3.0000000000000001E-3" maxValue="0.35199999999999998"/>
    </cacheField>
    <cacheField name="Hydrachnidia_num" numFmtId="0">
      <sharedItems containsString="0" containsBlank="1" containsNumber="1" containsInteger="1" minValue="3" maxValue="3"/>
    </cacheField>
    <cacheField name="Hydrachnidia_mass" numFmtId="0">
      <sharedItems containsString="0" containsBlank="1" containsNumber="1" minValue="0.05" maxValue="0.05"/>
    </cacheField>
    <cacheField name="CladCop_num" numFmtId="0">
      <sharedItems containsString="0" containsBlank="1" containsNumber="1" containsInteger="1" minValue="1" maxValue="200"/>
    </cacheField>
    <cacheField name="CladCop_mass" numFmtId="0">
      <sharedItems containsString="0" containsBlank="1" containsNumber="1" minValue="0" maxValue="8.8999999999999996E-2"/>
    </cacheField>
    <cacheField name="Anisoptera_num" numFmtId="0">
      <sharedItems containsString="0" containsBlank="1" containsNumber="1" containsInteger="1" minValue="1" maxValue="6"/>
    </cacheField>
    <cacheField name="Anisoptera_mass" numFmtId="0">
      <sharedItems containsString="0" containsBlank="1" containsNumber="1" minValue="3.0000000000000001E-3" maxValue="0.81200000000000006"/>
    </cacheField>
    <cacheField name="Zygoptera_num" numFmtId="0">
      <sharedItems containsString="0" containsBlank="1" containsNumber="1" containsInteger="1" minValue="1" maxValue="15"/>
    </cacheField>
    <cacheField name="Zygoptera_mass" numFmtId="0">
      <sharedItems containsString="0" containsBlank="1" containsNumber="1" minValue="1E-3" maxValue="8.2000000000000003E-2"/>
    </cacheField>
    <cacheField name="Chaoboridae_num" numFmtId="0">
      <sharedItems containsString="0" containsBlank="1" containsNumber="1" containsInteger="1" minValue="17" maxValue="200"/>
    </cacheField>
    <cacheField name="Chaoboridae_mass" numFmtId="0">
      <sharedItems containsString="0" containsBlank="1" containsNumber="1" minValue="1.6E-2" maxValue="0.11700000000000001"/>
    </cacheField>
    <cacheField name="Chironomidae_num" numFmtId="0">
      <sharedItems containsString="0" containsBlank="1" containsNumber="1" containsInteger="1" minValue="1" maxValue="50"/>
    </cacheField>
    <cacheField name="Chironomidae_mass" numFmtId="0">
      <sharedItems containsBlank="1" containsMixedTypes="1" containsNumber="1" minValue="0" maxValue="0.49399999999999999"/>
    </cacheField>
    <cacheField name="Tipulidae_num" numFmtId="0">
      <sharedItems containsString="0" containsBlank="1" containsNumber="1" containsInteger="1" minValue="1" maxValue="8"/>
    </cacheField>
    <cacheField name="Tipulidae_mass" numFmtId="0">
      <sharedItems containsString="0" containsBlank="1" containsNumber="1" minValue="1.6E-2" maxValue="0.80900000000000005"/>
    </cacheField>
    <cacheField name="Stratiomyidae_num" numFmtId="0">
      <sharedItems containsString="0" containsBlank="1" containsNumber="1" containsInteger="1" minValue="1" maxValue="2"/>
    </cacheField>
    <cacheField name="Stratiomyidae_mass" numFmtId="0">
      <sharedItems containsString="0" containsBlank="1" containsNumber="1" minValue="8.9999999999999993E-3" maxValue="7.0000000000000007E-2"/>
    </cacheField>
    <cacheField name="Trichoptera_num" numFmtId="0">
      <sharedItems containsString="0" containsBlank="1" containsNumber="1" minValue="3.9E-2" maxValue="12"/>
    </cacheField>
    <cacheField name="Trichoptera_mass" numFmtId="0">
      <sharedItems containsString="0" containsBlank="1" containsNumber="1" minValue="6.0000000000000001E-3" maxValue="0.81699999999999995"/>
    </cacheField>
    <cacheField name="Ephemeroptera_num" numFmtId="0">
      <sharedItems containsString="0" containsBlank="1" containsNumber="1" containsInteger="1" minValue="1" maxValue="43"/>
    </cacheField>
    <cacheField name="Ephemeroptera_mass" numFmtId="0">
      <sharedItems containsString="0" containsBlank="1" containsNumber="1" minValue="1E-3" maxValue="0.42199999999999999"/>
    </cacheField>
    <cacheField name="Hirudinae_num" numFmtId="0">
      <sharedItems containsString="0" containsBlank="1" containsNumber="1" containsInteger="1" minValue="1" maxValue="1"/>
    </cacheField>
    <cacheField name="Hirudinae_mass" numFmtId="0">
      <sharedItems containsString="0" containsBlank="1" containsNumber="1" minValue="1.2E-2" maxValue="0.755"/>
    </cacheField>
    <cacheField name="Oligochaeta_num" numFmtId="0">
      <sharedItems containsString="0" containsBlank="1" containsNumber="1" containsInteger="1" minValue="1" maxValue="6"/>
    </cacheField>
    <cacheField name="Oligochaeta_mass" numFmtId="0">
      <sharedItems containsString="0" containsBlank="1" containsNumber="1" minValue="0.01" maxValue="1.66"/>
    </cacheField>
    <cacheField name="Stickle_num" numFmtId="0">
      <sharedItems containsString="0" containsBlank="1" containsNumber="1" containsInteger="1" minValue="1" maxValue="1"/>
    </cacheField>
    <cacheField name="Stickle_mass" numFmtId="0">
      <sharedItems containsString="0" containsBlank="1" containsNumber="1" minValue="0.222" maxValue="0.222"/>
    </cacheField>
    <cacheField name="FatH_num" numFmtId="0">
      <sharedItems containsString="0" containsBlank="1" containsNumber="1" containsInteger="1" minValue="1" maxValue="2"/>
    </cacheField>
    <cacheField name="FatH_mass" numFmtId="0">
      <sharedItems containsString="0" containsBlank="1" containsNumber="1" minValue="0.82599999999999996" maxValue="2.4670000000000001"/>
    </cacheField>
    <cacheField name="RBD_num" numFmtId="0">
      <sharedItems containsString="0" containsBlank="1" containsNumber="1" containsInteger="1" minValue="1" maxValue="4"/>
    </cacheField>
    <cacheField name="RBD_mass" numFmtId="0">
      <sharedItems containsString="0" containsBlank="1" containsNumber="1" minValue="0.35599999999999998" maxValue="6.1429999999999998"/>
    </cacheField>
    <cacheField name="PU_num" numFmtId="0">
      <sharedItems containsString="0" containsBlank="1" containsNumber="1" containsInteger="1" minValue="1" maxValue="6"/>
    </cacheField>
    <cacheField name="PU_mass" numFmtId="0">
      <sharedItems containsString="0" containsBlank="1" containsNumber="1" minValue="6.2E-2" maxValue="1.855"/>
    </cacheField>
    <cacheField name="Fish_num" numFmtId="0">
      <sharedItems containsString="0" containsBlank="1" containsNumber="1" containsInteger="1" minValue="1" maxValue="2"/>
    </cacheField>
    <cacheField name="Fish_mass" numFmtId="0">
      <sharedItems containsString="0" containsBlank="1" containsNumber="1" minValue="0.11700000000000001" maxValue="1.2090000000000001"/>
    </cacheField>
    <cacheField name="Vegetation_num" numFmtId="0">
      <sharedItems containsString="0" containsBlank="1" containsNumber="1" containsInteger="1" minValue="1" maxValue="1"/>
    </cacheField>
    <cacheField name="Vegetation_mass" numFmtId="0">
      <sharedItems containsString="0" containsBlank="1" containsNumber="1" minValue="8.0000000000000002E-3" maxValue="0.13200000000000001"/>
    </cacheField>
    <cacheField name="ContentMass" numFmtId="0">
      <sharedItems containsString="0" containsBlank="1" containsNumber="1" minValue="0" maxValue="6.1429999999999998"/>
    </cacheField>
    <cacheField name="Date" numFmtId="0">
      <sharedItems containsDate="1" containsBlank="1" containsMixedTypes="1" minDate="2021-01-08T00:00:00" maxDate="2021-11-03T00:00:00"/>
    </cacheField>
    <cacheField name="Day" numFmtId="0">
      <sharedItems containsBlank="1" containsMixedTypes="1" containsNumber="1" containsInteger="1" minValue="1" maxValue="11"/>
    </cacheField>
    <cacheField name="Month" numFmtId="0">
      <sharedItems containsBlank="1" containsMixedTypes="1" containsNumber="1" containsInteger="1" minValue="2" maxValue="8"/>
    </cacheField>
    <cacheField name="Year" numFmtId="0">
      <sharedItems containsBlank="1" containsMixedTypes="1" containsNumber="1" containsInteger="1" minValue="2021" maxValue="2021"/>
    </cacheField>
    <cacheField name="FormDate" numFmtId="0">
      <sharedItems containsNonDate="0" containsDate="1" containsString="0" containsBlank="1" minDate="2020-12-18T00:00:00" maxDate="2021-08-02T00:00:00" count="48">
        <d v="2020-12-18T00:00:00"/>
        <d v="2020-12-19T00:00:00"/>
        <d v="2021-01-18T00:00:00"/>
        <d v="2021-02-06T00:00:00"/>
        <d v="2021-01-16T00:00:00"/>
        <d v="2021-02-05T00:00:00"/>
        <d v="2021-02-19T00:00:00"/>
        <d v="2021-03-05T00:00:00"/>
        <d v="2021-03-17T00:00:00"/>
        <d v="2021-04-03T00:00:00"/>
        <d v="2021-04-19T00:00:00"/>
        <d v="2021-04-20T00:00:00"/>
        <d v="2021-05-04T00:00:00"/>
        <d v="2021-05-18T00:00:00"/>
        <d v="2021-06-06T00:00:00"/>
        <d v="2021-06-22T00:00:00"/>
        <d v="2021-07-07T00:00:00"/>
        <d v="2021-08-01T00:00:00"/>
        <d v="2020-12-21T00:00:00"/>
        <d v="2020-12-30T00:00:00"/>
        <d v="2021-01-21T00:00:00"/>
        <d v="2021-01-22T00:00:00"/>
        <d v="2021-02-11T00:00:00"/>
        <d v="2021-02-21T00:00:00"/>
        <d v="2021-03-07T00:00:00"/>
        <d v="2021-03-08T00:00:00"/>
        <d v="2021-03-18T00:00:00"/>
        <d v="2021-03-19T00:00:00"/>
        <d v="2021-04-07T00:00:00"/>
        <d v="2021-04-09T00:00:00"/>
        <d v="2021-05-19T00:00:00"/>
        <d v="2021-05-20T00:00:00"/>
        <d v="2021-06-07T00:00:00"/>
        <d v="2021-06-23T00:00:00"/>
        <d v="2021-06-24T00:00:00"/>
        <d v="2021-07-08T00:00:00"/>
        <d v="2021-01-20T00:00:00"/>
        <d v="2021-02-09T00:00:00"/>
        <d v="2021-02-10T00:00:00"/>
        <d v="2021-04-08T00:00:00"/>
        <d v="2021-05-06T00:00:00"/>
        <d v="2021-05-08T00:00:00"/>
        <d v="2021-06-08T00:00:00"/>
        <d v="2021-07-16T00:00:00"/>
        <d v="2021-02-20T00:00:00"/>
        <d v="2021-04-15T00:00:00"/>
        <d v="2021-05-05T00:00:00"/>
        <m/>
      </sharedItems>
      <fieldGroup par="100" base="78">
        <rangePr groupBy="months" startDate="2020-12-18T00:00:00" endDate="2021-08-02T00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8/2/2021"/>
        </groupItems>
      </fieldGroup>
    </cacheField>
    <cacheField name="JulianDate" numFmtId="0">
      <sharedItems containsString="0" containsBlank="1" containsNumber="1" containsInteger="1" minValue="16" maxValue="365"/>
    </cacheField>
    <cacheField name="Sample" numFmtId="0">
      <sharedItems containsString="0" containsBlank="1" containsNumber="1" containsInteger="1" minValue="1" maxValue="15" count="16">
        <n v="1"/>
        <n v="2"/>
        <n v="3"/>
        <n v="4"/>
        <n v="5"/>
        <n v="6"/>
        <n v="7"/>
        <n v="8"/>
        <n v="9"/>
        <n v="10"/>
        <n v="11"/>
        <n v="12"/>
        <n v="13"/>
        <n v="15"/>
        <n v="14"/>
        <m/>
      </sharedItems>
    </cacheField>
    <cacheField name="Comments" numFmtId="0">
      <sharedItems containsBlank="1"/>
    </cacheField>
    <cacheField name="GSI" numFmtId="0">
      <sharedItems containsString="0" containsBlank="1" containsNumber="1" minValue="0" maxValue="28.050458715596331"/>
    </cacheField>
    <cacheField name="HSI" numFmtId="0">
      <sharedItems containsString="0" containsBlank="1" containsNumber="1" minValue="0.64910979228486654" maxValue="5.2694610778443121"/>
    </cacheField>
    <cacheField name="SHSI" numFmtId="0">
      <sharedItems containsString="0" containsBlank="1" containsNumber="1" minValue="6.4947114492484703E-3" maxValue="4.6486148066990136"/>
    </cacheField>
    <cacheField name="GUSI" numFmtId="0">
      <sharedItems containsString="0" containsBlank="1" containsNumber="1" minValue="0" maxValue="9.0070061977903517"/>
    </cacheField>
    <cacheField name="GFI" numFmtId="0">
      <sharedItems containsString="0" containsBlank="1" containsNumber="1" minValue="0" maxValue="11.386316641193925"/>
    </cacheField>
    <cacheField name="GFI2" numFmtId="0">
      <sharedItems containsString="0" containsBlank="1" containsNumber="1" minValue="0" maxValue="21.666816506338222"/>
    </cacheField>
    <cacheField name="CaptureMethod" numFmtId="0">
      <sharedItems containsBlank="1"/>
    </cacheField>
    <cacheField name="ParasiteLoad" numFmtId="0">
      <sharedItems containsString="0" containsBlank="1" containsNumber="1" containsInteger="1" minValue="1" maxValue="4"/>
    </cacheField>
    <cacheField name="PS_WB_YG" numFmtId="0">
      <sharedItems containsString="0" containsBlank="1" containsNumber="1" containsInteger="1" minValue="0" maxValue="9"/>
    </cacheField>
    <cacheField name="PS_WB_BS" numFmtId="0">
      <sharedItems containsString="0" containsBlank="1" containsNumber="1" containsInteger="1" minValue="0" maxValue="422"/>
    </cacheField>
    <cacheField name="PS_MU_BS" numFmtId="0">
      <sharedItems containsString="0" containsBlank="1" containsNumber="1" containsInteger="1" minValue="0" maxValue="115"/>
    </cacheField>
    <cacheField name="PS_MU_YG" numFmtId="0">
      <sharedItems containsString="0" containsBlank="1" containsNumber="1" containsInteger="1" minValue="0" maxValue="2"/>
    </cacheField>
    <cacheField name="MesLip" numFmtId="0">
      <sharedItems containsString="0" containsBlank="1" containsNumber="1" minValue="2.9999999999999997E-4" maxValue="0.65189999999999992"/>
    </cacheField>
    <cacheField name="MesInd" numFmtId="0">
      <sharedItems containsString="0" containsBlank="1" containsNumber="1" minValue="3.7929072634174103E-2" maxValue="35.226413055225336"/>
    </cacheField>
    <cacheField name="MusLipP" numFmtId="0">
      <sharedItems containsString="0" containsBlank="1" containsNumber="1" minValue="2.7160000000000002" maxValue="12.119608481690609"/>
    </cacheField>
    <cacheField name="LivProt" numFmtId="0">
      <sharedItems containsString="0" containsBlank="1" containsNumber="1" minValue="60.203103366011064" maxValue="132.28480304574498"/>
    </cacheField>
    <cacheField name="GonProt" numFmtId="0">
      <sharedItems containsString="0" containsBlank="1" containsNumber="1" minValue="90.829117011920204" maxValue="172.24376089353476"/>
    </cacheField>
    <cacheField name="Quarters" numFmtId="0" databaseField="0">
      <fieldGroup base="78">
        <rangePr groupBy="quarters" startDate="2020-12-18T00:00:00" endDate="2021-08-02T00:00:00"/>
        <groupItems count="6">
          <s v="&lt;12/18/2020"/>
          <s v="Qtr1"/>
          <s v="Qtr2"/>
          <s v="Qtr3"/>
          <s v="Qtr4"/>
          <s v="&gt;8/2/2021"/>
        </groupItems>
      </fieldGroup>
    </cacheField>
    <cacheField name="Years" numFmtId="0" databaseField="0">
      <fieldGroup base="78">
        <rangePr groupBy="years" startDate="2020-12-18T00:00:00" endDate="2021-08-02T00:00:00"/>
        <groupItems count="4">
          <s v="&lt;12/18/2020"/>
          <s v="2020"/>
          <s v="2021"/>
          <s v="&gt;8/2/202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3">
  <r>
    <x v="0"/>
    <x v="0"/>
    <n v="1.5185526314593687"/>
    <n v="0.1868313768825047"/>
    <n v="2.0812905016179202"/>
    <n v="0.5459077942395627"/>
  </r>
  <r>
    <x v="0"/>
    <x v="1"/>
    <n v="1.6409021802097574"/>
    <n v="0.18834568086930004"/>
    <n v="2.7796387423762052"/>
    <n v="0.5334593807695317"/>
  </r>
  <r>
    <x v="0"/>
    <x v="2"/>
    <n v="1.6741547778945378"/>
    <n v="0.1657337240378626"/>
    <n v="2.5588484822214208"/>
    <n v="0.34028648481933199"/>
  </r>
  <r>
    <x v="0"/>
    <x v="3"/>
    <n v="1.6779011943101998"/>
    <n v="0.17937114192040562"/>
    <n v="2.7008872843196317"/>
    <n v="0.54340476915509928"/>
  </r>
  <r>
    <x v="0"/>
    <x v="4"/>
    <n v="1.6099993813521372"/>
    <n v="0.27736523003461483"/>
    <n v="2.2592802949494191"/>
    <n v="0.46422334026866996"/>
  </r>
  <r>
    <x v="0"/>
    <x v="5"/>
    <n v="1.6447125642736702"/>
    <n v="0.1919636922959129"/>
    <n v="2.4355666739284079"/>
    <n v="0.50683357443539412"/>
  </r>
  <r>
    <x v="0"/>
    <x v="6"/>
    <n v="1.808567773297918"/>
    <n v="0.41068323163220244"/>
    <n v="3.2228341133287652"/>
    <n v="0.30867650208282577"/>
  </r>
  <r>
    <x v="0"/>
    <x v="7"/>
    <n v="3.2340763290246586"/>
    <n v="0.65995776552188012"/>
    <n v="3.8916276697294796"/>
    <n v="0.60190907385617942"/>
  </r>
  <r>
    <x v="0"/>
    <x v="8"/>
    <n v="4.5429039119071506"/>
    <n v="1.4119520658011155"/>
    <n v="3.6459584865688579"/>
    <n v="0.71630881685350456"/>
  </r>
  <r>
    <x v="0"/>
    <x v="9"/>
    <n v="12.211862797077353"/>
    <n v="6.3326150514410271"/>
    <n v="2.6117615174934747"/>
    <n v="0.52573248478080492"/>
  </r>
  <r>
    <x v="0"/>
    <x v="10"/>
    <n v="10.379865866574885"/>
    <n v="4.9035036791708713"/>
    <n v="2.1045302400798431"/>
    <n v="0.5589798722328303"/>
  </r>
  <r>
    <x v="0"/>
    <x v="11"/>
    <n v="6.9784350830150386"/>
    <n v="2.0324649726116704"/>
    <n v="1.4048389375962893"/>
    <n v="0.35329606941457342"/>
  </r>
  <r>
    <x v="0"/>
    <x v="12"/>
    <n v="2.4507677800542607"/>
    <n v="2.0054850144649601"/>
    <n v="1.2714119096039569"/>
    <n v="0.25391523205966593"/>
  </r>
  <r>
    <x v="0"/>
    <x v="13"/>
    <n v="2.1809781662306347"/>
    <n v="0.43889128067958116"/>
    <n v="1.119363970862423"/>
    <n v="0.17135861464258503"/>
  </r>
  <r>
    <x v="1"/>
    <x v="1"/>
    <n v="0.70092967461388511"/>
    <n v="3.7004088564117937E-2"/>
    <n v="1.9112392237532423"/>
    <n v="9.6500009050200689E-2"/>
  </r>
  <r>
    <x v="1"/>
    <x v="2"/>
    <n v="1.0637377413980118"/>
    <n v="9.9204249873769842E-2"/>
    <n v="1.5239662625212551"/>
    <n v="0.10628876327716072"/>
  </r>
  <r>
    <x v="1"/>
    <x v="3"/>
    <n v="1.0207661416296907"/>
    <n v="8.8684758356638888E-2"/>
    <n v="2.0128687087110437"/>
    <n v="0.27297875769884877"/>
  </r>
  <r>
    <x v="1"/>
    <x v="5"/>
    <n v="1.130893427627252"/>
    <n v="7.2948446805050957E-2"/>
    <n v="1.8990422717390727"/>
    <n v="0.38661301311057589"/>
  </r>
  <r>
    <x v="1"/>
    <x v="6"/>
    <n v="1.189274851950693"/>
    <n v="8.9296048486083579E-2"/>
    <n v="1.7159712730411416"/>
    <n v="0.17770562752920174"/>
  </r>
  <r>
    <x v="1"/>
    <x v="9"/>
    <n v="11.073530066319314"/>
    <n v="3.9532351353063251"/>
    <n v="2.595569383948324"/>
    <n v="0.29957567092067655"/>
  </r>
  <r>
    <x v="1"/>
    <x v="10"/>
    <n v="5.2675922398834603"/>
    <n v="4.5279861325729005"/>
    <n v="1.4577318868820175"/>
    <n v="0.11483293944786405"/>
  </r>
  <r>
    <x v="1"/>
    <x v="12"/>
    <n v="0.75630833691055921"/>
    <n v="5.1856604937351621E-2"/>
    <n v="0.84447657489520878"/>
    <n v="0.17654532286578303"/>
  </r>
  <r>
    <x v="2"/>
    <x v="0"/>
    <n v="1.4529342662738718"/>
    <n v="0.20841482020324467"/>
    <n v="1.9168117751108333"/>
    <n v="0.32192015084952957"/>
  </r>
  <r>
    <x v="2"/>
    <x v="1"/>
    <n v="1.3297762353485074"/>
    <n v="0.44311620436329402"/>
    <n v="1.5465241006002657"/>
    <n v="0.76318914521225412"/>
  </r>
  <r>
    <x v="2"/>
    <x v="6"/>
    <n v="2.0924176173131404"/>
    <n v="0.13956111325418352"/>
    <n v="2.205061685959417"/>
    <n v="0.33301903485966278"/>
  </r>
  <r>
    <x v="2"/>
    <x v="8"/>
    <n v="7.3146016799217133"/>
    <n v="3.0769876705087529"/>
    <n v="3.5974048066950939"/>
    <n v="1.1642919771473745"/>
  </r>
  <r>
    <x v="2"/>
    <x v="9"/>
    <n v="19.639766540557822"/>
    <n v="6.0088564764803465"/>
    <n v="3.4200616292835107"/>
    <n v="0.53727494351109983"/>
  </r>
  <r>
    <x v="2"/>
    <x v="11"/>
    <n v="9.6002519160470055"/>
    <n v="6.2985720376297127"/>
    <n v="2.1400926020529316"/>
    <n v="0.32815371540940286"/>
  </r>
  <r>
    <x v="2"/>
    <x v="14"/>
    <n v="7.3419699730097729"/>
    <n v="6.5244327595008711"/>
    <n v="1.4406827599640317"/>
    <n v="4.9889713261453375E-2"/>
  </r>
  <r>
    <x v="2"/>
    <x v="13"/>
    <n v="2.3584371197130851"/>
    <n v="1.0656837029225477"/>
    <n v="1.2312442280993823"/>
    <n v="0.29475327524131245"/>
  </r>
  <r>
    <x v="3"/>
    <x v="0"/>
    <n v="1.4318838249373134"/>
    <n v="0.13422249915194356"/>
    <n v="1.7178146552220319"/>
    <n v="0.16425145809874878"/>
  </r>
  <r>
    <x v="3"/>
    <x v="1"/>
    <n v="1.63890309753233"/>
    <n v="0.26810877830349811"/>
    <n v="2.0037129884636715"/>
    <n v="0.36394200072576488"/>
  </r>
  <r>
    <x v="3"/>
    <x v="2"/>
    <n v="1.4499216708680616"/>
    <n v="0.11292996499920453"/>
    <n v="2.0777034899299744"/>
    <n v="7.3158924130899458E-2"/>
  </r>
  <r>
    <x v="3"/>
    <x v="3"/>
    <n v="1.5934902857372848"/>
    <n v="0.16057830359871561"/>
    <n v="2.595304390993288"/>
    <n v="0.45231245159878997"/>
  </r>
  <r>
    <x v="3"/>
    <x v="4"/>
    <n v="1.5869119626822195"/>
    <n v="0.28546326270781325"/>
    <n v="2.410121044729169"/>
    <n v="0.46745851493684082"/>
  </r>
  <r>
    <x v="3"/>
    <x v="5"/>
    <n v="1.618335650063895"/>
    <n v="0.15021309704940142"/>
    <n v="2.3902166729133532"/>
    <n v="0.4297340136367912"/>
  </r>
  <r>
    <x v="3"/>
    <x v="7"/>
    <n v="2.0785106592464953"/>
    <n v="0.19351359109349239"/>
    <n v="2.9894776012112056"/>
    <n v="1.052782304010361"/>
  </r>
  <r>
    <x v="3"/>
    <x v="8"/>
    <n v="2.6141069160704262"/>
    <n v="0.5279095351350791"/>
    <n v="3.0985530799840637"/>
    <n v="0.6338823090844764"/>
  </r>
  <r>
    <x v="3"/>
    <x v="9"/>
    <n v="4.7269947506568313"/>
    <n v="1.0141050174605653"/>
    <n v="2.5054684536538439"/>
    <n v="0.21033983259184777"/>
  </r>
  <r>
    <x v="3"/>
    <x v="10"/>
    <n v="8.0548140828813821"/>
    <n v="3.4590627364136917"/>
    <n v="2.2775251793508788"/>
    <n v="0.56050475793644083"/>
  </r>
  <r>
    <x v="3"/>
    <x v="11"/>
    <n v="7.0643642007340475"/>
    <n v="2.0995348616733343"/>
    <n v="2.3682243137951087"/>
    <n v="0.24201713365225105"/>
  </r>
  <r>
    <x v="3"/>
    <x v="14"/>
    <n v="2.1003532096239854"/>
    <n v="1.2176985471286685"/>
    <n v="1.5830551325611559"/>
    <n v="0.35736663203095542"/>
  </r>
  <r>
    <x v="3"/>
    <x v="13"/>
    <n v="0.91035395776403849"/>
    <n v="0.74469177400437303"/>
    <n v="1.6714995659748106"/>
    <n v="0.3304968421240675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8">
  <r>
    <x v="0"/>
    <s v="Main"/>
    <n v="8.5"/>
    <m/>
    <m/>
    <m/>
    <n v="1.1000000000000001"/>
    <n v="1.7"/>
    <n v="450"/>
    <s v="18/12/2020"/>
    <m/>
    <x v="0"/>
  </r>
  <r>
    <x v="1"/>
    <s v="Main"/>
    <n v="6.5"/>
    <m/>
    <m/>
    <m/>
    <n v="0.9"/>
    <n v="3.5"/>
    <n v="589"/>
    <s v="18/12/2020"/>
    <m/>
    <x v="0"/>
  </r>
  <r>
    <x v="2"/>
    <s v="Main"/>
    <n v="14.5"/>
    <m/>
    <m/>
    <m/>
    <n v="0.9"/>
    <n v="1.9"/>
    <n v="716"/>
    <s v="18/12/2020"/>
    <m/>
    <x v="0"/>
  </r>
  <r>
    <x v="0"/>
    <s v="Main"/>
    <n v="10.5"/>
    <m/>
    <m/>
    <m/>
    <n v="1"/>
    <m/>
    <m/>
    <s v="19/12/2020"/>
    <m/>
    <x v="0"/>
  </r>
  <r>
    <x v="0"/>
    <s v="Main"/>
    <n v="11.5"/>
    <m/>
    <m/>
    <m/>
    <n v="0.7"/>
    <m/>
    <m/>
    <s v="19/12/2020"/>
    <m/>
    <x v="0"/>
  </r>
  <r>
    <x v="0"/>
    <s v="Main"/>
    <n v="13"/>
    <m/>
    <m/>
    <m/>
    <n v="1"/>
    <m/>
    <m/>
    <s v="19/12/2020"/>
    <m/>
    <x v="0"/>
  </r>
  <r>
    <x v="1"/>
    <s v="Main"/>
    <n v="9.5"/>
    <m/>
    <m/>
    <m/>
    <n v="1.2"/>
    <m/>
    <m/>
    <s v="19/12/2020"/>
    <m/>
    <x v="0"/>
  </r>
  <r>
    <x v="1"/>
    <s v="Main"/>
    <n v="10"/>
    <m/>
    <m/>
    <m/>
    <n v="0.9"/>
    <m/>
    <m/>
    <s v="19/12/2020"/>
    <m/>
    <x v="0"/>
  </r>
  <r>
    <x v="1"/>
    <s v="Main"/>
    <n v="9.8000000000000007"/>
    <m/>
    <m/>
    <m/>
    <n v="1"/>
    <m/>
    <m/>
    <s v="19/12/2020"/>
    <m/>
    <x v="0"/>
  </r>
  <r>
    <x v="3"/>
    <s v="Main"/>
    <n v="6.5"/>
    <m/>
    <m/>
    <m/>
    <m/>
    <m/>
    <m/>
    <s v="20/12/2020"/>
    <m/>
    <x v="0"/>
  </r>
  <r>
    <x v="4"/>
    <s v="Main"/>
    <n v="7.9"/>
    <m/>
    <m/>
    <m/>
    <m/>
    <n v="2.5"/>
    <n v="430"/>
    <s v="20/12/2020"/>
    <m/>
    <x v="0"/>
  </r>
  <r>
    <x v="4"/>
    <s v="Main"/>
    <n v="9.1999999999999993"/>
    <m/>
    <m/>
    <n v="0.7"/>
    <n v="0"/>
    <n v="2.9"/>
    <n v="420"/>
    <s v="21/12/2020"/>
    <m/>
    <x v="0"/>
  </r>
  <r>
    <x v="4"/>
    <s v="Main"/>
    <n v="9.6"/>
    <m/>
    <m/>
    <n v="0.8"/>
    <n v="0"/>
    <m/>
    <m/>
    <s v="21/12/2020"/>
    <m/>
    <x v="0"/>
  </r>
  <r>
    <x v="4"/>
    <s v="Main"/>
    <n v="9.6"/>
    <m/>
    <m/>
    <n v="0.8"/>
    <n v="0"/>
    <m/>
    <m/>
    <s v="21/12/2020"/>
    <m/>
    <x v="0"/>
  </r>
  <r>
    <x v="3"/>
    <s v="Main"/>
    <n v="8"/>
    <m/>
    <m/>
    <m/>
    <n v="0"/>
    <n v="1.3"/>
    <n v="400"/>
    <s v="21/12/2020"/>
    <m/>
    <x v="0"/>
  </r>
  <r>
    <x v="3"/>
    <s v="Main"/>
    <n v="11.2"/>
    <n v="6"/>
    <n v="5.2"/>
    <m/>
    <n v="2"/>
    <m/>
    <m/>
    <s v="31/12/2020"/>
    <m/>
    <x v="0"/>
  </r>
  <r>
    <x v="3"/>
    <s v="Main"/>
    <n v="11.2"/>
    <n v="6.5"/>
    <n v="4.7"/>
    <m/>
    <n v="1.7"/>
    <m/>
    <m/>
    <s v="31/12/2020"/>
    <m/>
    <x v="0"/>
  </r>
  <r>
    <x v="3"/>
    <s v="Main"/>
    <n v="11.4"/>
    <n v="5.9"/>
    <n v="5.3"/>
    <m/>
    <n v="1.8"/>
    <m/>
    <m/>
    <s v="31/12/2020"/>
    <m/>
    <x v="0"/>
  </r>
  <r>
    <x v="0"/>
    <s v="Main"/>
    <n v="18.399999999999999"/>
    <n v="8.6"/>
    <n v="9.8000000000000007"/>
    <m/>
    <n v="2.8"/>
    <m/>
    <m/>
    <s v="18/01/2021"/>
    <m/>
    <x v="1"/>
  </r>
  <r>
    <x v="0"/>
    <s v="Main"/>
    <n v="17.8"/>
    <n v="8.9"/>
    <n v="9.5"/>
    <m/>
    <n v="2.8"/>
    <m/>
    <m/>
    <s v="18/01/2021"/>
    <m/>
    <x v="1"/>
  </r>
  <r>
    <x v="0"/>
    <s v="Main"/>
    <n v="18"/>
    <n v="9.6999999999999993"/>
    <n v="8.6999999999999993"/>
    <m/>
    <n v="3"/>
    <m/>
    <m/>
    <s v="18/01/2021"/>
    <m/>
    <x v="1"/>
  </r>
  <r>
    <x v="1"/>
    <s v="Main"/>
    <n v="18.899999999999999"/>
    <n v="12.7"/>
    <n v="6.2"/>
    <m/>
    <n v="1.2"/>
    <m/>
    <m/>
    <s v="18/01/2021"/>
    <m/>
    <x v="1"/>
  </r>
  <r>
    <x v="1"/>
    <s v="Main"/>
    <n v="17.899999999999999"/>
    <n v="11.8"/>
    <n v="6.1"/>
    <m/>
    <n v="0.5"/>
    <m/>
    <m/>
    <s v="18/01/2021"/>
    <m/>
    <x v="1"/>
  </r>
  <r>
    <x v="1"/>
    <s v="Main"/>
    <n v="18.8"/>
    <n v="14.3"/>
    <n v="4.5"/>
    <m/>
    <n v="1"/>
    <m/>
    <m/>
    <s v="18/01/2021"/>
    <m/>
    <x v="1"/>
  </r>
  <r>
    <x v="2"/>
    <s v="Main"/>
    <n v="19.8"/>
    <n v="10.3"/>
    <n v="9.5"/>
    <m/>
    <n v="3.4"/>
    <m/>
    <m/>
    <s v="18/01/2021"/>
    <n v="1430"/>
    <x v="1"/>
  </r>
  <r>
    <x v="2"/>
    <s v="Main"/>
    <n v="19.8"/>
    <n v="10.1"/>
    <n v="9.6999999999999993"/>
    <m/>
    <n v="4.5"/>
    <m/>
    <m/>
    <s v="18/01/2021"/>
    <n v="1430"/>
    <x v="1"/>
  </r>
  <r>
    <x v="2"/>
    <s v="Main"/>
    <n v="19"/>
    <n v="9.6"/>
    <n v="9.4"/>
    <m/>
    <n v="3.6"/>
    <m/>
    <m/>
    <s v="18/01/2021"/>
    <n v="1430"/>
    <x v="1"/>
  </r>
  <r>
    <x v="4"/>
    <s v="Main"/>
    <m/>
    <m/>
    <m/>
    <m/>
    <m/>
    <n v="1"/>
    <n v="513"/>
    <d v="2021-10-02T00:00:00"/>
    <m/>
    <x v="2"/>
  </r>
  <r>
    <x v="4"/>
    <s v="Main"/>
    <m/>
    <m/>
    <m/>
    <m/>
    <m/>
    <n v="0.8"/>
    <n v="523"/>
    <d v="2021-10-02T00:00:00"/>
    <m/>
    <x v="2"/>
  </r>
  <r>
    <x v="4"/>
    <s v="Main"/>
    <m/>
    <m/>
    <m/>
    <m/>
    <m/>
    <n v="0.6"/>
    <n v="524"/>
    <d v="2021-10-02T00:00:00"/>
    <m/>
    <x v="2"/>
  </r>
  <r>
    <x v="3"/>
    <s v="Main"/>
    <m/>
    <m/>
    <m/>
    <m/>
    <m/>
    <n v="1.9"/>
    <n v="440"/>
    <d v="2021-10-02T00:00:00"/>
    <m/>
    <x v="2"/>
  </r>
  <r>
    <x v="3"/>
    <s v="Main"/>
    <m/>
    <m/>
    <m/>
    <m/>
    <m/>
    <n v="1.3"/>
    <n v="448"/>
    <d v="2021-10-02T00:00:00"/>
    <m/>
    <x v="2"/>
  </r>
  <r>
    <x v="3"/>
    <s v="Main"/>
    <m/>
    <m/>
    <m/>
    <m/>
    <m/>
    <n v="1.4"/>
    <n v="438"/>
    <d v="2021-10-02T00:00:00"/>
    <m/>
    <x v="2"/>
  </r>
  <r>
    <x v="0"/>
    <s v="Main"/>
    <n v="29.2"/>
    <n v="15.2"/>
    <n v="14"/>
    <m/>
    <n v="7.9"/>
    <n v="0.2"/>
    <n v="507"/>
    <d v="2021-12-02T00:00:00"/>
    <m/>
    <x v="2"/>
  </r>
  <r>
    <x v="0"/>
    <s v="Main"/>
    <n v="33"/>
    <n v="19.600000000000001"/>
    <n v="13.4"/>
    <m/>
    <n v="8.1"/>
    <n v="0.5"/>
    <n v="496"/>
    <d v="2021-12-02T00:00:00"/>
    <m/>
    <x v="2"/>
  </r>
  <r>
    <x v="0"/>
    <s v="Main"/>
    <n v="25.7"/>
    <n v="12.1"/>
    <n v="13.6"/>
    <m/>
    <n v="12.1"/>
    <n v="0.2"/>
    <n v="510"/>
    <d v="2021-12-02T00:00:00"/>
    <m/>
    <x v="2"/>
  </r>
  <r>
    <x v="1"/>
    <s v="Main"/>
    <n v="23"/>
    <n v="14"/>
    <n v="9"/>
    <n v="4.7"/>
    <n v="8"/>
    <n v="0"/>
    <n v="700"/>
    <d v="2021-12-02T00:00:00"/>
    <m/>
    <x v="2"/>
  </r>
  <r>
    <x v="1"/>
    <s v="Main"/>
    <n v="21.3"/>
    <n v="14.8"/>
    <n v="6.5"/>
    <n v="6"/>
    <n v="8.8000000000000007"/>
    <n v="0.3"/>
    <n v="676"/>
    <d v="2021-12-02T00:00:00"/>
    <m/>
    <x v="2"/>
  </r>
  <r>
    <x v="1"/>
    <s v="Main"/>
    <n v="22.2"/>
    <n v="13.8"/>
    <n v="8.4"/>
    <n v="7"/>
    <n v="10"/>
    <n v="0.3"/>
    <n v="684"/>
    <d v="2021-12-02T00:00:00"/>
    <m/>
    <x v="2"/>
  </r>
  <r>
    <x v="3"/>
    <s v="Main"/>
    <n v="22.7"/>
    <n v="18.899999999999999"/>
    <n v="3.8"/>
    <m/>
    <n v="7.7"/>
    <n v="0.2"/>
    <n v="467"/>
    <s v="13/2/2021"/>
    <m/>
    <x v="2"/>
  </r>
  <r>
    <x v="3"/>
    <s v="Main"/>
    <n v="30.7"/>
    <n v="21.5"/>
    <n v="9.1999999999999993"/>
    <m/>
    <n v="1.1000000000000001"/>
    <n v="0.3"/>
    <n v="476"/>
    <s v="13/2/2021"/>
    <m/>
    <x v="2"/>
  </r>
  <r>
    <x v="3"/>
    <s v="Main"/>
    <n v="24.1"/>
    <n v="17.3"/>
    <n v="6.8"/>
    <m/>
    <n v="12.6"/>
    <n v="0.2"/>
    <n v="470"/>
    <s v="13/2/2021"/>
    <m/>
    <x v="2"/>
  </r>
  <r>
    <x v="4"/>
    <s v="Main"/>
    <n v="28"/>
    <n v="18.100000000000001"/>
    <n v="9.9"/>
    <n v="1.8"/>
    <n v="0.5"/>
    <n v="0.2"/>
    <n v="540"/>
    <s v="13/2/2021"/>
    <m/>
    <x v="2"/>
  </r>
  <r>
    <x v="4"/>
    <s v="Main"/>
    <n v="26.2"/>
    <n v="19"/>
    <n v="7.2"/>
    <n v="2.5"/>
    <n v="1.4"/>
    <n v="0.1"/>
    <n v="535"/>
    <s v="13/2/2021"/>
    <m/>
    <x v="2"/>
  </r>
  <r>
    <x v="4"/>
    <s v="Main"/>
    <n v="25.8"/>
    <n v="16.5"/>
    <n v="9.3000000000000007"/>
    <n v="2.9"/>
    <n v="1.3"/>
    <n v="0.2"/>
    <n v="535"/>
    <s v="13/2/2021"/>
    <m/>
    <x v="2"/>
  </r>
  <r>
    <x v="2"/>
    <s v="Main"/>
    <n v="26.8"/>
    <n v="16.3"/>
    <n v="10.5"/>
    <m/>
    <n v="14.8"/>
    <m/>
    <n v="734"/>
    <s v="13/2/2021"/>
    <m/>
    <x v="2"/>
  </r>
  <r>
    <x v="2"/>
    <s v="Main"/>
    <n v="26.3"/>
    <n v="14.4"/>
    <n v="11.9"/>
    <m/>
    <n v="7.8"/>
    <n v="0.2"/>
    <n v="729"/>
    <s v="13/2/2021"/>
    <m/>
    <x v="2"/>
  </r>
  <r>
    <x v="2"/>
    <s v="Main"/>
    <n v="25.1"/>
    <n v="12.400000000000002"/>
    <n v="12.7"/>
    <m/>
    <n v="9.8000000000000007"/>
    <n v="0.2"/>
    <n v="734"/>
    <s v="13/2/2021"/>
    <m/>
    <x v="2"/>
  </r>
  <r>
    <x v="1"/>
    <s v="Main"/>
    <n v="33.299999999999997"/>
    <n v="26.7"/>
    <n v="6.6"/>
    <m/>
    <n v="0"/>
    <n v="0.3"/>
    <n v="721"/>
    <d v="2021-04-03T00:00:00"/>
    <m/>
    <x v="3"/>
  </r>
  <r>
    <x v="1"/>
    <s v="Main"/>
    <n v="33.4"/>
    <n v="28.7"/>
    <n v="4.7"/>
    <m/>
    <n v="0.4"/>
    <n v="0.4"/>
    <n v="728"/>
    <d v="2021-04-03T00:00:00"/>
    <m/>
    <x v="3"/>
  </r>
  <r>
    <x v="1"/>
    <s v="Main"/>
    <n v="33.5"/>
    <n v="29.5"/>
    <n v="4"/>
    <m/>
    <n v="0.2"/>
    <n v="0.1"/>
    <n v="740"/>
    <d v="2021-04-03T00:00:00"/>
    <m/>
    <x v="3"/>
  </r>
  <r>
    <x v="2"/>
    <s v="Main"/>
    <n v="29.1"/>
    <n v="22.2"/>
    <n v="6.9"/>
    <m/>
    <n v="3.5"/>
    <n v="0.3"/>
    <n v="743"/>
    <d v="2021-04-03T00:00:00"/>
    <m/>
    <x v="3"/>
  </r>
  <r>
    <x v="2"/>
    <s v="Main"/>
    <n v="28.9"/>
    <n v="23.5"/>
    <n v="5.4"/>
    <m/>
    <n v="0.3"/>
    <n v="0.2"/>
    <n v="748"/>
    <d v="2021-04-03T00:00:00"/>
    <m/>
    <x v="3"/>
  </r>
  <r>
    <x v="2"/>
    <s v="Main"/>
    <n v="32.6"/>
    <n v="26.4"/>
    <n v="6.2"/>
    <m/>
    <n v="0"/>
    <n v="0.5"/>
    <n v="784"/>
    <d v="2021-04-03T00:00:00"/>
    <m/>
    <x v="3"/>
  </r>
  <r>
    <x v="3"/>
    <s v="Main"/>
    <n v="19.3"/>
    <n v="19.3"/>
    <n v="0"/>
    <m/>
    <n v="0"/>
    <n v="1.1000000000000001"/>
    <n v="458"/>
    <d v="2021-06-03T00:00:00"/>
    <m/>
    <x v="3"/>
  </r>
  <r>
    <x v="3"/>
    <s v="Main"/>
    <n v="25.4"/>
    <n v="25.4"/>
    <n v="0"/>
    <m/>
    <n v="0"/>
    <n v="1.2"/>
    <n v="460"/>
    <d v="2021-06-03T00:00:00"/>
    <m/>
    <x v="3"/>
  </r>
  <r>
    <x v="3"/>
    <s v="Main"/>
    <n v="25.5"/>
    <n v="25.5"/>
    <n v="0"/>
    <n v="3"/>
    <n v="0"/>
    <n v="0.9"/>
    <n v="461"/>
    <d v="2021-06-03T00:00:00"/>
    <m/>
    <x v="3"/>
  </r>
  <r>
    <x v="4"/>
    <s v="Main"/>
    <n v="27"/>
    <n v="24.5"/>
    <n v="2.5"/>
    <n v="1.9"/>
    <n v="0.4"/>
    <n v="0.4"/>
    <n v="518"/>
    <d v="2021-06-03T00:00:00"/>
    <m/>
    <x v="3"/>
  </r>
  <r>
    <x v="4"/>
    <s v="Main"/>
    <n v="27.9"/>
    <n v="24.2"/>
    <n v="3.7"/>
    <m/>
    <n v="0.1"/>
    <n v="0.1"/>
    <n v="561"/>
    <d v="2021-06-03T00:00:00"/>
    <m/>
    <x v="3"/>
  </r>
  <r>
    <x v="4"/>
    <s v="Main"/>
    <n v="28.6"/>
    <n v="24.6"/>
    <n v="4"/>
    <m/>
    <n v="0.3"/>
    <n v="0.3"/>
    <n v="553"/>
    <d v="2021-06-03T00:00:00"/>
    <m/>
    <x v="3"/>
  </r>
  <r>
    <x v="1"/>
    <s v="Main"/>
    <m/>
    <m/>
    <m/>
    <m/>
    <m/>
    <n v="1.3"/>
    <n v="3.05"/>
    <s v="17/3/2021"/>
    <m/>
    <x v="4"/>
  </r>
  <r>
    <x v="1"/>
    <s v="Main"/>
    <m/>
    <m/>
    <m/>
    <m/>
    <m/>
    <n v="0.8"/>
    <n v="326"/>
    <s v="17/3/2021"/>
    <m/>
    <x v="4"/>
  </r>
  <r>
    <x v="1"/>
    <s v="Main"/>
    <m/>
    <m/>
    <m/>
    <m/>
    <m/>
    <n v="1.1000000000000001"/>
    <n v="323"/>
    <s v="17/3/2021"/>
    <m/>
    <x v="4"/>
  </r>
  <r>
    <x v="0"/>
    <s v="Main"/>
    <m/>
    <m/>
    <m/>
    <m/>
    <m/>
    <n v="1.4"/>
    <n v="212"/>
    <s v="17/3/2021"/>
    <m/>
    <x v="4"/>
  </r>
  <r>
    <x v="0"/>
    <s v="Main"/>
    <m/>
    <m/>
    <m/>
    <m/>
    <m/>
    <n v="2.2000000000000002"/>
    <n v="194"/>
    <s v="17/3/2021"/>
    <m/>
    <x v="4"/>
  </r>
  <r>
    <x v="0"/>
    <s v="Main"/>
    <m/>
    <m/>
    <m/>
    <m/>
    <m/>
    <n v="2.2000000000000002"/>
    <n v="171"/>
    <s v="17/3/2021"/>
    <m/>
    <x v="4"/>
  </r>
  <r>
    <x v="3"/>
    <s v="Main"/>
    <m/>
    <m/>
    <m/>
    <m/>
    <m/>
    <n v="1.1000000000000001"/>
    <n v="351"/>
    <s v="17/3/2021"/>
    <m/>
    <x v="4"/>
  </r>
  <r>
    <x v="3"/>
    <s v="Main"/>
    <m/>
    <m/>
    <m/>
    <m/>
    <m/>
    <n v="2.9"/>
    <n v="266"/>
    <s v="17/3/2021"/>
    <m/>
    <x v="4"/>
  </r>
  <r>
    <x v="3"/>
    <s v="Main"/>
    <m/>
    <m/>
    <m/>
    <m/>
    <m/>
    <n v="2.2000000000000002"/>
    <n v="316"/>
    <s v="17/3/2021"/>
    <m/>
    <x v="4"/>
  </r>
  <r>
    <x v="2"/>
    <s v="Main"/>
    <m/>
    <m/>
    <m/>
    <m/>
    <m/>
    <n v="1.2"/>
    <n v="376"/>
    <s v="18/3/2021"/>
    <m/>
    <x v="4"/>
  </r>
  <r>
    <x v="2"/>
    <s v="Main"/>
    <m/>
    <m/>
    <m/>
    <m/>
    <m/>
    <n v="1.1000000000000001"/>
    <n v="384"/>
    <s v="18/3/2021"/>
    <m/>
    <x v="4"/>
  </r>
  <r>
    <x v="2"/>
    <s v="Main"/>
    <m/>
    <m/>
    <m/>
    <m/>
    <m/>
    <n v="1.5"/>
    <n v="379"/>
    <s v="18/3/2021"/>
    <m/>
    <x v="4"/>
  </r>
  <r>
    <x v="4"/>
    <s v="Main"/>
    <m/>
    <m/>
    <m/>
    <m/>
    <m/>
    <n v="2.9"/>
    <n v="292"/>
    <s v="19/3/2021"/>
    <m/>
    <x v="4"/>
  </r>
  <r>
    <x v="4"/>
    <s v="Main"/>
    <m/>
    <m/>
    <m/>
    <m/>
    <m/>
    <n v="3.1"/>
    <n v="349"/>
    <s v="19/3/2021"/>
    <m/>
    <x v="4"/>
  </r>
  <r>
    <x v="4"/>
    <s v="Main"/>
    <m/>
    <m/>
    <m/>
    <m/>
    <m/>
    <n v="3.8"/>
    <n v="314"/>
    <s v="19/3/2021"/>
    <m/>
    <x v="4"/>
  </r>
  <r>
    <x v="1"/>
    <s v="Main"/>
    <m/>
    <m/>
    <m/>
    <m/>
    <m/>
    <n v="7.4"/>
    <n v="593"/>
    <d v="2021-03-04T00:00:00"/>
    <m/>
    <x v="5"/>
  </r>
  <r>
    <x v="1"/>
    <s v="Main"/>
    <m/>
    <m/>
    <m/>
    <m/>
    <m/>
    <n v="7.1"/>
    <n v="589"/>
    <d v="2021-03-04T00:00:00"/>
    <m/>
    <x v="5"/>
  </r>
  <r>
    <x v="1"/>
    <s v="Main"/>
    <m/>
    <m/>
    <m/>
    <m/>
    <m/>
    <n v="6.9"/>
    <n v="597"/>
    <d v="2021-03-04T00:00:00"/>
    <m/>
    <x v="5"/>
  </r>
  <r>
    <x v="0"/>
    <s v="Main"/>
    <m/>
    <m/>
    <m/>
    <m/>
    <m/>
    <n v="6.9"/>
    <n v="408"/>
    <d v="2021-03-04T00:00:00"/>
    <m/>
    <x v="5"/>
  </r>
  <r>
    <x v="0"/>
    <s v="Main"/>
    <m/>
    <m/>
    <m/>
    <m/>
    <m/>
    <n v="6.7"/>
    <n v="410"/>
    <d v="2021-03-04T00:00:00"/>
    <m/>
    <x v="5"/>
  </r>
  <r>
    <x v="0"/>
    <s v="Main"/>
    <m/>
    <m/>
    <m/>
    <m/>
    <m/>
    <n v="6.6"/>
    <n v="412"/>
    <d v="2021-03-04T00:00:00"/>
    <m/>
    <x v="5"/>
  </r>
  <r>
    <x v="4"/>
    <s v="Main"/>
    <m/>
    <m/>
    <m/>
    <m/>
    <m/>
    <n v="13.2"/>
    <n v="545"/>
    <d v="2021-07-04T00:00:00"/>
    <m/>
    <x v="5"/>
  </r>
  <r>
    <x v="4"/>
    <s v="Main"/>
    <m/>
    <m/>
    <m/>
    <m/>
    <m/>
    <n v="12.4"/>
    <n v="542"/>
    <d v="2021-07-04T00:00:00"/>
    <m/>
    <x v="5"/>
  </r>
  <r>
    <x v="4"/>
    <s v="Main"/>
    <m/>
    <m/>
    <m/>
    <m/>
    <m/>
    <n v="13.5"/>
    <n v="536"/>
    <d v="2021-07-04T00:00:00"/>
    <m/>
    <x v="5"/>
  </r>
  <r>
    <x v="3"/>
    <s v="Main"/>
    <m/>
    <m/>
    <m/>
    <m/>
    <m/>
    <n v="13.6"/>
    <n v="440"/>
    <d v="2021-07-04T00:00:00"/>
    <m/>
    <x v="5"/>
  </r>
  <r>
    <x v="3"/>
    <s v="Main"/>
    <m/>
    <m/>
    <m/>
    <m/>
    <m/>
    <n v="13"/>
    <n v="443"/>
    <d v="2021-07-04T00:00:00"/>
    <m/>
    <x v="5"/>
  </r>
  <r>
    <x v="3"/>
    <s v="Main"/>
    <m/>
    <m/>
    <m/>
    <m/>
    <m/>
    <n v="12.7"/>
    <n v="446"/>
    <d v="2021-07-04T00:00:00"/>
    <m/>
    <x v="5"/>
  </r>
  <r>
    <x v="3"/>
    <s v="Main"/>
    <m/>
    <m/>
    <m/>
    <m/>
    <m/>
    <n v="14.8"/>
    <n v="447"/>
    <d v="2021-09-04T00:00:00"/>
    <m/>
    <x v="5"/>
  </r>
  <r>
    <x v="3"/>
    <s v="Main"/>
    <m/>
    <m/>
    <m/>
    <m/>
    <m/>
    <n v="14.5"/>
    <n v="449"/>
    <d v="2021-09-04T00:00:00"/>
    <m/>
    <x v="5"/>
  </r>
  <r>
    <x v="3"/>
    <s v="Main"/>
    <m/>
    <m/>
    <m/>
    <m/>
    <m/>
    <n v="14.2"/>
    <n v="451"/>
    <d v="2021-09-04T00:00:00"/>
    <m/>
    <x v="5"/>
  </r>
  <r>
    <x v="4"/>
    <s v="Main"/>
    <m/>
    <m/>
    <m/>
    <m/>
    <m/>
    <n v="14.4"/>
    <n v="538"/>
    <d v="2021-09-04T00:00:00"/>
    <m/>
    <x v="5"/>
  </r>
  <r>
    <x v="4"/>
    <s v="Main"/>
    <m/>
    <m/>
    <m/>
    <m/>
    <m/>
    <n v="14.5"/>
    <n v="539"/>
    <d v="2021-09-04T00:00:00"/>
    <m/>
    <x v="5"/>
  </r>
  <r>
    <x v="4"/>
    <s v="Main"/>
    <m/>
    <m/>
    <m/>
    <m/>
    <m/>
    <n v="14.4"/>
    <n v="539"/>
    <d v="2021-09-04T00:00:00"/>
    <m/>
    <x v="5"/>
  </r>
  <r>
    <x v="3"/>
    <s v="Main"/>
    <m/>
    <m/>
    <m/>
    <m/>
    <m/>
    <n v="12.8"/>
    <n v="448"/>
    <s v="19/4/2021"/>
    <m/>
    <x v="6"/>
  </r>
  <r>
    <x v="3"/>
    <s v="Main"/>
    <m/>
    <m/>
    <m/>
    <m/>
    <m/>
    <n v="12.8"/>
    <n v="451"/>
    <s v="19/4/2021"/>
    <m/>
    <x v="6"/>
  </r>
  <r>
    <x v="3"/>
    <s v="Main"/>
    <m/>
    <m/>
    <m/>
    <m/>
    <m/>
    <n v="12.5"/>
    <n v="452"/>
    <s v="19/4/2021"/>
    <m/>
    <x v="6"/>
  </r>
  <r>
    <x v="4"/>
    <s v="Main"/>
    <m/>
    <m/>
    <m/>
    <m/>
    <m/>
    <n v="12.7"/>
    <n v="522"/>
    <s v="19/4/2021"/>
    <m/>
    <x v="6"/>
  </r>
  <r>
    <x v="4"/>
    <s v="Main"/>
    <m/>
    <m/>
    <m/>
    <m/>
    <m/>
    <n v="12.5"/>
    <n v="527"/>
    <s v="19/4/2021"/>
    <m/>
    <x v="6"/>
  </r>
  <r>
    <x v="4"/>
    <s v="Main"/>
    <m/>
    <m/>
    <m/>
    <m/>
    <m/>
    <n v="12"/>
    <n v="531"/>
    <s v="19/4/2021"/>
    <m/>
    <x v="6"/>
  </r>
  <r>
    <x v="1"/>
    <s v="Main"/>
    <m/>
    <m/>
    <m/>
    <m/>
    <m/>
    <n v="13.9"/>
    <n v="603"/>
    <s v="19/4/2021"/>
    <m/>
    <x v="6"/>
  </r>
  <r>
    <x v="1"/>
    <s v="Main"/>
    <m/>
    <m/>
    <m/>
    <m/>
    <m/>
    <n v="13.7"/>
    <n v="600"/>
    <s v="19/4/2021"/>
    <m/>
    <x v="6"/>
  </r>
  <r>
    <x v="1"/>
    <s v="Main"/>
    <m/>
    <m/>
    <m/>
    <m/>
    <m/>
    <n v="13.4"/>
    <n v="606"/>
    <s v="19/4/2021"/>
    <m/>
    <x v="6"/>
  </r>
  <r>
    <x v="2"/>
    <s v="Main"/>
    <m/>
    <m/>
    <m/>
    <m/>
    <m/>
    <n v="13.3"/>
    <n v="659"/>
    <s v="19/4/2021"/>
    <m/>
    <x v="6"/>
  </r>
  <r>
    <x v="2"/>
    <s v="Main"/>
    <m/>
    <m/>
    <m/>
    <m/>
    <m/>
    <n v="12.4"/>
    <n v="670"/>
    <s v="19/4/2021"/>
    <m/>
    <x v="6"/>
  </r>
  <r>
    <x v="2"/>
    <s v="Main"/>
    <m/>
    <m/>
    <m/>
    <m/>
    <m/>
    <n v="12.4"/>
    <n v="674"/>
    <s v="19/4/2021"/>
    <m/>
    <x v="6"/>
  </r>
  <r>
    <x v="1"/>
    <s v="Main"/>
    <m/>
    <m/>
    <m/>
    <m/>
    <m/>
    <n v="10.3"/>
    <n v="615"/>
    <s v="20/4/2021"/>
    <m/>
    <x v="6"/>
  </r>
  <r>
    <x v="1"/>
    <s v="Main"/>
    <m/>
    <m/>
    <m/>
    <m/>
    <m/>
    <n v="10.5"/>
    <n v="620"/>
    <s v="20/4/2021"/>
    <m/>
    <x v="6"/>
  </r>
  <r>
    <x v="1"/>
    <s v="Main"/>
    <m/>
    <m/>
    <m/>
    <m/>
    <m/>
    <n v="10.4"/>
    <n v="616"/>
    <s v="20/4/2021"/>
    <m/>
    <x v="6"/>
  </r>
  <r>
    <x v="1"/>
    <s v="Branch"/>
    <m/>
    <m/>
    <m/>
    <m/>
    <m/>
    <n v="9.9"/>
    <n v="596"/>
    <s v="20/4/2021"/>
    <m/>
    <x v="6"/>
  </r>
  <r>
    <x v="1"/>
    <s v="Branch"/>
    <m/>
    <m/>
    <m/>
    <m/>
    <m/>
    <n v="10.3"/>
    <n v="589"/>
    <s v="20/4/2021"/>
    <m/>
    <x v="6"/>
  </r>
  <r>
    <x v="1"/>
    <s v="Branch"/>
    <m/>
    <m/>
    <m/>
    <m/>
    <m/>
    <n v="10.1"/>
    <n v="593"/>
    <s v="20/4/2021"/>
    <m/>
    <x v="6"/>
  </r>
  <r>
    <x v="0"/>
    <s v="Main"/>
    <m/>
    <m/>
    <m/>
    <m/>
    <m/>
    <n v="10"/>
    <n v="425"/>
    <s v="20/4/2021"/>
    <m/>
    <x v="6"/>
  </r>
  <r>
    <x v="0"/>
    <s v="Main"/>
    <m/>
    <m/>
    <m/>
    <m/>
    <m/>
    <n v="10.4"/>
    <n v="422"/>
    <s v="20/4/2021"/>
    <m/>
    <x v="6"/>
  </r>
  <r>
    <x v="0"/>
    <s v="Main"/>
    <m/>
    <m/>
    <m/>
    <m/>
    <m/>
    <n v="10.5"/>
    <n v="417"/>
    <s v="20/4/2021"/>
    <m/>
    <x v="6"/>
  </r>
  <r>
    <x v="1"/>
    <s v="Main"/>
    <m/>
    <m/>
    <m/>
    <m/>
    <m/>
    <n v="14.4"/>
    <n v="596"/>
    <d v="2021-05-03T00:00:00"/>
    <m/>
    <x v="7"/>
  </r>
  <r>
    <x v="1"/>
    <s v="Main"/>
    <m/>
    <m/>
    <m/>
    <m/>
    <m/>
    <n v="14.3"/>
    <n v="603"/>
    <d v="2021-05-03T00:00:00"/>
    <m/>
    <x v="7"/>
  </r>
  <r>
    <x v="1"/>
    <s v="Main"/>
    <m/>
    <m/>
    <m/>
    <m/>
    <m/>
    <n v="14.1"/>
    <n v="602"/>
    <d v="2021-05-03T00:00:00"/>
    <m/>
    <x v="7"/>
  </r>
  <r>
    <x v="1"/>
    <s v="Branch"/>
    <m/>
    <m/>
    <m/>
    <m/>
    <m/>
    <n v="13.8"/>
    <n v="592"/>
    <d v="2021-05-03T00:00:00"/>
    <m/>
    <x v="7"/>
  </r>
  <r>
    <x v="1"/>
    <s v="Branch"/>
    <m/>
    <m/>
    <m/>
    <m/>
    <m/>
    <n v="13.9"/>
    <n v="592"/>
    <d v="2021-05-03T00:00:00"/>
    <m/>
    <x v="7"/>
  </r>
  <r>
    <x v="1"/>
    <s v="Branch"/>
    <m/>
    <m/>
    <m/>
    <m/>
    <m/>
    <n v="14.1"/>
    <n v="590"/>
    <d v="2021-05-03T00:00:00"/>
    <m/>
    <x v="7"/>
  </r>
  <r>
    <x v="0"/>
    <s v="Main"/>
    <m/>
    <m/>
    <m/>
    <m/>
    <m/>
    <n v="13.9"/>
    <n v="405"/>
    <d v="2021-05-03T00:00:00"/>
    <m/>
    <x v="7"/>
  </r>
  <r>
    <x v="0"/>
    <s v="Main"/>
    <m/>
    <m/>
    <m/>
    <m/>
    <m/>
    <n v="13.7"/>
    <n v="408"/>
    <d v="2021-05-03T00:00:00"/>
    <m/>
    <x v="7"/>
  </r>
  <r>
    <x v="0"/>
    <s v="Main"/>
    <m/>
    <m/>
    <m/>
    <m/>
    <m/>
    <n v="13.5"/>
    <n v="409"/>
    <d v="2021-05-03T00:00:00"/>
    <m/>
    <x v="7"/>
  </r>
  <r>
    <x v="2"/>
    <s v="Main"/>
    <m/>
    <m/>
    <m/>
    <m/>
    <m/>
    <n v="12.8"/>
    <n v="657"/>
    <d v="2021-05-05T00:00:00"/>
    <m/>
    <x v="7"/>
  </r>
  <r>
    <x v="2"/>
    <s v="Main"/>
    <m/>
    <m/>
    <m/>
    <m/>
    <m/>
    <n v="12.4"/>
    <n v="685"/>
    <d v="2021-05-05T00:00:00"/>
    <m/>
    <x v="7"/>
  </r>
  <r>
    <x v="2"/>
    <s v="Main"/>
    <m/>
    <m/>
    <m/>
    <m/>
    <m/>
    <n v="12.4"/>
    <n v="664"/>
    <d v="2021-05-05T00:00:00"/>
    <m/>
    <x v="7"/>
  </r>
  <r>
    <x v="4"/>
    <s v="Main"/>
    <m/>
    <m/>
    <m/>
    <m/>
    <m/>
    <n v="13.4"/>
    <n v="495"/>
    <d v="2021-05-05T00:00:00"/>
    <m/>
    <x v="7"/>
  </r>
  <r>
    <x v="4"/>
    <s v="Main"/>
    <m/>
    <m/>
    <m/>
    <m/>
    <m/>
    <n v="12.8"/>
    <n v="500"/>
    <d v="2021-05-05T00:00:00"/>
    <m/>
    <x v="7"/>
  </r>
  <r>
    <x v="4"/>
    <s v="Main"/>
    <m/>
    <m/>
    <m/>
    <m/>
    <m/>
    <n v="12.6"/>
    <n v="502"/>
    <d v="2021-05-05T00:00:00"/>
    <m/>
    <x v="7"/>
  </r>
  <r>
    <x v="3"/>
    <s v="Main"/>
    <m/>
    <m/>
    <m/>
    <m/>
    <m/>
    <n v="13.2"/>
    <n v="450"/>
    <d v="2021-05-05T00:00:00"/>
    <m/>
    <x v="7"/>
  </r>
  <r>
    <x v="3"/>
    <s v="Main"/>
    <m/>
    <m/>
    <m/>
    <m/>
    <m/>
    <n v="13.1"/>
    <n v="448"/>
    <d v="2021-05-05T00:00:00"/>
    <m/>
    <x v="7"/>
  </r>
  <r>
    <x v="3"/>
    <s v="Main"/>
    <m/>
    <m/>
    <m/>
    <m/>
    <m/>
    <n v="13.1"/>
    <n v="449"/>
    <d v="2021-05-05T00:00:00"/>
    <m/>
    <x v="7"/>
  </r>
  <r>
    <x v="1"/>
    <s v="Branch"/>
    <m/>
    <m/>
    <m/>
    <m/>
    <m/>
    <n v="21.3"/>
    <n v="575"/>
    <d v="2021-05-17T00:00:00"/>
    <m/>
    <x v="8"/>
  </r>
  <r>
    <x v="1"/>
    <s v="Main"/>
    <m/>
    <m/>
    <m/>
    <m/>
    <m/>
    <n v="19.7"/>
    <n v="575"/>
    <d v="2021-05-17T00:00:00"/>
    <m/>
    <x v="8"/>
  </r>
  <r>
    <x v="1"/>
    <s v="Main"/>
    <m/>
    <m/>
    <m/>
    <m/>
    <m/>
    <n v="20.6"/>
    <n v="578"/>
    <d v="2021-05-17T00:00:00"/>
    <m/>
    <x v="8"/>
  </r>
  <r>
    <x v="1"/>
    <s v="Main"/>
    <m/>
    <m/>
    <m/>
    <m/>
    <m/>
    <n v="21.6"/>
    <n v="594"/>
    <d v="2021-05-17T00:00:00"/>
    <m/>
    <x v="8"/>
  </r>
  <r>
    <x v="0"/>
    <s v="Main"/>
    <m/>
    <m/>
    <m/>
    <m/>
    <m/>
    <n v="21.4"/>
    <n v="361"/>
    <d v="2021-05-17T00:00:00"/>
    <m/>
    <x v="8"/>
  </r>
  <r>
    <x v="0"/>
    <s v="Main"/>
    <m/>
    <m/>
    <m/>
    <m/>
    <m/>
    <n v="20.9"/>
    <n v="366"/>
    <d v="2021-05-17T00:00:00"/>
    <m/>
    <x v="8"/>
  </r>
  <r>
    <x v="0"/>
    <s v="Main"/>
    <m/>
    <m/>
    <m/>
    <m/>
    <m/>
    <n v="20.6"/>
    <n v="368"/>
    <d v="2021-05-17T00:00:00"/>
    <m/>
    <x v="8"/>
  </r>
  <r>
    <x v="2"/>
    <s v="Main"/>
    <m/>
    <m/>
    <m/>
    <m/>
    <m/>
    <n v="21.4"/>
    <n v="631"/>
    <d v="2021-05-17T00:00:00"/>
    <m/>
    <x v="8"/>
  </r>
  <r>
    <x v="2"/>
    <s v="Main"/>
    <m/>
    <m/>
    <m/>
    <m/>
    <m/>
    <n v="20.8"/>
    <n v="638"/>
    <d v="2021-05-17T00:00:00"/>
    <m/>
    <x v="8"/>
  </r>
  <r>
    <x v="2"/>
    <s v="Main"/>
    <m/>
    <m/>
    <m/>
    <m/>
    <m/>
    <n v="20.7"/>
    <n v="647"/>
    <d v="2021-05-17T00:00:00"/>
    <m/>
    <x v="8"/>
  </r>
  <r>
    <x v="4"/>
    <s v="Main"/>
    <m/>
    <m/>
    <m/>
    <m/>
    <m/>
    <n v="18.7"/>
    <n v="461"/>
    <d v="2021-05-18T00:00:00"/>
    <m/>
    <x v="8"/>
  </r>
  <r>
    <x v="4"/>
    <s v="Main"/>
    <m/>
    <m/>
    <m/>
    <m/>
    <m/>
    <n v="18.600000000000001"/>
    <n v="470"/>
    <d v="2021-05-18T00:00:00"/>
    <m/>
    <x v="8"/>
  </r>
  <r>
    <x v="4"/>
    <s v="Main"/>
    <m/>
    <m/>
    <m/>
    <m/>
    <m/>
    <n v="20"/>
    <n v="473"/>
    <d v="2021-05-18T00:00:00"/>
    <m/>
    <x v="8"/>
  </r>
  <r>
    <x v="3"/>
    <s v="Main"/>
    <m/>
    <m/>
    <m/>
    <m/>
    <m/>
    <n v="22.4"/>
    <n v="439"/>
    <d v="2021-05-19T00:00:00"/>
    <m/>
    <x v="8"/>
  </r>
  <r>
    <x v="3"/>
    <s v="Main"/>
    <m/>
    <m/>
    <m/>
    <m/>
    <m/>
    <n v="22.3"/>
    <n v="431"/>
    <d v="2021-05-19T00:00:00"/>
    <m/>
    <x v="8"/>
  </r>
  <r>
    <x v="3"/>
    <s v="Main"/>
    <m/>
    <m/>
    <m/>
    <m/>
    <m/>
    <n v="22.3"/>
    <n v="429"/>
    <d v="2021-05-19T00:00:00"/>
    <m/>
    <x v="8"/>
  </r>
  <r>
    <x v="1"/>
    <s v="Branch"/>
    <m/>
    <m/>
    <m/>
    <m/>
    <m/>
    <n v="26.2"/>
    <n v="451"/>
    <d v="2021-06-05T00:00:00"/>
    <m/>
    <x v="9"/>
  </r>
  <r>
    <x v="1"/>
    <s v="Branch"/>
    <m/>
    <m/>
    <m/>
    <m/>
    <m/>
    <n v="26.9"/>
    <n v="446"/>
    <d v="2021-06-05T00:00:00"/>
    <m/>
    <x v="9"/>
  </r>
  <r>
    <x v="1"/>
    <s v="Branch"/>
    <m/>
    <m/>
    <m/>
    <m/>
    <m/>
    <n v="26.2"/>
    <n v="453"/>
    <d v="2021-06-05T00:00:00"/>
    <m/>
    <x v="9"/>
  </r>
  <r>
    <x v="1"/>
    <s v="Main"/>
    <m/>
    <m/>
    <m/>
    <m/>
    <m/>
    <n v="25.3"/>
    <n v="432"/>
    <d v="2021-06-05T00:00:00"/>
    <m/>
    <x v="9"/>
  </r>
  <r>
    <x v="1"/>
    <s v="Main"/>
    <m/>
    <m/>
    <m/>
    <m/>
    <m/>
    <n v="23.7"/>
    <n v="413"/>
    <d v="2021-06-05T00:00:00"/>
    <m/>
    <x v="9"/>
  </r>
  <r>
    <x v="1"/>
    <s v="Main"/>
    <m/>
    <m/>
    <m/>
    <m/>
    <m/>
    <n v="23.2"/>
    <n v="417"/>
    <d v="2021-06-05T00:00:00"/>
    <m/>
    <x v="9"/>
  </r>
  <r>
    <x v="4"/>
    <s v="Main"/>
    <m/>
    <m/>
    <m/>
    <m/>
    <m/>
    <n v="25.9"/>
    <n v="421"/>
    <d v="2021-06-07T00:00:00"/>
    <m/>
    <x v="9"/>
  </r>
  <r>
    <x v="4"/>
    <s v="Main"/>
    <m/>
    <m/>
    <m/>
    <m/>
    <m/>
    <n v="25.3"/>
    <n v="425"/>
    <d v="2021-06-07T00:00:00"/>
    <m/>
    <x v="9"/>
  </r>
  <r>
    <x v="4"/>
    <s v="Main"/>
    <m/>
    <m/>
    <m/>
    <m/>
    <m/>
    <n v="25.2"/>
    <n v="435"/>
    <d v="2021-06-07T00:00:00"/>
    <m/>
    <x v="9"/>
  </r>
  <r>
    <x v="3"/>
    <s v="Main"/>
    <m/>
    <m/>
    <m/>
    <m/>
    <m/>
    <n v="26.8"/>
    <n v="324"/>
    <d v="2021-06-07T00:00:00"/>
    <m/>
    <x v="9"/>
  </r>
  <r>
    <x v="3"/>
    <s v="Main"/>
    <m/>
    <m/>
    <m/>
    <m/>
    <m/>
    <n v="25.7"/>
    <n v="332"/>
    <d v="2021-06-07T00:00:00"/>
    <m/>
    <x v="9"/>
  </r>
  <r>
    <x v="3"/>
    <s v="Main"/>
    <m/>
    <m/>
    <m/>
    <m/>
    <m/>
    <n v="25.7"/>
    <n v="343"/>
    <d v="2021-06-07T00:00:00"/>
    <m/>
    <x v="9"/>
  </r>
  <r>
    <x v="2"/>
    <s v="Main"/>
    <m/>
    <m/>
    <m/>
    <m/>
    <m/>
    <n v="25.3"/>
    <n v="603"/>
    <d v="2021-06-08T00:00:00"/>
    <m/>
    <x v="9"/>
  </r>
  <r>
    <x v="2"/>
    <s v="Main"/>
    <m/>
    <m/>
    <m/>
    <m/>
    <m/>
    <n v="25.2"/>
    <n v="608"/>
    <d v="2021-06-08T00:00:00"/>
    <m/>
    <x v="9"/>
  </r>
  <r>
    <x v="2"/>
    <s v="Main"/>
    <m/>
    <m/>
    <m/>
    <m/>
    <m/>
    <n v="25.3"/>
    <n v="604"/>
    <d v="2021-06-08T00:00:00"/>
    <m/>
    <x v="9"/>
  </r>
  <r>
    <x v="1"/>
    <s v="Branch"/>
    <m/>
    <m/>
    <m/>
    <m/>
    <m/>
    <n v="26.7"/>
    <n v="434"/>
    <d v="2021-06-21T00:00:00"/>
    <m/>
    <x v="10"/>
  </r>
  <r>
    <x v="1"/>
    <s v="Branch"/>
    <m/>
    <m/>
    <m/>
    <m/>
    <m/>
    <n v="26.9"/>
    <n v="459"/>
    <d v="2021-06-21T00:00:00"/>
    <m/>
    <x v="10"/>
  </r>
  <r>
    <x v="1"/>
    <s v="Branch"/>
    <m/>
    <m/>
    <m/>
    <m/>
    <m/>
    <n v="26.6"/>
    <n v="483"/>
    <d v="2021-06-21T00:00:00"/>
    <m/>
    <x v="10"/>
  </r>
  <r>
    <x v="1"/>
    <s v="Main"/>
    <m/>
    <m/>
    <m/>
    <m/>
    <m/>
    <n v="23.1"/>
    <n v="415"/>
    <d v="2021-06-21T00:00:00"/>
    <m/>
    <x v="10"/>
  </r>
  <r>
    <x v="1"/>
    <s v="Main"/>
    <m/>
    <m/>
    <m/>
    <m/>
    <m/>
    <n v="23.1"/>
    <n v="418"/>
    <d v="2021-06-21T00:00:00"/>
    <m/>
    <x v="10"/>
  </r>
  <r>
    <x v="1"/>
    <s v="Main"/>
    <m/>
    <m/>
    <m/>
    <m/>
    <m/>
    <n v="23.2"/>
    <n v="420"/>
    <d v="2021-06-21T00:00:00"/>
    <m/>
    <x v="10"/>
  </r>
  <r>
    <x v="2"/>
    <s v="Main"/>
    <m/>
    <m/>
    <m/>
    <m/>
    <m/>
    <n v="28"/>
    <n v="619"/>
    <d v="2021-06-21T00:00:00"/>
    <m/>
    <x v="10"/>
  </r>
  <r>
    <x v="2"/>
    <s v="Main"/>
    <m/>
    <m/>
    <m/>
    <m/>
    <m/>
    <n v="27.9"/>
    <n v="618"/>
    <d v="2021-06-21T00:00:00"/>
    <m/>
    <x v="10"/>
  </r>
  <r>
    <x v="2"/>
    <s v="Main"/>
    <m/>
    <m/>
    <m/>
    <m/>
    <m/>
    <n v="27.8"/>
    <n v="605"/>
    <d v="2021-06-21T00:00:00"/>
    <m/>
    <x v="10"/>
  </r>
  <r>
    <x v="4"/>
    <s v="Main"/>
    <m/>
    <m/>
    <m/>
    <m/>
    <m/>
    <n v="22.2"/>
    <n v="420"/>
    <d v="2021-06-22T00:00:00"/>
    <m/>
    <x v="10"/>
  </r>
  <r>
    <x v="4"/>
    <s v="Main"/>
    <m/>
    <m/>
    <m/>
    <m/>
    <m/>
    <n v="21.9"/>
    <n v="432"/>
    <d v="2021-06-22T00:00:00"/>
    <m/>
    <x v="10"/>
  </r>
  <r>
    <x v="4"/>
    <s v="Main"/>
    <m/>
    <m/>
    <m/>
    <m/>
    <m/>
    <n v="21.9"/>
    <n v="436"/>
    <d v="2021-06-22T00:00:00"/>
    <m/>
    <x v="10"/>
  </r>
  <r>
    <x v="3"/>
    <s v="Main"/>
    <m/>
    <m/>
    <m/>
    <m/>
    <m/>
    <n v="23.2"/>
    <n v="148"/>
    <d v="2021-06-22T00:00:00"/>
    <m/>
    <x v="10"/>
  </r>
  <r>
    <x v="3"/>
    <s v="Main"/>
    <m/>
    <m/>
    <m/>
    <m/>
    <m/>
    <n v="23.1"/>
    <n v="148"/>
    <d v="2021-06-22T00:00:00"/>
    <m/>
    <x v="10"/>
  </r>
  <r>
    <x v="3"/>
    <s v="Main"/>
    <m/>
    <m/>
    <m/>
    <m/>
    <m/>
    <n v="22.8"/>
    <n v="145"/>
    <d v="2021-06-22T00:00:00"/>
    <m/>
    <x v="10"/>
  </r>
  <r>
    <x v="1"/>
    <s v="Branch"/>
    <m/>
    <m/>
    <m/>
    <m/>
    <m/>
    <n v="22.5"/>
    <n v="226"/>
    <d v="2021-07-06T00:00:00"/>
    <m/>
    <x v="11"/>
  </r>
  <r>
    <x v="1"/>
    <s v="Branch"/>
    <m/>
    <m/>
    <m/>
    <m/>
    <m/>
    <n v="22.5"/>
    <n v="225"/>
    <d v="2021-07-06T00:00:00"/>
    <m/>
    <x v="11"/>
  </r>
  <r>
    <x v="1"/>
    <s v="Branch"/>
    <m/>
    <m/>
    <m/>
    <m/>
    <m/>
    <n v="23.2"/>
    <n v="228"/>
    <d v="2021-07-06T00:00:00"/>
    <m/>
    <x v="11"/>
  </r>
  <r>
    <x v="1"/>
    <s v="Main"/>
    <m/>
    <m/>
    <m/>
    <m/>
    <m/>
    <n v="23.3"/>
    <n v="205"/>
    <d v="2021-07-06T00:00:00"/>
    <m/>
    <x v="11"/>
  </r>
  <r>
    <x v="1"/>
    <s v="Main"/>
    <m/>
    <m/>
    <m/>
    <m/>
    <m/>
    <n v="22.9"/>
    <n v="210"/>
    <d v="2021-07-06T00:00:00"/>
    <m/>
    <x v="11"/>
  </r>
  <r>
    <x v="1"/>
    <s v="Main"/>
    <m/>
    <m/>
    <m/>
    <m/>
    <m/>
    <n v="22.8"/>
    <n v="214"/>
    <d v="2021-07-06T00:00:00"/>
    <m/>
    <x v="11"/>
  </r>
  <r>
    <x v="2"/>
    <s v="Main"/>
    <m/>
    <m/>
    <m/>
    <m/>
    <m/>
    <n v="25.1"/>
    <n v="300"/>
    <d v="2021-07-07T00:00:00"/>
    <m/>
    <x v="11"/>
  </r>
  <r>
    <x v="2"/>
    <s v="Main"/>
    <m/>
    <m/>
    <m/>
    <m/>
    <m/>
    <n v="25"/>
    <n v="301"/>
    <d v="2021-07-07T00:00:00"/>
    <m/>
    <x v="11"/>
  </r>
  <r>
    <x v="2"/>
    <s v="Main"/>
    <m/>
    <m/>
    <m/>
    <m/>
    <m/>
    <n v="25.2"/>
    <n v="299"/>
    <d v="2021-07-07T00:00:00"/>
    <m/>
    <x v="11"/>
  </r>
  <r>
    <x v="5"/>
    <m/>
    <m/>
    <m/>
    <m/>
    <m/>
    <m/>
    <m/>
    <m/>
    <m/>
    <m/>
    <x v="12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64">
  <r>
    <s v="PU-GBP-1"/>
    <x v="0"/>
    <s v="I"/>
    <s v="I"/>
    <s v="G"/>
    <n v="99"/>
    <n v="94"/>
    <n v="18.614000000000001"/>
    <n v="0.36199999999999999"/>
    <n v="0.19400000000000001"/>
    <s v="F22"/>
    <x v="0"/>
    <n v="22"/>
    <n v="0.88300000000000001"/>
    <n v="0.79400000000000004"/>
    <s v="Odonate larvae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8/12/2020"/>
    <s v="18"/>
    <s v="12"/>
    <s v="2020"/>
    <x v="0"/>
    <x v="0"/>
    <x v="0"/>
    <s v="NA"/>
    <n v="1.0532030401737242"/>
    <n v="1.9833442910365984"/>
    <n v="2.0046516779266805"/>
    <n v="4.4556677890011231"/>
    <n v="0.47813473729450934"/>
    <m/>
    <m/>
    <m/>
  </r>
  <r>
    <s v="PU-GBP-2"/>
    <x v="0"/>
    <s v="I"/>
    <s v="I"/>
    <s v="G"/>
    <n v="88"/>
    <n v="84"/>
    <n v="10.99"/>
    <n v="0.157"/>
    <n v="0.14199999999999999"/>
    <s v="F22"/>
    <x v="0"/>
    <n v="22"/>
    <n v="0.499"/>
    <n v="0.45500000000000002"/>
    <s v="Inverts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8/12/2020"/>
    <s v="18"/>
    <s v="12"/>
    <s v="2020"/>
    <x v="0"/>
    <x v="0"/>
    <x v="0"/>
    <s v="NA"/>
    <n v="1.3089970501474923"/>
    <n v="1.4492753623188406"/>
    <n v="1.4685249275091197"/>
    <n v="4.1401273885350314"/>
    <n v="0.40036396724294798"/>
    <m/>
    <m/>
    <m/>
  </r>
  <r>
    <s v="PU-GBP-3"/>
    <x v="0"/>
    <s v="I"/>
    <s v="I"/>
    <s v="G"/>
    <n v="97"/>
    <n v="91"/>
    <n v="16.861000000000001"/>
    <n v="0.38400000000000001"/>
    <n v="0.23899999999999999"/>
    <s v="F22"/>
    <x v="0"/>
    <n v="22"/>
    <n v="0.84"/>
    <n v="0.79200000000000004"/>
    <s v="Inerts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8/12/2020"/>
    <s v="18"/>
    <s v="12"/>
    <s v="2020"/>
    <x v="0"/>
    <x v="0"/>
    <x v="0"/>
    <s v="NA"/>
    <n v="1.4378534472385993"/>
    <n v="2.3305213327668874"/>
    <n v="2.3648232540953322"/>
    <n v="4.6972302947630631"/>
    <n v="0.28468062392503368"/>
    <m/>
    <m/>
    <m/>
  </r>
  <r>
    <s v="PU-GBP-4"/>
    <x v="0"/>
    <s v="I"/>
    <s v="S"/>
    <s v="G"/>
    <n v="71"/>
    <n v="67"/>
    <n v="5.298"/>
    <m/>
    <m/>
    <m/>
    <x v="1"/>
    <m/>
    <m/>
    <m/>
    <m/>
    <s v="N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8/12/2020"/>
    <s v="18"/>
    <s v="12"/>
    <s v="2020"/>
    <x v="0"/>
    <x v="0"/>
    <x v="0"/>
    <s v="Too small/squished"/>
    <m/>
    <m/>
    <m/>
    <m/>
    <m/>
    <m/>
    <m/>
    <m/>
  </r>
  <r>
    <s v="PU-GBP-5"/>
    <x v="0"/>
    <s v="I"/>
    <s v="S"/>
    <s v="G"/>
    <n v="74"/>
    <n v="70"/>
    <n v="6.5529999999999999"/>
    <n v="0.122"/>
    <n v="8.8999999999999996E-2"/>
    <s v="F22"/>
    <x v="0"/>
    <n v="22"/>
    <n v="0.28100000000000003"/>
    <n v="0.26900000000000002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8/12/2020"/>
    <s v="18"/>
    <s v="12"/>
    <s v="2020"/>
    <x v="0"/>
    <x v="0"/>
    <x v="0"/>
    <s v="NA"/>
    <n v="1.3768564356435644"/>
    <n v="1.8970611102472401"/>
    <n v="1.9236833806370228"/>
    <n v="4.104990080878987"/>
    <n v="0.18312223409125608"/>
    <m/>
    <m/>
    <m/>
  </r>
  <r>
    <s v="PU-GBP-6"/>
    <x v="0"/>
    <s v="I"/>
    <s v="S"/>
    <s v="G"/>
    <n v="72"/>
    <n v="67"/>
    <n v="6.0449999999999999"/>
    <n v="0.155"/>
    <n v="5.0000000000000001E-3"/>
    <s v="M22"/>
    <x v="2"/>
    <n v="22"/>
    <n v="0.28599999999999998"/>
    <n v="0.26100000000000001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8/12/2020"/>
    <s v="18"/>
    <s v="12"/>
    <s v="2020"/>
    <x v="0"/>
    <x v="0"/>
    <x v="0"/>
    <s v="Gonads very small"/>
    <n v="8.2781456953642391E-2"/>
    <n v="2.6315789473684212"/>
    <n v="2.6338147833474936"/>
    <n v="4.3176178660049631"/>
    <n v="0.41356492969396141"/>
    <m/>
    <m/>
    <m/>
  </r>
  <r>
    <s v="PU-GBP-7"/>
    <x v="0"/>
    <s v="I"/>
    <s v="I"/>
    <s v="G"/>
    <n v="89"/>
    <n v="83"/>
    <n v="11.509"/>
    <n v="0.22500000000000001"/>
    <n v="1.2999999999999999E-2"/>
    <s v="M22"/>
    <x v="2"/>
    <n v="22"/>
    <n v="0.51100000000000001"/>
    <n v="0.49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8/12/2020"/>
    <s v="18"/>
    <s v="12"/>
    <s v="2020"/>
    <x v="0"/>
    <x v="0"/>
    <x v="0"/>
    <s v="NA"/>
    <n v="0.11308281141266527"/>
    <n v="1.9939737681673164"/>
    <n v="1.9962736225712003"/>
    <n v="4.2575375792857768"/>
    <n v="0.18246589625510484"/>
    <m/>
    <m/>
    <m/>
  </r>
  <r>
    <s v="PU-GBP-8"/>
    <x v="0"/>
    <s v="I"/>
    <s v="S"/>
    <s v="G"/>
    <n v="84"/>
    <n v="79"/>
    <n v="10.654999999999999"/>
    <n v="0.17599999999999999"/>
    <n v="0.153"/>
    <s v="F22"/>
    <x v="0"/>
    <n v="22"/>
    <n v="0.35499999999999998"/>
    <n v="0.34499999999999997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8/12/2020"/>
    <s v="18"/>
    <s v="12"/>
    <s v="2020"/>
    <x v="0"/>
    <x v="0"/>
    <x v="0"/>
    <s v="NA"/>
    <n v="1.4568653589792422"/>
    <n v="1.6795495753411585"/>
    <n v="1.7044354057718383"/>
    <n v="3.2379164711403097"/>
    <n v="9.3852651337400381E-2"/>
    <m/>
    <m/>
    <m/>
  </r>
  <r>
    <s v="PU-GBP-9"/>
    <x v="0"/>
    <s v="I"/>
    <s v="S"/>
    <s v="G"/>
    <n v="74"/>
    <n v="70"/>
    <n v="7.3179999999999996"/>
    <n v="0.121"/>
    <n v="0.10299999999999999"/>
    <s v="F22"/>
    <x v="0"/>
    <n v="22"/>
    <n v="0.33300000000000002"/>
    <n v="0.31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8/12/2020"/>
    <s v="18"/>
    <s v="12"/>
    <s v="2020"/>
    <x v="0"/>
    <x v="0"/>
    <x v="0"/>
    <s v="NA"/>
    <n v="1.4275814275814276"/>
    <n v="1.681256078921773"/>
    <n v="1.7056667606427969"/>
    <n v="4.2361300901885768"/>
    <n v="0.31429352282044304"/>
    <m/>
    <m/>
    <m/>
  </r>
  <r>
    <s v="PU-GBP-10"/>
    <x v="0"/>
    <s v="I"/>
    <s v="S"/>
    <s v="G"/>
    <n v="71"/>
    <n v="62"/>
    <n v="5.6109999999999998"/>
    <n v="0.12"/>
    <n v="2E-3"/>
    <s v="M22"/>
    <x v="2"/>
    <n v="22"/>
    <n v="0.27400000000000002"/>
    <n v="0.23400000000000001"/>
    <s v="Inverts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8/12/2020"/>
    <s v="18"/>
    <s v="12"/>
    <s v="2020"/>
    <x v="0"/>
    <x v="0"/>
    <x v="0"/>
    <s v="Gonads very small"/>
    <n v="3.5656979853806385E-2"/>
    <n v="2.1853942815516301"/>
    <n v="2.1861905629440699"/>
    <n v="4.170379611477455"/>
    <n v="0.71288540367136"/>
    <m/>
    <m/>
    <m/>
  </r>
  <r>
    <s v="PU-GBP-11"/>
    <x v="0"/>
    <s v="I"/>
    <s v="I"/>
    <s v="G"/>
    <n v="86"/>
    <n v="81"/>
    <n v="11.8"/>
    <n v="0.24099999999999999"/>
    <n v="0.182"/>
    <s v="F22"/>
    <x v="0"/>
    <n v="22"/>
    <n v="0.77500000000000002"/>
    <n v="0.502"/>
    <s v="Leech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9/12/2020"/>
    <s v="19"/>
    <s v="12"/>
    <s v="2020"/>
    <x v="1"/>
    <x v="0"/>
    <x v="0"/>
    <s v="NA"/>
    <n v="1.5665346875537958"/>
    <n v="2.084955445972835"/>
    <n v="2.1183088687703258"/>
    <n v="4.2542372881355925"/>
    <n v="2.3135593220338984"/>
    <m/>
    <m/>
    <m/>
  </r>
  <r>
    <s v="PU-GBP-12"/>
    <x v="0"/>
    <s v="I"/>
    <s v="S"/>
    <s v="G"/>
    <n v="82"/>
    <n v="77"/>
    <n v="9.0229999999999997"/>
    <n v="0.20799999999999999"/>
    <n v="0.125"/>
    <s v="F22"/>
    <x v="0"/>
    <n v="22"/>
    <n v="0.436"/>
    <n v="0.40100000000000002"/>
    <s v="Inverts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9/12/2020"/>
    <s v="19"/>
    <s v="12"/>
    <s v="2020"/>
    <x v="1"/>
    <x v="0"/>
    <x v="0"/>
    <s v="NA"/>
    <n v="1.4048100696785795"/>
    <n v="2.3596142938173568"/>
    <n v="2.3935558112773303"/>
    <n v="4.4441981602571214"/>
    <n v="0.3878975950349105"/>
    <m/>
    <m/>
    <m/>
  </r>
  <r>
    <s v="PU-GBP-13"/>
    <x v="0"/>
    <s v="I"/>
    <s v="IMM"/>
    <s v="G"/>
    <n v="61"/>
    <n v="57"/>
    <n v="3.4380000000000002"/>
    <n v="7.4999999999999997E-2"/>
    <n v="5.0000000000000001E-3"/>
    <s v="M22"/>
    <x v="2"/>
    <n v="22"/>
    <n v="0.14000000000000001"/>
    <n v="0.13400000000000001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8/01/2021"/>
    <s v="18"/>
    <s v="01"/>
    <s v="2021"/>
    <x v="2"/>
    <x v="1"/>
    <x v="1"/>
    <s v="Trapped"/>
    <n v="0.14564520827264782"/>
    <n v="2.2301516503122212"/>
    <n v="2.2334723049434189"/>
    <n v="3.8976148923792904"/>
    <n v="0.17452006980802809"/>
    <m/>
    <s v="T"/>
    <m/>
  </r>
  <r>
    <s v="PU-GBP-14"/>
    <x v="0"/>
    <s v="I"/>
    <s v="S"/>
    <s v="G"/>
    <n v="73"/>
    <n v="70"/>
    <n v="6.5380000000000003"/>
    <n v="0.156"/>
    <n v="7.0000000000000001E-3"/>
    <s v="M22"/>
    <x v="2"/>
    <n v="22"/>
    <n v="0.28199999999999997"/>
    <n v="0.27200000000000002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8/01/2021"/>
    <s v="18"/>
    <s v="01"/>
    <s v="2021"/>
    <x v="2"/>
    <x v="1"/>
    <x v="1"/>
    <s v="Trapped"/>
    <n v="0.10718113612004287"/>
    <n v="2.4443748041366344"/>
    <n v="2.4470588235294115"/>
    <n v="4.1602936677883147"/>
    <n v="0.15295197308045203"/>
    <m/>
    <s v="T"/>
    <m/>
  </r>
  <r>
    <s v="PU-GBP-15"/>
    <x v="0"/>
    <s v="S"/>
    <s v="IMM"/>
    <s v="N"/>
    <n v="59"/>
    <n v="55"/>
    <n v="3.056"/>
    <n v="5.3999999999999999E-2"/>
    <n v="7.0000000000000001E-3"/>
    <s v="M22"/>
    <x v="2"/>
    <n v="22"/>
    <n v="0.10100000000000001"/>
    <n v="9.7000000000000003E-2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8/01/2021"/>
    <s v="18"/>
    <s v="01"/>
    <s v="2021"/>
    <x v="2"/>
    <x v="1"/>
    <x v="1"/>
    <s v="Trapped"/>
    <n v="0.22958346999016072"/>
    <n v="1.7988007994670219"/>
    <n v="1.8030050083472453"/>
    <n v="3.174083769633508"/>
    <n v="0.13089005235602105"/>
    <m/>
    <s v="T"/>
    <m/>
  </r>
  <r>
    <s v="PU-GBP-16"/>
    <x v="0"/>
    <s v="I"/>
    <s v="IMM"/>
    <s v="G"/>
    <n v="63"/>
    <n v="59"/>
    <n v="4.1020000000000003"/>
    <n v="6.5000000000000002E-2"/>
    <n v="5.3999999999999999E-2"/>
    <s v="F22"/>
    <x v="0"/>
    <n v="22"/>
    <n v="0.14899999999999999"/>
    <n v="0.14299999999999999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8/01/2021"/>
    <s v="18"/>
    <s v="01"/>
    <s v="2021"/>
    <x v="2"/>
    <x v="1"/>
    <x v="1"/>
    <s v="Trapped"/>
    <n v="1.3339920948616599"/>
    <n v="1.6101065147386673"/>
    <n v="1.631935726839066"/>
    <n v="3.4861043393466593"/>
    <n v="0.14627011214041943"/>
    <m/>
    <s v="T"/>
    <m/>
  </r>
  <r>
    <s v="PU-GBP-17"/>
    <x v="0"/>
    <s v="S"/>
    <s v="IMM"/>
    <s v="N"/>
    <n v="55"/>
    <n v="51"/>
    <n v="2.548"/>
    <n v="0.04"/>
    <n v="4.2999999999999997E-2"/>
    <s v="F22"/>
    <x v="0"/>
    <n v="22"/>
    <n v="9.8000000000000004E-2"/>
    <n v="9.2999999999999999E-2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8/01/2021"/>
    <s v="18"/>
    <s v="01"/>
    <s v="2021"/>
    <x v="2"/>
    <x v="1"/>
    <x v="1"/>
    <s v="Trapped"/>
    <n v="1.7165668662674649"/>
    <n v="1.5948963317384368"/>
    <n v="1.6227180527383367"/>
    <n v="3.6499215070643638"/>
    <n v="0.19623233908948209"/>
    <m/>
    <s v="T"/>
    <m/>
  </r>
  <r>
    <s v="PU-GBP-18"/>
    <x v="0"/>
    <s v="I"/>
    <s v="IMM"/>
    <s v="G"/>
    <n v="63"/>
    <n v="60"/>
    <n v="4.3"/>
    <n v="9.4E-2"/>
    <n v="5.3999999999999999E-2"/>
    <s v="F22"/>
    <x v="0"/>
    <n v="22"/>
    <n v="0.157"/>
    <n v="0.151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8/01/2021"/>
    <s v="18"/>
    <s v="01"/>
    <s v="2021"/>
    <x v="2"/>
    <x v="1"/>
    <x v="1"/>
    <s v="Trapped"/>
    <n v="1.2717852096090438"/>
    <n v="2.234902520209225"/>
    <n v="2.2639691714836228"/>
    <n v="3.5116279069767442"/>
    <n v="0.13953488372093037"/>
    <m/>
    <s v="T"/>
    <m/>
  </r>
  <r>
    <s v="PU-GBP-19"/>
    <x v="0"/>
    <s v="I"/>
    <s v="S"/>
    <s v="G"/>
    <n v="83"/>
    <n v="78"/>
    <n v="9.3699999999999992"/>
    <n v="0.20200000000000001"/>
    <n v="1.0999999999999999E-2"/>
    <s v="M22"/>
    <x v="2"/>
    <n v="22"/>
    <n v="0.439"/>
    <n v="0.42299999999999999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8/01/2021"/>
    <s v="18"/>
    <s v="01"/>
    <s v="2021"/>
    <x v="2"/>
    <x v="1"/>
    <x v="1"/>
    <s v="Trapped"/>
    <n v="0.11753392456459023"/>
    <n v="2.2033158813263531"/>
    <n v="2.205962651523425"/>
    <n v="4.5144076840981855"/>
    <n v="0.17075773745997883"/>
    <m/>
    <s v="T"/>
    <m/>
  </r>
  <r>
    <s v="PU-GBP-20"/>
    <x v="0"/>
    <s v="S"/>
    <s v="IMM"/>
    <s v="N"/>
    <n v="53"/>
    <n v="49"/>
    <n v="2.052"/>
    <n v="0.05"/>
    <n v="0.03"/>
    <s v="F22"/>
    <x v="0"/>
    <n v="22"/>
    <n v="8.3000000000000004E-2"/>
    <n v="7.9000000000000001E-2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8/01/2021"/>
    <s v="18"/>
    <s v="01"/>
    <s v="2021"/>
    <x v="2"/>
    <x v="1"/>
    <x v="1"/>
    <s v="Trapped"/>
    <n v="1.4836795252225516"/>
    <n v="2.4975024975024973"/>
    <n v="2.5354969574036512"/>
    <n v="3.8499025341130602"/>
    <n v="0.19493177387914246"/>
    <m/>
    <s v="T"/>
    <m/>
  </r>
  <r>
    <s v="PU-GBP-21"/>
    <x v="0"/>
    <s v="S"/>
    <s v="IMM"/>
    <s v="N"/>
    <n v="59"/>
    <n v="55"/>
    <n v="3.3660000000000001"/>
    <n v="7.5999999999999998E-2"/>
    <n v="8.0000000000000002E-3"/>
    <s v="M22"/>
    <x v="2"/>
    <n v="22"/>
    <n v="0.13200000000000001"/>
    <n v="0.129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8/01/2021"/>
    <s v="18"/>
    <s v="01"/>
    <s v="2021"/>
    <x v="2"/>
    <x v="1"/>
    <x v="1"/>
    <s v="Trapped"/>
    <n v="0.2382370458606313"/>
    <n v="2.3100303951367778"/>
    <n v="2.3156611822059721"/>
    <n v="3.832442067736185"/>
    <n v="8.9126559714795092E-2"/>
    <m/>
    <s v="T"/>
    <m/>
  </r>
  <r>
    <s v="PU-GBP-22"/>
    <x v="0"/>
    <s v="I"/>
    <s v="I"/>
    <s v="G"/>
    <n v="87"/>
    <n v="82"/>
    <n v="11.366"/>
    <n v="0.27200000000000002"/>
    <n v="0.13700000000000001"/>
    <s v="F22"/>
    <x v="0"/>
    <n v="22"/>
    <n v="0.46300000000000002"/>
    <n v="0.43"/>
    <s v="1 damselfly larva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8/01/2021"/>
    <s v="18"/>
    <s v="01"/>
    <s v="2021"/>
    <x v="2"/>
    <x v="1"/>
    <x v="1"/>
    <s v="Trapped"/>
    <n v="1.220055214177576"/>
    <n v="2.4517757346313327"/>
    <n v="2.4824313224422747"/>
    <n v="3.7832130916769313"/>
    <n v="0.29033960936125314"/>
    <m/>
    <s v="T"/>
    <m/>
  </r>
  <r>
    <s v="PU-GBP-23"/>
    <x v="0"/>
    <s v="I"/>
    <s v="IMM"/>
    <s v="G"/>
    <n v="64"/>
    <n v="60"/>
    <n v="4.3150000000000004"/>
    <n v="0.105"/>
    <n v="6.2E-2"/>
    <s v="F22"/>
    <x v="0"/>
    <n v="22"/>
    <n v="0.2"/>
    <n v="0.19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8/01/2021"/>
    <s v="18"/>
    <s v="01"/>
    <s v="2021"/>
    <x v="2"/>
    <x v="1"/>
    <x v="1"/>
    <s v="Trapped"/>
    <n v="1.4577944980014106"/>
    <n v="2.4940617577197148"/>
    <n v="2.5313404050144648"/>
    <n v="4.4032444959443797"/>
    <n v="0.23174971031286229"/>
    <m/>
    <s v="T"/>
    <m/>
  </r>
  <r>
    <s v="PU-GBP-24"/>
    <x v="0"/>
    <s v="I"/>
    <s v="S"/>
    <s v="G"/>
    <n v="71"/>
    <n v="65"/>
    <n v="5.44"/>
    <n v="0.11899999999999999"/>
    <n v="8.0000000000000002E-3"/>
    <s v="M22"/>
    <x v="2"/>
    <n v="22"/>
    <n v="0.254"/>
    <n v="0.23899999999999999"/>
    <s v="1 chironomid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8/01/2021"/>
    <s v="18"/>
    <s v="01"/>
    <s v="2021"/>
    <x v="2"/>
    <x v="1"/>
    <x v="1"/>
    <s v="Trapped"/>
    <n v="0.14727540500736377"/>
    <n v="2.2364217252396164"/>
    <n v="2.2397891963109351"/>
    <n v="4.3933823529411757"/>
    <n v="0.2757352941176473"/>
    <m/>
    <s v="T"/>
    <m/>
  </r>
  <r>
    <s v="PU-GBP-25"/>
    <x v="0"/>
    <s v="I"/>
    <s v="S"/>
    <s v="G"/>
    <n v="65"/>
    <m/>
    <n v="4.4669999999999996"/>
    <n v="0.10199999999999999"/>
    <n v="6.8000000000000005E-2"/>
    <s v="F22"/>
    <x v="0"/>
    <n v="22"/>
    <n v="0.19400000000000001"/>
    <n v="0.188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8/01/2021"/>
    <s v="18"/>
    <s v="01"/>
    <s v="2021"/>
    <x v="2"/>
    <x v="1"/>
    <x v="1"/>
    <s v="Trapped"/>
    <n v="1.5458058649693114"/>
    <n v="2.3367697594501724"/>
    <n v="2.3737491272981153"/>
    <n v="4.2086411461831208"/>
    <n v="0.13431833445265293"/>
    <m/>
    <s v="T"/>
    <m/>
  </r>
  <r>
    <s v="PU-GBP-26"/>
    <x v="0"/>
    <s v="I"/>
    <s v="S"/>
    <s v="G"/>
    <n v="71"/>
    <n v="65"/>
    <n v="5.7350000000000003"/>
    <n v="0.11799999999999999"/>
    <n v="7.2999999999999995E-2"/>
    <s v="F22"/>
    <x v="0"/>
    <n v="22"/>
    <n v="0.23799999999999999"/>
    <n v="0.22900000000000001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8/01/2021"/>
    <s v="18"/>
    <s v="01"/>
    <s v="2021"/>
    <x v="2"/>
    <x v="1"/>
    <x v="1"/>
    <s v="Trapped"/>
    <n v="1.2892970681737901"/>
    <n v="2.1007655332027775"/>
    <n v="2.1284271284271283"/>
    <n v="3.9930252833478641"/>
    <n v="0.15693112467305981"/>
    <m/>
    <s v="T"/>
    <m/>
  </r>
  <r>
    <s v="PU-GBP-27"/>
    <x v="0"/>
    <s v="S"/>
    <s v="IMM"/>
    <s v="N"/>
    <n v="57"/>
    <n v="54"/>
    <n v="2.9580000000000002"/>
    <n v="4.3999999999999997E-2"/>
    <n v="3.7999999999999999E-2"/>
    <s v="F22"/>
    <x v="0"/>
    <n v="22"/>
    <n v="0.105"/>
    <n v="0.1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8/01/2021"/>
    <s v="18"/>
    <s v="01"/>
    <s v="2021"/>
    <x v="2"/>
    <x v="1"/>
    <x v="1"/>
    <s v="Trapped"/>
    <n v="1.3013698630136985"/>
    <n v="1.5099519560741248"/>
    <n v="1.5299026425591096"/>
    <n v="3.3806626098715347"/>
    <n v="0.16903313049357641"/>
    <m/>
    <s v="T"/>
    <m/>
  </r>
  <r>
    <s v="PU-GBP-28"/>
    <x v="0"/>
    <s v="I"/>
    <s v="S"/>
    <s v="G"/>
    <n v="65"/>
    <n v="60"/>
    <n v="4.819"/>
    <n v="0.121"/>
    <n v="4.8000000000000001E-2"/>
    <s v="F22"/>
    <x v="0"/>
    <n v="22"/>
    <n v="0.25600000000000001"/>
    <n v="0.245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8/01/2021"/>
    <s v="18"/>
    <s v="01"/>
    <s v="2021"/>
    <x v="2"/>
    <x v="1"/>
    <x v="1"/>
    <s v="Trapped"/>
    <n v="1.0060783902745758"/>
    <n v="2.5755640698169433"/>
    <n v="2.6021505376344085"/>
    <n v="5.0840423324341151"/>
    <n v="0.22826312512969518"/>
    <m/>
    <s v="T"/>
    <m/>
  </r>
  <r>
    <s v="PU-GBP-29"/>
    <x v="0"/>
    <s v="S"/>
    <s v="IMM"/>
    <s v="N"/>
    <n v="59"/>
    <n v="56"/>
    <n v="3.069"/>
    <n v="5.7000000000000002E-2"/>
    <n v="0.05"/>
    <s v="F22"/>
    <x v="0"/>
    <n v="22"/>
    <n v="0.125"/>
    <n v="0.11799999999999999"/>
    <s v="1 chironomid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8/01/2021"/>
    <s v="18"/>
    <s v="01"/>
    <s v="2021"/>
    <x v="2"/>
    <x v="1"/>
    <x v="1"/>
    <s v="Trapped"/>
    <n v="1.6561775422325273"/>
    <n v="1.8924302788844622"/>
    <n v="1.9243754220121538"/>
    <n v="3.8449006190941675"/>
    <n v="0.22808732486151861"/>
    <m/>
    <s v="T"/>
    <m/>
  </r>
  <r>
    <s v="PU-GBP-30"/>
    <x v="0"/>
    <s v="S"/>
    <s v="IMM"/>
    <s v="N"/>
    <n v="57"/>
    <n v="53"/>
    <n v="2.8530000000000002"/>
    <n v="5.0999999999999997E-2"/>
    <n v="3.0000000000000001E-3"/>
    <s v="M22"/>
    <x v="2"/>
    <n v="22"/>
    <n v="9.6000000000000002E-2"/>
    <n v="0.09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8/01/2021"/>
    <s v="18"/>
    <s v="01"/>
    <s v="2021"/>
    <x v="2"/>
    <x v="1"/>
    <x v="1"/>
    <s v="Trapped"/>
    <n v="0.10526315789473684"/>
    <n v="1.8201284796573876"/>
    <n v="1.822079314040729"/>
    <n v="3.1545741324921135"/>
    <n v="0.21030494216614107"/>
    <m/>
    <s v="T"/>
    <m/>
  </r>
  <r>
    <s v="PU-GBP-31"/>
    <x v="0"/>
    <s v="I"/>
    <s v="S"/>
    <s v="G"/>
    <n v="77"/>
    <n v="73"/>
    <n v="7.4050000000000002"/>
    <n v="0.18099999999999999"/>
    <n v="8.0000000000000002E-3"/>
    <s v="M22"/>
    <x v="2"/>
    <n v="22"/>
    <n v="0.29199999999999998"/>
    <n v="0.27"/>
    <s v="2 chironomids: 0.005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5.0000000000000001E-3"/>
    <m/>
    <m/>
    <m/>
    <m/>
    <m/>
    <m/>
    <m/>
    <m/>
    <m/>
    <m/>
    <m/>
    <m/>
    <m/>
    <m/>
    <m/>
    <m/>
    <m/>
    <m/>
    <m/>
    <m/>
    <m/>
    <m/>
    <m/>
    <m/>
    <n v="5.0000000000000001E-3"/>
    <d v="2021-06-02T00:00:00"/>
    <n v="6"/>
    <n v="2"/>
    <n v="2021"/>
    <x v="3"/>
    <x v="2"/>
    <x v="2"/>
    <s v="Trapped dead, no parasites"/>
    <n v="0.10815195349466"/>
    <n v="2.5055370985603544"/>
    <n v="2.5083148558758315"/>
    <n v="3.6461850101282915"/>
    <n v="0.29709655638082327"/>
    <n v="0.36461850101282867"/>
    <s v="T"/>
    <n v="1"/>
  </r>
  <r>
    <s v="PU-GBP-32"/>
    <x v="0"/>
    <s v="I"/>
    <s v="S"/>
    <s v="G"/>
    <n v="65"/>
    <n v="62"/>
    <n v="4.2320000000000002"/>
    <n v="0.109"/>
    <n v="8.0000000000000002E-3"/>
    <s v="M22"/>
    <x v="2"/>
    <n v="22"/>
    <n v="0.21099999999999999"/>
    <n v="0.192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d v="2021-06-02T00:00:00"/>
    <n v="6"/>
    <n v="2"/>
    <n v="2021"/>
    <x v="3"/>
    <x v="2"/>
    <x v="2"/>
    <s v="Trapped dead, no parasites"/>
    <n v="0.18939393939393939"/>
    <n v="2.6437060392917777"/>
    <n v="2.6488456865127583"/>
    <n v="4.5368620037807181"/>
    <n v="0.4489603024574666"/>
    <n v="0.4489603024574666"/>
    <s v="T"/>
    <n v="1"/>
  </r>
  <r>
    <s v="PU-GSP-1"/>
    <x v="1"/>
    <s v="I"/>
    <s v="I"/>
    <s v="G"/>
    <n v="86"/>
    <n v="79"/>
    <n v="10.914"/>
    <n v="0.19600000000000001"/>
    <n v="0.14399999999999999"/>
    <s v="F22"/>
    <x v="0"/>
    <n v="22"/>
    <n v="0.36"/>
    <n v="0.34899999999999998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8/12/2020"/>
    <s v="18"/>
    <s v="12"/>
    <s v="2020"/>
    <x v="0"/>
    <x v="0"/>
    <x v="0"/>
    <s v="NA"/>
    <n v="1.3370473537604457"/>
    <n v="1.8286993842134729"/>
    <n v="1.8536031776054476"/>
    <n v="3.1977276892065234"/>
    <n v="0.10078797874289913"/>
    <m/>
    <m/>
    <m/>
  </r>
  <r>
    <s v="PU-GSP-2"/>
    <x v="1"/>
    <s v="I"/>
    <s v="I"/>
    <s v="G"/>
    <n v="89"/>
    <n v="84"/>
    <n v="11.271000000000001"/>
    <n v="0.17100000000000001"/>
    <n v="2E-3"/>
    <s v="M22"/>
    <x v="2"/>
    <n v="22"/>
    <n v="0.45200000000000001"/>
    <n v="0.442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8/12/2020"/>
    <s v="18"/>
    <s v="12"/>
    <s v="2020"/>
    <x v="0"/>
    <x v="0"/>
    <x v="0"/>
    <s v="Gonads very small"/>
    <n v="1.7747803709290976E-2"/>
    <n v="1.5405405405405403"/>
    <n v="1.5408181654352135"/>
    <n v="3.9215686274509802"/>
    <n v="8.872327211427565E-2"/>
    <m/>
    <m/>
    <m/>
  </r>
  <r>
    <s v="PU-GSP-3"/>
    <x v="1"/>
    <s v="I"/>
    <s v="I"/>
    <s v="G"/>
    <n v="88"/>
    <n v="84"/>
    <n v="10.827999999999999"/>
    <n v="0.219"/>
    <n v="0.19400000000000001"/>
    <s v="F22"/>
    <x v="0"/>
    <n v="22"/>
    <n v="0.49099999999999999"/>
    <n v="0.44"/>
    <s v="Inverts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8/12/2020"/>
    <s v="18"/>
    <s v="12"/>
    <s v="2020"/>
    <x v="0"/>
    <x v="0"/>
    <x v="0"/>
    <s v="Eye parasite, gonads pronounced"/>
    <n v="1.8243370321609935"/>
    <n v="2.0642850410029219"/>
    <n v="2.1027364378300528"/>
    <n v="4.0635389730328777"/>
    <n v="0.4710011082379017"/>
    <m/>
    <m/>
    <m/>
  </r>
  <r>
    <s v="PU-GSP-4"/>
    <x v="1"/>
    <s v="I"/>
    <s v="I"/>
    <s v="G"/>
    <n v="87"/>
    <n v="80"/>
    <n v="11.733000000000001"/>
    <n v="0.3"/>
    <n v="0.155"/>
    <s v="F22"/>
    <x v="0"/>
    <n v="22"/>
    <n v="0.40699999999999997"/>
    <n v="0.39600000000000002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8/12/2020"/>
    <s v="18"/>
    <s v="12"/>
    <s v="2020"/>
    <x v="0"/>
    <x v="0"/>
    <x v="0"/>
    <s v="NA"/>
    <n v="1.3387458973916047"/>
    <n v="2.6239832065074782"/>
    <n v="2.6600461074658623"/>
    <n v="3.3750958834057787"/>
    <n v="9.3752663427937893E-2"/>
    <m/>
    <m/>
    <m/>
  </r>
  <r>
    <s v="PU-GSP-5"/>
    <x v="1"/>
    <s v="I"/>
    <s v="S"/>
    <s v="G"/>
    <n v="83"/>
    <n v="79"/>
    <n v="9.5960000000000001"/>
    <n v="0.17100000000000001"/>
    <m/>
    <s v="M22"/>
    <x v="2"/>
    <n v="22"/>
    <n v="0.441"/>
    <n v="0.42099999999999999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8/12/2020"/>
    <s v="18"/>
    <s v="12"/>
    <s v="2020"/>
    <x v="0"/>
    <x v="0"/>
    <x v="0"/>
    <s v="Gonads lost"/>
    <m/>
    <n v="1.8143236074270559"/>
    <n v="1.8143236074270559"/>
    <n v="4.3872446852855349"/>
    <n v="0.20842017507294724"/>
    <m/>
    <m/>
    <m/>
  </r>
  <r>
    <s v="PU-GSP-6"/>
    <x v="1"/>
    <s v="I"/>
    <s v="S"/>
    <s v="G"/>
    <n v="80"/>
    <n v="76"/>
    <n v="8.6319999999999997"/>
    <n v="0.189"/>
    <n v="1.4E-2"/>
    <s v="M22"/>
    <x v="2"/>
    <n v="22"/>
    <n v="0.44"/>
    <n v="0.42099999999999999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8/12/2020"/>
    <s v="18"/>
    <s v="12"/>
    <s v="2020"/>
    <x v="0"/>
    <x v="0"/>
    <x v="0"/>
    <s v="NA"/>
    <n v="0.16245068461359943"/>
    <n v="2.2385408030320977"/>
    <n v="2.2422588681931428"/>
    <n v="4.8772011121408712"/>
    <n v="0.22011121408711792"/>
    <m/>
    <m/>
    <m/>
  </r>
  <r>
    <s v="PU-GSP-7"/>
    <x v="1"/>
    <s v="I"/>
    <s v="I"/>
    <s v="G"/>
    <n v="86"/>
    <n v="80"/>
    <n v="11.066000000000001"/>
    <n v="0.255"/>
    <n v="0.14699999999999999"/>
    <s v="F22"/>
    <x v="0"/>
    <n v="22"/>
    <m/>
    <n v="0.38200000000000001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8/12/2020"/>
    <s v="18"/>
    <s v="12"/>
    <s v="2020"/>
    <x v="0"/>
    <x v="0"/>
    <x v="0"/>
    <s v="NA"/>
    <n v="1.3462771316054583"/>
    <n v="2.3587087225973544"/>
    <n v="2.3912228057014255"/>
    <n v="3.452015181637448"/>
    <m/>
    <m/>
    <m/>
    <m/>
  </r>
  <r>
    <s v="PU-GSP-8"/>
    <x v="1"/>
    <s v="I"/>
    <s v="S"/>
    <s v="G"/>
    <n v="82"/>
    <n v="77"/>
    <n v="9.5589999999999993"/>
    <n v="0.27600000000000002"/>
    <n v="0.14000000000000001"/>
    <s v="F22"/>
    <x v="0"/>
    <n v="22"/>
    <n v="0.38300000000000001"/>
    <n v="0.373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8/12/2020"/>
    <s v="18"/>
    <s v="12"/>
    <s v="2020"/>
    <x v="0"/>
    <x v="0"/>
    <x v="0"/>
    <s v="NA"/>
    <n v="1.4863573627773652"/>
    <n v="2.9731767747495428"/>
    <n v="3.0187028327682386"/>
    <n v="3.9020818077204735"/>
    <n v="0.10461345329009321"/>
    <m/>
    <m/>
    <m/>
  </r>
  <r>
    <s v="PU-GSP-9"/>
    <x v="1"/>
    <s v="I"/>
    <s v="S"/>
    <s v="G"/>
    <n v="78"/>
    <n v="74"/>
    <n v="8.2279999999999998"/>
    <n v="0.16500000000000001"/>
    <n v="0.126"/>
    <s v="F22"/>
    <x v="0"/>
    <n v="22"/>
    <n v="0.315"/>
    <n v="0.307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8/12/2020"/>
    <s v="18"/>
    <s v="12"/>
    <s v="2020"/>
    <x v="0"/>
    <x v="0"/>
    <x v="0"/>
    <s v="NA"/>
    <n v="1.5551715625771414"/>
    <n v="2.0463847203274215"/>
    <n v="2.0788711099911805"/>
    <n v="3.7311618862420999"/>
    <n v="9.7228974234321919E-2"/>
    <m/>
    <m/>
    <m/>
  </r>
  <r>
    <s v="PU-GSP-10"/>
    <x v="1"/>
    <s v="I"/>
    <s v="S"/>
    <s v="G"/>
    <n v="78"/>
    <n v="74"/>
    <n v="7.843"/>
    <n v="0.14399999999999999"/>
    <n v="0.123"/>
    <s v="F22"/>
    <x v="0"/>
    <n v="22"/>
    <n v="0.36499999999999999"/>
    <n v="0.35199999999999998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8/12/2020"/>
    <s v="18"/>
    <s v="12"/>
    <s v="2020"/>
    <x v="0"/>
    <x v="0"/>
    <x v="0"/>
    <s v="Big tail parasite"/>
    <n v="1.5932642487046633"/>
    <n v="1.870372775685154"/>
    <n v="1.9007391763463568"/>
    <n v="4.4880785413744739"/>
    <n v="0.16575290067576195"/>
    <m/>
    <m/>
    <m/>
  </r>
  <r>
    <s v="PU-GSP-11"/>
    <x v="1"/>
    <s v="I"/>
    <s v="B"/>
    <s v="N"/>
    <n v="143"/>
    <n v="136"/>
    <n v="54.957999999999998"/>
    <n v="0.65200000000000002"/>
    <n v="0.70399999999999996"/>
    <s v="F22"/>
    <x v="0"/>
    <n v="22"/>
    <n v="2.2570000000000001"/>
    <n v="2.2210000000000001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9/12/2020"/>
    <s v="19"/>
    <s v="12"/>
    <s v="2020"/>
    <x v="1"/>
    <x v="3"/>
    <x v="0"/>
    <s v="Parasites"/>
    <n v="1.2976001769454788"/>
    <n v="1.2006039848267227"/>
    <n v="1.2163725234133056"/>
    <n v="4.041267877288111"/>
    <n v="6.5504567123985655E-2"/>
    <m/>
    <m/>
    <m/>
  </r>
  <r>
    <s v="PU-GSP-12"/>
    <x v="1"/>
    <s v="I"/>
    <s v="B"/>
    <s v="N"/>
    <n v="144"/>
    <n v="137"/>
    <n v="58.219000000000001"/>
    <n v="1.2150000000000001"/>
    <n v="0.91900000000000004"/>
    <s v="F22"/>
    <x v="0"/>
    <n v="22"/>
    <n v="3.2269999999999999"/>
    <n v="3.133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9/12/2020"/>
    <s v="19"/>
    <s v="12"/>
    <s v="2020"/>
    <x v="1"/>
    <x v="3"/>
    <x v="0"/>
    <s v="NA"/>
    <n v="1.6038394415357766"/>
    <n v="2.1314293733773071"/>
    <n v="2.1663546402781493"/>
    <n v="5.3814046960614235"/>
    <n v="0.16145931740497063"/>
    <m/>
    <m/>
    <m/>
  </r>
  <r>
    <s v="PU-GSP-13"/>
    <x v="1"/>
    <s v="I"/>
    <s v="B"/>
    <s v="N"/>
    <n v="144"/>
    <n v="137"/>
    <m/>
    <n v="0.95699999999999996"/>
    <n v="6.6000000000000003E-2"/>
    <s v="M22"/>
    <x v="2"/>
    <n v="22"/>
    <n v="2.8490000000000002"/>
    <n v="2.5659999999999998"/>
    <s v="Odonate larvae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9/12/2020"/>
    <s v="19"/>
    <s v="12"/>
    <s v="2020"/>
    <x v="1"/>
    <x v="3"/>
    <x v="0"/>
    <s v="NA"/>
    <m/>
    <m/>
    <m/>
    <m/>
    <m/>
    <m/>
    <m/>
    <m/>
  </r>
  <r>
    <s v="PU-GSP-14"/>
    <x v="1"/>
    <s v="I"/>
    <s v="B"/>
    <s v="N"/>
    <n v="128"/>
    <n v="121"/>
    <n v="35.942"/>
    <n v="0.55800000000000005"/>
    <n v="3.6999999999999998E-2"/>
    <s v="M22"/>
    <x v="2"/>
    <n v="22"/>
    <n v="1.8140000000000001"/>
    <n v="1.7949999999999999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9/12/2020"/>
    <s v="19"/>
    <s v="12"/>
    <s v="2020"/>
    <x v="1"/>
    <x v="3"/>
    <x v="0"/>
    <s v="NA"/>
    <n v="0.10304971452443949"/>
    <n v="1.5769839475469141"/>
    <n v="1.5786346790392396"/>
    <n v="4.9941572533526237"/>
    <n v="5.2862945857214759E-2"/>
    <m/>
    <m/>
    <m/>
  </r>
  <r>
    <s v="PU-GSP-15"/>
    <x v="1"/>
    <s v="I"/>
    <s v="B"/>
    <s v="N"/>
    <n v="121"/>
    <n v="114"/>
    <n v="27.687999999999999"/>
    <n v="0.39600000000000002"/>
    <n v="0.35399999999999998"/>
    <s v="F22"/>
    <x v="0"/>
    <n v="22"/>
    <n v="2.032"/>
    <n v="1.571"/>
    <s v="Cranefly larva, caddisfly larva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9/12/2020"/>
    <s v="19"/>
    <s v="12"/>
    <s v="2020"/>
    <x v="1"/>
    <x v="3"/>
    <x v="0"/>
    <s v="Parasites"/>
    <n v="1.2950903636496671"/>
    <n v="1.4509746445844938"/>
    <n v="1.4700423194001042"/>
    <n v="5.6739381681594914"/>
    <n v="1.6649812193007805"/>
    <m/>
    <m/>
    <m/>
  </r>
  <r>
    <s v="PU-GSP-16"/>
    <x v="1"/>
    <s v="B"/>
    <s v="B"/>
    <s v="N"/>
    <n v="156"/>
    <n v="149"/>
    <n v="73.626000000000005"/>
    <n v="1.139"/>
    <n v="0.107"/>
    <s v="M22"/>
    <x v="2"/>
    <n v="22"/>
    <n v="2.415"/>
    <n v="2.4089999999999998"/>
    <s v="Inverts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9/12/2020"/>
    <s v="19"/>
    <s v="12"/>
    <s v="2020"/>
    <x v="1"/>
    <x v="3"/>
    <x v="0"/>
    <s v="NA"/>
    <n v="0.14554060855017067"/>
    <n v="1.5713162360147335"/>
    <n v="1.573639126830616"/>
    <n v="3.2719419770189875"/>
    <n v="8.1492950859753718E-3"/>
    <m/>
    <m/>
    <m/>
  </r>
  <r>
    <s v="PU-GSP-17"/>
    <x v="1"/>
    <s v="I"/>
    <s v="B"/>
    <s v="N"/>
    <n v="123"/>
    <n v="116"/>
    <n v="34.104999999999997"/>
    <n v="0.48099999999999998"/>
    <n v="0.48599999999999999"/>
    <s v="F22"/>
    <x v="0"/>
    <n v="22"/>
    <n v="1.3440000000000001"/>
    <n v="1.3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9/12/2020"/>
    <s v="19"/>
    <s v="12"/>
    <s v="2020"/>
    <x v="1"/>
    <x v="3"/>
    <x v="0"/>
    <s v="NA"/>
    <n v="1.4456111127636158"/>
    <n v="1.4305258148941233"/>
    <n v="1.4515058241293983"/>
    <n v="3.8117578067732008"/>
    <n v="0.12901334115232385"/>
    <m/>
    <m/>
    <m/>
  </r>
  <r>
    <s v="PU-GSP-18"/>
    <x v="1"/>
    <s v="I"/>
    <s v="S"/>
    <s v="G"/>
    <n v="74"/>
    <n v="70"/>
    <n v="6.5179999999999998"/>
    <n v="0.151"/>
    <n v="0.11899999999999999"/>
    <s v="F22"/>
    <x v="0"/>
    <n v="22"/>
    <n v="0.315"/>
    <n v="0.308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9/12/2020"/>
    <s v="19"/>
    <s v="12"/>
    <s v="2020"/>
    <x v="1"/>
    <x v="3"/>
    <x v="0"/>
    <s v="NA"/>
    <n v="1.8596655727457414"/>
    <n v="2.3716035809643472"/>
    <n v="2.4167733674775924"/>
    <n v="4.7253758821724459"/>
    <n v="0.10739490641301024"/>
    <m/>
    <m/>
    <m/>
  </r>
  <r>
    <s v="PU-GSP-19"/>
    <x v="1"/>
    <s v="I"/>
    <s v="I"/>
    <s v="G"/>
    <n v="87"/>
    <n v="82"/>
    <n v="11.378"/>
    <n v="0.28899999999999998"/>
    <n v="1.0999999999999999E-2"/>
    <s v="M22"/>
    <x v="2"/>
    <n v="22"/>
    <n v="0.56200000000000006"/>
    <n v="0.55000000000000004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9/12/2020"/>
    <s v="19"/>
    <s v="12"/>
    <s v="2020"/>
    <x v="1"/>
    <x v="3"/>
    <x v="0"/>
    <s v="NA"/>
    <n v="9.6771355678719084E-2"/>
    <n v="2.6061863107584089"/>
    <n v="2.6087741469579342"/>
    <n v="4.8338899630866585"/>
    <n v="0.10546669010370902"/>
    <m/>
    <m/>
    <m/>
  </r>
  <r>
    <s v="PU-GSP-20"/>
    <x v="1"/>
    <s v="I"/>
    <s v="S"/>
    <s v="G"/>
    <n v="83"/>
    <n v="78"/>
    <n v="10.288"/>
    <n v="0.29899999999999999"/>
    <n v="0.16800000000000001"/>
    <s v="F22"/>
    <x v="0"/>
    <n v="22"/>
    <n v="0.49"/>
    <n v="0.48199999999999998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9/12/2020"/>
    <s v="19"/>
    <s v="12"/>
    <s v="2020"/>
    <x v="1"/>
    <x v="3"/>
    <x v="0"/>
    <s v="NA"/>
    <n v="1.660079051383399"/>
    <n v="2.9932926218840721"/>
    <n v="3.0444964871194373"/>
    <n v="4.6850699844479005"/>
    <n v="7.7760497667185138E-2"/>
    <m/>
    <m/>
    <m/>
  </r>
  <r>
    <s v="PU-GSP-21"/>
    <x v="1"/>
    <s v="I"/>
    <s v="B"/>
    <s v="N"/>
    <n v="141"/>
    <n v="133"/>
    <n v="52.563000000000002"/>
    <n v="0.85699999999999998"/>
    <n v="8.4000000000000005E-2"/>
    <s v="M22"/>
    <x v="2"/>
    <n v="22"/>
    <n v="2.3340000000000001"/>
    <n v="2.27"/>
    <s v="Inverts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9/12/2020"/>
    <s v="19"/>
    <s v="12"/>
    <s v="2020"/>
    <x v="1"/>
    <x v="3"/>
    <x v="0"/>
    <s v="NA"/>
    <n v="0.1600640256102441"/>
    <n v="1.6574478783893551"/>
    <n v="1.6601448994614698"/>
    <n v="4.3186271712040787"/>
    <n v="0.1217586515229345"/>
    <m/>
    <m/>
    <m/>
  </r>
  <r>
    <s v="PU-GSP-22"/>
    <x v="1"/>
    <s v="I"/>
    <s v="I"/>
    <s v="G"/>
    <n v="107"/>
    <n v="101"/>
    <n v="20.994"/>
    <n v="0.37"/>
    <n v="0.33400000000000002"/>
    <s v="F22"/>
    <x v="0"/>
    <n v="22"/>
    <m/>
    <n v="1.0529999999999999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9/12/2020"/>
    <s v="19"/>
    <s v="12"/>
    <s v="2020"/>
    <x v="1"/>
    <x v="3"/>
    <x v="0"/>
    <s v="NA"/>
    <n v="1.6166505324298162"/>
    <n v="1.7940263770364624"/>
    <n v="1.8235584031542633"/>
    <n v="5.0157187767933697"/>
    <m/>
    <m/>
    <m/>
    <m/>
  </r>
  <r>
    <s v="PU-GSP-23"/>
    <x v="1"/>
    <s v="I"/>
    <s v="IMM"/>
    <s v="G"/>
    <n v="62"/>
    <n v="59"/>
    <n v="4.05"/>
    <n v="0.11"/>
    <n v="6.9000000000000006E-2"/>
    <s v="F22"/>
    <x v="0"/>
    <n v="22"/>
    <n v="0.18099999999999999"/>
    <n v="0.16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6/01/2021"/>
    <s v="16"/>
    <s v="01"/>
    <s v="2021"/>
    <x v="4"/>
    <x v="4"/>
    <x v="1"/>
    <s v="Trapped"/>
    <n v="1.7332328560663153"/>
    <n v="2.7918781725888326"/>
    <n v="2.8416429863084476"/>
    <n v="3.9506172839506171"/>
    <n v="0.51851851851851838"/>
    <m/>
    <s v="T"/>
    <m/>
  </r>
  <r>
    <s v="PU-GSP-24"/>
    <x v="1"/>
    <s v="I"/>
    <s v="S"/>
    <s v="G"/>
    <n v="68"/>
    <n v="65"/>
    <n v="5.2290000000000001"/>
    <n v="0.158"/>
    <n v="0.10299999999999999"/>
    <s v="F22"/>
    <x v="0"/>
    <n v="22"/>
    <n v="0.28699999999999998"/>
    <n v="0.26"/>
    <s v="Inverts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6/01/2021"/>
    <s v="16"/>
    <s v="01"/>
    <s v="2021"/>
    <x v="4"/>
    <x v="4"/>
    <x v="1"/>
    <s v="Trapped"/>
    <n v="2.0093640265314083"/>
    <n v="3.1157562610924869"/>
    <n v="3.1803542673107894"/>
    <n v="4.9722700325109965"/>
    <n v="0.51635111876075668"/>
    <m/>
    <s v="T"/>
    <m/>
  </r>
  <r>
    <s v="PU-GSP-25"/>
    <x v="1"/>
    <s v="I"/>
    <s v="I"/>
    <s v="G"/>
    <n v="92"/>
    <n v="88"/>
    <n v="13.913"/>
    <n v="0.38900000000000001"/>
    <n v="0.21199999999999999"/>
    <s v="F22"/>
    <x v="0"/>
    <n v="22"/>
    <n v="0.51700000000000002"/>
    <n v="0.5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6/01/2021"/>
    <s v="16"/>
    <s v="01"/>
    <s v="2021"/>
    <x v="4"/>
    <x v="4"/>
    <x v="1"/>
    <s v="Trapped"/>
    <n v="1.5473323115101087"/>
    <n v="2.8763679384797394"/>
    <n v="2.9221754807692304"/>
    <n v="3.5937612305038455"/>
    <n v="0.12218788183713085"/>
    <m/>
    <s v="T"/>
    <m/>
  </r>
  <r>
    <s v="PU-GSP-26"/>
    <x v="1"/>
    <s v="S"/>
    <s v="IMM"/>
    <s v="N"/>
    <n v="56"/>
    <n v="53"/>
    <n v="2.964"/>
    <n v="6.8000000000000005E-2"/>
    <n v="4.7E-2"/>
    <s v="F22"/>
    <x v="0"/>
    <n v="22"/>
    <n v="0.13600000000000001"/>
    <n v="0.122"/>
    <s v="Inverts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6/01/2021"/>
    <s v="16"/>
    <s v="01"/>
    <s v="2021"/>
    <x v="4"/>
    <x v="4"/>
    <x v="1"/>
    <s v="Trapped"/>
    <n v="1.6112444292080905"/>
    <n v="2.3480662983425415"/>
    <n v="2.3868023868023869"/>
    <n v="4.1160593792172744"/>
    <n v="0.47233468286099911"/>
    <m/>
    <s v="T"/>
    <m/>
  </r>
  <r>
    <s v="PU-GSP-27"/>
    <x v="1"/>
    <s v="I"/>
    <s v="S"/>
    <s v="G"/>
    <n v="84"/>
    <n v="80"/>
    <n v="11.177"/>
    <n v="0.35099999999999998"/>
    <n v="1.2E-2"/>
    <s v="M22"/>
    <x v="2"/>
    <n v="22"/>
    <n v="0.47"/>
    <n v="0.44500000000000001"/>
    <s v="Inverts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6/01/2021"/>
    <s v="16"/>
    <s v="01"/>
    <s v="2021"/>
    <x v="4"/>
    <x v="4"/>
    <x v="1"/>
    <s v="Trapped"/>
    <n v="0.10747872816838336"/>
    <n v="3.242194716423425"/>
    <n v="3.2457924912150915"/>
    <n v="3.9813903551937013"/>
    <n v="0.22367361546032"/>
    <m/>
    <s v="T"/>
    <m/>
  </r>
  <r>
    <s v="PU-GSP-28"/>
    <x v="1"/>
    <s v="S"/>
    <s v="IMM"/>
    <s v="G"/>
    <n v="60"/>
    <n v="57"/>
    <n v="3.9020000000000001"/>
    <n v="8.5999999999999993E-2"/>
    <n v="7.4999999999999997E-2"/>
    <s v="F22"/>
    <x v="0"/>
    <n v="22"/>
    <n v="0.17"/>
    <n v="0.16300000000000001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6/01/2021"/>
    <s v="16"/>
    <s v="01"/>
    <s v="2021"/>
    <x v="4"/>
    <x v="4"/>
    <x v="1"/>
    <s v="Trapped"/>
    <n v="1.9597596028220539"/>
    <n v="2.2536687631027252"/>
    <n v="2.2988505747126431"/>
    <n v="4.1773449513070222"/>
    <n v="0.17939518195797041"/>
    <m/>
    <s v="T"/>
    <m/>
  </r>
  <r>
    <s v="PU-GSP-29"/>
    <x v="1"/>
    <s v="I"/>
    <s v="S"/>
    <s v="G"/>
    <n v="80"/>
    <n v="76"/>
    <n v="9.4120000000000008"/>
    <n v="0.32400000000000001"/>
    <n v="0.153"/>
    <s v="F22"/>
    <x v="0"/>
    <n v="22"/>
    <n v="0.33600000000000002"/>
    <n v="0.32400000000000001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6/01/2021"/>
    <s v="16"/>
    <s v="01"/>
    <s v="2021"/>
    <x v="4"/>
    <x v="4"/>
    <x v="1"/>
    <s v="Trapped"/>
    <n v="1.6524462684955179"/>
    <n v="3.5651408450704221"/>
    <n v="3.6261891438164522"/>
    <n v="3.4424139396515083"/>
    <n v="0.12749681257968559"/>
    <m/>
    <s v="T"/>
    <m/>
  </r>
  <r>
    <s v="PU-GSP-30"/>
    <x v="1"/>
    <s v="I"/>
    <s v="S"/>
    <s v="G"/>
    <n v="69"/>
    <n v="66"/>
    <n v="5.8090000000000002"/>
    <n v="0.159"/>
    <n v="7.5999999999999998E-2"/>
    <s v="F22"/>
    <x v="0"/>
    <n v="22"/>
    <n v="0.30399999999999999"/>
    <n v="0.26300000000000001"/>
    <s v="Inverts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6/01/2021"/>
    <s v="16"/>
    <s v="01"/>
    <s v="2021"/>
    <x v="4"/>
    <x v="4"/>
    <x v="1"/>
    <s v="Trapped"/>
    <n v="1.3256584685156112"/>
    <n v="2.8141592920353982"/>
    <n v="2.8525296017222814"/>
    <n v="4.5274573936994322"/>
    <n v="0.70580134274401751"/>
    <m/>
    <s v="T"/>
    <m/>
  </r>
  <r>
    <s v="PU-GSP-31"/>
    <x v="1"/>
    <s v="I"/>
    <s v="I"/>
    <s v="G"/>
    <n v="86"/>
    <n v="81"/>
    <n v="10.307"/>
    <n v="0.18"/>
    <n v="1.4999999999999999E-2"/>
    <s v="M22"/>
    <x v="2"/>
    <n v="22"/>
    <n v="0.36799999999999999"/>
    <n v="0.35799999999999998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6/01/2021"/>
    <s v="16"/>
    <s v="01"/>
    <s v="2021"/>
    <x v="4"/>
    <x v="4"/>
    <x v="1"/>
    <s v="Trapped"/>
    <n v="0.14574426739214924"/>
    <n v="1.7774266811494026"/>
    <n v="1.7800632911392402"/>
    <n v="3.473367614242747"/>
    <n v="9.7021441738624314E-2"/>
    <m/>
    <s v="T"/>
    <m/>
  </r>
  <r>
    <s v="PU-GSP-32"/>
    <x v="1"/>
    <s v="I"/>
    <s v="S"/>
    <s v="G"/>
    <n v="79"/>
    <n v="75"/>
    <n v="8.2520000000000007"/>
    <n v="0.183"/>
    <n v="0.124"/>
    <s v="F22"/>
    <x v="0"/>
    <n v="22"/>
    <n v="0.34100000000000003"/>
    <n v="0.32100000000000001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6/01/2021"/>
    <s v="16"/>
    <s v="01"/>
    <s v="2021"/>
    <x v="4"/>
    <x v="4"/>
    <x v="1"/>
    <s v="Trapped"/>
    <n v="1.5255905511811023"/>
    <n v="2.2679390259015983"/>
    <n v="2.3033354310887346"/>
    <n v="3.8899660688317983"/>
    <n v="0.24236548715462938"/>
    <m/>
    <s v="T"/>
    <m/>
  </r>
  <r>
    <s v="PU-GSP-33"/>
    <x v="1"/>
    <s v="I"/>
    <s v="S"/>
    <s v="G"/>
    <n v="83"/>
    <n v="79"/>
    <n v="10.37"/>
    <n v="0.27200000000000002"/>
    <n v="0.16500000000000001"/>
    <s v="F22"/>
    <x v="0"/>
    <n v="22"/>
    <n v="0.39600000000000002"/>
    <n v="0.38600000000000001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6/01/2021"/>
    <s v="16"/>
    <s v="01"/>
    <s v="2021"/>
    <x v="4"/>
    <x v="4"/>
    <x v="1"/>
    <s v="Trapped"/>
    <n v="1.6168544830965212"/>
    <n v="2.6936026936026942"/>
    <n v="2.7383469243934364"/>
    <n v="3.7222757955641277"/>
    <n v="9.6432015429122553E-2"/>
    <m/>
    <s v="T"/>
    <m/>
  </r>
  <r>
    <s v="PU-GSP-34"/>
    <x v="1"/>
    <s v="I"/>
    <s v="S"/>
    <s v="G"/>
    <n v="75"/>
    <n v="71"/>
    <n v="7.673"/>
    <n v="0.13"/>
    <n v="0.13300000000000001"/>
    <s v="F22"/>
    <x v="0"/>
    <n v="22"/>
    <n v="0.34300000000000003"/>
    <n v="0.32500000000000001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6/01/2021"/>
    <s v="16"/>
    <s v="01"/>
    <s v="2021"/>
    <x v="4"/>
    <x v="4"/>
    <x v="1"/>
    <s v="Trapped"/>
    <n v="1.7639257294429709"/>
    <n v="1.7234522073445577"/>
    <n v="1.7543859649122806"/>
    <n v="4.2356314349016033"/>
    <n v="0.23458881793301206"/>
    <m/>
    <s v="T"/>
    <m/>
  </r>
  <r>
    <s v="PU-GSP-35"/>
    <x v="1"/>
    <s v="I"/>
    <s v="S"/>
    <s v="G"/>
    <n v="76"/>
    <n v="72"/>
    <n v="7.1929999999999996"/>
    <n v="0.248"/>
    <n v="1.2999999999999999E-2"/>
    <s v="M22"/>
    <x v="2"/>
    <n v="22"/>
    <n v="0.36099999999999999"/>
    <n v="0.33200000000000002"/>
    <s v="Inverts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6/01/2021"/>
    <s v="16"/>
    <s v="01"/>
    <s v="2021"/>
    <x v="4"/>
    <x v="4"/>
    <x v="1"/>
    <s v="Trapped"/>
    <n v="0.18105849582172701"/>
    <n v="3.5709143268538517"/>
    <n v="3.5776110790536642"/>
    <n v="4.6155984985402476"/>
    <n v="0.40316974836646696"/>
    <m/>
    <s v="T"/>
    <m/>
  </r>
  <r>
    <s v="PU-GSP-36"/>
    <x v="1"/>
    <s v="I"/>
    <s v="S"/>
    <s v="G"/>
    <n v="73"/>
    <n v="69"/>
    <n v="6.6580000000000004"/>
    <n v="0.16"/>
    <n v="1.9E-2"/>
    <s v="M22"/>
    <x v="2"/>
    <n v="22"/>
    <n v="0.31900000000000001"/>
    <n v="0.30199999999999999"/>
    <s v="Inverts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6/01/2021"/>
    <s v="16"/>
    <s v="01"/>
    <s v="2021"/>
    <x v="4"/>
    <x v="4"/>
    <x v="1"/>
    <s v="Trapped"/>
    <n v="0.28618767886729923"/>
    <n v="2.4622960911049554"/>
    <n v="2.4695169007562896"/>
    <n v="4.5358966656653648"/>
    <n v="0.25533193151096445"/>
    <m/>
    <s v="T"/>
    <m/>
  </r>
  <r>
    <s v="PU-GSP-37"/>
    <x v="1"/>
    <s v="I"/>
    <s v="S"/>
    <s v="G"/>
    <n v="65"/>
    <n v="62"/>
    <n v="4.5259999999999998"/>
    <n v="0.13900000000000001"/>
    <n v="7.0999999999999994E-2"/>
    <s v="F22"/>
    <x v="0"/>
    <n v="22"/>
    <n v="0.20799999999999999"/>
    <n v="0.192"/>
    <s v="Inverts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6/01/2021"/>
    <s v="16"/>
    <s v="01"/>
    <s v="2021"/>
    <x v="4"/>
    <x v="4"/>
    <x v="1"/>
    <s v="Trapped"/>
    <n v="1.5937149270482602"/>
    <n v="3.1684522452701169"/>
    <n v="3.220574606116775"/>
    <n v="4.2421564295183387"/>
    <n v="0.3535130357931946"/>
    <m/>
    <s v="T"/>
    <m/>
  </r>
  <r>
    <s v="PU-GSP-38"/>
    <x v="1"/>
    <s v="I"/>
    <s v="B"/>
    <s v="N"/>
    <n v="135"/>
    <n v="127"/>
    <n v="40.43"/>
    <n v="0.623"/>
    <n v="3.5000000000000003E-2"/>
    <s v="M22"/>
    <x v="2"/>
    <n v="22"/>
    <n v="1.6559999999999999"/>
    <n v="1.5509999999999999"/>
    <s v="Chironomids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6/01/2021"/>
    <s v="16"/>
    <s v="01"/>
    <s v="2021"/>
    <x v="4"/>
    <x v="4"/>
    <x v="1"/>
    <s v="Angled"/>
    <n v="8.6644386681519997E-2"/>
    <n v="1.5650513728741176"/>
    <n v="1.5664286432666195"/>
    <n v="3.8362602028196884"/>
    <n v="0.25970813752164229"/>
    <m/>
    <s v="A"/>
    <m/>
  </r>
  <r>
    <s v="PU-GSP-39"/>
    <x v="1"/>
    <s v="I"/>
    <s v="B"/>
    <s v="N"/>
    <n v="116"/>
    <n v="110"/>
    <n v="27.443000000000001"/>
    <n v="0.45100000000000001"/>
    <n v="3.4000000000000002E-2"/>
    <s v="M22"/>
    <x v="2"/>
    <n v="22"/>
    <n v="1.3859999999999999"/>
    <n v="1.042"/>
    <s v="Inverts (bait)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6/01/2021"/>
    <s v="16"/>
    <s v="01"/>
    <s v="2021"/>
    <x v="4"/>
    <x v="4"/>
    <x v="1"/>
    <s v="Anlged"/>
    <n v="0.12404684592652049"/>
    <n v="1.6708654416123296"/>
    <n v="1.6729727724608652"/>
    <n v="3.796960973654484"/>
    <n v="1.25350726961338"/>
    <m/>
    <s v="A"/>
    <m/>
  </r>
  <r>
    <s v="PU-GSP-40"/>
    <x v="1"/>
    <s v="I"/>
    <s v="B"/>
    <s v="N"/>
    <n v="116"/>
    <n v="110"/>
    <m/>
    <n v="0.53600000000000003"/>
    <n v="1.7000000000000001E-2"/>
    <s v="M22"/>
    <x v="2"/>
    <n v="22"/>
    <n v="2.0299999999999998"/>
    <n v="1.6060000000000001"/>
    <s v="Inverts (bait)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6/01/2021"/>
    <s v="16"/>
    <s v="01"/>
    <s v="2021"/>
    <x v="4"/>
    <x v="4"/>
    <x v="1"/>
    <s v="Angled"/>
    <m/>
    <m/>
    <m/>
    <m/>
    <m/>
    <m/>
    <s v="A"/>
    <m/>
  </r>
  <r>
    <s v="PU-GSP-41"/>
    <x v="1"/>
    <s v="I"/>
    <s v="I"/>
    <s v="G"/>
    <n v="89"/>
    <n v="85"/>
    <n v="11.638999999999999"/>
    <n v="0.224"/>
    <n v="1.2E-2"/>
    <s v="M22"/>
    <x v="2"/>
    <n v="22"/>
    <n v="0.46899999999999997"/>
    <n v="0.42299999999999999"/>
    <s v="1 odonate: 0.013"/>
    <s v="F"/>
    <m/>
    <m/>
    <m/>
    <m/>
    <m/>
    <m/>
    <m/>
    <m/>
    <m/>
    <m/>
    <m/>
    <m/>
    <m/>
    <m/>
    <m/>
    <m/>
    <m/>
    <m/>
    <m/>
    <m/>
    <m/>
    <m/>
    <m/>
    <m/>
    <n v="1"/>
    <n v="1.2999999999999999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13"/>
    <d v="2021-05-02T00:00:00"/>
    <n v="5"/>
    <n v="2"/>
    <n v="2021"/>
    <x v="5"/>
    <x v="5"/>
    <x v="2"/>
    <s v="Trapped, heavily parasitized"/>
    <n v="0.10320805022791781"/>
    <n v="1.9623302671922911"/>
    <n v="1.9643953345610805"/>
    <n v="3.6343328464644729"/>
    <n v="0.39522295729873691"/>
    <n v="1.5121574018386459"/>
    <s v="T"/>
    <m/>
  </r>
  <r>
    <s v="PU-GSP-42"/>
    <x v="1"/>
    <s v="I"/>
    <s v="S"/>
    <s v="G"/>
    <n v="78"/>
    <n v="74"/>
    <n v="7.9119999999999999"/>
    <n v="0.18099999999999999"/>
    <n v="1.2999999999999999E-2"/>
    <s v="M22"/>
    <x v="2"/>
    <n v="22"/>
    <n v="0.39300000000000002"/>
    <n v="0.38700000000000001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d v="2021-05-02T00:00:00"/>
    <n v="5"/>
    <n v="2"/>
    <n v="2021"/>
    <x v="5"/>
    <x v="5"/>
    <x v="2"/>
    <s v="Trapped"/>
    <n v="0.1645777946575516"/>
    <n v="2.3412236450653214"/>
    <n v="2.3451671417465665"/>
    <n v="4.8913043478260869"/>
    <n v="7.5834175935288239E-2"/>
    <n v="7.5834175935288239E-2"/>
    <s v="T"/>
    <m/>
  </r>
  <r>
    <s v="PU-GSP-43"/>
    <x v="1"/>
    <s v="I"/>
    <s v="I"/>
    <s v="G"/>
    <n v="87"/>
    <n v="83"/>
    <n v="11.329000000000001"/>
    <n v="0.307"/>
    <n v="0.16600000000000001"/>
    <s v="F22"/>
    <x v="0"/>
    <n v="22"/>
    <n v="0.49399999999999999"/>
    <n v="0.46700000000000003"/>
    <s v="1 caddis: 0.008, 1 chiro: 0.002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2E-3"/>
    <m/>
    <m/>
    <m/>
    <m/>
    <n v="1"/>
    <n v="8.0000000000000002E-3"/>
    <m/>
    <m/>
    <m/>
    <m/>
    <m/>
    <m/>
    <m/>
    <m/>
    <m/>
    <m/>
    <m/>
    <m/>
    <m/>
    <m/>
    <m/>
    <m/>
    <m/>
    <m/>
    <n v="0.01"/>
    <d v="2021-05-02T00:00:00"/>
    <n v="5"/>
    <n v="2"/>
    <n v="2021"/>
    <x v="5"/>
    <x v="5"/>
    <x v="2"/>
    <s v="Trapped"/>
    <n v="1.4870554510436265"/>
    <n v="2.785338414080929"/>
    <n v="2.8279292557111275"/>
    <n v="4.1221643569600142"/>
    <n v="0.23832641892488274"/>
    <n v="0.32659546297113573"/>
    <s v="T"/>
    <m/>
  </r>
  <r>
    <s v="PU-GSP-44"/>
    <x v="1"/>
    <s v="I"/>
    <s v="I"/>
    <s v="G"/>
    <n v="90"/>
    <n v="85"/>
    <n v="11.15"/>
    <n v="0.22600000000000001"/>
    <n v="1.7000000000000001E-2"/>
    <s v="M22"/>
    <x v="2"/>
    <n v="22"/>
    <n v="0.46100000000000002"/>
    <n v="0.44800000000000001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d v="2021-05-02T00:00:00"/>
    <n v="5"/>
    <n v="2"/>
    <n v="2021"/>
    <x v="5"/>
    <x v="5"/>
    <x v="2"/>
    <s v="Trapped"/>
    <n v="0.15269918261025781"/>
    <n v="2.0688392530208719"/>
    <n v="2.0720638122306774"/>
    <n v="4.0179372197309418"/>
    <n v="0.11659192825112118"/>
    <n v="0.11659192825112118"/>
    <s v="T"/>
    <m/>
  </r>
  <r>
    <s v="PU-GSP-45"/>
    <x v="1"/>
    <s v="I"/>
    <s v="I"/>
    <s v="G"/>
    <n v="92"/>
    <n v="87"/>
    <n v="14.09"/>
    <n v="0.39700000000000002"/>
    <n v="2.4E-2"/>
    <s v="M22"/>
    <x v="2"/>
    <n v="22"/>
    <n v="0.61399999999999999"/>
    <n v="0.59599999999999997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d v="2021-05-02T00:00:00"/>
    <n v="5"/>
    <n v="2"/>
    <n v="2021"/>
    <x v="5"/>
    <x v="5"/>
    <x v="2"/>
    <s v="Trapped"/>
    <n v="0.17062420019906155"/>
    <n v="2.8992916088512382"/>
    <n v="2.9043821786524253"/>
    <n v="4.2299503193754431"/>
    <n v="0.12775017743080211"/>
    <n v="0.12775017743080211"/>
    <s v="T"/>
    <m/>
  </r>
  <r>
    <s v="PU-GSP-46"/>
    <x v="1"/>
    <s v="I"/>
    <s v="S"/>
    <s v="G"/>
    <n v="74"/>
    <n v="70"/>
    <n v="6.2690000000000001"/>
    <n v="0.13300000000000001"/>
    <n v="0.111"/>
    <s v="F22"/>
    <x v="0"/>
    <n v="22"/>
    <n v="0.23100000000000001"/>
    <n v="0.222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d v="2021-05-02T00:00:00"/>
    <n v="5"/>
    <n v="2"/>
    <n v="2021"/>
    <x v="5"/>
    <x v="5"/>
    <x v="2"/>
    <s v="Trapped, heavily parasitized"/>
    <n v="1.8025332900292301"/>
    <n v="2.1675358539765321"/>
    <n v="2.2074688796680499"/>
    <n v="3.5412346466741109"/>
    <n v="0.14356356675705867"/>
    <n v="0.14356356675705867"/>
    <s v="T"/>
    <m/>
  </r>
  <r>
    <s v="PU-GSP-47"/>
    <x v="1"/>
    <s v="I"/>
    <s v="S"/>
    <s v="G"/>
    <n v="69"/>
    <n v="65"/>
    <n v="5.33"/>
    <n v="0.13900000000000001"/>
    <n v="0.01"/>
    <s v="M22"/>
    <x v="2"/>
    <n v="22"/>
    <n v="0.23899999999999999"/>
    <n v="0.215"/>
    <s v="3 chironomids: 0.008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8.0000000000000002E-3"/>
    <m/>
    <m/>
    <m/>
    <m/>
    <m/>
    <m/>
    <m/>
    <m/>
    <m/>
    <m/>
    <m/>
    <m/>
    <m/>
    <m/>
    <m/>
    <m/>
    <m/>
    <m/>
    <m/>
    <m/>
    <m/>
    <m/>
    <m/>
    <m/>
    <n v="8.0000000000000002E-3"/>
    <d v="2021-05-02T00:00:00"/>
    <n v="5"/>
    <n v="2"/>
    <n v="2021"/>
    <x v="5"/>
    <x v="5"/>
    <x v="2"/>
    <s v="Trapped"/>
    <n v="0.18796992481203006"/>
    <n v="2.6777114236178003"/>
    <n v="2.6828797529434474"/>
    <n v="4.0337711069418383"/>
    <n v="0.45028142589118192"/>
    <n v="0.60037523452157593"/>
    <s v="T"/>
    <m/>
  </r>
  <r>
    <s v="PU-GSP-48"/>
    <x v="1"/>
    <s v="S"/>
    <s v="IMM"/>
    <s v="G"/>
    <n v="60"/>
    <n v="57"/>
    <n v="3.593"/>
    <n v="0.109"/>
    <n v="6.8000000000000005E-2"/>
    <s v="F22"/>
    <x v="0"/>
    <n v="22"/>
    <n v="0.14899999999999999"/>
    <n v="0.14000000000000001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d v="2021-05-02T00:00:00"/>
    <n v="5"/>
    <n v="2"/>
    <n v="2021"/>
    <x v="5"/>
    <x v="5"/>
    <x v="2"/>
    <s v="Trapped"/>
    <n v="1.9290780141843975"/>
    <n v="3.1285878300803676"/>
    <n v="3.1908665105386418"/>
    <n v="3.8964653492902874"/>
    <n v="0.25048705816866074"/>
    <n v="0.25048705816866074"/>
    <s v="T"/>
    <m/>
  </r>
  <r>
    <s v="PU-GSP-49"/>
    <x v="1"/>
    <s v="S"/>
    <s v="IMM"/>
    <s v="G"/>
    <n v="60"/>
    <n v="57"/>
    <n v="3.4159999999999999"/>
    <n v="6.9000000000000006E-2"/>
    <n v="0.06"/>
    <s v="F22"/>
    <x v="0"/>
    <n v="22"/>
    <n v="0.13700000000000001"/>
    <n v="0.128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d v="2021-05-02T00:00:00"/>
    <n v="5"/>
    <n v="2"/>
    <n v="2021"/>
    <x v="5"/>
    <x v="5"/>
    <x v="2"/>
    <s v="Trapped, Pic 1"/>
    <n v="1.7878426698450536"/>
    <n v="2.0615476546160743"/>
    <n v="2.0991785822938853"/>
    <n v="3.7470725995316161"/>
    <n v="0.26346604215456698"/>
    <n v="0.26346604215456698"/>
    <s v="T"/>
    <m/>
  </r>
  <r>
    <s v="PU-GSP-50"/>
    <x v="1"/>
    <s v="S"/>
    <s v="IMM"/>
    <s v="N"/>
    <n v="57"/>
    <n v="53"/>
    <n v="2.6669999999999998"/>
    <n v="8.2000000000000003E-2"/>
    <n v="8.0000000000000002E-3"/>
    <s v="M22"/>
    <x v="2"/>
    <n v="22"/>
    <n v="0.125"/>
    <n v="0.113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d v="2021-05-02T00:00:00"/>
    <n v="5"/>
    <n v="2"/>
    <n v="2021"/>
    <x v="5"/>
    <x v="5"/>
    <x v="2"/>
    <s v="Trapped, Pic 2"/>
    <n v="0.30086498683715684"/>
    <n v="3.1721470019342362"/>
    <n v="3.181994567326349"/>
    <n v="4.2369703787026625"/>
    <n v="0.44994375703037109"/>
    <n v="0.44994375703037109"/>
    <s v="T"/>
    <m/>
  </r>
  <r>
    <s v="PU-GSP-51"/>
    <x v="1"/>
    <s v="S"/>
    <s v="IMM"/>
    <s v="N"/>
    <n v="58"/>
    <n v="55"/>
    <n v="2.8849999999999998"/>
    <n v="6.3E-2"/>
    <n v="1.0999999999999999E-2"/>
    <s v="F10"/>
    <x v="0"/>
    <n v="10"/>
    <n v="0.108"/>
    <n v="0.1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d v="2021-05-02T00:00:00"/>
    <n v="5"/>
    <n v="2"/>
    <n v="2021"/>
    <x v="5"/>
    <x v="5"/>
    <x v="2"/>
    <s v="Trapped, Pic 3"/>
    <n v="0.3827418232428671"/>
    <n v="2.2324592487597452"/>
    <n v="2.2411953041622206"/>
    <n v="3.4662045060658584"/>
    <n v="0.2772963604852684"/>
    <n v="0.2772963604852684"/>
    <s v="T"/>
    <m/>
  </r>
  <r>
    <s v="PU-GSP-52"/>
    <x v="1"/>
    <s v="I"/>
    <s v="S"/>
    <s v="G"/>
    <n v="78"/>
    <n v="74"/>
    <n v="7.0339999999999998"/>
    <n v="0.13600000000000001"/>
    <n v="1.2E-2"/>
    <s v="M22"/>
    <x v="2"/>
    <n v="22"/>
    <n v="0.30299999999999999"/>
    <n v="0.26900000000000002"/>
    <s v="4 chironomids: 0.004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4.0000000000000001E-3"/>
    <m/>
    <m/>
    <m/>
    <m/>
    <m/>
    <m/>
    <m/>
    <m/>
    <m/>
    <m/>
    <m/>
    <m/>
    <m/>
    <m/>
    <m/>
    <m/>
    <m/>
    <m/>
    <m/>
    <m/>
    <m/>
    <m/>
    <m/>
    <m/>
    <n v="4.0000000000000001E-3"/>
    <d v="2021-06-02T00:00:00"/>
    <n v="6"/>
    <n v="2"/>
    <n v="2021"/>
    <x v="3"/>
    <x v="2"/>
    <x v="2"/>
    <s v="Trapped, no parasites"/>
    <n v="0.17089148390771861"/>
    <n v="1.9715859669469413"/>
    <n v="1.9750217833284927"/>
    <n v="3.8242820585726478"/>
    <n v="0.48336650554449784"/>
    <n v="0.54023315325561527"/>
    <s v="T"/>
    <n v="1"/>
  </r>
  <r>
    <s v="PU-GSP-53"/>
    <x v="1"/>
    <s v="I"/>
    <s v="S"/>
    <s v="G"/>
    <n v="82"/>
    <n v="77"/>
    <n v="8.3789999999999996"/>
    <n v="0.17799999999999999"/>
    <n v="1.7000000000000001E-2"/>
    <s v="M22"/>
    <x v="2"/>
    <n v="22"/>
    <n v="0.33200000000000002"/>
    <n v="0.315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d v="2021-06-02T00:00:00"/>
    <n v="6"/>
    <n v="2"/>
    <n v="2021"/>
    <x v="3"/>
    <x v="2"/>
    <x v="2"/>
    <s v="Trapped, some parasites"/>
    <n v="0.20330064577852189"/>
    <n v="2.1704670162175348"/>
    <n v="2.1749755620723366"/>
    <n v="3.759398496240602"/>
    <n v="0.20288817281298505"/>
    <n v="0.20288817281298505"/>
    <s v="T"/>
    <n v="2"/>
  </r>
  <r>
    <s v="PU-GSP-54"/>
    <x v="1"/>
    <s v="I"/>
    <s v="S"/>
    <s v="G"/>
    <n v="74"/>
    <n v="70"/>
    <n v="6.2229999999999999"/>
    <n v="0.16500000000000001"/>
    <n v="0.106"/>
    <s v="F22"/>
    <x v="0"/>
    <n v="22"/>
    <n v="0.22800000000000001"/>
    <n v="0.20100000000000001"/>
    <s v="1 chironomid: 0.001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E-3"/>
    <m/>
    <m/>
    <m/>
    <m/>
    <m/>
    <m/>
    <m/>
    <m/>
    <m/>
    <m/>
    <m/>
    <m/>
    <m/>
    <m/>
    <m/>
    <m/>
    <m/>
    <m/>
    <m/>
    <m/>
    <m/>
    <m/>
    <m/>
    <m/>
    <n v="1E-3"/>
    <d v="2021-06-02T00:00:00"/>
    <n v="6"/>
    <n v="2"/>
    <n v="2021"/>
    <x v="3"/>
    <x v="2"/>
    <x v="2"/>
    <s v="Trapped, no parasites"/>
    <n v="1.7328755926107566"/>
    <n v="2.7236711786068013"/>
    <n v="2.772177419354839"/>
    <n v="3.2299533986823081"/>
    <n v="0.43387433713642937"/>
    <n v="0.44994375703037115"/>
    <s v="T"/>
    <n v="1"/>
  </r>
  <r>
    <s v="PU-GSP-55"/>
    <x v="1"/>
    <s v="I"/>
    <s v="S"/>
    <s v="G"/>
    <n v="68"/>
    <n v="64"/>
    <n v="5.0759999999999996"/>
    <n v="0.11899999999999999"/>
    <n v="1.6E-2"/>
    <s v="M22"/>
    <x v="2"/>
    <n v="22"/>
    <n v="0.215"/>
    <n v="0.19700000000000001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d v="2021-06-02T00:00:00"/>
    <n v="6"/>
    <n v="2"/>
    <n v="2021"/>
    <x v="3"/>
    <x v="2"/>
    <x v="2"/>
    <s v="Trapped, no parasites"/>
    <n v="0.31620553359683801"/>
    <n v="2.4006455517450074"/>
    <n v="2.4084193483100589"/>
    <n v="3.8810086682427114"/>
    <n v="0.35460992907801397"/>
    <n v="0.35460992907801397"/>
    <s v="T"/>
    <n v="1"/>
  </r>
  <r>
    <s v="PU-GSP-56"/>
    <x v="1"/>
    <s v="I"/>
    <s v="S"/>
    <s v="G"/>
    <n v="67"/>
    <n v="63"/>
    <n v="4.9889999999999999"/>
    <n v="0.106"/>
    <n v="8.0000000000000002E-3"/>
    <s v="M22"/>
    <x v="2"/>
    <n v="22"/>
    <n v="0.216"/>
    <n v="0.19500000000000001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d v="2021-06-02T00:00:00"/>
    <n v="6"/>
    <n v="2"/>
    <n v="2021"/>
    <x v="3"/>
    <x v="2"/>
    <x v="2"/>
    <s v="Trapped, no parasites"/>
    <n v="0.16061031921300944"/>
    <n v="2.1707966414089697"/>
    <n v="2.1743589743589742"/>
    <n v="3.9085989176187614"/>
    <n v="0.42092603728202027"/>
    <n v="0.42092603728202027"/>
    <s v="T"/>
    <n v="1"/>
  </r>
  <r>
    <s v="PU-GSP-57"/>
    <x v="1"/>
    <s v="I"/>
    <s v="IMM"/>
    <s v="G"/>
    <n v="62"/>
    <n v="58"/>
    <n v="3.4249999999999998"/>
    <n v="0.108"/>
    <n v="7.0000000000000001E-3"/>
    <s v="M22"/>
    <x v="2"/>
    <n v="22"/>
    <n v="0.152"/>
    <n v="0.14199999999999999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d v="2021-06-02T00:00:00"/>
    <n v="6"/>
    <n v="2"/>
    <n v="2021"/>
    <x v="3"/>
    <x v="2"/>
    <x v="2"/>
    <s v="Trapped, no parasites"/>
    <n v="0.20479812755997662"/>
    <n v="3.255954175459753"/>
    <n v="3.2628398791540789"/>
    <n v="4.1459854014598543"/>
    <n v="0.29197080291970834"/>
    <n v="0.29197080291970834"/>
    <s v="T"/>
    <n v="1"/>
  </r>
  <r>
    <s v="PU-GSP-58"/>
    <x v="1"/>
    <s v="S"/>
    <s v="IMM"/>
    <s v="N"/>
    <n v="49"/>
    <n v="45"/>
    <n v="1.7929999999999999"/>
    <n v="2.8000000000000001E-2"/>
    <n v="2.5000000000000001E-2"/>
    <s v="F22"/>
    <x v="0"/>
    <n v="22"/>
    <n v="7.8E-2"/>
    <n v="6.5000000000000002E-2"/>
    <s v="Inverts: 0.004"/>
    <s v="F"/>
    <m/>
    <m/>
    <m/>
    <n v="4.0000000000000001E-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.0000000000000001E-3"/>
    <d v="2021-06-02T00:00:00"/>
    <n v="6"/>
    <n v="2"/>
    <n v="2021"/>
    <x v="3"/>
    <x v="2"/>
    <x v="2"/>
    <s v="Trapped, no parasites, Picture 4"/>
    <n v="1.4140271493212671"/>
    <n v="1.5864022662889519"/>
    <n v="1.6091954022988506"/>
    <n v="3.6252091466815397"/>
    <n v="0.72504182933630779"/>
    <n v="0.9481316229782486"/>
    <s v="T"/>
    <n v="1"/>
  </r>
  <r>
    <s v="PU-GSP-59"/>
    <x v="1"/>
    <s v="I"/>
    <s v="I"/>
    <s v="G"/>
    <n v="85"/>
    <n v="80"/>
    <n v="10.663"/>
    <n v="0.25"/>
    <n v="0.16700000000000001"/>
    <s v="F22"/>
    <x v="0"/>
    <n v="22"/>
    <n v="0.33600000000000002"/>
    <n v="0.32600000000000001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19/2/2021"/>
    <s v="19"/>
    <s v="2"/>
    <s v="2021"/>
    <x v="6"/>
    <x v="6"/>
    <x v="3"/>
    <s v="Trapped, no parasites"/>
    <n v="1.5910823170731707"/>
    <n v="2.4008450974743112"/>
    <n v="2.439976576224868"/>
    <n v="3.0573009472006003"/>
    <n v="9.3782237644190275E-2"/>
    <n v="9.3782237644190275E-2"/>
    <s v="T"/>
    <n v="1"/>
  </r>
  <r>
    <s v="PU-GSP-60"/>
    <x v="1"/>
    <s v="I"/>
    <s v="I"/>
    <s v="G"/>
    <n v="95"/>
    <n v="89"/>
    <n v="14.422000000000001"/>
    <n v="0.26700000000000002"/>
    <n v="0.20899999999999999"/>
    <s v="F22"/>
    <x v="0"/>
    <n v="22"/>
    <n v="0.45700000000000002"/>
    <n v="0.45100000000000001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19/2/2021"/>
    <s v="19"/>
    <s v="2"/>
    <s v="2021"/>
    <x v="6"/>
    <x v="6"/>
    <x v="3"/>
    <s v="Trapped, some parasites"/>
    <n v="1.4704847674664039"/>
    <n v="1.8862592723419287"/>
    <n v="1.9145274630718485"/>
    <n v="3.127166828456525"/>
    <n v="4.1603106365275311E-2"/>
    <n v="4.1603106365275311E-2"/>
    <s v="T"/>
    <n v="2"/>
  </r>
  <r>
    <s v="PU-GSP-61"/>
    <x v="1"/>
    <s v="S"/>
    <s v="IMM"/>
    <s v="N"/>
    <n v="57"/>
    <n v="54"/>
    <n v="2.7959999999999998"/>
    <n v="7.6999999999999999E-2"/>
    <n v="1.2999999999999999E-2"/>
    <s v="M22"/>
    <x v="2"/>
    <n v="22"/>
    <n v="0.106"/>
    <n v="0.1"/>
    <s v="1 chiro: &lt;0.001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0"/>
    <m/>
    <m/>
    <m/>
    <m/>
    <m/>
    <m/>
    <m/>
    <m/>
    <m/>
    <m/>
    <m/>
    <m/>
    <m/>
    <m/>
    <m/>
    <m/>
    <m/>
    <m/>
    <m/>
    <m/>
    <m/>
    <m/>
    <m/>
    <m/>
    <n v="0"/>
    <s v="19/2/2021"/>
    <s v="19"/>
    <s v="2"/>
    <s v="2021"/>
    <x v="6"/>
    <x v="6"/>
    <x v="3"/>
    <s v="Trapped, no parasites"/>
    <n v="0.46712181099532873"/>
    <n v="2.8319235012872381"/>
    <n v="2.8455284552845526"/>
    <n v="3.5765379113018603"/>
    <n v="0.21459227467811129"/>
    <n v="0.21459227467811129"/>
    <s v="T"/>
    <n v="1"/>
  </r>
  <r>
    <s v="PU-GSP-62"/>
    <x v="1"/>
    <s v="I"/>
    <s v="S"/>
    <s v="G"/>
    <n v="70"/>
    <n v="66"/>
    <n v="5.6340000000000003"/>
    <n v="0.128"/>
    <n v="0.01"/>
    <s v="M22"/>
    <x v="2"/>
    <n v="22"/>
    <n v="0.21199999999999999"/>
    <n v="0.20499999999999999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19/2/2021"/>
    <s v="19"/>
    <s v="2"/>
    <s v="2021"/>
    <x v="6"/>
    <x v="6"/>
    <x v="3"/>
    <s v="Trapped, no parasites"/>
    <n v="0.17780938833570412"/>
    <n v="2.3247366509262624"/>
    <n v="2.3289665211062589"/>
    <n v="3.6386226482073125"/>
    <n v="0.12424565140220103"/>
    <n v="0.12424565140220103"/>
    <s v="T"/>
    <n v="1"/>
  </r>
  <r>
    <s v="PU-GSP-63"/>
    <x v="1"/>
    <s v="I"/>
    <s v="S"/>
    <s v="G"/>
    <n v="65"/>
    <n v="62"/>
    <n v="4.093"/>
    <n v="0.1"/>
    <n v="8.9999999999999993E-3"/>
    <s v="M22"/>
    <x v="2"/>
    <n v="22"/>
    <n v="0.16"/>
    <n v="0.153"/>
    <s v="1 chiro: &lt;0.001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0"/>
    <m/>
    <m/>
    <m/>
    <m/>
    <m/>
    <m/>
    <m/>
    <m/>
    <m/>
    <m/>
    <m/>
    <m/>
    <m/>
    <m/>
    <m/>
    <m/>
    <m/>
    <m/>
    <m/>
    <m/>
    <m/>
    <m/>
    <m/>
    <m/>
    <n v="0"/>
    <s v="19/2/2021"/>
    <s v="19"/>
    <s v="2"/>
    <s v="2021"/>
    <x v="6"/>
    <x v="6"/>
    <x v="3"/>
    <s v="Trapped, no parasites"/>
    <n v="0.22037218413320275"/>
    <n v="2.504382669671926"/>
    <n v="2.5100401606425704"/>
    <n v="3.738089420962619"/>
    <n v="0.17102369899828992"/>
    <n v="0.17102369899828992"/>
    <s v="T"/>
    <n v="1"/>
  </r>
  <r>
    <s v="PU-GSP-64"/>
    <x v="1"/>
    <s v="I"/>
    <s v="IMM"/>
    <s v="G"/>
    <n v="64"/>
    <n v="61"/>
    <n v="4.2069999999999999"/>
    <n v="0.1"/>
    <n v="1.0999999999999999E-2"/>
    <s v="M22"/>
    <x v="2"/>
    <n v="22"/>
    <n v="0.151"/>
    <n v="0.14599999999999999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19/2/2021"/>
    <s v="19"/>
    <s v="2"/>
    <s v="2021"/>
    <x v="6"/>
    <x v="6"/>
    <x v="3"/>
    <s v="Trapped, no parasites"/>
    <n v="0.26215443279313633"/>
    <n v="2.4348672997321645"/>
    <n v="2.44140625"/>
    <n v="3.4704064654147846"/>
    <n v="0.11884953648680782"/>
    <n v="0.11884953648680782"/>
    <s v="T"/>
    <n v="1"/>
  </r>
  <r>
    <s v="PU-GSP-65"/>
    <x v="1"/>
    <s v="I"/>
    <s v="S"/>
    <s v="G"/>
    <n v="69"/>
    <n v="65"/>
    <n v="5.2489999999999997"/>
    <n v="0.15"/>
    <n v="8.9999999999999993E-3"/>
    <s v="M22"/>
    <x v="2"/>
    <n v="22"/>
    <n v="0.185"/>
    <n v="0.17899999999999999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19/2/2021"/>
    <s v="19"/>
    <s v="2"/>
    <s v="2021"/>
    <x v="6"/>
    <x v="6"/>
    <x v="3"/>
    <s v="Trapped, some parasites"/>
    <n v="0.1717557251908397"/>
    <n v="2.9417532849578354"/>
    <n v="2.9469548133595289"/>
    <n v="3.4101733663554965"/>
    <n v="0.1143074871404078"/>
    <n v="0.1143074871404078"/>
    <s v="T"/>
    <n v="2"/>
  </r>
  <r>
    <s v="PU-GSP-66"/>
    <x v="1"/>
    <s v="I"/>
    <s v="S"/>
    <s v="G"/>
    <n v="69"/>
    <n v="65"/>
    <n v="5.274"/>
    <n v="0.18099999999999999"/>
    <n v="2.3E-2"/>
    <s v="M22"/>
    <x v="2"/>
    <n v="22"/>
    <n v="0.22900000000000001"/>
    <n v="0.21099999999999999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19/2/2021"/>
    <s v="19"/>
    <s v="2"/>
    <s v="2021"/>
    <x v="6"/>
    <x v="6"/>
    <x v="3"/>
    <s v="Trapped, some parasites"/>
    <n v="0.43801180727480477"/>
    <n v="3.5538975063813072"/>
    <n v="3.5700197238658777"/>
    <n v="4.0007584376185052"/>
    <n v="0.34129692832764535"/>
    <n v="0.34129692832764535"/>
    <s v="T"/>
    <n v="2"/>
  </r>
  <r>
    <s v="PU-GSP-67"/>
    <x v="1"/>
    <s v="I"/>
    <s v="S"/>
    <s v="G"/>
    <n v="73"/>
    <n v="68"/>
    <n v="6.2510000000000003"/>
    <n v="0.18099999999999999"/>
    <n v="0.10299999999999999"/>
    <s v="F22"/>
    <x v="0"/>
    <n v="22"/>
    <n v="0.23"/>
    <n v="0.221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19/2/2021"/>
    <s v="19"/>
    <s v="2"/>
    <s v="2021"/>
    <x v="6"/>
    <x v="6"/>
    <x v="3"/>
    <s v="Trapped, no parasites"/>
    <n v="1.6753415744957707"/>
    <n v="2.9818780889621084"/>
    <n v="3.0333500921736212"/>
    <n v="3.5354343305071185"/>
    <n v="0.14397696368581039"/>
    <n v="0.14397696368581039"/>
    <s v="T"/>
    <n v="1"/>
  </r>
  <r>
    <s v="PU-GSP-68"/>
    <x v="1"/>
    <s v="I"/>
    <s v="S"/>
    <s v="G"/>
    <n v="70"/>
    <n v="66"/>
    <n v="5.7549999999999999"/>
    <n v="0.152"/>
    <n v="8.9999999999999993E-3"/>
    <s v="M22"/>
    <x v="2"/>
    <n v="22"/>
    <n v="0.218"/>
    <n v="0.20899999999999999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19/2/2021"/>
    <s v="19"/>
    <s v="2"/>
    <s v="2021"/>
    <x v="6"/>
    <x v="6"/>
    <x v="3"/>
    <s v="Trapped, some parasites"/>
    <n v="0.15663069961712495"/>
    <n v="2.7128324112082813"/>
    <n v="2.7171969967822669"/>
    <n v="3.6316246741963507"/>
    <n v="0.15638575152041717"/>
    <n v="0.15638575152041717"/>
    <s v="T"/>
    <n v="2"/>
  </r>
  <r>
    <s v="PU-GSP-69"/>
    <x v="1"/>
    <s v="I"/>
    <s v="IMM"/>
    <s v="G"/>
    <n v="61"/>
    <n v="58"/>
    <n v="3.6240000000000001"/>
    <n v="0.104"/>
    <n v="0.01"/>
    <s v="M22"/>
    <x v="2"/>
    <n v="22"/>
    <n v="0.13"/>
    <n v="0.12"/>
    <s v="1 invert: 0.001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E-3"/>
    <m/>
    <m/>
    <m/>
    <m/>
    <m/>
    <m/>
    <m/>
    <m/>
    <m/>
    <m/>
    <m/>
    <m/>
    <m/>
    <m/>
    <m/>
    <m/>
    <m/>
    <m/>
    <m/>
    <m/>
    <m/>
    <m/>
    <m/>
    <m/>
    <n v="1E-3"/>
    <s v="19/2/2021"/>
    <s v="19"/>
    <s v="2"/>
    <s v="2021"/>
    <x v="6"/>
    <x v="6"/>
    <x v="3"/>
    <s v="Trapped, no parasites"/>
    <n v="0.27670171555063638"/>
    <n v="2.9545454545454546"/>
    <n v="2.9629629629629628"/>
    <n v="3.311258278145695"/>
    <n v="0.27593818984547486"/>
    <n v="0.30353200883002235"/>
    <s v="T"/>
    <n v="1"/>
  </r>
  <r>
    <s v="PU-GSP-70"/>
    <x v="1"/>
    <s v="I"/>
    <s v="IMM"/>
    <s v="G"/>
    <n v="62"/>
    <n v="59"/>
    <n v="3.9820000000000002"/>
    <n v="0.11799999999999999"/>
    <n v="7.0000000000000001E-3"/>
    <s v="M22"/>
    <x v="2"/>
    <n v="22"/>
    <n v="0.155"/>
    <n v="0.14699999999999999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19/2/2021"/>
    <s v="19"/>
    <s v="2"/>
    <s v="2021"/>
    <x v="6"/>
    <x v="6"/>
    <x v="3"/>
    <s v="Trapped, no parasites"/>
    <n v="0.1761006289308176"/>
    <n v="3.053830227743271"/>
    <n v="3.0593725693544203"/>
    <n v="3.6916122551481663"/>
    <n v="0.20090406830738339"/>
    <n v="0.20090406830738339"/>
    <s v="T"/>
    <n v="1"/>
  </r>
  <r>
    <s v="PU-GSP-71"/>
    <x v="1"/>
    <s v="I"/>
    <s v="S"/>
    <s v="G"/>
    <n v="68"/>
    <n v="64"/>
    <n v="5.117"/>
    <n v="0.14399999999999999"/>
    <n v="8.9999999999999993E-3"/>
    <s v="M22"/>
    <x v="2"/>
    <n v="22"/>
    <n v="0.17199999999999999"/>
    <n v="0.16700000000000001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19/2/2021"/>
    <s v="19"/>
    <s v="2"/>
    <s v="2021"/>
    <x v="6"/>
    <x v="6"/>
    <x v="3"/>
    <s v="Trapped, no parasites"/>
    <n v="0.17619420516836334"/>
    <n v="2.8956364367584957"/>
    <n v="2.9008863819500403"/>
    <n v="3.2636310338088723"/>
    <n v="9.7713504006253213E-2"/>
    <n v="9.7713504006253213E-2"/>
    <s v="T"/>
    <n v="1"/>
  </r>
  <r>
    <s v="PU-GSP-72"/>
    <x v="1"/>
    <s v="S"/>
    <s v="IMM"/>
    <s v="N"/>
    <n v="59"/>
    <n v="56"/>
    <n v="3.2469999999999999"/>
    <n v="0.113"/>
    <n v="0.04"/>
    <s v="F22"/>
    <x v="0"/>
    <n v="22"/>
    <n v="0.16300000000000001"/>
    <n v="0.156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19/2/2021"/>
    <s v="19"/>
    <s v="2"/>
    <s v="2021"/>
    <x v="6"/>
    <x v="6"/>
    <x v="3"/>
    <s v="Trapped, no parasites"/>
    <n v="1.2472715933894607"/>
    <n v="3.6056158264199114"/>
    <n v="3.6522301228183585"/>
    <n v="4.8044348629504157"/>
    <n v="0.21558361564521117"/>
    <n v="0.21558361564521117"/>
    <s v="T"/>
    <n v="1"/>
  </r>
  <r>
    <s v="PU-GSP-73"/>
    <x v="1"/>
    <s v="S"/>
    <s v="IMM"/>
    <s v="N"/>
    <n v="49"/>
    <n v="48"/>
    <n v="1.736"/>
    <n v="5.6000000000000001E-2"/>
    <n v="3.1E-2"/>
    <s v="F22"/>
    <x v="0"/>
    <n v="22"/>
    <n v="0.08"/>
    <n v="7.1999999999999995E-2"/>
    <s v="2 zoops: 0.001"/>
    <s v="F"/>
    <m/>
    <m/>
    <m/>
    <m/>
    <m/>
    <m/>
    <m/>
    <m/>
    <m/>
    <m/>
    <m/>
    <m/>
    <m/>
    <m/>
    <m/>
    <m/>
    <m/>
    <m/>
    <m/>
    <m/>
    <m/>
    <m/>
    <n v="2"/>
    <n v="1E-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E-3"/>
    <s v="19/2/2021"/>
    <s v="19"/>
    <s v="2"/>
    <s v="2021"/>
    <x v="6"/>
    <x v="6"/>
    <x v="3"/>
    <s v="Trapped, some parasites"/>
    <n v="1.8181818181818181"/>
    <n v="3.3333333333333335"/>
    <n v="3.3959975742874469"/>
    <n v="4.1474654377880178"/>
    <n v="0.46082949308755805"/>
    <n v="0.51843317972350278"/>
    <s v="T"/>
    <n v="2"/>
  </r>
  <r>
    <s v="PU-GSP-74"/>
    <x v="1"/>
    <s v="S"/>
    <s v="IMM"/>
    <s v="N"/>
    <n v="56"/>
    <n v="53"/>
    <n v="2.7120000000000002"/>
    <n v="7.9000000000000001E-2"/>
    <n v="4.2999999999999997E-2"/>
    <s v="F22"/>
    <x v="0"/>
    <n v="22"/>
    <n v="0.113"/>
    <n v="0.10100000000000001"/>
    <s v="3 zoops: 0.001"/>
    <s v="F"/>
    <m/>
    <m/>
    <m/>
    <m/>
    <m/>
    <m/>
    <m/>
    <m/>
    <m/>
    <m/>
    <m/>
    <m/>
    <m/>
    <m/>
    <m/>
    <m/>
    <m/>
    <m/>
    <m/>
    <m/>
    <m/>
    <m/>
    <n v="3"/>
    <n v="1E-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E-3"/>
    <s v="19/2/2021"/>
    <s v="19"/>
    <s v="2"/>
    <s v="2021"/>
    <x v="6"/>
    <x v="6"/>
    <x v="3"/>
    <s v="Trapped, some parasites"/>
    <n v="1.6110902959910078"/>
    <n v="3.000379794910748"/>
    <n v="3.0501930501930503"/>
    <n v="3.7241887905604716"/>
    <n v="0.44247787610619449"/>
    <n v="0.47935103244837751"/>
    <s v="T"/>
    <n v="2"/>
  </r>
  <r>
    <s v="PU-GSP-75"/>
    <x v="1"/>
    <s v="I"/>
    <s v="IMM"/>
    <s v="G"/>
    <n v="63"/>
    <n v="60"/>
    <n v="4.0640000000000001"/>
    <n v="0.122"/>
    <n v="7.8E-2"/>
    <s v="F22"/>
    <x v="0"/>
    <n v="22"/>
    <n v="0.155"/>
    <n v="0.14799999999999999"/>
    <s v="1 zoops: &lt;0.001"/>
    <s v="F"/>
    <m/>
    <m/>
    <m/>
    <m/>
    <m/>
    <m/>
    <m/>
    <m/>
    <m/>
    <m/>
    <m/>
    <m/>
    <m/>
    <m/>
    <m/>
    <m/>
    <m/>
    <m/>
    <m/>
    <m/>
    <m/>
    <m/>
    <n v="1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19/2/2021"/>
    <s v="19"/>
    <s v="2"/>
    <s v="2021"/>
    <x v="6"/>
    <x v="6"/>
    <x v="3"/>
    <s v="Trapped, some parasites"/>
    <n v="1.9568489713998998"/>
    <n v="3.0948756976154232"/>
    <n v="3.1573498964803313"/>
    <n v="3.6417322834645667"/>
    <n v="0.17224409448818911"/>
    <n v="0.17224409448818911"/>
    <s v="T"/>
    <n v="2"/>
  </r>
  <r>
    <s v="PU-GSP-76"/>
    <x v="1"/>
    <s v="I"/>
    <s v="S"/>
    <s v="G"/>
    <n v="65"/>
    <n v="61"/>
    <n v="4.1379999999999999"/>
    <n v="0.126"/>
    <n v="6.9000000000000006E-2"/>
    <s v="F22"/>
    <x v="0"/>
    <n v="22"/>
    <n v="0.17399999999999999"/>
    <n v="0.155"/>
    <s v="&gt;10 zoops: 0.002"/>
    <s v="F"/>
    <m/>
    <m/>
    <m/>
    <m/>
    <m/>
    <m/>
    <m/>
    <m/>
    <m/>
    <m/>
    <m/>
    <m/>
    <m/>
    <m/>
    <m/>
    <m/>
    <m/>
    <m/>
    <m/>
    <m/>
    <m/>
    <m/>
    <n v="10"/>
    <n v="2E-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E-3"/>
    <s v="19/2/2021"/>
    <s v="19"/>
    <s v="2"/>
    <s v="2021"/>
    <x v="6"/>
    <x v="6"/>
    <x v="3"/>
    <s v="Trapped, no parasites"/>
    <n v="1.6957483411157535"/>
    <n v="3.140578265204387"/>
    <n v="3.1955363936089274"/>
    <n v="3.7457709038182698"/>
    <n v="0.45915901401643283"/>
    <n v="0.50749154180763634"/>
    <s v="T"/>
    <n v="1"/>
  </r>
  <r>
    <s v="PU-GSP-77"/>
    <x v="1"/>
    <s v="S"/>
    <s v="IMM"/>
    <s v="N"/>
    <n v="59"/>
    <n v="56"/>
    <n v="3.18"/>
    <n v="9.6000000000000002E-2"/>
    <n v="5.3999999999999999E-2"/>
    <s v="F22"/>
    <x v="0"/>
    <n v="22"/>
    <n v="0.126"/>
    <n v="0.11899999999999999"/>
    <s v="2 zoops: &lt;0.001"/>
    <s v="F"/>
    <m/>
    <m/>
    <m/>
    <m/>
    <m/>
    <m/>
    <m/>
    <m/>
    <m/>
    <m/>
    <m/>
    <m/>
    <m/>
    <m/>
    <m/>
    <m/>
    <m/>
    <m/>
    <m/>
    <m/>
    <m/>
    <m/>
    <n v="2"/>
    <n v="1E-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19/2/2021"/>
    <s v="19"/>
    <s v="2"/>
    <s v="2021"/>
    <x v="6"/>
    <x v="6"/>
    <x v="3"/>
    <s v="Trapped, some parasites"/>
    <n v="1.7274472168905948"/>
    <n v="3.1128404669260701"/>
    <n v="3.1683168316831685"/>
    <n v="3.742138364779874"/>
    <n v="0.22012578616352219"/>
    <n v="0.22012578616352219"/>
    <s v="T"/>
    <n v="2"/>
  </r>
  <r>
    <s v="PU-GSP-78"/>
    <x v="1"/>
    <s v="S"/>
    <s v="IMM"/>
    <s v="N"/>
    <n v="39"/>
    <n v="37"/>
    <n v="0.84199999999999997"/>
    <n v="2.1999999999999999E-2"/>
    <n v="1.2999999999999999E-2"/>
    <s v="F20"/>
    <x v="0"/>
    <n v="20"/>
    <n v="3.5000000000000003E-2"/>
    <n v="0.03"/>
    <s v="~5 zoops: &lt;0.001"/>
    <s v="F"/>
    <m/>
    <m/>
    <m/>
    <m/>
    <m/>
    <m/>
    <m/>
    <m/>
    <m/>
    <m/>
    <m/>
    <m/>
    <m/>
    <m/>
    <m/>
    <m/>
    <m/>
    <m/>
    <m/>
    <m/>
    <m/>
    <m/>
    <n v="5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19/2/2021"/>
    <s v="19"/>
    <s v="2"/>
    <s v="2021"/>
    <x v="6"/>
    <x v="6"/>
    <x v="3"/>
    <s v="Trapped, no parasites"/>
    <n v="1.5681544028950543"/>
    <n v="2.6829268292682928"/>
    <n v="2.7261462205700124"/>
    <n v="3.5629453681710213"/>
    <n v="0.59382422802850421"/>
    <n v="0.59382422802850421"/>
    <s v="T"/>
    <n v="1"/>
  </r>
  <r>
    <s v="PU-GSP-79"/>
    <x v="1"/>
    <s v="S"/>
    <s v="IMM"/>
    <s v="N"/>
    <n v="37"/>
    <n v="35"/>
    <n v="0.67600000000000005"/>
    <n v="1.4999999999999999E-2"/>
    <n v="0.05"/>
    <s v="M20"/>
    <x v="2"/>
    <n v="20"/>
    <n v="3.1E-2"/>
    <n v="2.5999999999999999E-2"/>
    <s v="~5 zoops: &lt;0.001"/>
    <s v="F"/>
    <m/>
    <m/>
    <m/>
    <m/>
    <m/>
    <m/>
    <m/>
    <m/>
    <m/>
    <m/>
    <m/>
    <m/>
    <m/>
    <m/>
    <m/>
    <m/>
    <m/>
    <m/>
    <m/>
    <m/>
    <m/>
    <m/>
    <n v="5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19/2/2021"/>
    <s v="19"/>
    <s v="2"/>
    <s v="2021"/>
    <x v="6"/>
    <x v="6"/>
    <x v="3"/>
    <s v="Trapped, no parasites"/>
    <n v="7.9872204472843462"/>
    <n v="2.2692889561270801"/>
    <n v="2.4549918166939442"/>
    <n v="3.8461538461538458"/>
    <n v="0.7396449704142013"/>
    <n v="0.7396449704142013"/>
    <s v="T"/>
    <n v="1"/>
  </r>
  <r>
    <s v="PU-GSP-80"/>
    <x v="1"/>
    <s v="S"/>
    <s v="IMM"/>
    <s v="N"/>
    <n v="48"/>
    <n v="45"/>
    <n v="1.593"/>
    <n v="4.9000000000000002E-2"/>
    <n v="2.4E-2"/>
    <s v="F22"/>
    <x v="0"/>
    <n v="22"/>
    <n v="0.08"/>
    <n v="6.9000000000000006E-2"/>
    <s v="~20 zoops: 0.003"/>
    <s v="F"/>
    <m/>
    <m/>
    <m/>
    <m/>
    <m/>
    <m/>
    <m/>
    <m/>
    <m/>
    <m/>
    <m/>
    <m/>
    <m/>
    <m/>
    <m/>
    <m/>
    <m/>
    <m/>
    <m/>
    <m/>
    <m/>
    <m/>
    <n v="20"/>
    <n v="3.0000000000000001E-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.0000000000000001E-3"/>
    <s v="19/2/2021"/>
    <s v="19"/>
    <s v="2"/>
    <s v="2021"/>
    <x v="6"/>
    <x v="6"/>
    <x v="3"/>
    <s v="Trapped, no parasites"/>
    <n v="1.5296367112810709"/>
    <n v="3.1735751295336789"/>
    <n v="3.2236842105263159"/>
    <n v="4.3314500941619585"/>
    <n v="0.69052102950408012"/>
    <n v="0.87884494664155643"/>
    <s v="T"/>
    <n v="1"/>
  </r>
  <r>
    <s v="PU-GSP-81"/>
    <x v="1"/>
    <s v="S"/>
    <s v="IMM"/>
    <s v="N"/>
    <n v="49"/>
    <n v="46"/>
    <n v="1.6120000000000001"/>
    <n v="5.1999999999999998E-2"/>
    <n v="3.0000000000000001E-3"/>
    <s v="M20"/>
    <x v="2"/>
    <n v="20"/>
    <n v="7.0000000000000007E-2"/>
    <n v="6.4000000000000001E-2"/>
    <s v="2 zoops: &lt;0.001"/>
    <s v="F"/>
    <m/>
    <m/>
    <m/>
    <m/>
    <m/>
    <m/>
    <m/>
    <m/>
    <m/>
    <m/>
    <m/>
    <m/>
    <m/>
    <m/>
    <m/>
    <m/>
    <m/>
    <m/>
    <m/>
    <m/>
    <m/>
    <m/>
    <n v="2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19/2/2021"/>
    <s v="19"/>
    <s v="2"/>
    <s v="2021"/>
    <x v="6"/>
    <x v="6"/>
    <x v="3"/>
    <s v="Trapped, no parasites"/>
    <n v="0.18645121193287753"/>
    <n v="3.3333333333333335"/>
    <n v="3.3397559409120099"/>
    <n v="3.9702233250620349"/>
    <n v="0.37220843672456605"/>
    <n v="0.37220843672456605"/>
    <s v="T"/>
    <n v="1"/>
  </r>
  <r>
    <s v="PU-GSP-82"/>
    <x v="1"/>
    <s v="S"/>
    <s v="IMM"/>
    <s v="N"/>
    <n v="51"/>
    <n v="48"/>
    <n v="1.9590000000000001"/>
    <n v="6.4000000000000001E-2"/>
    <n v="3.3000000000000002E-2"/>
    <s v="F22"/>
    <x v="0"/>
    <n v="22"/>
    <n v="8.1000000000000003E-2"/>
    <n v="7.4999999999999997E-2"/>
    <s v="3 zoops: &lt;0.001"/>
    <s v="F"/>
    <m/>
    <m/>
    <m/>
    <m/>
    <m/>
    <m/>
    <m/>
    <m/>
    <m/>
    <m/>
    <m/>
    <m/>
    <m/>
    <m/>
    <m/>
    <m/>
    <m/>
    <m/>
    <m/>
    <m/>
    <m/>
    <m/>
    <n v="3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19/2/2021"/>
    <s v="19"/>
    <s v="2"/>
    <s v="2021"/>
    <x v="6"/>
    <x v="6"/>
    <x v="3"/>
    <s v="Trapped, no parasites"/>
    <n v="1.7133956386292832"/>
    <n v="3.3773087071240102"/>
    <n v="3.4371643394199785"/>
    <n v="3.828483920367534"/>
    <n v="0.30627871362940301"/>
    <n v="0.30627871362940301"/>
    <s v="T"/>
    <n v="1"/>
  </r>
  <r>
    <s v="PU-GSP-83"/>
    <x v="1"/>
    <s v="S"/>
    <s v="IMM"/>
    <s v="N"/>
    <n v="50"/>
    <n v="48"/>
    <n v="2.0089999999999999"/>
    <n v="6.3E-2"/>
    <n v="8.0000000000000002E-3"/>
    <s v="M22"/>
    <x v="2"/>
    <n v="22"/>
    <n v="8.4000000000000005E-2"/>
    <n v="7.6999999999999999E-2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19/2/2021"/>
    <s v="19"/>
    <s v="2"/>
    <s v="2021"/>
    <x v="6"/>
    <x v="6"/>
    <x v="3"/>
    <s v="Trapped, some parasites"/>
    <n v="0.39980009995002508"/>
    <n v="3.2374100719424459"/>
    <n v="3.2507739938080498"/>
    <n v="3.8327526132404186"/>
    <n v="0.34843205574912928"/>
    <n v="0.34843205574912928"/>
    <s v="T"/>
    <n v="2"/>
  </r>
  <r>
    <s v="PU-GSP-84"/>
    <x v="1"/>
    <s v="I"/>
    <s v="I"/>
    <s v="G"/>
    <n v="105"/>
    <n v="100"/>
    <n v="20.396000000000001"/>
    <n v="0.55800000000000005"/>
    <n v="3.2000000000000001E-2"/>
    <s v="M22"/>
    <x v="2"/>
    <n v="22"/>
    <n v="0.86399999999999999"/>
    <n v="0.81899999999999995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d v="2021-05-03T00:00:00"/>
    <n v="5"/>
    <n v="3"/>
    <n v="2021"/>
    <x v="7"/>
    <x v="7"/>
    <x v="4"/>
    <s v="Trapped, no parasites"/>
    <n v="0.1571400510705166"/>
    <n v="2.8127835467285012"/>
    <n v="2.817328082399273"/>
    <n v="4.0154932339674438"/>
    <n v="0.22063149637183782"/>
    <n v="0.22063149637183782"/>
    <s v="T"/>
    <n v="1"/>
  </r>
  <r>
    <s v="PU-GSP-85"/>
    <x v="1"/>
    <s v="I"/>
    <s v="B"/>
    <s v="N"/>
    <n v="125"/>
    <n v="119"/>
    <n v="31.574999999999999"/>
    <n v="0.5"/>
    <n v="0.04"/>
    <s v="M22"/>
    <x v="2"/>
    <n v="22"/>
    <n v="1.2709999999999999"/>
    <n v="1.254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d v="2021-05-03T00:00:00"/>
    <n v="5"/>
    <n v="3"/>
    <n v="2021"/>
    <x v="7"/>
    <x v="7"/>
    <x v="4"/>
    <m/>
    <n v="0.12684319010623119"/>
    <n v="1.6090104585679808"/>
    <n v="1.6110842597067827"/>
    <n v="3.9714964370546322"/>
    <n v="5.3840063341250688E-2"/>
    <n v="5.3840063341250688E-2"/>
    <s v="T"/>
    <n v="3"/>
  </r>
  <r>
    <s v="PU-GSP-86"/>
    <x v="1"/>
    <s v="I"/>
    <s v="I"/>
    <s v="G"/>
    <n v="89"/>
    <n v="85"/>
    <n v="11.228999999999999"/>
    <n v="0.27100000000000002"/>
    <n v="2.1999999999999999E-2"/>
    <s v="M22"/>
    <x v="2"/>
    <n v="22"/>
    <n v="0.442"/>
    <n v="0.41799999999999998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d v="2021-05-03T00:00:00"/>
    <n v="5"/>
    <n v="3"/>
    <n v="2021"/>
    <x v="7"/>
    <x v="7"/>
    <x v="4"/>
    <m/>
    <n v="0.19630588025341306"/>
    <n v="2.4730790290198947"/>
    <n v="2.4780541331382593"/>
    <n v="3.7225042301184432"/>
    <n v="0.2137323002938821"/>
    <n v="0.2137323002938821"/>
    <s v="T"/>
    <n v="1"/>
  </r>
  <r>
    <s v="PU-GSP-87"/>
    <x v="1"/>
    <s v="S"/>
    <s v="IMM"/>
    <s v="G"/>
    <n v="60"/>
    <n v="58"/>
    <n v="3.508"/>
    <n v="0.12"/>
    <n v="6.3E-2"/>
    <s v="F22"/>
    <x v="0"/>
    <n v="22"/>
    <n v="0.13600000000000001"/>
    <n v="0.121"/>
    <s v="zoops &lt;0.001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d v="2021-05-03T00:00:00"/>
    <n v="5"/>
    <n v="3"/>
    <n v="2021"/>
    <x v="7"/>
    <x v="7"/>
    <x v="4"/>
    <m/>
    <n v="1.8287373004354137"/>
    <n v="3.5419126328217239"/>
    <n v="3.6090225563909777"/>
    <n v="3.4492588369441273"/>
    <n v="0.42759407069555339"/>
    <n v="0.42759407069555339"/>
    <s v="T"/>
    <n v="1"/>
  </r>
  <r>
    <s v="PU-GSP-88"/>
    <x v="1"/>
    <s v="I"/>
    <s v="I"/>
    <s v="G"/>
    <n v="103"/>
    <n v="98"/>
    <n v="19.109000000000002"/>
    <n v="0.38600000000000001"/>
    <n v="2.3E-2"/>
    <s v="M22"/>
    <x v="2"/>
    <n v="22"/>
    <n v="0.77900000000000003"/>
    <n v="0.75600000000000001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d v="2021-05-03T00:00:00"/>
    <n v="5"/>
    <n v="3"/>
    <n v="2021"/>
    <x v="7"/>
    <x v="7"/>
    <x v="4"/>
    <m/>
    <n v="0.12050717803625693"/>
    <n v="2.061635421673877"/>
    <n v="2.0641711229946522"/>
    <n v="3.9562509812130409"/>
    <n v="0.12036213302632277"/>
    <n v="0.12036213302632277"/>
    <s v="T"/>
    <n v="1"/>
  </r>
  <r>
    <s v="PU-GSP-89"/>
    <x v="1"/>
    <s v="I"/>
    <s v="I"/>
    <s v="G"/>
    <n v="93"/>
    <n v="88"/>
    <n v="13.201000000000001"/>
    <n v="0.30299999999999999"/>
    <n v="2.1999999999999999E-2"/>
    <s v="M22"/>
    <x v="2"/>
    <n v="22"/>
    <n v="0.49299999999999999"/>
    <n v="0.47"/>
    <s v="2 chiro: 0.003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3.0000000000000001E-3"/>
    <m/>
    <m/>
    <m/>
    <m/>
    <m/>
    <m/>
    <m/>
    <m/>
    <m/>
    <m/>
    <m/>
    <m/>
    <m/>
    <m/>
    <m/>
    <m/>
    <m/>
    <m/>
    <m/>
    <m/>
    <m/>
    <m/>
    <m/>
    <m/>
    <n v="3.0000000000000001E-3"/>
    <d v="2021-05-03T00:00:00"/>
    <n v="5"/>
    <n v="3"/>
    <n v="2021"/>
    <x v="7"/>
    <x v="7"/>
    <x v="4"/>
    <m/>
    <n v="0.16693224068593973"/>
    <n v="2.3492014265777641"/>
    <n v="2.3532152842497669"/>
    <n v="3.5603363381561994"/>
    <n v="0.17422922505870783"/>
    <n v="0.19695477615332188"/>
    <s v="T"/>
    <n v="1"/>
  </r>
  <r>
    <s v="PU-GSP-90"/>
    <x v="1"/>
    <s v="I"/>
    <s v="S"/>
    <s v="G"/>
    <n v="74"/>
    <n v="70"/>
    <n v="6.0339999999999998"/>
    <n v="0.10299999999999999"/>
    <n v="0.10199999999999999"/>
    <s v="F22"/>
    <x v="0"/>
    <n v="22"/>
    <n v="0.23799999999999999"/>
    <n v="0.218"/>
    <s v="goo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d v="2021-05-03T00:00:00"/>
    <n v="5"/>
    <n v="3"/>
    <n v="2021"/>
    <x v="7"/>
    <x v="7"/>
    <x v="4"/>
    <m/>
    <n v="1.7194875252865813"/>
    <n v="1.7366380037093239"/>
    <n v="1.767026934294047"/>
    <n v="3.6128604574080216"/>
    <n v="0.33145508783559813"/>
    <n v="0.33145508783559813"/>
    <s v="T"/>
    <n v="2"/>
  </r>
  <r>
    <s v="PU-GSP-91"/>
    <x v="1"/>
    <s v="I"/>
    <s v="B"/>
    <s v="N"/>
    <n v="117"/>
    <n v="111"/>
    <n v="27.686"/>
    <n v="0.53100000000000003"/>
    <n v="0.378"/>
    <s v="F22"/>
    <x v="0"/>
    <n v="22"/>
    <n v="1.3460000000000001"/>
    <n v="1.3240000000000001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d v="2021-05-03T00:00:00"/>
    <n v="5"/>
    <n v="3"/>
    <n v="2021"/>
    <x v="7"/>
    <x v="7"/>
    <x v="4"/>
    <m/>
    <n v="1.3842097553830379"/>
    <n v="1.9554409869269014"/>
    <n v="1.9830451506890241"/>
    <n v="4.7822003900888541"/>
    <n v="7.9462544246189482E-2"/>
    <n v="7.9462544246189482E-2"/>
    <s v="T"/>
    <n v="3"/>
  </r>
  <r>
    <s v="PU-GSP-92"/>
    <x v="1"/>
    <s v="I"/>
    <s v="I"/>
    <s v="G"/>
    <n v="89"/>
    <n v="83"/>
    <n v="12.843999999999999"/>
    <n v="0.32100000000000001"/>
    <n v="0.17799999999999999"/>
    <s v="F22"/>
    <x v="0"/>
    <n v="22"/>
    <n v="0.53"/>
    <n v="0.47399999999999998"/>
    <s v="7 chiro: 0.024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"/>
    <n v="2.4E-2"/>
    <m/>
    <m/>
    <m/>
    <m/>
    <m/>
    <m/>
    <m/>
    <m/>
    <m/>
    <m/>
    <m/>
    <m/>
    <m/>
    <m/>
    <m/>
    <m/>
    <m/>
    <m/>
    <m/>
    <m/>
    <m/>
    <m/>
    <m/>
    <m/>
    <n v="2.4E-2"/>
    <d v="2021-05-03T00:00:00"/>
    <n v="5"/>
    <n v="3"/>
    <n v="2021"/>
    <x v="7"/>
    <x v="7"/>
    <x v="4"/>
    <m/>
    <n v="1.4053371230064742"/>
    <n v="2.5632835582528148"/>
    <n v="2.600243013365735"/>
    <n v="3.6904391155403302"/>
    <n v="0.43600124571784532"/>
    <n v="0.62285892245406449"/>
    <s v="T"/>
    <n v="1"/>
  </r>
  <r>
    <s v="PU-GSP-93"/>
    <x v="1"/>
    <s v="I"/>
    <s v="IMM"/>
    <s v="G"/>
    <n v="64"/>
    <n v="59"/>
    <n v="4.202"/>
    <n v="0.11"/>
    <n v="8.9999999999999993E-3"/>
    <s v="M22"/>
    <x v="2"/>
    <n v="22"/>
    <n v="0.17799999999999999"/>
    <n v="0.17299999999999999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d v="2021-05-03T00:00:00"/>
    <n v="5"/>
    <n v="3"/>
    <n v="2021"/>
    <x v="7"/>
    <x v="7"/>
    <x v="4"/>
    <m/>
    <n v="0.21464345337467208"/>
    <n v="2.688172043010753"/>
    <n v="2.6940974773450899"/>
    <n v="4.117087101380295"/>
    <n v="0.11899095668729187"/>
    <n v="0.11899095668729187"/>
    <s v="T"/>
    <n v="2"/>
  </r>
  <r>
    <s v="PU-GSP-94"/>
    <x v="1"/>
    <s v="I"/>
    <s v="IMM"/>
    <s v="G"/>
    <n v="61"/>
    <n v="57"/>
    <n v="3.4780000000000002"/>
    <n v="7.2999999999999995E-2"/>
    <n v="1.2E-2"/>
    <s v="M22"/>
    <x v="2"/>
    <n v="22"/>
    <n v="0.151"/>
    <n v="0.14699999999999999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d v="2021-05-03T00:00:00"/>
    <n v="5"/>
    <n v="3"/>
    <n v="2021"/>
    <x v="7"/>
    <x v="7"/>
    <x v="4"/>
    <m/>
    <n v="0.34622042700519329"/>
    <n v="2.1439060205580027"/>
    <n v="2.1514883583849098"/>
    <n v="4.2265669925244387"/>
    <n v="0.1150086256469236"/>
    <n v="0.1150086256469236"/>
    <s v="T"/>
    <n v="1"/>
  </r>
  <r>
    <s v="PU-GSP-95"/>
    <x v="1"/>
    <s v="I"/>
    <s v="I"/>
    <s v="G"/>
    <n v="89"/>
    <n v="82"/>
    <n v="12.449"/>
    <n v="0.26400000000000001"/>
    <n v="1.9E-2"/>
    <s v="M22"/>
    <x v="2"/>
    <n v="22"/>
    <n v="0.43099999999999999"/>
    <n v="0.38100000000000001"/>
    <s v="3 chiro: 0.003, inverts: 0.013"/>
    <s v="F"/>
    <m/>
    <m/>
    <m/>
    <n v="1.2999999999999999E-2"/>
    <m/>
    <m/>
    <m/>
    <m/>
    <m/>
    <m/>
    <m/>
    <m/>
    <m/>
    <m/>
    <m/>
    <m/>
    <m/>
    <m/>
    <m/>
    <m/>
    <m/>
    <m/>
    <m/>
    <m/>
    <m/>
    <m/>
    <m/>
    <m/>
    <m/>
    <m/>
    <n v="3"/>
    <n v="3.0000000000000001E-3"/>
    <m/>
    <m/>
    <m/>
    <m/>
    <m/>
    <m/>
    <m/>
    <m/>
    <m/>
    <m/>
    <m/>
    <m/>
    <m/>
    <m/>
    <m/>
    <m/>
    <m/>
    <m/>
    <m/>
    <m/>
    <m/>
    <m/>
    <m/>
    <m/>
    <n v="1.6E-2"/>
    <d v="2021-05-03T00:00:00"/>
    <n v="5"/>
    <n v="3"/>
    <n v="2021"/>
    <x v="7"/>
    <x v="7"/>
    <x v="4"/>
    <m/>
    <n v="0.15285599356395818"/>
    <n v="2.1665982765695526"/>
    <n v="2.1699819168173597"/>
    <n v="3.0604867860872362"/>
    <n v="0.40163868583821988"/>
    <n v="0.5301630653064503"/>
    <s v="T"/>
    <n v="2"/>
  </r>
  <r>
    <s v="PU-GSP-96"/>
    <x v="1"/>
    <s v="I"/>
    <s v="S"/>
    <s v="G"/>
    <n v="82"/>
    <n v="77"/>
    <n v="9.3219999999999992"/>
    <n v="0.223"/>
    <n v="0.13500000000000001"/>
    <s v="F22"/>
    <x v="0"/>
    <n v="22"/>
    <n v="0.41199999999999998"/>
    <n v="0.39400000000000002"/>
    <s v="3 chiro:0.004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4.0000000000000001E-3"/>
    <m/>
    <m/>
    <m/>
    <m/>
    <m/>
    <m/>
    <m/>
    <m/>
    <m/>
    <m/>
    <m/>
    <m/>
    <m/>
    <m/>
    <m/>
    <m/>
    <m/>
    <m/>
    <m/>
    <m/>
    <m/>
    <m/>
    <m/>
    <m/>
    <n v="4.0000000000000001E-3"/>
    <d v="2021-05-03T00:00:00"/>
    <n v="5"/>
    <n v="3"/>
    <n v="2021"/>
    <x v="7"/>
    <x v="7"/>
    <x v="4"/>
    <m/>
    <n v="1.4694677261347557"/>
    <n v="2.4508187712935494"/>
    <n v="2.4877286925479702"/>
    <n v="4.2265608238575423"/>
    <n v="0.19309161124222229"/>
    <n v="0.23600085818493843"/>
    <s v="T"/>
    <n v="2"/>
  </r>
  <r>
    <s v="PU-GSP-97"/>
    <x v="1"/>
    <s v="I"/>
    <s v="I"/>
    <s v="G"/>
    <n v="93"/>
    <n v="90"/>
    <n v="13.888"/>
    <n v="0.25800000000000001"/>
    <n v="2.3E-2"/>
    <s v="M22"/>
    <x v="2"/>
    <n v="22"/>
    <n v="0.53"/>
    <n v="0.50900000000000001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d v="2021-05-03T00:00:00"/>
    <n v="5"/>
    <n v="3"/>
    <n v="2021"/>
    <x v="7"/>
    <x v="7"/>
    <x v="4"/>
    <m/>
    <n v="0.16588532275513884"/>
    <n v="1.8928833455612619"/>
    <n v="1.8960828985081211"/>
    <n v="3.6650345622119813"/>
    <n v="0.15120967741935495"/>
    <n v="0.15120967741935495"/>
    <s v="T"/>
    <n v="3"/>
  </r>
  <r>
    <s v="PU-GSP-98"/>
    <x v="1"/>
    <s v="I"/>
    <s v="S"/>
    <s v="G"/>
    <n v="83"/>
    <n v="80"/>
    <n v="9.6150000000000002"/>
    <n v="0.151"/>
    <n v="0.151"/>
    <s v="F22"/>
    <x v="0"/>
    <n v="22"/>
    <n v="0.41"/>
    <n v="0.32500000000000001"/>
    <s v="5 chiro: 0.052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n v="5.1999999999999998E-2"/>
    <m/>
    <m/>
    <m/>
    <m/>
    <m/>
    <m/>
    <m/>
    <m/>
    <m/>
    <m/>
    <m/>
    <m/>
    <m/>
    <m/>
    <m/>
    <m/>
    <m/>
    <m/>
    <m/>
    <m/>
    <m/>
    <m/>
    <m/>
    <m/>
    <n v="5.1999999999999998E-2"/>
    <d v="2021-05-03T00:00:00"/>
    <n v="5"/>
    <n v="3"/>
    <n v="2021"/>
    <x v="7"/>
    <x v="7"/>
    <x v="4"/>
    <m/>
    <n v="1.5955198647506337"/>
    <n v="1.5955198647506337"/>
    <n v="1.621389455599699"/>
    <n v="3.3801352054082163"/>
    <n v="0.88403536141445616"/>
    <n v="1.4248569942797706"/>
    <s v="T"/>
    <n v="2"/>
  </r>
  <r>
    <s v="PU-GSP-99"/>
    <x v="1"/>
    <s v="I"/>
    <s v="S"/>
    <s v="G"/>
    <n v="74"/>
    <n v="70"/>
    <n v="6.6559999999999997"/>
    <n v="0.115"/>
    <n v="1.4999999999999999E-2"/>
    <s v="M22"/>
    <x v="2"/>
    <n v="22"/>
    <n v="0.36699999999999999"/>
    <n v="0.33600000000000002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d v="2021-05-03T00:00:00"/>
    <n v="5"/>
    <n v="3"/>
    <n v="2021"/>
    <x v="7"/>
    <x v="7"/>
    <x v="4"/>
    <m/>
    <n v="0.22586959795211561"/>
    <n v="1.7581409570402082"/>
    <n v="1.7621820410665032"/>
    <n v="5.0480769230769242"/>
    <n v="0.46574519230769185"/>
    <n v="0.46574519230769185"/>
    <s v="T"/>
    <n v="2"/>
  </r>
  <r>
    <s v="PU-GSP-100"/>
    <x v="1"/>
    <s v="I"/>
    <s v="S"/>
    <s v="G"/>
    <n v="72"/>
    <n v="69"/>
    <n v="5.6989999999999998"/>
    <n v="0.11799999999999999"/>
    <n v="8.0000000000000002E-3"/>
    <s v="M22"/>
    <x v="2"/>
    <n v="22"/>
    <n v="0.23"/>
    <n v="0.223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d v="2021-05-03T00:00:00"/>
    <n v="5"/>
    <n v="3"/>
    <n v="2021"/>
    <x v="7"/>
    <x v="7"/>
    <x v="4"/>
    <m/>
    <n v="0.14057283429977158"/>
    <n v="2.114316430747178"/>
    <n v="2.1173515162390095"/>
    <n v="3.9129671872258291"/>
    <n v="0.12282856641516067"/>
    <n v="0.12282856641516067"/>
    <s v="T"/>
    <n v="1"/>
  </r>
  <r>
    <s v="PU-GSP-101"/>
    <x v="1"/>
    <s v="I"/>
    <s v="S"/>
    <s v="G"/>
    <n v="69"/>
    <n v="65"/>
    <n v="4.99"/>
    <n v="0.107"/>
    <n v="0.1"/>
    <s v="F22"/>
    <x v="0"/>
    <n v="22"/>
    <n v="0.21199999999999999"/>
    <n v="0.193"/>
    <s v="inverts: 0.01"/>
    <s v="F"/>
    <m/>
    <m/>
    <m/>
    <n v="0.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01"/>
    <d v="2021-05-03T00:00:00"/>
    <n v="5"/>
    <n v="3"/>
    <n v="2021"/>
    <x v="7"/>
    <x v="7"/>
    <x v="4"/>
    <m/>
    <n v="2.0449897750511243"/>
    <n v="2.1912758550071678"/>
    <n v="2.2370896926615091"/>
    <n v="3.8677354709418839"/>
    <n v="0.38076152304609195"/>
    <n v="0.5811623246492984"/>
    <s v="T"/>
    <n v="2"/>
  </r>
  <r>
    <s v="PU-GSP-102"/>
    <x v="1"/>
    <s v="I"/>
    <s v="S"/>
    <s v="G"/>
    <n v="73"/>
    <n v="70"/>
    <n v="6.22"/>
    <n v="0.13"/>
    <n v="1.2E-2"/>
    <s v="M22"/>
    <x v="2"/>
    <n v="22"/>
    <n v="0.24"/>
    <n v="0.22800000000000001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d v="2021-05-03T00:00:00"/>
    <n v="5"/>
    <n v="3"/>
    <n v="2021"/>
    <x v="7"/>
    <x v="7"/>
    <x v="4"/>
    <m/>
    <n v="0.19329896907216496"/>
    <n v="2.1346469622331692"/>
    <n v="2.1388614675880224"/>
    <n v="3.6655948553054665"/>
    <n v="0.19292604501607691"/>
    <n v="0.19292604501607691"/>
    <s v="T"/>
    <n v="2"/>
  </r>
  <r>
    <s v="PU-GSP-103"/>
    <x v="1"/>
    <s v="I"/>
    <s v="IMM"/>
    <s v="G"/>
    <n v="64"/>
    <n v="60"/>
    <n v="4.5330000000000004"/>
    <n v="0.125"/>
    <n v="5.8000000000000003E-2"/>
    <s v="F22"/>
    <x v="0"/>
    <n v="22"/>
    <n v="0.18099999999999999"/>
    <n v="0.17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d v="2021-05-03T00:00:00"/>
    <n v="5"/>
    <n v="3"/>
    <n v="2021"/>
    <x v="7"/>
    <x v="7"/>
    <x v="4"/>
    <m/>
    <n v="1.2960893854748603"/>
    <n v="2.835753176043557"/>
    <n v="2.8735632183908044"/>
    <n v="3.7502757555702626"/>
    <n v="0.24266490183101658"/>
    <n v="0.24266490183101658"/>
    <s v="T"/>
    <n v="2"/>
  </r>
  <r>
    <s v="PU-GSP-104"/>
    <x v="1"/>
    <s v="S"/>
    <s v="IMM"/>
    <s v="G"/>
    <n v="60"/>
    <n v="58"/>
    <n v="3.3380000000000001"/>
    <n v="9.4E-2"/>
    <n v="6.3E-2"/>
    <s v="F22"/>
    <x v="0"/>
    <n v="22"/>
    <n v="0.13"/>
    <n v="0.11799999999999999"/>
    <s v="1 chiro: 0.004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4.0000000000000001E-3"/>
    <m/>
    <m/>
    <m/>
    <m/>
    <m/>
    <m/>
    <m/>
    <m/>
    <m/>
    <m/>
    <m/>
    <m/>
    <m/>
    <m/>
    <m/>
    <m/>
    <m/>
    <m/>
    <m/>
    <m/>
    <m/>
    <m/>
    <m/>
    <m/>
    <n v="4.0000000000000001E-3"/>
    <d v="2021-05-03T00:00:00"/>
    <n v="5"/>
    <n v="3"/>
    <n v="2021"/>
    <x v="7"/>
    <x v="7"/>
    <x v="4"/>
    <m/>
    <n v="1.9236641221374047"/>
    <n v="2.8976572133168927"/>
    <n v="2.9550455831499529"/>
    <n v="3.5350509286998197"/>
    <n v="0.35949670461354133"/>
    <n v="0.47932893948472166"/>
    <s v="T"/>
    <n v="2"/>
  </r>
  <r>
    <s v="PU-GSP-105"/>
    <x v="1"/>
    <s v="I"/>
    <s v="IMM"/>
    <s v="G"/>
    <n v="61"/>
    <n v="57"/>
    <n v="3.8919999999999999"/>
    <n v="0.104"/>
    <n v="7.4999999999999997E-2"/>
    <s v="F22"/>
    <x v="0"/>
    <n v="22"/>
    <n v="0.182"/>
    <n v="0.16500000000000001"/>
    <s v="1 chiro: 0.002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2E-3"/>
    <m/>
    <m/>
    <m/>
    <m/>
    <m/>
    <m/>
    <m/>
    <m/>
    <m/>
    <m/>
    <m/>
    <m/>
    <m/>
    <m/>
    <m/>
    <m/>
    <m/>
    <m/>
    <m/>
    <m/>
    <m/>
    <m/>
    <m/>
    <m/>
    <n v="2E-3"/>
    <d v="2021-05-03T00:00:00"/>
    <n v="5"/>
    <n v="3"/>
    <n v="2021"/>
    <x v="7"/>
    <x v="7"/>
    <x v="4"/>
    <m/>
    <n v="1.9648938957296307"/>
    <n v="2.7455121436114043"/>
    <n v="2.8009695663883654"/>
    <n v="4.2394655704008226"/>
    <n v="0.43679342240493291"/>
    <n v="0.48818088386433678"/>
    <s v="T"/>
    <n v="1"/>
  </r>
  <r>
    <s v="PU-GSP-106"/>
    <x v="1"/>
    <s v="I"/>
    <s v="IMM"/>
    <s v="G"/>
    <n v="63"/>
    <n v="60"/>
    <n v="3.9889999999999999"/>
    <n v="0.111"/>
    <n v="6.0000000000000001E-3"/>
    <s v="M22"/>
    <x v="2"/>
    <n v="22"/>
    <n v="0.16700000000000001"/>
    <n v="0.14899999999999999"/>
    <s v="2 chiro: 0.008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8.0000000000000002E-3"/>
    <m/>
    <m/>
    <m/>
    <m/>
    <m/>
    <m/>
    <m/>
    <m/>
    <m/>
    <m/>
    <m/>
    <m/>
    <m/>
    <m/>
    <m/>
    <m/>
    <m/>
    <m/>
    <m/>
    <m/>
    <m/>
    <m/>
    <m/>
    <m/>
    <n v="8.0000000000000002E-3"/>
    <d v="2021-05-03T00:00:00"/>
    <n v="5"/>
    <n v="3"/>
    <n v="2021"/>
    <x v="7"/>
    <x v="7"/>
    <x v="4"/>
    <m/>
    <n v="0.15064022093899071"/>
    <n v="2.8623001547189277"/>
    <n v="2.8667355371900829"/>
    <n v="3.7352719979944848"/>
    <n v="0.45124091250940124"/>
    <n v="0.65179242918024616"/>
    <s v="T"/>
    <n v="2"/>
  </r>
  <r>
    <s v="PU-GSP-107"/>
    <x v="1"/>
    <s v="I"/>
    <s v="IMM"/>
    <s v="G"/>
    <n v="62"/>
    <n v="60"/>
    <n v="3.6659999999999999"/>
    <n v="8.1000000000000003E-2"/>
    <n v="1.0999999999999999E-2"/>
    <s v="M22"/>
    <x v="2"/>
    <n v="22"/>
    <n v="0.17899999999999999"/>
    <n v="0.16500000000000001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d v="2021-05-03T00:00:00"/>
    <n v="5"/>
    <n v="3"/>
    <n v="2021"/>
    <x v="7"/>
    <x v="7"/>
    <x v="4"/>
    <m/>
    <n v="0.30095759233926128"/>
    <n v="2.2594142259414229"/>
    <n v="2.2663682148852828"/>
    <n v="4.5008183306055649"/>
    <n v="0.38188761593016868"/>
    <n v="0.38188761593016868"/>
    <s v="T"/>
    <n v="1"/>
  </r>
  <r>
    <s v="PU-GSP-108"/>
    <x v="1"/>
    <s v="S"/>
    <s v="IMM"/>
    <s v="N"/>
    <n v="58"/>
    <n v="55"/>
    <n v="3.2959999999999998"/>
    <n v="0.09"/>
    <n v="0.06"/>
    <s v="F22"/>
    <x v="0"/>
    <n v="22"/>
    <n v="0.16400000000000001"/>
    <n v="0.13100000000000001"/>
    <s v="1 chiro: 0.004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4.0000000000000001E-3"/>
    <m/>
    <m/>
    <m/>
    <m/>
    <m/>
    <m/>
    <m/>
    <m/>
    <m/>
    <m/>
    <m/>
    <m/>
    <m/>
    <m/>
    <m/>
    <m/>
    <m/>
    <m/>
    <m/>
    <m/>
    <m/>
    <m/>
    <m/>
    <m/>
    <n v="4.0000000000000001E-3"/>
    <d v="2021-05-03T00:00:00"/>
    <n v="5"/>
    <n v="3"/>
    <n v="2021"/>
    <x v="7"/>
    <x v="7"/>
    <x v="4"/>
    <m/>
    <n v="1.8541409147095183"/>
    <n v="2.8072364316905802"/>
    <n v="2.8607755880483152"/>
    <n v="3.9745145631067964"/>
    <n v="1.0012135922330099"/>
    <n v="1.1225728155339807"/>
    <s v="T"/>
    <n v="1"/>
  </r>
  <r>
    <s v="PU-GSP-109"/>
    <x v="1"/>
    <s v="S"/>
    <s v="IMM"/>
    <s v="N"/>
    <n v="58"/>
    <n v="55"/>
    <n v="2.9420000000000002"/>
    <n v="5.8000000000000003E-2"/>
    <n v="0.05"/>
    <s v="F22"/>
    <x v="0"/>
    <n v="22"/>
    <n v="0.13400000000000001"/>
    <n v="0.11700000000000001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d v="2021-05-03T00:00:00"/>
    <n v="5"/>
    <n v="3"/>
    <n v="2021"/>
    <x v="7"/>
    <x v="7"/>
    <x v="4"/>
    <m/>
    <n v="1.7289073305670815"/>
    <n v="2.0110957004160888"/>
    <n v="2.046577275935074"/>
    <n v="3.9768864717878993"/>
    <n v="0.57783820530251528"/>
    <n v="0.57783820530251528"/>
    <s v="T"/>
    <n v="1"/>
  </r>
  <r>
    <s v="PU-GSP-110"/>
    <x v="1"/>
    <s v="S"/>
    <s v="IMM"/>
    <s v="N"/>
    <n v="55"/>
    <n v="52"/>
    <n v="2.665"/>
    <n v="7.8E-2"/>
    <n v="3.7999999999999999E-2"/>
    <s v="F22"/>
    <x v="0"/>
    <n v="22"/>
    <n v="0.10199999999999999"/>
    <n v="9.7000000000000003E-2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d v="2021-05-03T00:00:00"/>
    <n v="5"/>
    <n v="3"/>
    <n v="2021"/>
    <x v="7"/>
    <x v="7"/>
    <x v="4"/>
    <m/>
    <n v="1.4465169394746857"/>
    <n v="3.0150753768844218"/>
    <n v="3.0600235386426045"/>
    <n v="3.6397748592870545"/>
    <n v="0.18761726078799215"/>
    <n v="0.18761726078799215"/>
    <s v="T"/>
    <n v="1"/>
  </r>
  <r>
    <s v="PU-GSP-111"/>
    <x v="1"/>
    <s v="S"/>
    <s v="IMM"/>
    <s v="N"/>
    <n v="46"/>
    <n v="43"/>
    <n v="1.5009999999999999"/>
    <n v="4.4999999999999998E-2"/>
    <n v="7.0000000000000001E-3"/>
    <s v="M20"/>
    <x v="2"/>
    <n v="20"/>
    <n v="7.2999999999999995E-2"/>
    <n v="7.0000000000000007E-2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d v="2021-05-03T00:00:00"/>
    <n v="5"/>
    <n v="3"/>
    <n v="2021"/>
    <x v="7"/>
    <x v="7"/>
    <x v="4"/>
    <m/>
    <n v="0.46854082998661312"/>
    <n v="3.0906593406593408"/>
    <n v="3.1055900621118009"/>
    <n v="4.6635576282478359"/>
    <n v="0.19986675549633504"/>
    <n v="0.19986675549633504"/>
    <s v="T"/>
    <n v="1"/>
  </r>
  <r>
    <s v="PU-GSP-112"/>
    <x v="1"/>
    <s v="S"/>
    <s v="IMM"/>
    <s v="N"/>
    <n v="47"/>
    <n v="44"/>
    <n v="1.48"/>
    <n v="0.03"/>
    <n v="2.9000000000000001E-2"/>
    <s v="F22"/>
    <x v="0"/>
    <n v="22"/>
    <n v="7.3999999999999996E-2"/>
    <n v="6.9000000000000006E-2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d v="2021-05-03T00:00:00"/>
    <n v="5"/>
    <n v="3"/>
    <n v="2021"/>
    <x v="7"/>
    <x v="7"/>
    <x v="4"/>
    <m/>
    <n v="1.9986216402481045"/>
    <n v="2.0689655172413794"/>
    <n v="2.1111893033075297"/>
    <n v="4.6621621621621623"/>
    <n v="0.33783783783783722"/>
    <n v="0.33783783783783722"/>
    <s v="T"/>
    <n v="1"/>
  </r>
  <r>
    <s v="PU-GSP-113"/>
    <x v="1"/>
    <s v="I"/>
    <s v="B"/>
    <s v="N"/>
    <n v="113"/>
    <n v="108"/>
    <n v="25.878"/>
    <n v="0.45200000000000001"/>
    <n v="0.04"/>
    <s v="M22"/>
    <x v="2"/>
    <n v="22"/>
    <n v="2.4790000000000001"/>
    <n v="1.2"/>
    <s v="8 cranefly: 0.809; 2 odonate: 0.078"/>
    <s v="F"/>
    <m/>
    <m/>
    <m/>
    <m/>
    <m/>
    <m/>
    <m/>
    <m/>
    <m/>
    <m/>
    <m/>
    <m/>
    <m/>
    <m/>
    <m/>
    <m/>
    <m/>
    <m/>
    <m/>
    <m/>
    <m/>
    <m/>
    <m/>
    <m/>
    <n v="2"/>
    <n v="7.8E-2"/>
    <m/>
    <m/>
    <m/>
    <m/>
    <m/>
    <m/>
    <n v="8"/>
    <n v="0.80900000000000005"/>
    <m/>
    <m/>
    <m/>
    <m/>
    <m/>
    <m/>
    <m/>
    <m/>
    <m/>
    <m/>
    <m/>
    <m/>
    <m/>
    <m/>
    <m/>
    <m/>
    <m/>
    <m/>
    <m/>
    <m/>
    <m/>
    <m/>
    <n v="0.88700000000000001"/>
    <s v="17/3/2021"/>
    <s v="17"/>
    <s v="3"/>
    <s v="2021"/>
    <x v="8"/>
    <x v="8"/>
    <x v="5"/>
    <m/>
    <n v="0.15481074386562427"/>
    <n v="1.7777078580980099"/>
    <n v="1.7805089419365004E-2"/>
    <n v="4.8626306831996109"/>
    <n v="4.9424221346317339"/>
    <n v="8.3700440528634381"/>
    <s v="T"/>
    <n v="2"/>
  </r>
  <r>
    <s v="PU-GSP-114"/>
    <x v="1"/>
    <s v="I"/>
    <s v="B"/>
    <s v="N"/>
    <n v="118"/>
    <n v="112"/>
    <n v="27.276"/>
    <n v="0.45400000000000001"/>
    <n v="0.40300000000000002"/>
    <s v="F22"/>
    <x v="0"/>
    <n v="22"/>
    <n v="1.343"/>
    <n v="1.2509999999999999"/>
    <s v="2 chiro: 0.015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1.4999999999999999E-2"/>
    <m/>
    <m/>
    <m/>
    <m/>
    <m/>
    <m/>
    <m/>
    <m/>
    <m/>
    <m/>
    <m/>
    <m/>
    <m/>
    <m/>
    <m/>
    <m/>
    <m/>
    <m/>
    <m/>
    <m/>
    <m/>
    <m/>
    <m/>
    <m/>
    <n v="1.4999999999999999E-2"/>
    <s v="17/3/2021"/>
    <s v="17"/>
    <s v="3"/>
    <s v="2021"/>
    <x v="8"/>
    <x v="8"/>
    <x v="5"/>
    <m/>
    <n v="1.4996464853198377"/>
    <n v="1.6926403698456494"/>
    <n v="1.7184601990991331E-2"/>
    <n v="4.8069164265129682"/>
    <n v="0.33729285819035076"/>
    <n v="0.39228625898225578"/>
    <s v="T"/>
    <n v="2"/>
  </r>
  <r>
    <s v="PU-GSP-115"/>
    <x v="1"/>
    <s v="I"/>
    <s v="I"/>
    <s v="G"/>
    <n v="107"/>
    <n v="102"/>
    <n v="23.006"/>
    <n v="0.48699999999999999"/>
    <n v="3.5000000000000003E-2"/>
    <s v="M22"/>
    <x v="2"/>
    <n v="22"/>
    <n v="2.677"/>
    <n v="1.1930000000000001"/>
    <s v="4 earthworm: 0.76; 1 soldierfly larva: 0.031; 1 mussel: 0.042; 1 odonate: 0.026"/>
    <s v="F"/>
    <m/>
    <m/>
    <m/>
    <m/>
    <m/>
    <m/>
    <m/>
    <m/>
    <m/>
    <m/>
    <m/>
    <m/>
    <m/>
    <m/>
    <m/>
    <m/>
    <n v="1"/>
    <n v="4.2000000000000003E-2"/>
    <m/>
    <m/>
    <m/>
    <m/>
    <m/>
    <m/>
    <n v="1"/>
    <n v="2.5999999999999999E-2"/>
    <m/>
    <m/>
    <m/>
    <m/>
    <m/>
    <m/>
    <m/>
    <m/>
    <n v="1"/>
    <n v="3.1E-2"/>
    <m/>
    <m/>
    <m/>
    <m/>
    <m/>
    <m/>
    <n v="4"/>
    <n v="0.76"/>
    <m/>
    <m/>
    <m/>
    <m/>
    <m/>
    <m/>
    <m/>
    <m/>
    <m/>
    <m/>
    <m/>
    <m/>
    <n v="0.8590000000000001"/>
    <s v="17/3/2021"/>
    <s v="17"/>
    <s v="3"/>
    <s v="2021"/>
    <x v="8"/>
    <x v="8"/>
    <x v="5"/>
    <m/>
    <n v="0.1523660267293544"/>
    <n v="2.1626182334917177"/>
    <n v="2.1659847002312754E-2"/>
    <n v="5.4692156053729439"/>
    <n v="6.4504911762149009"/>
    <n v="10.184299747891853"/>
    <s v="T"/>
    <n v="2"/>
  </r>
  <r>
    <s v="PU-GSP-116"/>
    <x v="1"/>
    <s v="I"/>
    <s v="I"/>
    <s v="G"/>
    <n v="92"/>
    <n v="87"/>
    <n v="13.935"/>
    <n v="0.312"/>
    <n v="0.186"/>
    <s v="F22"/>
    <x v="0"/>
    <n v="22"/>
    <n v="1.2849999999999999"/>
    <n v="0.67800000000000005"/>
    <s v="1 earthworm: 0.225; 7 chiro: 0.064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"/>
    <n v="6.4000000000000001E-2"/>
    <m/>
    <m/>
    <m/>
    <m/>
    <m/>
    <m/>
    <m/>
    <m/>
    <m/>
    <m/>
    <n v="1"/>
    <n v="0.22500000000000001"/>
    <m/>
    <m/>
    <m/>
    <m/>
    <m/>
    <m/>
    <m/>
    <m/>
    <m/>
    <m/>
    <m/>
    <m/>
    <n v="0.28900000000000003"/>
    <s v="17/3/2021"/>
    <s v="17"/>
    <s v="3"/>
    <s v="2021"/>
    <x v="8"/>
    <x v="8"/>
    <x v="5"/>
    <m/>
    <n v="1.3528256600480035"/>
    <n v="2.2902444395507597"/>
    <n v="2.3219468631390933E-2"/>
    <n v="5.1142792486988009"/>
    <n v="4.3559382848941501"/>
    <n v="6.4298528884104771"/>
    <s v="T"/>
    <n v="2"/>
  </r>
  <r>
    <s v="PU-GSP-117"/>
    <x v="1"/>
    <s v="I"/>
    <s v="B"/>
    <s v="N"/>
    <n v="121"/>
    <n v="114"/>
    <n v="32.979999999999997"/>
    <n v="0.58499999999999996"/>
    <n v="0.44700000000000001"/>
    <s v="F22"/>
    <x v="0"/>
    <n v="22"/>
    <n v="1.4470000000000001"/>
    <n v="1.4059999999999999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17/3/2021"/>
    <s v="17"/>
    <s v="3"/>
    <s v="2021"/>
    <x v="8"/>
    <x v="8"/>
    <x v="5"/>
    <m/>
    <n v="1.3739894875972092"/>
    <n v="1.8058342336780369"/>
    <n v="1.8311005383748594E-2"/>
    <n v="4.4530309748527275"/>
    <n v="0.12431776834445166"/>
    <n v="0.12431776834445166"/>
    <s v="T"/>
    <n v="2"/>
  </r>
  <r>
    <s v="PU-GSP-118"/>
    <x v="1"/>
    <s v="I"/>
    <s v="I"/>
    <s v="G"/>
    <n v="92"/>
    <n v="87"/>
    <n v="13.771000000000001"/>
    <n v="0.30599999999999999"/>
    <n v="2.5999999999999999E-2"/>
    <s v="M22"/>
    <x v="2"/>
    <n v="22"/>
    <n v="0.90200000000000002"/>
    <n v="0.753"/>
    <s v="1 cranefly: 0.017; 1 caddis: 0.08; 1 soldierfly: 0.01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.7000000000000001E-2"/>
    <n v="1"/>
    <n v="0.01"/>
    <n v="1"/>
    <n v="0.08"/>
    <m/>
    <m/>
    <m/>
    <m/>
    <m/>
    <m/>
    <m/>
    <m/>
    <m/>
    <m/>
    <m/>
    <m/>
    <m/>
    <m/>
    <m/>
    <m/>
    <m/>
    <m/>
    <n v="3.5000000000000003E-2"/>
    <s v="17/3/2021"/>
    <s v="17"/>
    <s v="3"/>
    <s v="2021"/>
    <x v="8"/>
    <x v="8"/>
    <x v="5"/>
    <m/>
    <n v="0.18915969443433975"/>
    <n v="2.2725584849610097"/>
    <n v="2.2769551305900734E-2"/>
    <n v="5.7842986633891531"/>
    <n v="1.0819838791663643"/>
    <n v="1.3361411662188658"/>
    <s v="T"/>
    <n v="2"/>
  </r>
  <r>
    <s v="PU-GSP-119"/>
    <x v="1"/>
    <s v="I"/>
    <s v="I"/>
    <s v="G"/>
    <n v="89"/>
    <n v="85"/>
    <n v="12.061"/>
    <n v="0.28199999999999997"/>
    <n v="0.187"/>
    <s v="F22"/>
    <x v="0"/>
    <n v="22"/>
    <n v="0.46300000000000002"/>
    <n v="0.40699999999999997"/>
    <s v="8 chiro: 0.033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"/>
    <n v="3.3000000000000002E-2"/>
    <m/>
    <m/>
    <m/>
    <m/>
    <m/>
    <m/>
    <m/>
    <m/>
    <m/>
    <m/>
    <m/>
    <m/>
    <m/>
    <m/>
    <m/>
    <m/>
    <m/>
    <m/>
    <m/>
    <m/>
    <m/>
    <m/>
    <m/>
    <m/>
    <n v="3.3000000000000002E-2"/>
    <s v="17/3/2021"/>
    <s v="17"/>
    <s v="3"/>
    <s v="2021"/>
    <x v="8"/>
    <x v="8"/>
    <x v="5"/>
    <m/>
    <n v="1.5748694626915951"/>
    <n v="2.3940911792172508"/>
    <n v="2.4327122153209105E-2"/>
    <n v="3.4923631371203014"/>
    <n v="0.46430644225188666"/>
    <n v="0.73791559572174825"/>
    <s v="T"/>
    <n v="1"/>
  </r>
  <r>
    <s v="PU-GSP-120"/>
    <x v="1"/>
    <s v="I"/>
    <s v="I"/>
    <s v="G"/>
    <n v="99"/>
    <n v="93"/>
    <n v="15.602"/>
    <n v="0.33800000000000002"/>
    <n v="2.1999999999999999E-2"/>
    <s v="M22"/>
    <x v="2"/>
    <n v="22"/>
    <n v="1.4019999999999999"/>
    <n v="1.0049999999999999"/>
    <s v="2 cranefly: 0.11; 2 odo: 0.046"/>
    <s v="F"/>
    <m/>
    <m/>
    <m/>
    <m/>
    <m/>
    <m/>
    <m/>
    <m/>
    <m/>
    <m/>
    <m/>
    <m/>
    <m/>
    <m/>
    <m/>
    <m/>
    <m/>
    <m/>
    <m/>
    <m/>
    <m/>
    <m/>
    <m/>
    <m/>
    <n v="2"/>
    <n v="4.5999999999999999E-2"/>
    <m/>
    <m/>
    <m/>
    <m/>
    <m/>
    <m/>
    <n v="2"/>
    <n v="0.11"/>
    <m/>
    <m/>
    <m/>
    <m/>
    <m/>
    <m/>
    <m/>
    <m/>
    <m/>
    <m/>
    <m/>
    <m/>
    <m/>
    <m/>
    <m/>
    <m/>
    <m/>
    <m/>
    <m/>
    <m/>
    <m/>
    <m/>
    <n v="0.156"/>
    <s v="17/3/2021"/>
    <s v="17"/>
    <s v="3"/>
    <s v="2021"/>
    <x v="8"/>
    <x v="8"/>
    <x v="5"/>
    <m/>
    <n v="0.14120667522464697"/>
    <n v="2.2143605870020964"/>
    <n v="2.2175567510825351E-2"/>
    <n v="6.8849763650065068"/>
    <n v="2.5445455710806311"/>
    <n v="3.5444173823868739"/>
    <s v="T"/>
    <n v="3"/>
  </r>
  <r>
    <s v="PU-GSP-121"/>
    <x v="1"/>
    <s v="I"/>
    <s v="I"/>
    <s v="G"/>
    <n v="91"/>
    <n v="86"/>
    <n v="13.385"/>
    <n v="0.32900000000000001"/>
    <n v="1.7999999999999999E-2"/>
    <s v="M22"/>
    <x v="2"/>
    <n v="22"/>
    <n v="1.252"/>
    <n v="0.60799999999999998"/>
    <s v="3 earthworm: 0.366; 25 chiro: 0.117; 1 odo: 0.036"/>
    <s v="F"/>
    <m/>
    <m/>
    <m/>
    <m/>
    <m/>
    <m/>
    <m/>
    <m/>
    <m/>
    <m/>
    <m/>
    <m/>
    <m/>
    <m/>
    <m/>
    <m/>
    <m/>
    <m/>
    <m/>
    <m/>
    <m/>
    <m/>
    <m/>
    <m/>
    <n v="1"/>
    <n v="3.5999999999999997E-2"/>
    <m/>
    <m/>
    <m/>
    <m/>
    <n v="25"/>
    <n v="0.11700000000000001"/>
    <m/>
    <m/>
    <m/>
    <m/>
    <m/>
    <m/>
    <m/>
    <m/>
    <m/>
    <m/>
    <n v="3"/>
    <n v="0.36599999999999999"/>
    <m/>
    <m/>
    <m/>
    <m/>
    <m/>
    <m/>
    <m/>
    <m/>
    <m/>
    <m/>
    <m/>
    <m/>
    <n v="0.51900000000000002"/>
    <s v="17/3/2021"/>
    <s v="17"/>
    <s v="3"/>
    <s v="2021"/>
    <x v="8"/>
    <x v="8"/>
    <x v="5"/>
    <m/>
    <n v="0.13465998354155756"/>
    <n v="2.519914215686275"/>
    <n v="2.523393158459887E-2"/>
    <n v="4.7585505204664633"/>
    <n v="4.8113559955173706"/>
    <n v="8.6888307807246914"/>
    <s v="T"/>
    <n v="1"/>
  </r>
  <r>
    <s v="PU-GSP-122"/>
    <x v="1"/>
    <s v="I"/>
    <s v="I"/>
    <s v="G"/>
    <n v="88"/>
    <n v="83"/>
    <n v="12.167999999999999"/>
    <n v="0.315"/>
    <n v="0.193"/>
    <s v="F22"/>
    <x v="0"/>
    <n v="22"/>
    <n v="0.96699999999999997"/>
    <n v="0.60699999999999998"/>
    <s v="1 damsel: 0.021; 1 earthworm: 0.162; 3 cranefly: 0.083"/>
    <s v="F"/>
    <m/>
    <m/>
    <m/>
    <m/>
    <m/>
    <m/>
    <m/>
    <m/>
    <m/>
    <m/>
    <m/>
    <m/>
    <m/>
    <m/>
    <m/>
    <m/>
    <m/>
    <m/>
    <m/>
    <m/>
    <m/>
    <m/>
    <m/>
    <m/>
    <m/>
    <m/>
    <n v="1"/>
    <n v="2.1000000000000001E-2"/>
    <m/>
    <m/>
    <m/>
    <m/>
    <n v="3"/>
    <n v="8.3000000000000004E-2"/>
    <m/>
    <m/>
    <m/>
    <m/>
    <m/>
    <m/>
    <m/>
    <m/>
    <n v="1"/>
    <n v="0.16200000000000001"/>
    <m/>
    <m/>
    <m/>
    <m/>
    <m/>
    <m/>
    <m/>
    <m/>
    <m/>
    <m/>
    <m/>
    <m/>
    <n v="0.26600000000000001"/>
    <s v="17/3/2021"/>
    <s v="17"/>
    <s v="3"/>
    <s v="2021"/>
    <x v="8"/>
    <x v="8"/>
    <x v="5"/>
    <m/>
    <n v="1.6116910229645096"/>
    <n v="2.6575550493545941"/>
    <n v="2.7015437392795882E-2"/>
    <n v="5.2504108641121015"/>
    <n v="2.9585798816568047"/>
    <n v="5.144641683103222"/>
    <s v="T"/>
    <n v="1"/>
  </r>
  <r>
    <s v="PU-GSP-123"/>
    <x v="1"/>
    <s v="I"/>
    <s v="S"/>
    <s v="G"/>
    <n v="81"/>
    <n v="76"/>
    <n v="9.0909999999999993"/>
    <n v="0.27"/>
    <n v="0.13700000000000001"/>
    <s v="F22"/>
    <x v="0"/>
    <n v="22"/>
    <n v="0.9"/>
    <n v="0.56499999999999995"/>
    <s v="8 chiro: 0.049; 2 damsel: 0.042; 1 cranefly: 0.036; inverts: 0.02"/>
    <s v="F"/>
    <m/>
    <m/>
    <m/>
    <n v="0.02"/>
    <m/>
    <m/>
    <m/>
    <m/>
    <m/>
    <m/>
    <m/>
    <m/>
    <m/>
    <m/>
    <m/>
    <m/>
    <m/>
    <m/>
    <m/>
    <m/>
    <m/>
    <m/>
    <m/>
    <m/>
    <m/>
    <m/>
    <n v="2"/>
    <n v="4.2000000000000003E-2"/>
    <m/>
    <m/>
    <n v="8"/>
    <n v="4.9000000000000002E-2"/>
    <n v="1"/>
    <n v="3.5999999999999997E-2"/>
    <m/>
    <m/>
    <m/>
    <m/>
    <m/>
    <m/>
    <m/>
    <m/>
    <m/>
    <m/>
    <m/>
    <m/>
    <m/>
    <m/>
    <m/>
    <m/>
    <m/>
    <m/>
    <m/>
    <m/>
    <m/>
    <m/>
    <n v="0.14699999999999999"/>
    <s v="17/3/2021"/>
    <s v="17"/>
    <s v="3"/>
    <s v="2021"/>
    <x v="8"/>
    <x v="8"/>
    <x v="5"/>
    <m/>
    <n v="1.5300424391333485"/>
    <n v="3.0608774515361072"/>
    <n v="3.109166282818978E-2"/>
    <n v="6.6267886464930799"/>
    <n v="3.6849631503684979"/>
    <n v="5.3019469805301966"/>
    <s v="T"/>
    <n v="1"/>
  </r>
  <r>
    <s v="PU-GSP-124"/>
    <x v="1"/>
    <s v="I"/>
    <s v="S"/>
    <s v="G"/>
    <n v="79"/>
    <n v="76"/>
    <n v="8.2810000000000006"/>
    <n v="0.16"/>
    <n v="0.13200000000000001"/>
    <s v="F22"/>
    <x v="0"/>
    <n v="22"/>
    <n v="0.83399999999999996"/>
    <n v="0.39200000000000002"/>
    <s v="41 chiro: 0.286; 1 cranefly: 0.021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1"/>
    <n v="0.28599999999999998"/>
    <n v="1"/>
    <n v="2.1000000000000001E-2"/>
    <m/>
    <m/>
    <m/>
    <m/>
    <m/>
    <m/>
    <m/>
    <m/>
    <m/>
    <m/>
    <m/>
    <m/>
    <m/>
    <m/>
    <m/>
    <m/>
    <m/>
    <m/>
    <m/>
    <m/>
    <m/>
    <m/>
    <n v="0.307"/>
    <s v="17/3/2021"/>
    <s v="17"/>
    <s v="3"/>
    <s v="2021"/>
    <x v="8"/>
    <x v="8"/>
    <x v="5"/>
    <m/>
    <n v="1.6198306540679837"/>
    <n v="1.9702007141977589"/>
    <n v="2.0027537864563773E-2"/>
    <n v="4.9689440993788825"/>
    <n v="5.3375196232339075"/>
    <n v="9.0448013524936588"/>
    <s v="T"/>
    <n v="1"/>
  </r>
  <r>
    <s v="PU-GSP-125"/>
    <x v="1"/>
    <s v="I"/>
    <s v="S"/>
    <s v="G"/>
    <n v="80"/>
    <n v="76"/>
    <n v="8.2639999999999993"/>
    <n v="0.219"/>
    <n v="1.2E-2"/>
    <s v="M22"/>
    <x v="2"/>
    <n v="22"/>
    <n v="0.82199999999999995"/>
    <n v="0.43"/>
    <s v="16 chiro: 0.106; 1 earthworm: 0.04; 1 soldierfly: 0.035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6"/>
    <n v="0.106"/>
    <m/>
    <m/>
    <n v="1"/>
    <n v="3.5000000000000003E-2"/>
    <m/>
    <m/>
    <m/>
    <m/>
    <m/>
    <m/>
    <n v="1"/>
    <n v="0.04"/>
    <m/>
    <m/>
    <m/>
    <m/>
    <m/>
    <m/>
    <m/>
    <m/>
    <m/>
    <m/>
    <m/>
    <m/>
    <n v="0.18099999999999999"/>
    <s v="17/3/2021"/>
    <s v="17"/>
    <s v="3"/>
    <s v="2021"/>
    <x v="8"/>
    <x v="8"/>
    <x v="5"/>
    <m/>
    <n v="0.14541929229277753"/>
    <n v="2.7221876942200125"/>
    <n v="2.7262542014191461E-2"/>
    <n v="5.4888945621649219"/>
    <n v="4.7434656340755081"/>
    <n v="6.9336882865440455"/>
    <s v="T"/>
    <n v="2"/>
  </r>
  <r>
    <s v="PU-GSP-126"/>
    <x v="1"/>
    <s v="I"/>
    <s v="I"/>
    <s v="G"/>
    <n v="87"/>
    <n v="82"/>
    <n v="10.629"/>
    <n v="0.247"/>
    <n v="0.16800000000000001"/>
    <s v="F22"/>
    <x v="0"/>
    <n v="22"/>
    <n v="0.74299999999999999"/>
    <n v="0.40200000000000002"/>
    <s v="32 chiro: 0.17; 2 damsel: 0.036; 1 earthworm: 0.03"/>
    <s v="F"/>
    <m/>
    <m/>
    <m/>
    <m/>
    <m/>
    <m/>
    <m/>
    <m/>
    <m/>
    <m/>
    <m/>
    <m/>
    <m/>
    <m/>
    <m/>
    <m/>
    <m/>
    <m/>
    <m/>
    <m/>
    <m/>
    <m/>
    <m/>
    <m/>
    <m/>
    <m/>
    <n v="2"/>
    <n v="3.5999999999999997E-2"/>
    <m/>
    <m/>
    <n v="32"/>
    <n v="0.17"/>
    <m/>
    <m/>
    <m/>
    <m/>
    <m/>
    <m/>
    <m/>
    <m/>
    <m/>
    <m/>
    <n v="1"/>
    <n v="0.03"/>
    <m/>
    <m/>
    <m/>
    <m/>
    <m/>
    <m/>
    <m/>
    <m/>
    <m/>
    <m/>
    <m/>
    <m/>
    <n v="0.23600000000000002"/>
    <s v="17/3/2021"/>
    <s v="17"/>
    <s v="3"/>
    <s v="2021"/>
    <x v="8"/>
    <x v="8"/>
    <x v="5"/>
    <m/>
    <n v="1.6059650129050762"/>
    <n v="2.3791177037179736"/>
    <n v="2.4182494615233991E-2"/>
    <n v="3.9307714872396602"/>
    <n v="3.208203970270016"/>
    <n v="5.4285445479348953"/>
    <s v="T"/>
    <n v="1"/>
  </r>
  <r>
    <s v="PU-GSP-127"/>
    <x v="1"/>
    <s v="I"/>
    <s v="S"/>
    <s v="G"/>
    <n v="70"/>
    <n v="66"/>
    <n v="5.8929999999999998"/>
    <n v="0.14799999999999999"/>
    <n v="1.2E-2"/>
    <s v="M22"/>
    <x v="2"/>
    <n v="22"/>
    <n v="0.379"/>
    <n v="0.251"/>
    <s v="16 chiro: 0.077; 1 leech: 0.012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6"/>
    <n v="7.6999999999999999E-2"/>
    <m/>
    <m/>
    <m/>
    <m/>
    <m/>
    <m/>
    <m/>
    <m/>
    <n v="1"/>
    <n v="1.2E-2"/>
    <m/>
    <m/>
    <m/>
    <m/>
    <m/>
    <m/>
    <m/>
    <m/>
    <m/>
    <m/>
    <m/>
    <m/>
    <m/>
    <m/>
    <n v="8.8999999999999996E-2"/>
    <s v="17/3/2021"/>
    <s v="17"/>
    <s v="3"/>
    <s v="2021"/>
    <x v="8"/>
    <x v="8"/>
    <x v="5"/>
    <m/>
    <n v="0.20404693079408265"/>
    <n v="2.5761531766753696"/>
    <n v="2.5815454386882954E-2"/>
    <n v="4.4487770294221916"/>
    <n v="2.1720685559137962"/>
    <n v="3.6823349736976074"/>
    <s v="T"/>
    <n v="1"/>
  </r>
  <r>
    <s v="PU-GSP-128"/>
    <x v="1"/>
    <s v="I"/>
    <s v="S"/>
    <s v="G"/>
    <n v="73"/>
    <n v="68"/>
    <n v="6.5949999999999998"/>
    <n v="0.189"/>
    <n v="1.2E-2"/>
    <s v="M22"/>
    <x v="2"/>
    <n v="22"/>
    <n v="0.44"/>
    <n v="0.28100000000000003"/>
    <s v="29 chiro: 0.126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9"/>
    <n v="0.126"/>
    <m/>
    <m/>
    <m/>
    <m/>
    <m/>
    <m/>
    <m/>
    <m/>
    <m/>
    <m/>
    <m/>
    <m/>
    <m/>
    <m/>
    <m/>
    <m/>
    <m/>
    <m/>
    <m/>
    <m/>
    <m/>
    <m/>
    <m/>
    <m/>
    <n v="0.126"/>
    <s v="17/3/2021"/>
    <s v="17"/>
    <s v="3"/>
    <s v="2021"/>
    <x v="8"/>
    <x v="8"/>
    <x v="5"/>
    <m/>
    <n v="0.18228771077016559"/>
    <n v="2.9503590384014986"/>
    <n v="2.9558961526431029E-2"/>
    <n v="4.4504276211593288"/>
    <n v="2.4109173616376038"/>
    <n v="4.3214556482183468"/>
    <s v="T"/>
    <n v="1"/>
  </r>
  <r>
    <s v="PU-GSP-129"/>
    <x v="1"/>
    <s v="I"/>
    <s v="S"/>
    <s v="G"/>
    <n v="76"/>
    <n v="72"/>
    <n v="6.9930000000000003"/>
    <n v="0.218"/>
    <n v="0.124"/>
    <s v="F22"/>
    <x v="0"/>
    <n v="22"/>
    <n v="0.29899999999999999"/>
    <n v="0.26700000000000002"/>
    <s v="17 chaoborous: 0.016"/>
    <s v="F"/>
    <m/>
    <m/>
    <m/>
    <m/>
    <m/>
    <m/>
    <m/>
    <m/>
    <m/>
    <m/>
    <m/>
    <m/>
    <m/>
    <m/>
    <m/>
    <m/>
    <m/>
    <m/>
    <m/>
    <m/>
    <m/>
    <m/>
    <m/>
    <m/>
    <m/>
    <m/>
    <m/>
    <m/>
    <n v="17"/>
    <n v="1.6E-2"/>
    <m/>
    <m/>
    <m/>
    <m/>
    <m/>
    <m/>
    <m/>
    <m/>
    <m/>
    <m/>
    <m/>
    <m/>
    <m/>
    <m/>
    <m/>
    <m/>
    <m/>
    <m/>
    <m/>
    <m/>
    <m/>
    <m/>
    <m/>
    <m/>
    <m/>
    <m/>
    <n v="1.6E-2"/>
    <s v="17/3/2021"/>
    <s v="17"/>
    <s v="3"/>
    <s v="2021"/>
    <x v="8"/>
    <x v="8"/>
    <x v="5"/>
    <m/>
    <n v="1.8052118212257966"/>
    <n v="3.2177121771217712"/>
    <n v="3.2777026011126142E-2"/>
    <n v="3.969669937555754"/>
    <n v="0.4576004576004572"/>
    <n v="0.68640068640068597"/>
    <s v="T"/>
    <n v="1"/>
  </r>
  <r>
    <s v="PU-GSP-130"/>
    <x v="1"/>
    <s v="S"/>
    <s v="IMM"/>
    <s v="G"/>
    <n v="60"/>
    <n v="56"/>
    <n v="3.7610000000000001"/>
    <n v="9.4E-2"/>
    <n v="6.8000000000000005E-2"/>
    <s v="F22"/>
    <x v="0"/>
    <n v="22"/>
    <n v="0.23"/>
    <n v="0.159"/>
    <s v="12 chiro: 0.05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2"/>
    <n v="0.05"/>
    <m/>
    <m/>
    <m/>
    <m/>
    <m/>
    <m/>
    <m/>
    <m/>
    <m/>
    <m/>
    <m/>
    <m/>
    <m/>
    <m/>
    <m/>
    <m/>
    <m/>
    <m/>
    <m/>
    <m/>
    <m/>
    <m/>
    <m/>
    <m/>
    <n v="0.05"/>
    <s v="17/3/2021"/>
    <s v="17"/>
    <s v="3"/>
    <s v="2021"/>
    <x v="8"/>
    <x v="8"/>
    <x v="5"/>
    <m/>
    <n v="1.8413214189006228"/>
    <n v="2.5634033269702754"/>
    <n v="2.6118366212836898E-2"/>
    <n v="4.4142143253747914"/>
    <n v="1.8877957989896306"/>
    <n v="3.2172294602499338"/>
    <s v="T"/>
    <n v="1"/>
  </r>
  <r>
    <s v="PU-GSP-131"/>
    <x v="1"/>
    <s v="I"/>
    <s v="IMM"/>
    <s v="G"/>
    <n v="61"/>
    <n v="57"/>
    <n v="3.3149999999999999"/>
    <n v="6.9000000000000006E-2"/>
    <n v="6.4000000000000001E-2"/>
    <s v="F22"/>
    <x v="0"/>
    <n v="22"/>
    <n v="0.14000000000000001"/>
    <n v="0.128"/>
    <s v="zoops: 0.004"/>
    <s v="F"/>
    <m/>
    <m/>
    <m/>
    <m/>
    <m/>
    <m/>
    <m/>
    <m/>
    <m/>
    <m/>
    <m/>
    <m/>
    <m/>
    <m/>
    <m/>
    <m/>
    <m/>
    <m/>
    <m/>
    <m/>
    <m/>
    <m/>
    <n v="1"/>
    <n v="4.0000000000000001E-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.0000000000000001E-3"/>
    <s v="17/3/2021"/>
    <s v="17"/>
    <s v="3"/>
    <s v="2021"/>
    <x v="8"/>
    <x v="8"/>
    <x v="5"/>
    <m/>
    <n v="1.9686250384497079"/>
    <n v="2.1256931608133089"/>
    <n v="2.1684475172847269E-2"/>
    <n v="4.016316284907437"/>
    <n v="0.36199095022624467"/>
    <n v="0.48265460030165952"/>
    <s v="T"/>
    <n v="1"/>
  </r>
  <r>
    <s v="PU-GSP-132"/>
    <x v="1"/>
    <s v="I"/>
    <s v="IMM"/>
    <s v="G"/>
    <n v="61"/>
    <n v="57"/>
    <n v="3.9340000000000002"/>
    <n v="0.123"/>
    <n v="7.0000000000000007E-2"/>
    <s v="F22"/>
    <x v="0"/>
    <n v="22"/>
    <n v="0.29899999999999999"/>
    <n v="0.186"/>
    <s v="23 chiro: 0.097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3"/>
    <n v="9.7000000000000003E-2"/>
    <m/>
    <m/>
    <m/>
    <m/>
    <m/>
    <m/>
    <m/>
    <m/>
    <m/>
    <m/>
    <m/>
    <m/>
    <m/>
    <m/>
    <m/>
    <m/>
    <m/>
    <m/>
    <m/>
    <m/>
    <m/>
    <m/>
    <m/>
    <m/>
    <n v="9.7000000000000003E-2"/>
    <s v="17/3/2021"/>
    <s v="17"/>
    <s v="3"/>
    <s v="2021"/>
    <x v="8"/>
    <x v="8"/>
    <x v="5"/>
    <m/>
    <n v="1.8115942028985508"/>
    <n v="3.2274993440041984"/>
    <n v="3.2878909382518043E-2"/>
    <n v="4.9626467449306295"/>
    <n v="2.872394509405185"/>
    <n v="5.3380782918149459"/>
    <s v="T"/>
    <n v="2"/>
  </r>
  <r>
    <s v="PU-GSP-133"/>
    <x v="1"/>
    <s v="I"/>
    <s v="S"/>
    <s v="G"/>
    <n v="72"/>
    <n v="68"/>
    <n v="5.8639999999999999"/>
    <n v="0.152"/>
    <n v="9.8000000000000004E-2"/>
    <s v="F22"/>
    <x v="0"/>
    <n v="22"/>
    <n v="0.33900000000000002"/>
    <n v="0.28799999999999998"/>
    <s v="~50 chaoborous: 0.024"/>
    <s v="F"/>
    <m/>
    <m/>
    <m/>
    <m/>
    <m/>
    <m/>
    <m/>
    <m/>
    <m/>
    <m/>
    <m/>
    <m/>
    <m/>
    <m/>
    <m/>
    <m/>
    <m/>
    <m/>
    <m/>
    <m/>
    <m/>
    <m/>
    <m/>
    <m/>
    <m/>
    <m/>
    <m/>
    <m/>
    <n v="50"/>
    <n v="2.4E-2"/>
    <m/>
    <m/>
    <m/>
    <m/>
    <m/>
    <m/>
    <m/>
    <m/>
    <m/>
    <m/>
    <m/>
    <m/>
    <m/>
    <m/>
    <m/>
    <m/>
    <m/>
    <m/>
    <m/>
    <m/>
    <m/>
    <m/>
    <m/>
    <m/>
    <m/>
    <m/>
    <n v="2.4E-2"/>
    <s v="17/3/2021"/>
    <s v="17"/>
    <s v="3"/>
    <s v="2021"/>
    <x v="8"/>
    <x v="8"/>
    <x v="5"/>
    <m/>
    <n v="1.6996184530003469"/>
    <n v="2.661064425770308"/>
    <n v="2.7075169219807623E-2"/>
    <n v="5.1649928263988523"/>
    <n v="0.86971350613915499"/>
    <n v="1.2789904502046392"/>
    <s v="T"/>
    <n v="2"/>
  </r>
  <r>
    <s v="PU-GSP-134"/>
    <x v="1"/>
    <s v="I"/>
    <s v="S"/>
    <s v="G"/>
    <n v="73"/>
    <n v="69"/>
    <n v="6.7610000000000001"/>
    <n v="0.156"/>
    <n v="1.2999999999999999E-2"/>
    <s v="M22"/>
    <x v="2"/>
    <n v="22"/>
    <n v="0.42399999999999999"/>
    <n v="0.28199999999999997"/>
    <s v="20 chiro: 0.09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0"/>
    <n v="0.09"/>
    <m/>
    <m/>
    <m/>
    <m/>
    <m/>
    <m/>
    <m/>
    <m/>
    <m/>
    <m/>
    <m/>
    <m/>
    <m/>
    <m/>
    <m/>
    <m/>
    <m/>
    <m/>
    <m/>
    <m/>
    <m/>
    <m/>
    <m/>
    <m/>
    <n v="0.09"/>
    <s v="17/3/2021"/>
    <s v="17"/>
    <s v="3"/>
    <s v="2021"/>
    <x v="8"/>
    <x v="8"/>
    <x v="5"/>
    <m/>
    <n v="0.19264967397747479"/>
    <n v="2.3618470855412568"/>
    <n v="2.3665048543689317E-2"/>
    <n v="4.3525235375829601"/>
    <n v="2.1002810235172311"/>
    <n v="3.4314450525070255"/>
    <s v="T"/>
    <n v="1"/>
  </r>
  <r>
    <s v="PU-GSP-135"/>
    <x v="1"/>
    <s v="I"/>
    <s v="IMM"/>
    <s v="G"/>
    <n v="64"/>
    <n v="60"/>
    <n v="4.125"/>
    <n v="8.7999999999999995E-2"/>
    <n v="7.8E-2"/>
    <s v="F22"/>
    <x v="0"/>
    <n v="22"/>
    <n v="0.27400000000000002"/>
    <n v="0.17399999999999999"/>
    <s v="11 chiro: 0.06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1"/>
    <n v="0.06"/>
    <m/>
    <m/>
    <m/>
    <m/>
    <m/>
    <m/>
    <m/>
    <m/>
    <m/>
    <m/>
    <m/>
    <m/>
    <m/>
    <m/>
    <m/>
    <m/>
    <m/>
    <m/>
    <m/>
    <m/>
    <m/>
    <m/>
    <m/>
    <m/>
    <n v="0.06"/>
    <s v="17/3/2021"/>
    <s v="17"/>
    <s v="3"/>
    <s v="2021"/>
    <x v="8"/>
    <x v="8"/>
    <x v="5"/>
    <m/>
    <n v="1.927353595255745"/>
    <n v="2.1798365122615802"/>
    <n v="2.2227835311947459E-2"/>
    <n v="4.4039483675018971"/>
    <n v="2.4242424242424248"/>
    <n v="3.8787878787878793"/>
    <s v="T"/>
    <n v="1"/>
  </r>
  <r>
    <s v="PU-GSP-136"/>
    <x v="1"/>
    <s v="S"/>
    <s v="IMM"/>
    <s v="N"/>
    <n v="59"/>
    <n v="56"/>
    <n v="3.3460000000000001"/>
    <n v="7.5999999999999998E-2"/>
    <n v="5.6000000000000001E-2"/>
    <s v="F22"/>
    <x v="0"/>
    <n v="22"/>
    <n v="0.23400000000000001"/>
    <n v="0.13300000000000001"/>
    <s v="15 chiro: 0.078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5"/>
    <n v="7.8E-2"/>
    <m/>
    <m/>
    <m/>
    <m/>
    <m/>
    <m/>
    <m/>
    <m/>
    <m/>
    <m/>
    <m/>
    <m/>
    <m/>
    <m/>
    <m/>
    <m/>
    <m/>
    <m/>
    <m/>
    <m/>
    <m/>
    <m/>
    <m/>
    <m/>
    <n v="7.8E-2"/>
    <s v="17/3/2021"/>
    <s v="17"/>
    <s v="3"/>
    <s v="2021"/>
    <x v="8"/>
    <x v="8"/>
    <x v="5"/>
    <m/>
    <n v="1.7021276595744681"/>
    <n v="2.3241590214067278"/>
    <n v="2.3646546359676415E-2"/>
    <n v="4.1394335511982572"/>
    <n v="3.0185295875672447"/>
    <n v="5.3496712492528387"/>
    <s v="T"/>
    <n v="1"/>
  </r>
  <r>
    <s v="PU-GSP-137"/>
    <x v="1"/>
    <s v="S"/>
    <s v="IMM"/>
    <s v="N"/>
    <n v="58"/>
    <n v="56"/>
    <n v="2.9670000000000001"/>
    <n v="7.9000000000000001E-2"/>
    <n v="1.7999999999999999E-2"/>
    <s v="M22"/>
    <x v="2"/>
    <n v="22"/>
    <n v="0.13"/>
    <n v="0.11600000000000001"/>
    <s v="2 chiro: 0.004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4.0000000000000001E-3"/>
    <m/>
    <m/>
    <m/>
    <m/>
    <m/>
    <m/>
    <m/>
    <m/>
    <m/>
    <m/>
    <m/>
    <m/>
    <m/>
    <m/>
    <m/>
    <m/>
    <m/>
    <m/>
    <m/>
    <m/>
    <m/>
    <m/>
    <m/>
    <m/>
    <n v="4.0000000000000001E-3"/>
    <s v="17/3/2021"/>
    <s v="17"/>
    <s v="3"/>
    <s v="2021"/>
    <x v="8"/>
    <x v="8"/>
    <x v="5"/>
    <m/>
    <n v="0.6103763987792471"/>
    <n v="2.7354570637119116"/>
    <n v="2.7526132404181183E-2"/>
    <n v="4.0687478077867416"/>
    <n v="0.47185709470845966"/>
    <n v="0.60667340748230525"/>
    <s v="T"/>
    <n v="1"/>
  </r>
  <r>
    <s v="PU-GSP-138"/>
    <x v="1"/>
    <s v="S"/>
    <s v="IMM"/>
    <s v="N"/>
    <n v="54"/>
    <n v="51"/>
    <n v="2.4359999999999999"/>
    <n v="7.0000000000000007E-2"/>
    <n v="0.04"/>
    <s v="F22"/>
    <x v="0"/>
    <n v="22"/>
    <n v="0.104"/>
    <n v="9.0999999999999998E-2"/>
    <s v="3 chiro: 0.003, inverts: 0.013"/>
    <s v="F"/>
    <m/>
    <m/>
    <m/>
    <n v="1.2999999999999999E-2"/>
    <m/>
    <m/>
    <m/>
    <m/>
    <m/>
    <m/>
    <m/>
    <m/>
    <m/>
    <m/>
    <m/>
    <m/>
    <m/>
    <m/>
    <m/>
    <m/>
    <m/>
    <m/>
    <m/>
    <m/>
    <m/>
    <m/>
    <m/>
    <m/>
    <m/>
    <m/>
    <n v="3"/>
    <n v="3.0000000000000001E-3"/>
    <m/>
    <m/>
    <m/>
    <m/>
    <m/>
    <m/>
    <m/>
    <m/>
    <m/>
    <m/>
    <m/>
    <m/>
    <m/>
    <m/>
    <m/>
    <m/>
    <m/>
    <m/>
    <m/>
    <m/>
    <m/>
    <m/>
    <m/>
    <m/>
    <n v="1.6E-2"/>
    <s v="17/3/2021"/>
    <s v="17"/>
    <s v="3"/>
    <s v="2021"/>
    <x v="8"/>
    <x v="8"/>
    <x v="5"/>
    <m/>
    <n v="1.6694490818030052"/>
    <n v="2.9585798816568047"/>
    <n v="3.0094582975064489E-2"/>
    <n v="3.8805970149253737"/>
    <n v="0.53366174055829219"/>
    <n v="1.1904761904761905"/>
    <s v="T"/>
    <n v="2"/>
  </r>
  <r>
    <s v="PU-GSP-139"/>
    <x v="1"/>
    <s v="I"/>
    <s v="B"/>
    <s v="N"/>
    <n v="112"/>
    <n v="106"/>
    <n v="25.076000000000001"/>
    <n v="0.76900000000000002"/>
    <n v="0.42699999999999999"/>
    <s v="F22"/>
    <x v="0"/>
    <n v="22"/>
    <n v="2.012"/>
    <n v="1.57"/>
    <s v="2 earthworms: 0.288; veg: 0.026; 1 snail: 0.004"/>
    <s v="F"/>
    <m/>
    <m/>
    <m/>
    <m/>
    <m/>
    <m/>
    <m/>
    <m/>
    <m/>
    <m/>
    <m/>
    <m/>
    <m/>
    <m/>
    <m/>
    <m/>
    <m/>
    <m/>
    <n v="1"/>
    <n v="4.0000000000000001E-3"/>
    <m/>
    <m/>
    <m/>
    <m/>
    <m/>
    <m/>
    <m/>
    <m/>
    <m/>
    <m/>
    <m/>
    <m/>
    <m/>
    <m/>
    <m/>
    <m/>
    <m/>
    <m/>
    <m/>
    <m/>
    <m/>
    <m/>
    <n v="2"/>
    <n v="0.28799999999999998"/>
    <m/>
    <m/>
    <m/>
    <m/>
    <m/>
    <m/>
    <m/>
    <m/>
    <m/>
    <m/>
    <m/>
    <m/>
    <n v="0.31799999999999995"/>
    <d v="2021-03-04T00:00:00"/>
    <n v="3"/>
    <n v="4"/>
    <n v="2021"/>
    <x v="9"/>
    <x v="9"/>
    <x v="6"/>
    <m/>
    <n v="1.7323217980445453"/>
    <n v="3.1636977002509568"/>
    <n v="3.2202680067001672E-2"/>
    <n v="6.6791457500212719"/>
    <n v="1.7626415696283297"/>
    <n v="3.03078640931568"/>
    <s v="T"/>
    <n v="2"/>
  </r>
  <r>
    <s v="PU-GSP-140"/>
    <x v="1"/>
    <s v="I"/>
    <s v="I"/>
    <s v="G"/>
    <n v="96"/>
    <n v="90"/>
    <n v="17.012"/>
    <n v="0.58399999999999996"/>
    <n v="0.03"/>
    <s v="M22"/>
    <x v="2"/>
    <n v="22"/>
    <n v="1.492"/>
    <n v="1.0329999999999999"/>
    <s v="1 earthworm: 0.307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0.307"/>
    <m/>
    <m/>
    <m/>
    <m/>
    <m/>
    <m/>
    <m/>
    <m/>
    <m/>
    <m/>
    <m/>
    <m/>
    <n v="0.307"/>
    <d v="2021-03-04T00:00:00"/>
    <n v="3"/>
    <n v="4"/>
    <n v="2021"/>
    <x v="9"/>
    <x v="9"/>
    <x v="6"/>
    <m/>
    <n v="0.17665763749852784"/>
    <n v="3.5549062576089598"/>
    <n v="3.5614099280400047E-2"/>
    <n v="6.4647349646410905"/>
    <n v="2.6980954620268052"/>
    <n v="4.502703973665648"/>
    <s v="T"/>
    <n v="2"/>
  </r>
  <r>
    <s v="PU-GSP-141"/>
    <x v="1"/>
    <s v="I"/>
    <s v="I"/>
    <s v="G"/>
    <n v="86"/>
    <n v="79"/>
    <n v="10.15"/>
    <n v="0.28299999999999997"/>
    <n v="0.19500000000000001"/>
    <s v="F22"/>
    <x v="0"/>
    <n v="22"/>
    <n v="0.56699999999999995"/>
    <n v="0.46200000000000002"/>
    <s v="1 caddis: 0.069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6.9000000000000006E-2"/>
    <m/>
    <m/>
    <m/>
    <m/>
    <m/>
    <m/>
    <m/>
    <m/>
    <m/>
    <m/>
    <m/>
    <m/>
    <m/>
    <m/>
    <m/>
    <m/>
    <m/>
    <m/>
    <n v="6.9000000000000006E-2"/>
    <d v="2021-03-04T00:00:00"/>
    <n v="3"/>
    <n v="4"/>
    <n v="2021"/>
    <x v="9"/>
    <x v="9"/>
    <x v="6"/>
    <m/>
    <n v="1.9588146659969865"/>
    <n v="2.8681463464072152"/>
    <n v="2.9259718775847803E-2"/>
    <n v="4.7687861271676297"/>
    <n v="1.0344827586206891"/>
    <n v="1.7142857142857137"/>
    <s v="T"/>
    <n v="2"/>
  </r>
  <r>
    <s v="PU-GSP-142"/>
    <x v="1"/>
    <s v="I"/>
    <s v="I"/>
    <s v="G"/>
    <n v="86"/>
    <n v="80"/>
    <n v="11.685"/>
    <n v="0.39300000000000002"/>
    <n v="2.3E-2"/>
    <s v="M22"/>
    <x v="2"/>
    <n v="22"/>
    <n v="0.61399999999999999"/>
    <n v="0.56699999999999995"/>
    <s v="2 chiro: 0.012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1.2E-2"/>
    <m/>
    <m/>
    <m/>
    <m/>
    <m/>
    <m/>
    <m/>
    <m/>
    <m/>
    <m/>
    <m/>
    <m/>
    <m/>
    <m/>
    <m/>
    <m/>
    <m/>
    <m/>
    <m/>
    <m/>
    <m/>
    <m/>
    <m/>
    <m/>
    <n v="1.2E-2"/>
    <d v="2021-03-04T00:00:00"/>
    <n v="3"/>
    <n v="4"/>
    <n v="2021"/>
    <x v="9"/>
    <x v="9"/>
    <x v="6"/>
    <m/>
    <n v="0.19722174584119362"/>
    <n v="3.4803400637619553"/>
    <n v="3.4874434288756764E-2"/>
    <n v="5.0998381003777657"/>
    <n v="0.40222507488232812"/>
    <n v="0.50492083868207138"/>
    <s v="T"/>
    <n v="1"/>
  </r>
  <r>
    <s v="PU-GSP-143"/>
    <x v="1"/>
    <s v="I"/>
    <s v="I"/>
    <s v="G"/>
    <n v="87"/>
    <n v="81"/>
    <n v="10.406000000000001"/>
    <n v="0.29599999999999999"/>
    <n v="0.02"/>
    <s v="M22"/>
    <x v="2"/>
    <n v="22"/>
    <n v="0.60199999999999998"/>
    <n v="0.501"/>
    <s v="1 damsel: 0.014; 1 caddis: 0.030"/>
    <s v="F"/>
    <m/>
    <m/>
    <m/>
    <m/>
    <m/>
    <m/>
    <m/>
    <m/>
    <m/>
    <m/>
    <m/>
    <m/>
    <m/>
    <m/>
    <m/>
    <m/>
    <m/>
    <m/>
    <m/>
    <m/>
    <m/>
    <m/>
    <m/>
    <m/>
    <m/>
    <m/>
    <n v="1"/>
    <n v="1.4E-2"/>
    <m/>
    <m/>
    <m/>
    <m/>
    <m/>
    <m/>
    <m/>
    <m/>
    <n v="1"/>
    <n v="0.03"/>
    <m/>
    <m/>
    <m/>
    <m/>
    <m/>
    <m/>
    <m/>
    <m/>
    <m/>
    <m/>
    <m/>
    <m/>
    <m/>
    <m/>
    <m/>
    <m/>
    <m/>
    <m/>
    <n v="4.3999999999999997E-2"/>
    <d v="2021-03-04T00:00:00"/>
    <n v="3"/>
    <n v="4"/>
    <n v="2021"/>
    <x v="9"/>
    <x v="9"/>
    <x v="6"/>
    <m/>
    <n v="0.19256691700365874"/>
    <n v="2.9277942631058353"/>
    <n v="2.9335976214073335E-2"/>
    <n v="5.0580514891468944"/>
    <n v="0.97059388814145653"/>
    <n v="1.3934268691139724"/>
    <s v="T"/>
    <n v="2"/>
  </r>
  <r>
    <s v="PU-GSP-144"/>
    <x v="1"/>
    <s v="I"/>
    <s v="I"/>
    <s v="G"/>
    <n v="85"/>
    <n v="80"/>
    <n v="10.61"/>
    <n v="0.30099999999999999"/>
    <n v="1.9E-2"/>
    <s v="M22"/>
    <x v="2"/>
    <n v="22"/>
    <n v="0.622"/>
    <n v="0.42"/>
    <s v="1 soldierfly larv: 0.070; 2 earthworm: 0.071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7.0000000000000007E-2"/>
    <m/>
    <m/>
    <m/>
    <m/>
    <m/>
    <m/>
    <n v="2"/>
    <n v="0.01"/>
    <m/>
    <m/>
    <m/>
    <m/>
    <m/>
    <m/>
    <m/>
    <m/>
    <m/>
    <m/>
    <m/>
    <m/>
    <n v="0.14099999999999999"/>
    <d v="2021-03-04T00:00:00"/>
    <n v="3"/>
    <n v="4"/>
    <n v="2021"/>
    <x v="9"/>
    <x v="9"/>
    <x v="6"/>
    <m/>
    <n v="0.17939760173732416"/>
    <n v="2.9197788340285187"/>
    <n v="2.9251700680272111E-2"/>
    <n v="4.1216879293424924"/>
    <n v="1.9038642789820925"/>
    <n v="3.2327992459943453"/>
    <s v="T"/>
    <n v="1"/>
  </r>
  <r>
    <s v="PU-GSP-145"/>
    <x v="1"/>
    <s v="I"/>
    <s v="I"/>
    <s v="G"/>
    <n v="93"/>
    <n v="88"/>
    <n v="15.144"/>
    <n v="0.5"/>
    <n v="0.23400000000000001"/>
    <s v="F22"/>
    <x v="0"/>
    <n v="22"/>
    <n v="1.359"/>
    <n v="0.78300000000000003"/>
    <s v="~50 chiro: 0.484; 1 jumbo chiro: 0.016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0"/>
    <n v="0.48399999999999999"/>
    <n v="1"/>
    <n v="1.6E-2"/>
    <m/>
    <m/>
    <m/>
    <m/>
    <m/>
    <m/>
    <m/>
    <m/>
    <m/>
    <m/>
    <m/>
    <m/>
    <m/>
    <m/>
    <m/>
    <m/>
    <m/>
    <m/>
    <m/>
    <m/>
    <m/>
    <m/>
    <n v="0.5"/>
    <d v="2021-03-04T00:00:00"/>
    <n v="3"/>
    <n v="4"/>
    <n v="2021"/>
    <x v="9"/>
    <x v="9"/>
    <x v="6"/>
    <m/>
    <n v="1.5694164989939636"/>
    <n v="3.4143676591095331"/>
    <n v="3.4698126301179737E-2"/>
    <n v="5.4522665552538125"/>
    <n v="3.8034865293185414"/>
    <n v="7.1051241415742208"/>
    <s v="T"/>
    <n v="1"/>
  </r>
  <r>
    <s v="PU-GSP-146"/>
    <x v="1"/>
    <s v="I"/>
    <s v="I"/>
    <s v="G"/>
    <n v="87"/>
    <n v="83"/>
    <n v="11.083"/>
    <n v="0.33300000000000002"/>
    <n v="0.21"/>
    <s v="F23"/>
    <x v="0"/>
    <n v="23"/>
    <n v="0.63300000000000001"/>
    <n v="0.53800000000000003"/>
    <s v="1 caddis: 0.024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2.4E-2"/>
    <m/>
    <m/>
    <m/>
    <m/>
    <m/>
    <m/>
    <m/>
    <m/>
    <m/>
    <m/>
    <m/>
    <m/>
    <m/>
    <m/>
    <m/>
    <m/>
    <m/>
    <m/>
    <n v="2.4E-2"/>
    <d v="2021-03-04T00:00:00"/>
    <n v="3"/>
    <n v="4"/>
    <n v="2021"/>
    <x v="9"/>
    <x v="9"/>
    <x v="6"/>
    <m/>
    <n v="1.9313896808608479"/>
    <n v="3.097674418604651"/>
    <n v="3.1593927893738147E-2"/>
    <n v="5.101944049312471"/>
    <n v="0.85716863665072607"/>
    <n v="1.0737165027519622"/>
    <s v="T"/>
    <n v="1"/>
  </r>
  <r>
    <s v="PU-GSP-147"/>
    <x v="1"/>
    <s v="I"/>
    <s v="S"/>
    <s v="G"/>
    <n v="76"/>
    <n v="72"/>
    <n v="7.0510000000000002"/>
    <n v="0.20799999999999999"/>
    <n v="0.155"/>
    <s v="F23"/>
    <x v="0"/>
    <n v="23"/>
    <n v="0.36899999999999999"/>
    <n v="0.30099999999999999"/>
    <s v="~15 chiro: 0.025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5"/>
    <n v="2.5000000000000001E-2"/>
    <m/>
    <m/>
    <m/>
    <m/>
    <m/>
    <m/>
    <m/>
    <m/>
    <m/>
    <m/>
    <m/>
    <m/>
    <m/>
    <m/>
    <m/>
    <m/>
    <m/>
    <m/>
    <m/>
    <m/>
    <m/>
    <m/>
    <m/>
    <m/>
    <n v="2.5000000000000001E-2"/>
    <d v="2021-03-04T00:00:00"/>
    <n v="3"/>
    <n v="4"/>
    <n v="2021"/>
    <x v="9"/>
    <x v="9"/>
    <x v="6"/>
    <m/>
    <n v="2.2476798143851511"/>
    <n v="3.0396025135174627"/>
    <n v="3.1100478468899521E-2"/>
    <n v="4.4592592592592597"/>
    <n v="0.96440221245213453"/>
    <n v="1.3189618493830662"/>
    <s v="T"/>
    <n v="1"/>
  </r>
  <r>
    <s v="PU-GSP-148"/>
    <x v="1"/>
    <s v="S"/>
    <s v="IMM"/>
    <s v="G"/>
    <n v="60"/>
    <n v="57"/>
    <n v="3.4809999999999999"/>
    <n v="0.108"/>
    <n v="7.4999999999999997E-2"/>
    <s v="F22"/>
    <x v="0"/>
    <n v="22"/>
    <n v="0.14000000000000001"/>
    <n v="0.13100000000000001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1-03-04T00:00:00"/>
    <n v="3"/>
    <n v="4"/>
    <n v="2021"/>
    <x v="9"/>
    <x v="9"/>
    <x v="6"/>
    <m/>
    <n v="2.201996476805637"/>
    <n v="3.2018974206937445"/>
    <n v="3.274711946634324E-2"/>
    <n v="3.91044776119403"/>
    <n v="0.2585463947141628"/>
    <n v="0.2585463947141628"/>
    <s v="T"/>
    <n v="1"/>
  </r>
  <r>
    <s v="PU-GSP-149"/>
    <x v="1"/>
    <s v="I"/>
    <s v="S"/>
    <s v="G"/>
    <n v="75"/>
    <n v="71"/>
    <n v="6.8920000000000003"/>
    <n v="0.22500000000000001"/>
    <n v="1.6E-2"/>
    <s v="M22"/>
    <x v="2"/>
    <n v="22"/>
    <n v="0.377"/>
    <n v="0.32700000000000001"/>
    <s v="8 chiro: 0.034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"/>
    <n v="3.4000000000000002E-2"/>
    <m/>
    <m/>
    <m/>
    <m/>
    <m/>
    <m/>
    <m/>
    <m/>
    <m/>
    <m/>
    <m/>
    <m/>
    <m/>
    <m/>
    <m/>
    <m/>
    <m/>
    <m/>
    <m/>
    <m/>
    <m/>
    <m/>
    <m/>
    <m/>
    <n v="3.4000000000000002E-2"/>
    <d v="2021-03-04T00:00:00"/>
    <n v="3"/>
    <n v="4"/>
    <n v="2021"/>
    <x v="9"/>
    <x v="9"/>
    <x v="6"/>
    <m/>
    <n v="0.2326934264107039"/>
    <n v="3.3748312584370774"/>
    <n v="3.3829499323410013E-2"/>
    <n v="4.9809596344249805"/>
    <n v="0.725478816018572"/>
    <n v="1.2188044109112011"/>
    <s v="T"/>
    <n v="1"/>
  </r>
  <r>
    <s v="PU-GSP-150"/>
    <x v="1"/>
    <s v="I"/>
    <s v="IMM"/>
    <s v="G"/>
    <n v="62"/>
    <n v="58"/>
    <n v="3.609"/>
    <n v="0.13400000000000001"/>
    <n v="7.4999999999999997E-2"/>
    <s v="F23"/>
    <x v="0"/>
    <n v="23"/>
    <n v="0.154"/>
    <n v="0.14000000000000001"/>
    <s v="1 chiro: 0.002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2E-3"/>
    <m/>
    <m/>
    <m/>
    <m/>
    <m/>
    <m/>
    <m/>
    <m/>
    <m/>
    <m/>
    <m/>
    <m/>
    <m/>
    <m/>
    <m/>
    <m/>
    <m/>
    <m/>
    <m/>
    <m/>
    <m/>
    <m/>
    <m/>
    <m/>
    <n v="2E-3"/>
    <d v="2021-03-04T00:00:00"/>
    <n v="3"/>
    <n v="4"/>
    <n v="2021"/>
    <x v="9"/>
    <x v="9"/>
    <x v="6"/>
    <m/>
    <n v="2.1222410865874362"/>
    <n v="3.8561151079136691"/>
    <n v="3.9411764705882354E-2"/>
    <n v="4.0357451715191699"/>
    <n v="0.387919091160986"/>
    <n v="0.44333610418398406"/>
    <s v="T"/>
    <n v="1"/>
  </r>
  <r>
    <s v="PU-GSP-151"/>
    <x v="1"/>
    <s v="I"/>
    <s v="S"/>
    <s v="G"/>
    <n v="70"/>
    <n v="66"/>
    <n v="5.2869999999999999"/>
    <n v="0.17"/>
    <n v="4.9000000000000002E-2"/>
    <s v="F23"/>
    <x v="0"/>
    <n v="23"/>
    <n v="0.23899999999999999"/>
    <n v="0.214"/>
    <s v="2 chiro: 0.014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1.4E-2"/>
    <m/>
    <m/>
    <m/>
    <m/>
    <m/>
    <m/>
    <m/>
    <m/>
    <m/>
    <m/>
    <m/>
    <m/>
    <m/>
    <m/>
    <m/>
    <m/>
    <m/>
    <m/>
    <m/>
    <m/>
    <m/>
    <m/>
    <m/>
    <m/>
    <n v="1.4E-2"/>
    <d v="2021-03-04T00:00:00"/>
    <n v="3"/>
    <n v="4"/>
    <n v="2021"/>
    <x v="9"/>
    <x v="9"/>
    <x v="6"/>
    <m/>
    <n v="0.93547155402825521"/>
    <n v="3.322259136212625"/>
    <n v="3.3543804262036313E-2"/>
    <n v="4.2184111965306528"/>
    <n v="0.4728579534707773"/>
    <n v="0.73765840741441258"/>
    <s v="T"/>
    <n v="1"/>
  </r>
  <r>
    <s v="PU-GSP-152"/>
    <x v="1"/>
    <s v="S"/>
    <s v="IMM"/>
    <s v="G"/>
    <n v="60"/>
    <n v="56"/>
    <n v="3.1019999999999999"/>
    <n v="0.09"/>
    <n v="5.8999999999999997E-2"/>
    <s v="F23"/>
    <x v="0"/>
    <n v="23"/>
    <n v="0.157"/>
    <n v="0.14899999999999999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1-03-04T00:00:00"/>
    <n v="3"/>
    <n v="4"/>
    <n v="2021"/>
    <x v="9"/>
    <x v="9"/>
    <x v="6"/>
    <m/>
    <n v="1.9388761091028592"/>
    <n v="2.9880478087649398"/>
    <n v="3.047748052827633E-2"/>
    <n v="5.0457162207924142"/>
    <n v="0.25789813023855601"/>
    <n v="0.25789813023855601"/>
    <s v="T"/>
    <n v="1"/>
  </r>
  <r>
    <s v="PU-GSP-153"/>
    <x v="1"/>
    <s v="I"/>
    <s v="S"/>
    <s v="G"/>
    <n v="66"/>
    <n v="62"/>
    <n v="4.6040000000000001"/>
    <n v="0.13500000000000001"/>
    <n v="8.8999999999999996E-2"/>
    <s v="F23"/>
    <x v="0"/>
    <n v="23"/>
    <n v="0.20599999999999999"/>
    <n v="0.20599999999999999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1-03-04T00:00:00"/>
    <n v="3"/>
    <n v="4"/>
    <n v="2021"/>
    <x v="9"/>
    <x v="9"/>
    <x v="6"/>
    <m/>
    <n v="1.9712070874861574"/>
    <n v="3.0208100246140077"/>
    <n v="3.082191780821918E-2"/>
    <n v="4.6839472487494316"/>
    <n v="0"/>
    <n v="0"/>
    <s v="T"/>
    <n v="1"/>
  </r>
  <r>
    <s v="PU-GSP-154"/>
    <x v="1"/>
    <s v="B"/>
    <s v="B"/>
    <s v="N"/>
    <n v="182"/>
    <n v="173"/>
    <n v="125.53"/>
    <n v="4.048"/>
    <n v="3.883"/>
    <s v="F30"/>
    <x v="0"/>
    <n v="30"/>
    <n v="9.1460000000000008"/>
    <n v="8"/>
    <s v="1 pump: 0.832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0.83199999999999996"/>
    <m/>
    <m/>
    <m/>
    <m/>
    <n v="0.83199999999999996"/>
    <s v="19/4/2021"/>
    <s v="19"/>
    <s v="4"/>
    <s v="2021"/>
    <x v="10"/>
    <x v="10"/>
    <x v="7"/>
    <m/>
    <n v="3.192022820127089"/>
    <n v="3.3321808992278692"/>
    <n v="3.4422061412086834E-2"/>
    <n v="6.8067727388751802"/>
    <n v="0.91292918027563197"/>
    <n v="1.5757189516450256"/>
    <s v="A"/>
    <n v="3"/>
  </r>
  <r>
    <s v="PU-GSP-155"/>
    <x v="1"/>
    <s v="I"/>
    <s v="B"/>
    <s v="N"/>
    <n v="117"/>
    <n v="111"/>
    <n v="32.362000000000002"/>
    <n v="0.99399999999999999"/>
    <n v="1.0309999999999999"/>
    <s v="F30"/>
    <x v="0"/>
    <n v="30"/>
    <n v="2.722"/>
    <n v="2.6739999999999999"/>
    <s v="veg: 0.023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2.3E-2"/>
    <n v="2.3E-2"/>
    <s v="19/4/2021"/>
    <s v="19"/>
    <s v="4"/>
    <s v="2021"/>
    <x v="10"/>
    <x v="10"/>
    <x v="7"/>
    <m/>
    <n v="3.2906705818518391"/>
    <n v="3.1688344809997444"/>
    <n v="3.276527013218182E-2"/>
    <n v="9.0070061977903517"/>
    <n v="0.14832210617390779"/>
    <n v="0.21939311538223849"/>
    <s v="A"/>
    <n v="2"/>
  </r>
  <r>
    <s v="PU-GSP-156"/>
    <x v="1"/>
    <s v="I"/>
    <s v="B"/>
    <s v="N"/>
    <n v="130"/>
    <n v="121"/>
    <n v="41.423000000000002"/>
    <n v="1.2589999999999999"/>
    <n v="0.85499999999999998"/>
    <s v="F30"/>
    <x v="0"/>
    <n v="30"/>
    <n v="2.9950000000000001"/>
    <n v="2.8530000000000002"/>
    <s v="1 snail: 0.096"/>
    <s v="F"/>
    <m/>
    <m/>
    <m/>
    <m/>
    <m/>
    <m/>
    <m/>
    <m/>
    <m/>
    <m/>
    <m/>
    <m/>
    <m/>
    <m/>
    <m/>
    <m/>
    <m/>
    <m/>
    <n v="1"/>
    <n v="9.6000000000000002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9.6000000000000002E-2"/>
    <s v="19/4/2021"/>
    <s v="19"/>
    <s v="4"/>
    <s v="2021"/>
    <x v="10"/>
    <x v="10"/>
    <x v="7"/>
    <m/>
    <n v="2.1075724709130346"/>
    <n v="3.1346479434319283"/>
    <n v="3.2028288687069112E-2"/>
    <n v="7.3969406274306451"/>
    <n v="0.34280472201433959"/>
    <n v="0.5745600270381187"/>
    <s v="A"/>
    <n v="2"/>
  </r>
  <r>
    <s v="PU-GSP-157"/>
    <x v="1"/>
    <s v="I"/>
    <s v="I"/>
    <s v="G"/>
    <n v="101"/>
    <n v="92"/>
    <n v="19.696999999999999"/>
    <n v="0.47799999999999998"/>
    <n v="0.14099999999999999"/>
    <s v="M30"/>
    <x v="2"/>
    <n v="30"/>
    <n v="1.2350000000000001"/>
    <n v="1.2270000000000001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9/4/2021"/>
    <s v="19"/>
    <s v="4"/>
    <s v="2021"/>
    <x v="10"/>
    <x v="10"/>
    <x v="7"/>
    <m/>
    <n v="0.72100634076498249"/>
    <n v="2.487122118736667"/>
    <n v="2.5055037215641052E-2"/>
    <n v="6.6432051976177586"/>
    <n v="4.0615322130273683E-2"/>
    <n v="4.0615322130273683E-2"/>
    <s v="A"/>
    <n v="1"/>
  </r>
  <r>
    <s v="PU-GSP-158"/>
    <x v="1"/>
    <s v="I"/>
    <s v="I"/>
    <s v="G"/>
    <n v="101"/>
    <n v="95"/>
    <n v="19.832000000000001"/>
    <n v="0.44800000000000001"/>
    <n v="8.8999999999999996E-2"/>
    <s v="M30"/>
    <x v="2"/>
    <n v="30"/>
    <n v="1.5840000000000001"/>
    <n v="1.5549999999999999"/>
    <s v="1 mussel: 0.006"/>
    <s v="F"/>
    <m/>
    <m/>
    <m/>
    <m/>
    <m/>
    <m/>
    <m/>
    <m/>
    <m/>
    <m/>
    <m/>
    <m/>
    <m/>
    <m/>
    <m/>
    <m/>
    <n v="1"/>
    <n v="6.0000000000000001E-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.0000000000000001E-3"/>
    <s v="19/4/2021"/>
    <s v="19"/>
    <s v="4"/>
    <s v="2021"/>
    <x v="10"/>
    <x v="10"/>
    <x v="7"/>
    <m/>
    <n v="0.45079268601529654"/>
    <n v="2.3111844820470488"/>
    <n v="2.321845037574501E-2"/>
    <n v="8.5079608250807013"/>
    <n v="0.14622831787010959"/>
    <n v="0.17648245260185627"/>
    <s v="A"/>
    <n v="1"/>
  </r>
  <r>
    <s v="PU-GSP-159"/>
    <x v="1"/>
    <s v="I"/>
    <s v="I"/>
    <s v="G"/>
    <n v="100"/>
    <n v="94"/>
    <n v="18.204999999999998"/>
    <n v="0.373"/>
    <n v="0.11600000000000001"/>
    <s v="M30"/>
    <x v="2"/>
    <n v="30"/>
    <n v="1.137"/>
    <n v="1.1140000000000001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9/4/2021"/>
    <s v="19"/>
    <s v="4"/>
    <s v="2021"/>
    <x v="10"/>
    <x v="10"/>
    <x v="7"/>
    <m/>
    <n v="0.64127370224998625"/>
    <n v="2.0917451772095115"/>
    <n v="2.1054414088959136E-2"/>
    <n v="6.5180504359019382"/>
    <n v="0.12633891787970289"/>
    <n v="0.12633891787970289"/>
    <s v="A"/>
    <n v="1"/>
  </r>
  <r>
    <s v="PU-GSP-160"/>
    <x v="1"/>
    <s v="I"/>
    <s v="I"/>
    <s v="G"/>
    <n v="95"/>
    <n v="89"/>
    <n v="15.814"/>
    <n v="0.35499999999999998"/>
    <n v="9.7000000000000003E-2"/>
    <s v="M30"/>
    <x v="2"/>
    <n v="30"/>
    <n v="1.232"/>
    <n v="1.127"/>
    <s v="4 snail: 0.034; 3 mayfly: 0.015"/>
    <s v="F"/>
    <m/>
    <m/>
    <m/>
    <m/>
    <m/>
    <m/>
    <m/>
    <m/>
    <m/>
    <m/>
    <m/>
    <m/>
    <m/>
    <m/>
    <m/>
    <m/>
    <m/>
    <m/>
    <n v="4"/>
    <n v="3.4000000000000002E-2"/>
    <m/>
    <m/>
    <m/>
    <m/>
    <m/>
    <m/>
    <m/>
    <m/>
    <m/>
    <m/>
    <m/>
    <m/>
    <m/>
    <m/>
    <m/>
    <m/>
    <m/>
    <m/>
    <n v="3"/>
    <n v="1.4999999999999999E-2"/>
    <m/>
    <m/>
    <m/>
    <m/>
    <m/>
    <m/>
    <m/>
    <m/>
    <m/>
    <m/>
    <m/>
    <m/>
    <m/>
    <m/>
    <m/>
    <m/>
    <n v="4.9000000000000002E-2"/>
    <s v="19/4/2021"/>
    <s v="19"/>
    <s v="4"/>
    <s v="2021"/>
    <x v="10"/>
    <x v="10"/>
    <x v="7"/>
    <m/>
    <n v="0.61716612585098929"/>
    <n v="2.296396920887509"/>
    <n v="2.3108970186173673E-2"/>
    <n v="7.673452713283857"/>
    <n v="0.66396863538636641"/>
    <n v="0.97382066523333743"/>
    <s v="A"/>
    <n v="1"/>
  </r>
  <r>
    <s v="PU-GSP-161"/>
    <x v="1"/>
    <s v="I"/>
    <s v="I"/>
    <s v="G"/>
    <n v="90"/>
    <n v="84"/>
    <n v="12.955"/>
    <n v="0.49"/>
    <n v="0.39500000000000002"/>
    <s v="F30"/>
    <x v="0"/>
    <n v="30"/>
    <n v="0.92900000000000005"/>
    <n v="0.70499999999999996"/>
    <s v="9 chiro: 0.003; 9 mayfly: 0.082; 1 damsel: 0.008"/>
    <s v="F"/>
    <m/>
    <m/>
    <m/>
    <m/>
    <m/>
    <m/>
    <m/>
    <m/>
    <m/>
    <m/>
    <m/>
    <m/>
    <m/>
    <m/>
    <m/>
    <m/>
    <m/>
    <m/>
    <m/>
    <m/>
    <m/>
    <m/>
    <m/>
    <m/>
    <m/>
    <m/>
    <n v="1"/>
    <n v="8.0000000000000002E-3"/>
    <m/>
    <m/>
    <n v="9"/>
    <n v="3.0000000000000001E-3"/>
    <m/>
    <m/>
    <m/>
    <m/>
    <m/>
    <m/>
    <n v="9"/>
    <n v="8.2000000000000003E-2"/>
    <m/>
    <m/>
    <m/>
    <m/>
    <m/>
    <m/>
    <m/>
    <m/>
    <m/>
    <m/>
    <m/>
    <m/>
    <m/>
    <m/>
    <m/>
    <m/>
    <n v="9.2999999999999999E-2"/>
    <s v="19/4/2021"/>
    <s v="19"/>
    <s v="4"/>
    <s v="2021"/>
    <x v="10"/>
    <x v="10"/>
    <x v="7"/>
    <m/>
    <n v="3.144904458598726"/>
    <n v="3.9310068190934619"/>
    <n v="4.059652029826015E-2"/>
    <n v="5.7551020408163263"/>
    <n v="1.7290621381705913"/>
    <n v="2.4469316866074879"/>
    <s v="A"/>
    <n v="1"/>
  </r>
  <r>
    <s v="PU-GSP-162"/>
    <x v="1"/>
    <s v="I"/>
    <s v="B"/>
    <s v="N"/>
    <n v="140"/>
    <n v="132"/>
    <n v="53.738999999999997"/>
    <n v="1.218"/>
    <n v="0.29299999999999998"/>
    <s v="M30"/>
    <x v="2"/>
    <n v="30"/>
    <n v="3.5619999999999998"/>
    <n v="3.2559999999999998"/>
    <s v="1 pupa: 0.095; 1 snail: 0.04"/>
    <s v="F"/>
    <m/>
    <m/>
    <n v="1"/>
    <n v="9.5000000000000001E-2"/>
    <m/>
    <m/>
    <m/>
    <m/>
    <m/>
    <m/>
    <m/>
    <m/>
    <m/>
    <m/>
    <m/>
    <m/>
    <m/>
    <m/>
    <n v="1"/>
    <n v="0.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13500000000000001"/>
    <s v="19/4/2021"/>
    <s v="19"/>
    <s v="4"/>
    <s v="2021"/>
    <x v="10"/>
    <x v="10"/>
    <x v="7"/>
    <m/>
    <n v="0.54821689181603861"/>
    <n v="2.319072371051579"/>
    <n v="2.3320824079038061E-2"/>
    <n v="6.4496959372462008"/>
    <n v="0.5694188578127618"/>
    <n v="0.82063305978898016"/>
    <s v="A"/>
    <n v="2"/>
  </r>
  <r>
    <s v="PU-GSP-163"/>
    <x v="1"/>
    <s v="I"/>
    <s v="B"/>
    <s v="N"/>
    <n v="126"/>
    <n v="121"/>
    <n v="42.134"/>
    <n v="0.94099999999999995"/>
    <n v="0.245"/>
    <s v="M30"/>
    <x v="2"/>
    <n v="30"/>
    <n v="3.8879999999999999"/>
    <n v="2.7290000000000001"/>
    <s v="1 leech: 0.5; 3 worm: 0.445; veg: 0.041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0.5"/>
    <n v="3"/>
    <n v="0.44500000000000001"/>
    <m/>
    <m/>
    <m/>
    <m/>
    <m/>
    <m/>
    <m/>
    <m/>
    <m/>
    <m/>
    <n v="1"/>
    <n v="4.1000000000000002E-2"/>
    <n v="0.9860000000000001"/>
    <s v="20/4/2021"/>
    <s v="20"/>
    <s v="4"/>
    <s v="2021"/>
    <x v="11"/>
    <x v="11"/>
    <x v="7"/>
    <m/>
    <n v="0.58487908520136545"/>
    <n v="2.2843687034204843"/>
    <n v="2.2980365341408616E-2"/>
    <n v="6.9255170663621373"/>
    <n v="2.7507476147529308"/>
    <n v="5.0909004604357522"/>
    <s v="T"/>
    <n v="3"/>
  </r>
  <r>
    <s v="PU-GSP-164"/>
    <x v="1"/>
    <s v="I"/>
    <s v="I"/>
    <s v="G"/>
    <n v="90"/>
    <n v="86"/>
    <n v="12.750999999999999"/>
    <n v="0.56899999999999995"/>
    <n v="0.48799999999999999"/>
    <s v="F30"/>
    <x v="0"/>
    <n v="30"/>
    <n v="0.86599999999999999"/>
    <n v="0.85399999999999998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0/4/2021"/>
    <s v="20"/>
    <s v="4"/>
    <s v="2021"/>
    <x v="11"/>
    <x v="11"/>
    <x v="7"/>
    <m/>
    <n v="3.9794503791894318"/>
    <n v="4.6708258085700214"/>
    <n v="4.865743116127929E-2"/>
    <n v="7.1782802387156428"/>
    <n v="9.4110265861501147E-2"/>
    <n v="9.4110265861501147E-2"/>
    <s v="T"/>
    <n v="1"/>
  </r>
  <r>
    <s v="PU-GSP-165"/>
    <x v="1"/>
    <s v="I"/>
    <s v="I"/>
    <s v="G"/>
    <n v="98"/>
    <n v="94"/>
    <n v="16.690999999999999"/>
    <n v="0.40400000000000003"/>
    <n v="0.09"/>
    <s v="M23"/>
    <x v="2"/>
    <n v="23"/>
    <n v="0.89200000000000002"/>
    <n v="0.871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0/4/2021"/>
    <s v="20"/>
    <s v="4"/>
    <s v="2021"/>
    <x v="11"/>
    <x v="11"/>
    <x v="7"/>
    <m/>
    <n v="0.54213601590265648"/>
    <n v="2.4805059249708359"/>
    <n v="2.4942890658763973E-2"/>
    <n v="5.5056890012642228"/>
    <n v="0.12581630819004266"/>
    <n v="0.12581630819004266"/>
    <s v="T"/>
    <n v="1"/>
  </r>
  <r>
    <s v="PU-GSP-166"/>
    <x v="1"/>
    <s v="I"/>
    <s v="S"/>
    <s v="G"/>
    <n v="79"/>
    <n v="75"/>
    <n v="9.2509999999999994"/>
    <n v="0.40300000000000002"/>
    <n v="0.32"/>
    <s v="F30"/>
    <x v="0"/>
    <n v="30"/>
    <n v="0.60099999999999998"/>
    <n v="0.505"/>
    <s v="inverts: 0.072"/>
    <s v="F"/>
    <m/>
    <m/>
    <m/>
    <n v="7.1999999999999995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.1999999999999995E-2"/>
    <s v="20/4/2021"/>
    <s v="20"/>
    <s v="4"/>
    <s v="2021"/>
    <x v="11"/>
    <x v="11"/>
    <x v="7"/>
    <m/>
    <n v="3.583025417086553"/>
    <n v="4.5547016274864385"/>
    <n v="4.7256097560975617E-2"/>
    <n v="5.7740681454379157"/>
    <n v="1.0377256512809423"/>
    <n v="1.8160198897416495"/>
    <s v="T"/>
    <n v="2"/>
  </r>
  <r>
    <s v="PU-GSP-167"/>
    <x v="1"/>
    <s v="I"/>
    <s v="S"/>
    <s v="G"/>
    <n v="76"/>
    <n v="73"/>
    <n v="7.8140000000000001"/>
    <n v="0.251"/>
    <n v="4.9000000000000002E-2"/>
    <s v="M30"/>
    <x v="2"/>
    <n v="30"/>
    <n v="0.48599999999999999"/>
    <n v="0.41799999999999998"/>
    <s v="16 chiro: 0.046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6"/>
    <n v="4.5999999999999999E-2"/>
    <m/>
    <m/>
    <m/>
    <m/>
    <m/>
    <m/>
    <m/>
    <m/>
    <m/>
    <m/>
    <m/>
    <m/>
    <m/>
    <m/>
    <m/>
    <m/>
    <m/>
    <m/>
    <m/>
    <m/>
    <m/>
    <m/>
    <m/>
    <m/>
    <n v="4.5999999999999999E-2"/>
    <s v="20/4/2021"/>
    <s v="20"/>
    <s v="4"/>
    <s v="2021"/>
    <x v="11"/>
    <x v="11"/>
    <x v="7"/>
    <m/>
    <n v="0.63103670315518356"/>
    <n v="3.3187888404072461"/>
    <n v="3.3404311951024758E-2"/>
    <n v="5.6517036235803131"/>
    <n v="0.87023291528026625"/>
    <n v="1.4589198873816227"/>
    <s v="T"/>
    <n v="2"/>
  </r>
  <r>
    <s v="PU-GSP-168"/>
    <x v="1"/>
    <s v="I"/>
    <s v="S"/>
    <s v="G"/>
    <n v="73"/>
    <n v="70"/>
    <n v="6.8689999999999998"/>
    <n v="0.24"/>
    <n v="5.7000000000000002E-2"/>
    <s v="M30"/>
    <x v="2"/>
    <n v="30"/>
    <n v="0.42199999999999999"/>
    <n v="0.38400000000000001"/>
    <s v="zoops: 0.015"/>
    <s v="F"/>
    <m/>
    <m/>
    <m/>
    <m/>
    <m/>
    <m/>
    <m/>
    <m/>
    <m/>
    <m/>
    <m/>
    <m/>
    <m/>
    <m/>
    <m/>
    <m/>
    <m/>
    <m/>
    <m/>
    <m/>
    <m/>
    <m/>
    <m/>
    <n v="1.4999999999999999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.4999999999999999E-2"/>
    <s v="20/4/2021"/>
    <s v="20"/>
    <s v="4"/>
    <s v="2021"/>
    <x v="11"/>
    <x v="11"/>
    <x v="7"/>
    <m/>
    <n v="0.83675866118614228"/>
    <n v="3.6204555739930608"/>
    <n v="3.6518563603164945E-2"/>
    <n v="5.92135697764071"/>
    <n v="0.55321007424661495"/>
    <n v="0.77158247197554197"/>
    <s v="T"/>
    <n v="1"/>
  </r>
  <r>
    <s v="PU-GSP-169"/>
    <x v="1"/>
    <s v="I"/>
    <s v="S"/>
    <s v="G"/>
    <n v="72"/>
    <n v="68"/>
    <n v="6.8659999999999997"/>
    <n v="0.19500000000000001"/>
    <n v="5.3999999999999999E-2"/>
    <s v="M30"/>
    <x v="2"/>
    <n v="30"/>
    <n v="0.443"/>
    <n v="0.434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0/4/2021"/>
    <s v="20"/>
    <s v="4"/>
    <s v="2021"/>
    <x v="11"/>
    <x v="11"/>
    <x v="7"/>
    <m/>
    <n v="0.79271873165002937"/>
    <n v="2.9230999850097441"/>
    <n v="2.9469548133595289E-2"/>
    <n v="6.7475124378109461"/>
    <n v="0.13108068744538318"/>
    <n v="0.13108068744538318"/>
    <s v="T"/>
    <n v="2"/>
  </r>
  <r>
    <s v="PU-GSP-170"/>
    <x v="1"/>
    <s v="I"/>
    <s v="S"/>
    <s v="G"/>
    <n v="78"/>
    <n v="74"/>
    <n v="8.1029999999999998"/>
    <n v="0.20300000000000001"/>
    <n v="7.1999999999999995E-2"/>
    <s v="M30"/>
    <x v="2"/>
    <n v="30"/>
    <n v="0.52600000000000002"/>
    <n v="0.36199999999999999"/>
    <s v="zoops (chaoborous): 0.117"/>
    <s v="F"/>
    <m/>
    <m/>
    <m/>
    <m/>
    <m/>
    <m/>
    <m/>
    <m/>
    <m/>
    <m/>
    <m/>
    <m/>
    <m/>
    <m/>
    <m/>
    <m/>
    <m/>
    <m/>
    <m/>
    <m/>
    <m/>
    <m/>
    <m/>
    <m/>
    <m/>
    <m/>
    <m/>
    <m/>
    <n v="200"/>
    <n v="0.11700000000000001"/>
    <m/>
    <m/>
    <m/>
    <m/>
    <m/>
    <m/>
    <m/>
    <m/>
    <m/>
    <m/>
    <m/>
    <m/>
    <m/>
    <m/>
    <m/>
    <m/>
    <m/>
    <m/>
    <m/>
    <m/>
    <m/>
    <m/>
    <m/>
    <m/>
    <m/>
    <m/>
    <n v="0.11700000000000001"/>
    <s v="20/4/2021"/>
    <s v="20"/>
    <s v="4"/>
    <s v="2021"/>
    <x v="11"/>
    <x v="11"/>
    <x v="7"/>
    <m/>
    <n v="0.89652596189764655"/>
    <n v="2.5696202531645573"/>
    <n v="2.5932549821154834E-2"/>
    <n v="4.6763983981397752"/>
    <n v="2.0239417499691479"/>
    <n v="3.4678514130568932"/>
    <s v="T"/>
    <n v="1"/>
  </r>
  <r>
    <s v="PU-GSP-171"/>
    <x v="1"/>
    <s v="S"/>
    <s v="IMM"/>
    <s v="N"/>
    <n v="52"/>
    <n v="48"/>
    <n v="1.9390000000000001"/>
    <n v="5.3999999999999999E-2"/>
    <n v="2.5999999999999999E-2"/>
    <s v="M30"/>
    <x v="2"/>
    <n v="30"/>
    <n v="0.13100000000000001"/>
    <n v="7.9000000000000001E-2"/>
    <s v="1 worm: 0.035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3.5000000000000003E-2"/>
    <m/>
    <m/>
    <m/>
    <m/>
    <m/>
    <m/>
    <m/>
    <m/>
    <m/>
    <m/>
    <m/>
    <m/>
    <n v="3.5000000000000003E-2"/>
    <s v="20/4/2021"/>
    <s v="20"/>
    <s v="4"/>
    <s v="2021"/>
    <x v="11"/>
    <x v="11"/>
    <x v="7"/>
    <m/>
    <n v="1.3591217982226869"/>
    <n v="2.8647214854111405"/>
    <n v="2.9047875201721356E-2"/>
    <n v="4.247311827956989"/>
    <n v="2.6817947395564725"/>
    <n v="4.4868488911810216"/>
    <s v="T"/>
    <n v="1"/>
  </r>
  <r>
    <s v="PU-GSP-172"/>
    <x v="1"/>
    <s v="S"/>
    <s v="IMM"/>
    <s v="N"/>
    <n v="49"/>
    <n v="47"/>
    <n v="2.0270000000000001"/>
    <n v="7.0999999999999994E-2"/>
    <n v="3.6999999999999998E-2"/>
    <s v="M30"/>
    <x v="2"/>
    <n v="30"/>
    <n v="0.14899999999999999"/>
    <n v="0.09"/>
    <s v="inverts: 0.043"/>
    <s v="F"/>
    <m/>
    <m/>
    <m/>
    <n v="4.2999999999999997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.2999999999999997E-2"/>
    <s v="20/4/2021"/>
    <s v="20"/>
    <s v="4"/>
    <s v="2021"/>
    <x v="11"/>
    <x v="11"/>
    <x v="7"/>
    <m/>
    <n v="1.8592964824120601"/>
    <n v="3.629856850715746"/>
    <n v="3.6998436685773829E-2"/>
    <n v="4.6463603510583376"/>
    <n v="2.910705476073014"/>
    <n v="5.0320670942279229"/>
    <s v="T"/>
    <n v="2"/>
  </r>
  <r>
    <s v="PU-GSP-173"/>
    <x v="1"/>
    <s v="S"/>
    <s v="IMM"/>
    <s v="N"/>
    <n v="51"/>
    <n v="47"/>
    <n v="1.9730000000000001"/>
    <n v="6.5000000000000002E-2"/>
    <n v="3.2000000000000001E-2"/>
    <s v="M30"/>
    <x v="2"/>
    <n v="30"/>
    <n v="0.121"/>
    <n v="8.7999999999999995E-2"/>
    <s v="zoops: 0.017"/>
    <s v="F"/>
    <m/>
    <m/>
    <m/>
    <m/>
    <m/>
    <m/>
    <m/>
    <m/>
    <m/>
    <m/>
    <m/>
    <m/>
    <m/>
    <m/>
    <m/>
    <m/>
    <m/>
    <m/>
    <m/>
    <m/>
    <m/>
    <m/>
    <m/>
    <n v="1.7000000000000001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.7000000000000001E-2"/>
    <s v="20/4/2021"/>
    <s v="20"/>
    <s v="4"/>
    <s v="2021"/>
    <x v="11"/>
    <x v="11"/>
    <x v="7"/>
    <m/>
    <n v="1.6486347243688821"/>
    <n v="3.4067085953878404"/>
    <n v="3.4648187633262259E-2"/>
    <n v="4.6684350132625996"/>
    <n v="1.6725798276735937"/>
    <n v="2.5342118601115056"/>
    <s v="T"/>
    <n v="1"/>
  </r>
  <r>
    <s v="PU-GSP-174"/>
    <x v="1"/>
    <s v="S"/>
    <s v="IMM"/>
    <s v="N"/>
    <n v="48"/>
    <n v="45"/>
    <n v="1.621"/>
    <n v="3.7999999999999999E-2"/>
    <n v="3.7999999999999999E-2"/>
    <s v="F23"/>
    <x v="0"/>
    <n v="23"/>
    <n v="0.11799999999999999"/>
    <n v="6.9000000000000006E-2"/>
    <s v="8 chiro: 0.037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"/>
    <n v="3.6999999999999998E-2"/>
    <m/>
    <m/>
    <m/>
    <m/>
    <m/>
    <m/>
    <m/>
    <m/>
    <m/>
    <m/>
    <m/>
    <m/>
    <m/>
    <m/>
    <m/>
    <m/>
    <m/>
    <m/>
    <m/>
    <m/>
    <m/>
    <m/>
    <m/>
    <m/>
    <n v="3.6999999999999998E-2"/>
    <s v="20/4/2021"/>
    <s v="20"/>
    <s v="4"/>
    <s v="2021"/>
    <x v="11"/>
    <x v="11"/>
    <x v="7"/>
    <m/>
    <n v="2.4005053695514844"/>
    <n v="2.4005053695514844"/>
    <n v="2.459546925566343E-2"/>
    <n v="4.445876288659794"/>
    <n v="3.0228254164096229"/>
    <n v="5.305367057371992"/>
    <s v="T"/>
    <n v="1"/>
  </r>
  <r>
    <s v="PU-GSP-175"/>
    <x v="1"/>
    <s v="S"/>
    <s v="IMM"/>
    <s v="N"/>
    <n v="46"/>
    <n v="44"/>
    <n v="1.528"/>
    <n v="3.3000000000000002E-2"/>
    <n v="2.4E-2"/>
    <s v="F20"/>
    <x v="0"/>
    <n v="20"/>
    <n v="0.106"/>
    <n v="7.0000000000000007E-2"/>
    <s v="zoops: 0.018"/>
    <s v="F"/>
    <m/>
    <m/>
    <m/>
    <m/>
    <m/>
    <m/>
    <m/>
    <m/>
    <m/>
    <m/>
    <m/>
    <m/>
    <m/>
    <m/>
    <m/>
    <m/>
    <m/>
    <m/>
    <m/>
    <m/>
    <m/>
    <m/>
    <m/>
    <n v="1.7999999999999999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.7999999999999999E-2"/>
    <s v="20/4/2021"/>
    <s v="20"/>
    <s v="4"/>
    <s v="2021"/>
    <x v="11"/>
    <x v="11"/>
    <x v="7"/>
    <m/>
    <n v="1.5957446808510638"/>
    <n v="2.2073578595317724"/>
    <n v="2.2433718558803536E-2"/>
    <n v="4.8010973936899868"/>
    <n v="2.3560209424083762"/>
    <n v="3.5340314136125652"/>
    <s v="T"/>
    <n v="1"/>
  </r>
  <r>
    <s v="PU-GSP-176"/>
    <x v="1"/>
    <s v="I"/>
    <s v="S"/>
    <s v="G"/>
    <n v="81"/>
    <n v="77"/>
    <n v="10.888"/>
    <n v="0.40300000000000002"/>
    <n v="0.42899999999999999"/>
    <s v="F30"/>
    <x v="0"/>
    <n v="30"/>
    <n v="0.60299999999999998"/>
    <n v="0.51300000000000001"/>
    <s v="~20 chiro: 0.048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0"/>
    <n v="4.8000000000000001E-2"/>
    <m/>
    <m/>
    <m/>
    <m/>
    <m/>
    <m/>
    <m/>
    <m/>
    <m/>
    <m/>
    <m/>
    <m/>
    <m/>
    <m/>
    <m/>
    <m/>
    <m/>
    <m/>
    <m/>
    <m/>
    <m/>
    <m/>
    <m/>
    <m/>
    <n v="4.8000000000000001E-2"/>
    <s v="20/4/2021"/>
    <s v="20"/>
    <s v="4"/>
    <s v="2021"/>
    <x v="11"/>
    <x v="11"/>
    <x v="7"/>
    <m/>
    <n v="4.1017305669758111"/>
    <n v="3.8435860753457325"/>
    <n v="4.0075576770087516E-2"/>
    <n v="4.9445783132530119"/>
    <n v="0.82659808963997039"/>
    <n v="1.2674504041146213"/>
    <s v="T"/>
    <n v="1"/>
  </r>
  <r>
    <s v="PU-GSP-177"/>
    <x v="1"/>
    <s v="I"/>
    <s v="I"/>
    <s v="G"/>
    <n v="96"/>
    <n v="91"/>
    <n v="16.22"/>
    <n v="0.67700000000000005"/>
    <n v="0.433"/>
    <s v="F30"/>
    <x v="0"/>
    <n v="30"/>
    <n v="1.0649999999999999"/>
    <n v="0.995"/>
    <s v="~10 chiro: 0.025; 2 snail: 0.005"/>
    <s v="F"/>
    <m/>
    <m/>
    <m/>
    <m/>
    <m/>
    <m/>
    <m/>
    <m/>
    <m/>
    <m/>
    <m/>
    <m/>
    <m/>
    <m/>
    <m/>
    <m/>
    <m/>
    <m/>
    <n v="2"/>
    <n v="5.0000000000000001E-3"/>
    <m/>
    <m/>
    <m/>
    <m/>
    <m/>
    <m/>
    <m/>
    <m/>
    <m/>
    <m/>
    <n v="10"/>
    <n v="2.5000000000000001E-2"/>
    <m/>
    <m/>
    <m/>
    <m/>
    <m/>
    <m/>
    <m/>
    <m/>
    <m/>
    <m/>
    <m/>
    <m/>
    <m/>
    <m/>
    <m/>
    <m/>
    <m/>
    <m/>
    <m/>
    <m/>
    <m/>
    <m/>
    <m/>
    <m/>
    <n v="0.03"/>
    <s v="20/4/2021"/>
    <s v="20"/>
    <s v="4"/>
    <s v="2021"/>
    <x v="11"/>
    <x v="11"/>
    <x v="7"/>
    <m/>
    <n v="2.7427630328751507"/>
    <n v="4.3556584957858853"/>
    <n v="4.4804765056254144E-2"/>
    <n v="6.5353037766830866"/>
    <n v="0.43156596794081353"/>
    <n v="0.61652281134401943"/>
    <s v="T"/>
    <n v="2"/>
  </r>
  <r>
    <s v="PU-GSP-178"/>
    <x v="1"/>
    <s v="I"/>
    <s v="I"/>
    <s v="G"/>
    <n v="104"/>
    <n v="99"/>
    <n v="21.614000000000001"/>
    <n v="0.47899999999999998"/>
    <n v="0.11799999999999999"/>
    <s v="M30"/>
    <x v="2"/>
    <n v="30"/>
    <n v="1.3029999999999999"/>
    <n v="1.25"/>
    <s v="2 snail: 0.013"/>
    <s v="F"/>
    <m/>
    <m/>
    <m/>
    <m/>
    <m/>
    <m/>
    <m/>
    <m/>
    <m/>
    <m/>
    <m/>
    <m/>
    <m/>
    <m/>
    <m/>
    <m/>
    <m/>
    <m/>
    <n v="2"/>
    <n v="1.2999999999999999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.2999999999999999E-2"/>
    <s v="20/4/2021"/>
    <s v="20"/>
    <s v="4"/>
    <s v="2021"/>
    <x v="11"/>
    <x v="11"/>
    <x v="7"/>
    <m/>
    <n v="0.54893933755117219"/>
    <n v="2.266382777383487"/>
    <n v="2.2791073892563157E-2"/>
    <n v="6.1382832449420537"/>
    <n v="0.24521143703155329"/>
    <n v="0.30535763856759474"/>
    <s v="T"/>
    <n v="3"/>
  </r>
  <r>
    <s v="PU-GSP-179"/>
    <x v="1"/>
    <s v="I"/>
    <s v="B"/>
    <s v="N"/>
    <n v="127"/>
    <n v="121"/>
    <n v="40.183"/>
    <n v="1.349"/>
    <n v="1.141"/>
    <s v="F30"/>
    <x v="0"/>
    <n v="30"/>
    <n v="3.96"/>
    <n v="2.9279999999999999"/>
    <s v="inverts: 0.739"/>
    <s v="F"/>
    <m/>
    <m/>
    <m/>
    <n v="0.73899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73899999999999999"/>
    <s v="20/4/2021"/>
    <s v="20"/>
    <s v="4"/>
    <s v="2021"/>
    <x v="11"/>
    <x v="11"/>
    <x v="7"/>
    <s v="gill parasites"/>
    <n v="2.922493724706726"/>
    <n v="3.4737601071226241"/>
    <n v="3.5789138566842647E-2"/>
    <n v="7.8593477385585819"/>
    <n v="2.5682502550829955"/>
    <n v="4.4073364358061866"/>
    <s v="T"/>
    <n v="3"/>
  </r>
  <r>
    <s v="PU-GSP-180"/>
    <x v="1"/>
    <s v="I"/>
    <s v="B"/>
    <s v="N"/>
    <n v="141"/>
    <n v="135"/>
    <n v="58.624000000000002"/>
    <n v="1.244"/>
    <n v="0.23599999999999999"/>
    <s v="M30"/>
    <x v="2"/>
    <n v="30"/>
    <n v="3.9180000000000001"/>
    <n v="3.3639999999999999"/>
    <s v="3 pupa: 0.39; 1 snail: 0.009"/>
    <s v="F"/>
    <m/>
    <m/>
    <n v="3"/>
    <n v="0.39"/>
    <m/>
    <m/>
    <m/>
    <m/>
    <m/>
    <m/>
    <m/>
    <m/>
    <m/>
    <m/>
    <m/>
    <m/>
    <m/>
    <m/>
    <n v="1"/>
    <n v="8.9999999999999993E-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39900000000000002"/>
    <s v="20/4/2021"/>
    <s v="20"/>
    <s v="4"/>
    <s v="2021"/>
    <x v="11"/>
    <x v="11"/>
    <x v="7"/>
    <m/>
    <n v="0.40419264232376512"/>
    <n v="2.1680027884280237"/>
    <n v="2.1769564608707825E-2"/>
    <n v="6.0875859572927968"/>
    <n v="0.94500545851528428"/>
    <n v="1.6256140829694326"/>
    <s v="T"/>
    <n v="3"/>
  </r>
  <r>
    <s v="PU-GSP-181"/>
    <x v="1"/>
    <s v="I"/>
    <s v="I"/>
    <s v="G"/>
    <n v="96"/>
    <n v="90"/>
    <n v="18.936"/>
    <n v="0.65300000000000002"/>
    <n v="0.77700000000000002"/>
    <s v="F30"/>
    <x v="0"/>
    <n v="30"/>
    <n v="2.2919999999999998"/>
    <n v="1.488"/>
    <s v="5 worms: 0.639; veg: 0.008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n v="0.63900000000000001"/>
    <m/>
    <m/>
    <m/>
    <m/>
    <m/>
    <m/>
    <m/>
    <m/>
    <m/>
    <m/>
    <n v="1"/>
    <n v="8.0000000000000002E-3"/>
    <n v="0.64700000000000002"/>
    <d v="2021-04-05T00:00:00"/>
    <n v="4"/>
    <n v="5"/>
    <n v="2021"/>
    <x v="12"/>
    <x v="12"/>
    <x v="8"/>
    <s v="1 tapeworm"/>
    <n v="4.278869981827194"/>
    <n v="3.5716239129245744"/>
    <n v="3.7301496629726955E-2"/>
    <n v="8.5281980742778547"/>
    <n v="4.2458808618504431"/>
    <n v="7.6626531474440203"/>
    <s v="T"/>
    <n v="2"/>
  </r>
  <r>
    <s v="PU-GSP-182"/>
    <x v="1"/>
    <s v="I"/>
    <s v="I"/>
    <s v="G"/>
    <n v="88"/>
    <n v="84"/>
    <n v="13.808"/>
    <n v="0.60099999999999998"/>
    <n v="0.39400000000000002"/>
    <s v="F30"/>
    <x v="0"/>
    <n v="30"/>
    <n v="1.5609999999999999"/>
    <n v="0.88100000000000001"/>
    <s v="5 worms: 0.513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n v="0.51300000000000001"/>
    <m/>
    <m/>
    <m/>
    <m/>
    <m/>
    <m/>
    <m/>
    <m/>
    <m/>
    <m/>
    <m/>
    <m/>
    <n v="0.51300000000000001"/>
    <d v="2021-04-05T00:00:00"/>
    <n v="4"/>
    <n v="5"/>
    <n v="2021"/>
    <x v="12"/>
    <x v="12"/>
    <x v="8"/>
    <m/>
    <n v="2.937229759952289"/>
    <n v="4.5506170969940181"/>
    <n v="4.6905486615156478E-2"/>
    <n v="6.8151930068848152"/>
    <n v="4.9246813441483202"/>
    <n v="8.6399188876013913"/>
    <s v="T"/>
    <n v="3"/>
  </r>
  <r>
    <s v="PU-GSP-183"/>
    <x v="1"/>
    <s v="I"/>
    <s v="I"/>
    <s v="G"/>
    <n v="94"/>
    <n v="89"/>
    <n v="16.321000000000002"/>
    <n v="0.59799999999999998"/>
    <n v="0.753"/>
    <s v="F30"/>
    <x v="0"/>
    <n v="30"/>
    <n v="1.3320000000000001"/>
    <n v="1.052"/>
    <s v="2 worms: 0.218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0.218"/>
    <m/>
    <m/>
    <m/>
    <m/>
    <m/>
    <m/>
    <m/>
    <m/>
    <m/>
    <m/>
    <m/>
    <m/>
    <n v="0.218"/>
    <d v="2021-04-05T00:00:00"/>
    <n v="4"/>
    <n v="5"/>
    <n v="2021"/>
    <x v="12"/>
    <x v="12"/>
    <x v="8"/>
    <m/>
    <n v="4.8368448098663919"/>
    <n v="3.8033454175411809"/>
    <n v="3.9946559786239143E-2"/>
    <n v="6.8897766716877333"/>
    <n v="1.7155811531156178"/>
    <n v="3.051283622327063"/>
    <s v="T"/>
    <n v="1"/>
  </r>
  <r>
    <s v="PU-GSP-184"/>
    <x v="1"/>
    <s v="I"/>
    <s v="I"/>
    <s v="G"/>
    <n v="91"/>
    <n v="95"/>
    <n v="14.814"/>
    <n v="0.628"/>
    <n v="0.68899999999999995"/>
    <s v="F30"/>
    <x v="0"/>
    <n v="30"/>
    <n v="1.2150000000000001"/>
    <n v="0.96099999999999997"/>
    <s v="1 caddis: 0.156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0.156"/>
    <m/>
    <m/>
    <m/>
    <m/>
    <m/>
    <m/>
    <m/>
    <m/>
    <m/>
    <m/>
    <m/>
    <m/>
    <m/>
    <m/>
    <m/>
    <m/>
    <m/>
    <m/>
    <n v="0.156"/>
    <d v="2021-04-05T00:00:00"/>
    <n v="4"/>
    <n v="5"/>
    <n v="2021"/>
    <x v="12"/>
    <x v="12"/>
    <x v="8"/>
    <m/>
    <n v="4.8778761061946891"/>
    <n v="4.4268997603270837"/>
    <n v="4.6528858264799584E-2"/>
    <n v="6.9371255323756582"/>
    <n v="1.7145943026866486"/>
    <n v="2.767652220872149"/>
    <s v="T"/>
    <n v="2"/>
  </r>
  <r>
    <s v="PU-GSP-185"/>
    <x v="1"/>
    <s v="I"/>
    <s v="I"/>
    <s v="G"/>
    <n v="91"/>
    <n v="86"/>
    <n v="14.544"/>
    <n v="0.52400000000000002"/>
    <n v="0.56000000000000005"/>
    <s v="F30"/>
    <x v="0"/>
    <n v="30"/>
    <n v="1.64"/>
    <n v="1.0129999999999999"/>
    <s v="1 worm: 0.456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0.45600000000000002"/>
    <m/>
    <m/>
    <m/>
    <m/>
    <m/>
    <m/>
    <m/>
    <m/>
    <m/>
    <m/>
    <m/>
    <m/>
    <n v="0.45600000000000002"/>
    <d v="2021-04-05T00:00:00"/>
    <n v="4"/>
    <n v="5"/>
    <n v="2021"/>
    <x v="12"/>
    <x v="12"/>
    <x v="8"/>
    <s v="branch"/>
    <n v="4.0045766590389018"/>
    <n v="3.7375178316690447"/>
    <n v="3.8930163447251122E-2"/>
    <n v="7.4865124528859646"/>
    <n v="4.311056105610561"/>
    <n v="7.4463696369636958"/>
    <s v="T"/>
    <n v="2"/>
  </r>
  <r>
    <s v="PU-GSP-186"/>
    <x v="1"/>
    <s v="I"/>
    <s v="B"/>
    <s v="N"/>
    <n v="119"/>
    <n v="113"/>
    <n v="35.090000000000003"/>
    <n v="1.2849999999999999"/>
    <n v="2.464"/>
    <s v="F30"/>
    <x v="0"/>
    <n v="30"/>
    <n v="2.3959999999999999"/>
    <n v="2.3570000000000002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1-04-05T00:00:00"/>
    <n v="4"/>
    <n v="5"/>
    <n v="2021"/>
    <x v="12"/>
    <x v="12"/>
    <x v="8"/>
    <s v="branch"/>
    <n v="7.5522589345920421"/>
    <n v="3.8012128383375234"/>
    <n v="4.1000606234644701E-2"/>
    <n v="7.2006843246876242"/>
    <n v="0.11114277571957737"/>
    <n v="0.11114277571957737"/>
    <s v="T"/>
    <n v="1"/>
  </r>
  <r>
    <s v="PU-GSP-187"/>
    <x v="1"/>
    <s v="I"/>
    <s v="B"/>
    <s v="N"/>
    <n v="111"/>
    <n v="106"/>
    <n v="29.582000000000001"/>
    <n v="0.63"/>
    <n v="0.26700000000000002"/>
    <s v="M30"/>
    <x v="2"/>
    <n v="30"/>
    <n v="3.8919999999999999"/>
    <n v="2.0499999999999998"/>
    <s v="6 worms: 1.66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"/>
    <n v="1.66"/>
    <m/>
    <m/>
    <m/>
    <m/>
    <m/>
    <m/>
    <m/>
    <m/>
    <m/>
    <m/>
    <m/>
    <m/>
    <n v="1.66"/>
    <d v="2021-04-05T00:00:00"/>
    <n v="4"/>
    <n v="5"/>
    <n v="2021"/>
    <x v="12"/>
    <x v="12"/>
    <x v="8"/>
    <s v="branch"/>
    <n v="0.91079652055261817"/>
    <n v="2.1760154738878144"/>
    <n v="2.196269827435942E-2"/>
    <n v="7.4458811564724687"/>
    <n v="6.2267595159218443"/>
    <n v="11.838280035156513"/>
    <s v="T"/>
    <n v="1"/>
  </r>
  <r>
    <s v="PU-GSP-188"/>
    <x v="1"/>
    <s v="I"/>
    <s v="I"/>
    <s v="G"/>
    <n v="102"/>
    <n v="98"/>
    <n v="22.675000000000001"/>
    <n v="0.65300000000000002"/>
    <n v="0.17699999999999999"/>
    <s v="M30"/>
    <x v="2"/>
    <n v="30"/>
    <n v="2.8759999999999999"/>
    <n v="1.7609999999999999"/>
    <s v="4 worms: 0.821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0.82099999999999995"/>
    <m/>
    <m/>
    <m/>
    <m/>
    <m/>
    <m/>
    <m/>
    <m/>
    <m/>
    <m/>
    <m/>
    <m/>
    <n v="0.82099999999999995"/>
    <d v="2021-04-05T00:00:00"/>
    <n v="4"/>
    <n v="5"/>
    <n v="2021"/>
    <x v="12"/>
    <x v="12"/>
    <x v="8"/>
    <s v="branch"/>
    <n v="0.78673659880878299"/>
    <n v="2.9652166015802379"/>
    <n v="2.9892423895628288E-2"/>
    <n v="8.4201969972267356"/>
    <n v="4.9173098125689085"/>
    <n v="8.5380374862183022"/>
    <s v="T"/>
    <n v="2"/>
  </r>
  <r>
    <s v="PU-GSP-189"/>
    <x v="1"/>
    <s v="I"/>
    <s v="S"/>
    <s v="G"/>
    <n v="76"/>
    <n v="72"/>
    <n v="8.4740000000000002"/>
    <n v="0.17599999999999999"/>
    <n v="9.0999999999999998E-2"/>
    <s v="M30"/>
    <x v="2"/>
    <n v="30"/>
    <n v="0.65600000000000003"/>
    <n v="0.59399999999999997"/>
    <s v="11 chiro: 0.05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1"/>
    <n v="0.05"/>
    <m/>
    <m/>
    <m/>
    <m/>
    <m/>
    <m/>
    <m/>
    <m/>
    <m/>
    <m/>
    <m/>
    <m/>
    <m/>
    <m/>
    <m/>
    <m/>
    <m/>
    <m/>
    <m/>
    <m/>
    <m/>
    <m/>
    <m/>
    <m/>
    <n v="0.05"/>
    <d v="2021-04-05T00:00:00"/>
    <n v="4"/>
    <n v="5"/>
    <n v="2021"/>
    <x v="12"/>
    <x v="12"/>
    <x v="8"/>
    <s v="branch"/>
    <n v="1.085530239770965"/>
    <n v="2.1209930103639429"/>
    <n v="2.1445107834775188E-2"/>
    <n v="7.5380710659898469"/>
    <n v="0.73164975218314909"/>
    <n v="1.3216898749114947"/>
    <s v="T"/>
    <n v="1"/>
  </r>
  <r>
    <s v="PU-GSP-190"/>
    <x v="1"/>
    <s v="I"/>
    <s v="S"/>
    <s v="G"/>
    <n v="66"/>
    <n v="62"/>
    <n v="4.9870000000000001"/>
    <n v="0.13700000000000001"/>
    <n v="0.221"/>
    <s v="F30"/>
    <x v="0"/>
    <n v="30"/>
    <n v="0.32"/>
    <n v="0.25900000000000001"/>
    <s v="inverts: 0.051"/>
    <s v="F"/>
    <m/>
    <m/>
    <m/>
    <n v="5.0999999999999997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.0999999999999997E-2"/>
    <d v="2021-04-05T00:00:00"/>
    <n v="4"/>
    <n v="5"/>
    <n v="2021"/>
    <x v="12"/>
    <x v="12"/>
    <x v="8"/>
    <s v="branch"/>
    <n v="4.6370121695342004"/>
    <n v="2.8247422680412377"/>
    <n v="2.9596025059408084E-2"/>
    <n v="5.4780033840947553"/>
    <n v="1.2231802686986164"/>
    <n v="2.2458391818728689"/>
    <s v="T"/>
    <n v="1"/>
  </r>
  <r>
    <s v="PU-GSP-191"/>
    <x v="1"/>
    <s v="I"/>
    <s v="IMM"/>
    <s v="G"/>
    <n v="63"/>
    <n v="59"/>
    <n v="4.242"/>
    <n v="8.4000000000000005E-2"/>
    <n v="6.2E-2"/>
    <s v="M30"/>
    <x v="2"/>
    <n v="30"/>
    <n v="0.26600000000000001"/>
    <n v="0.23499999999999999"/>
    <s v="1 soldierfly larv: 0.019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.9E-2"/>
    <m/>
    <m/>
    <m/>
    <m/>
    <m/>
    <m/>
    <m/>
    <m/>
    <m/>
    <m/>
    <m/>
    <m/>
    <m/>
    <m/>
    <m/>
    <m/>
    <m/>
    <m/>
    <m/>
    <m/>
    <n v="1.9E-2"/>
    <d v="2021-04-05T00:00:00"/>
    <n v="4"/>
    <n v="5"/>
    <n v="2021"/>
    <x v="12"/>
    <x v="12"/>
    <x v="8"/>
    <s v="branch"/>
    <n v="1.4832535885167464"/>
    <n v="2.0202020202020199"/>
    <n v="2.05078125E-2"/>
    <n v="5.8647367107561772"/>
    <n v="0.73078736445073145"/>
    <n v="1.1786892975011793"/>
    <s v="T"/>
    <n v="1"/>
  </r>
  <r>
    <s v="PU-GSP-192"/>
    <x v="1"/>
    <s v="S"/>
    <s v="IMM"/>
    <s v="N"/>
    <n v="52"/>
    <n v="48"/>
    <n v="2.1669999999999998"/>
    <n v="4.2000000000000003E-2"/>
    <n v="4.9000000000000002E-2"/>
    <s v="F23"/>
    <x v="0"/>
    <n v="23"/>
    <n v="0.14000000000000001"/>
    <n v="0.106"/>
    <s v="zoops: 0.018"/>
    <s v="F"/>
    <m/>
    <m/>
    <m/>
    <m/>
    <m/>
    <m/>
    <m/>
    <m/>
    <m/>
    <m/>
    <m/>
    <m/>
    <m/>
    <m/>
    <m/>
    <m/>
    <m/>
    <m/>
    <m/>
    <m/>
    <m/>
    <m/>
    <m/>
    <n v="1.7999999999999999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.7999999999999999E-2"/>
    <d v="2021-04-05T00:00:00"/>
    <n v="4"/>
    <n v="5"/>
    <n v="2021"/>
    <x v="12"/>
    <x v="12"/>
    <x v="8"/>
    <s v="branch"/>
    <n v="2.3135033050047218"/>
    <n v="1.9764705882352942"/>
    <n v="2.023121387283237E-2"/>
    <n v="5.1431344007763222"/>
    <n v="1.5689893862482702"/>
    <n v="2.3996308260267663"/>
    <s v="T"/>
    <n v="1"/>
  </r>
  <r>
    <s v="PU-GSP-193"/>
    <x v="1"/>
    <s v="I"/>
    <s v="S"/>
    <s v="G"/>
    <n v="73"/>
    <n v="69"/>
    <n v="6.8339999999999996"/>
    <n v="0.153"/>
    <n v="4.5999999999999999E-2"/>
    <s v="M30"/>
    <x v="2"/>
    <n v="30"/>
    <n v="0.441"/>
    <n v="0.376"/>
    <s v="9 chiro: 0.047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9"/>
    <n v="4.7E-2"/>
    <m/>
    <m/>
    <m/>
    <m/>
    <m/>
    <m/>
    <m/>
    <m/>
    <m/>
    <m/>
    <m/>
    <m/>
    <m/>
    <m/>
    <m/>
    <m/>
    <m/>
    <m/>
    <m/>
    <m/>
    <m/>
    <m/>
    <m/>
    <m/>
    <n v="4.7E-2"/>
    <d v="2021-04-05T00:00:00"/>
    <n v="4"/>
    <n v="5"/>
    <n v="2021"/>
    <x v="12"/>
    <x v="12"/>
    <x v="8"/>
    <m/>
    <n v="0.67766647024160287"/>
    <n v="2.2900763358778624"/>
    <n v="2.3059532780708367E-2"/>
    <n v="5.8222359863734914"/>
    <n v="0.95112671934445414"/>
    <n v="1.6388645010242904"/>
    <s v="T"/>
    <n v="1"/>
  </r>
  <r>
    <s v="PU-GSP-194"/>
    <x v="1"/>
    <s v="I"/>
    <s v="S"/>
    <s v="G"/>
    <n v="68"/>
    <n v="64"/>
    <n v="5.5309999999999997"/>
    <n v="0.13"/>
    <n v="0.104"/>
    <s v="M30"/>
    <x v="2"/>
    <n v="30"/>
    <n v="0.33500000000000002"/>
    <n v="0.30499999999999999"/>
    <s v="inverts: 0.017"/>
    <s v="F"/>
    <m/>
    <m/>
    <m/>
    <n v="1.7000000000000001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.7000000000000001E-2"/>
    <d v="2021-04-05T00:00:00"/>
    <n v="4"/>
    <n v="5"/>
    <n v="2021"/>
    <x v="12"/>
    <x v="12"/>
    <x v="8"/>
    <m/>
    <n v="1.9163442049014188"/>
    <n v="2.4069616737641177"/>
    <n v="2.4542193694544082E-2"/>
    <n v="5.8362035973976276"/>
    <n v="0.54239739649249741"/>
    <n v="0.84975592117157894"/>
    <s v="T"/>
    <n v="1"/>
  </r>
  <r>
    <s v="PU-GSP-195"/>
    <x v="1"/>
    <s v="I"/>
    <s v="S"/>
    <s v="G"/>
    <n v="65"/>
    <n v="61"/>
    <n v="4.6369999999999996"/>
    <n v="0.13500000000000001"/>
    <n v="7.0000000000000007E-2"/>
    <s v="M30"/>
    <x v="2"/>
    <n v="30"/>
    <n v="0.318"/>
    <n v="0.255"/>
    <s v="zoops: 0.05"/>
    <s v="F"/>
    <m/>
    <m/>
    <m/>
    <m/>
    <m/>
    <m/>
    <m/>
    <m/>
    <m/>
    <m/>
    <m/>
    <m/>
    <m/>
    <m/>
    <m/>
    <m/>
    <m/>
    <m/>
    <m/>
    <m/>
    <m/>
    <m/>
    <m/>
    <n v="0.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05"/>
    <d v="2021-04-05T00:00:00"/>
    <n v="4"/>
    <n v="5"/>
    <n v="2021"/>
    <x v="12"/>
    <x v="12"/>
    <x v="8"/>
    <m/>
    <n v="1.5327348368732212"/>
    <n v="2.9986672589960022"/>
    <n v="3.0460288808664266E-2"/>
    <n v="5.8192606115928802"/>
    <n v="1.358637049816692"/>
    <n v="2.4369204226870824"/>
    <s v="T"/>
    <n v="1"/>
  </r>
  <r>
    <s v="PU-GSP-196"/>
    <x v="1"/>
    <s v="I"/>
    <s v="IMM"/>
    <s v="G"/>
    <n v="61"/>
    <n v="58"/>
    <n v="3.98"/>
    <n v="7.3999999999999996E-2"/>
    <n v="7.5999999999999998E-2"/>
    <s v="M30"/>
    <x v="2"/>
    <n v="30"/>
    <n v="0.25800000000000001"/>
    <n v="0.20799999999999999"/>
    <s v="zoops: 0.034"/>
    <s v="F"/>
    <m/>
    <m/>
    <m/>
    <m/>
    <m/>
    <m/>
    <m/>
    <m/>
    <m/>
    <m/>
    <m/>
    <m/>
    <m/>
    <m/>
    <m/>
    <m/>
    <m/>
    <m/>
    <m/>
    <m/>
    <m/>
    <m/>
    <m/>
    <n v="3.4000000000000002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.4000000000000002E-2"/>
    <d v="2021-04-05T00:00:00"/>
    <n v="4"/>
    <n v="5"/>
    <n v="2021"/>
    <x v="12"/>
    <x v="12"/>
    <x v="8"/>
    <m/>
    <n v="1.9467213114754098"/>
    <n v="1.8945212493599588"/>
    <n v="1.9321148825065273E-2"/>
    <n v="5.5143160127253443"/>
    <n v="1.2562814070351762"/>
    <n v="2.1105527638190962"/>
    <s v="T"/>
    <n v="1"/>
  </r>
  <r>
    <s v="PU-GSP-197"/>
    <x v="1"/>
    <s v="I"/>
    <s v="IMM"/>
    <s v="G"/>
    <n v="62"/>
    <n v="59"/>
    <n v="4.1369999999999996"/>
    <n v="9.9000000000000005E-2"/>
    <n v="0.129"/>
    <s v="F30"/>
    <x v="0"/>
    <n v="30"/>
    <n v="0.29499999999999998"/>
    <n v="0.22900000000000001"/>
    <s v="zoops: 0.053"/>
    <s v="F"/>
    <m/>
    <m/>
    <m/>
    <m/>
    <m/>
    <m/>
    <m/>
    <m/>
    <m/>
    <m/>
    <m/>
    <m/>
    <m/>
    <m/>
    <m/>
    <m/>
    <m/>
    <m/>
    <m/>
    <m/>
    <m/>
    <m/>
    <m/>
    <n v="5.2999999999999999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.2999999999999999E-2"/>
    <d v="2021-04-05T00:00:00"/>
    <n v="4"/>
    <n v="5"/>
    <n v="2021"/>
    <x v="12"/>
    <x v="12"/>
    <x v="8"/>
    <m/>
    <n v="3.2185628742514982"/>
    <n v="2.4517087667161968"/>
    <n v="2.5326170376055262E-2"/>
    <n v="5.8597748208802463"/>
    <n v="1.5953589557650467"/>
    <n v="2.8764805414551602"/>
    <s v="T"/>
    <n v="1"/>
  </r>
  <r>
    <s v="PU-GSP-198"/>
    <x v="1"/>
    <s v="S"/>
    <s v="IMM"/>
    <s v="N"/>
    <n v="52"/>
    <n v="50"/>
    <n v="2.3439999999999999"/>
    <n v="4.8000000000000001E-2"/>
    <n v="4.8000000000000001E-2"/>
    <s v="M30"/>
    <x v="2"/>
    <n v="30"/>
    <n v="0.16600000000000001"/>
    <n v="0.12"/>
    <s v="inverts: 0.028"/>
    <s v="F"/>
    <m/>
    <m/>
    <m/>
    <n v="2.8000000000000001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.8000000000000001E-2"/>
    <d v="2021-04-05T00:00:00"/>
    <n v="4"/>
    <n v="5"/>
    <n v="2021"/>
    <x v="12"/>
    <x v="12"/>
    <x v="8"/>
    <m/>
    <n v="2.0905923344947737"/>
    <n v="2.0905923344947737"/>
    <n v="2.1352313167259791E-2"/>
    <n v="5.3956834532374103"/>
    <n v="1.9624573378839598"/>
    <n v="3.1569965870307173"/>
    <s v="T"/>
    <n v="1"/>
  </r>
  <r>
    <s v="PU-GSP-199"/>
    <x v="1"/>
    <s v="S"/>
    <s v="IMM"/>
    <s v="N"/>
    <n v="51"/>
    <n v="49"/>
    <n v="2.1789999999999998"/>
    <n v="5.2999999999999999E-2"/>
    <n v="5.8000000000000003E-2"/>
    <s v="F23"/>
    <x v="0"/>
    <n v="23"/>
    <n v="0.2"/>
    <n v="0.14399999999999999"/>
    <s v="zoops: 0.049"/>
    <s v="F"/>
    <m/>
    <m/>
    <m/>
    <m/>
    <m/>
    <m/>
    <m/>
    <m/>
    <m/>
    <m/>
    <m/>
    <m/>
    <m/>
    <m/>
    <m/>
    <m/>
    <m/>
    <m/>
    <m/>
    <m/>
    <m/>
    <m/>
    <m/>
    <n v="4.9000000000000002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.9000000000000002E-2"/>
    <d v="2021-04-05T00:00:00"/>
    <n v="4"/>
    <n v="5"/>
    <n v="2021"/>
    <x v="12"/>
    <x v="12"/>
    <x v="8"/>
    <m/>
    <n v="2.734559170202735"/>
    <n v="2.4929444967074317"/>
    <n v="2.5628626692456479E-2"/>
    <n v="7.076167076167077"/>
    <n v="2.5699862322166145"/>
    <n v="4.8187241854061504"/>
    <s v="T"/>
    <n v="1"/>
  </r>
  <r>
    <s v="PU-GSP-200"/>
    <x v="1"/>
    <s v="S"/>
    <s v="IMM"/>
    <s v="N"/>
    <n v="49"/>
    <n v="47"/>
    <n v="1.9670000000000001"/>
    <n v="0.06"/>
    <n v="0.04"/>
    <s v="F23"/>
    <x v="0"/>
    <n v="23"/>
    <n v="0.14499999999999999"/>
    <n v="0.112"/>
    <s v="zoops: 0.021"/>
    <s v="F"/>
    <m/>
    <m/>
    <m/>
    <m/>
    <m/>
    <m/>
    <m/>
    <m/>
    <m/>
    <m/>
    <m/>
    <m/>
    <m/>
    <m/>
    <m/>
    <m/>
    <m/>
    <m/>
    <m/>
    <m/>
    <m/>
    <m/>
    <m/>
    <n v="2.1000000000000001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.1000000000000001E-2"/>
    <d v="2021-04-05T00:00:00"/>
    <n v="4"/>
    <n v="5"/>
    <n v="2021"/>
    <x v="12"/>
    <x v="12"/>
    <x v="8"/>
    <m/>
    <n v="2.0757654385054489"/>
    <n v="3.1463030938647085"/>
    <n v="3.2137118371719335E-2"/>
    <n v="6.0377358490566042"/>
    <n v="1.6776817488561253"/>
    <n v="2.7452974072191152"/>
    <s v="T"/>
    <n v="1"/>
  </r>
  <r>
    <s v="PU-GSP-201"/>
    <x v="1"/>
    <s v="S"/>
    <s v="IMM"/>
    <s v="N"/>
    <n v="49"/>
    <n v="46"/>
    <n v="1.913"/>
    <n v="3.6999999999999998E-2"/>
    <n v="4.9000000000000002E-2"/>
    <s v="M30"/>
    <x v="2"/>
    <n v="30"/>
    <n v="0.14899999999999999"/>
    <n v="0.113"/>
    <s v="zoops: 0.022"/>
    <s v="F"/>
    <m/>
    <m/>
    <m/>
    <m/>
    <m/>
    <m/>
    <m/>
    <m/>
    <m/>
    <m/>
    <m/>
    <m/>
    <m/>
    <m/>
    <m/>
    <m/>
    <m/>
    <m/>
    <m/>
    <m/>
    <m/>
    <m/>
    <m/>
    <n v="2.1999999999999999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.1999999999999999E-2"/>
    <d v="2021-04-05T00:00:00"/>
    <n v="4"/>
    <n v="5"/>
    <n v="2021"/>
    <x v="12"/>
    <x v="12"/>
    <x v="8"/>
    <m/>
    <n v="2.6287553648068669"/>
    <n v="1.9722814498933898"/>
    <n v="2.0251778872468526E-2"/>
    <n v="6.2777777777777777"/>
    <n v="1.8818609513852582"/>
    <n v="3.0318870883429163"/>
    <s v="T"/>
    <n v="1"/>
  </r>
  <r>
    <s v="PU-GSP-202"/>
    <x v="1"/>
    <s v="I"/>
    <s v="S"/>
    <s v="G"/>
    <n v="81"/>
    <n v="77"/>
    <n v="11.302"/>
    <n v="0.35199999999999998"/>
    <n v="1.7769999999999999"/>
    <s v="F30"/>
    <x v="0"/>
    <n v="30"/>
    <n v="0.5"/>
    <n v="0.41699999999999998"/>
    <s v="~40 chaob: 0.053"/>
    <s v="F"/>
    <m/>
    <m/>
    <m/>
    <m/>
    <m/>
    <m/>
    <m/>
    <m/>
    <m/>
    <m/>
    <m/>
    <m/>
    <m/>
    <m/>
    <m/>
    <m/>
    <m/>
    <m/>
    <m/>
    <m/>
    <m/>
    <m/>
    <m/>
    <m/>
    <m/>
    <m/>
    <m/>
    <m/>
    <n v="40"/>
    <n v="5.2999999999999999E-2"/>
    <m/>
    <m/>
    <m/>
    <m/>
    <m/>
    <m/>
    <m/>
    <m/>
    <m/>
    <m/>
    <m/>
    <m/>
    <m/>
    <m/>
    <m/>
    <m/>
    <m/>
    <m/>
    <m/>
    <m/>
    <m/>
    <m/>
    <m/>
    <m/>
    <m/>
    <m/>
    <n v="5.2999999999999999E-2"/>
    <s v="18/5/2021"/>
    <s v="18"/>
    <s v="5"/>
    <s v="2021"/>
    <x v="13"/>
    <x v="13"/>
    <x v="9"/>
    <m/>
    <n v="18.656167979002621"/>
    <n v="3.214611872146119"/>
    <n v="3.837348740869944E-2"/>
    <n v="3.8309600367478178"/>
    <n v="0.73438329499203692"/>
    <n v="1.2033268448062291"/>
    <s v="T"/>
    <n v="2"/>
  </r>
  <r>
    <s v="PU-GSP-203"/>
    <x v="1"/>
    <s v="I"/>
    <s v="IMM"/>
    <s v="G"/>
    <n v="63"/>
    <n v="60"/>
    <n v="4.3410000000000002"/>
    <n v="9.2999999999999999E-2"/>
    <n v="0.20200000000000001"/>
    <s v="F30"/>
    <x v="0"/>
    <n v="30"/>
    <n v="0.24299999999999999"/>
    <n v="0.17799999999999999"/>
    <s v="~75 zoops: 0.03; 2 chiro: 0.007"/>
    <s v="F"/>
    <m/>
    <m/>
    <m/>
    <m/>
    <m/>
    <m/>
    <m/>
    <m/>
    <m/>
    <m/>
    <m/>
    <m/>
    <m/>
    <m/>
    <m/>
    <m/>
    <m/>
    <m/>
    <m/>
    <m/>
    <m/>
    <m/>
    <n v="75"/>
    <n v="0.03"/>
    <m/>
    <m/>
    <m/>
    <m/>
    <m/>
    <m/>
    <n v="2"/>
    <n v="7.0000000000000001E-3"/>
    <m/>
    <m/>
    <m/>
    <m/>
    <m/>
    <m/>
    <m/>
    <m/>
    <m/>
    <m/>
    <m/>
    <m/>
    <m/>
    <m/>
    <m/>
    <m/>
    <m/>
    <m/>
    <m/>
    <m/>
    <m/>
    <m/>
    <m/>
    <m/>
    <n v="3.6999999999999998E-2"/>
    <s v="18/5/2021"/>
    <s v="18"/>
    <s v="5"/>
    <s v="2021"/>
    <x v="13"/>
    <x v="13"/>
    <x v="9"/>
    <m/>
    <n v="4.8804058951437543"/>
    <n v="2.1892655367231639"/>
    <n v="2.2985664854176965E-2"/>
    <n v="4.2757626711506118"/>
    <n v="1.4973508408200875"/>
    <n v="2.349689011748445"/>
    <s v="T"/>
    <n v="2"/>
  </r>
  <r>
    <s v="PU-GSP-204"/>
    <x v="1"/>
    <s v="I"/>
    <s v="S"/>
    <s v="G"/>
    <n v="80"/>
    <n v="76"/>
    <n v="10.42"/>
    <n v="0.28999999999999998"/>
    <n v="1.3049999999999999"/>
    <s v="F30"/>
    <x v="0"/>
    <n v="30"/>
    <n v="0.56100000000000005"/>
    <n v="0.42799999999999999"/>
    <s v="9 chiro: 0.035; 1 worm: 0.066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9"/>
    <n v="3.5000000000000003E-2"/>
    <m/>
    <m/>
    <m/>
    <m/>
    <m/>
    <m/>
    <m/>
    <m/>
    <m/>
    <m/>
    <n v="1"/>
    <n v="6.6000000000000003E-2"/>
    <m/>
    <m/>
    <m/>
    <m/>
    <m/>
    <m/>
    <m/>
    <m/>
    <m/>
    <m/>
    <m/>
    <m/>
    <n v="0.10100000000000001"/>
    <s v="18/5/2021"/>
    <s v="18"/>
    <s v="5"/>
    <s v="2021"/>
    <x v="13"/>
    <x v="13"/>
    <x v="9"/>
    <m/>
    <n v="14.317059791552387"/>
    <n v="2.8627838104639682"/>
    <n v="3.2861189801699713E-2"/>
    <n v="4.2834267413931144"/>
    <n v="1.2763915547024958"/>
    <n v="2.2456813819577741"/>
    <s v="T"/>
    <n v="2"/>
  </r>
  <r>
    <s v="PU-GSP-205"/>
    <x v="1"/>
    <s v="I"/>
    <s v="IMM"/>
    <s v="G"/>
    <n v="62"/>
    <n v="60"/>
    <n v="4.4989999999999997"/>
    <n v="0.112"/>
    <n v="0.26300000000000001"/>
    <s v="F30"/>
    <x v="0"/>
    <n v="30"/>
    <n v="0.249"/>
    <n v="0.2"/>
    <s v="~100 zoops: 0.029"/>
    <s v="F"/>
    <m/>
    <m/>
    <m/>
    <m/>
    <m/>
    <m/>
    <m/>
    <m/>
    <m/>
    <m/>
    <m/>
    <m/>
    <m/>
    <m/>
    <m/>
    <m/>
    <m/>
    <m/>
    <m/>
    <m/>
    <m/>
    <m/>
    <n v="100"/>
    <n v="2.9000000000000001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.9000000000000001E-2"/>
    <s v="18/5/2021"/>
    <s v="18"/>
    <s v="5"/>
    <s v="2021"/>
    <x v="13"/>
    <x v="13"/>
    <x v="9"/>
    <m/>
    <n v="6.2086874409820592"/>
    <n v="2.5529974925917487"/>
    <n v="2.7158098933074689E-2"/>
    <n v="4.6522447080716454"/>
    <n v="1.0891309179817736"/>
    <n v="1.7337186041342516"/>
    <s v="T"/>
    <n v="1"/>
  </r>
  <r>
    <s v="PU-GSP-206"/>
    <x v="1"/>
    <s v="I"/>
    <s v="B"/>
    <s v="N"/>
    <n v="136"/>
    <n v="130"/>
    <n v="56.304000000000002"/>
    <n v="1.117"/>
    <n v="0.71899999999999997"/>
    <s v="M30"/>
    <x v="2"/>
    <n v="30"/>
    <n v="3.484"/>
    <n v="2.617"/>
    <s v="1 pred div beet: 0.415; 1 worm: 0.368"/>
    <s v="F"/>
    <m/>
    <m/>
    <m/>
    <m/>
    <m/>
    <m/>
    <m/>
    <m/>
    <m/>
    <m/>
    <m/>
    <m/>
    <n v="1"/>
    <n v="0.41499999999999998"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0.36799999999999999"/>
    <m/>
    <m/>
    <m/>
    <m/>
    <m/>
    <m/>
    <m/>
    <m/>
    <m/>
    <m/>
    <m/>
    <m/>
    <n v="0.78299999999999992"/>
    <s v="18/5/2021"/>
    <s v="18"/>
    <s v="5"/>
    <s v="2021"/>
    <x v="13"/>
    <x v="13"/>
    <x v="9"/>
    <m/>
    <n v="1.2935144373482053"/>
    <n v="2.024027397756718"/>
    <n v="2.0507453917896747E-2"/>
    <n v="4.8745506360943986"/>
    <n v="1.5398550724637681"/>
    <n v="2.9305200341005966"/>
    <s v="T"/>
    <n v="2"/>
  </r>
  <r>
    <s v="PU-GSP-207"/>
    <x v="1"/>
    <s v="I"/>
    <s v="S"/>
    <s v="G"/>
    <n v="81"/>
    <n v="77"/>
    <n v="10.634"/>
    <n v="0.16900000000000001"/>
    <n v="0.307"/>
    <s v="M30"/>
    <x v="2"/>
    <n v="30"/>
    <n v="0.56399999999999995"/>
    <n v="0.443"/>
    <s v="~200 zoops: 0.089"/>
    <s v="F"/>
    <m/>
    <m/>
    <m/>
    <m/>
    <m/>
    <m/>
    <m/>
    <m/>
    <m/>
    <m/>
    <m/>
    <m/>
    <m/>
    <m/>
    <m/>
    <m/>
    <m/>
    <m/>
    <m/>
    <m/>
    <m/>
    <m/>
    <n v="200"/>
    <n v="8.8999999999999996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.8999999999999996E-2"/>
    <s v="18/5/2021"/>
    <s v="18"/>
    <s v="5"/>
    <s v="2021"/>
    <x v="13"/>
    <x v="13"/>
    <x v="9"/>
    <m/>
    <n v="2.9727897743778446"/>
    <n v="1.6149068322981366"/>
    <n v="1.6637133293955504E-2"/>
    <n v="4.3469728191541552"/>
    <n v="1.1378596953169073"/>
    <n v="1.9747978183186001"/>
    <s v="T"/>
    <n v="2"/>
  </r>
  <r>
    <s v="PU-GSP-208"/>
    <x v="1"/>
    <s v="I"/>
    <s v="I"/>
    <s v="G"/>
    <n v="93"/>
    <n v="89"/>
    <n v="15.973000000000001"/>
    <n v="0.26100000000000001"/>
    <n v="0.35299999999999998"/>
    <s v="M30"/>
    <x v="2"/>
    <n v="30"/>
    <n v="0.999"/>
    <n v="0.84"/>
    <s v="1 mussel: 0.039; 1 chiro: 0.005; 2 div beet: 0.05"/>
    <s v="F"/>
    <m/>
    <m/>
    <m/>
    <m/>
    <m/>
    <m/>
    <m/>
    <m/>
    <m/>
    <m/>
    <n v="2"/>
    <n v="0.05"/>
    <m/>
    <m/>
    <m/>
    <m/>
    <n v="1"/>
    <n v="3.9E-2"/>
    <m/>
    <m/>
    <m/>
    <m/>
    <m/>
    <m/>
    <m/>
    <m/>
    <m/>
    <m/>
    <m/>
    <m/>
    <n v="1"/>
    <n v="5.0000000000000001E-3"/>
    <m/>
    <m/>
    <m/>
    <m/>
    <m/>
    <m/>
    <m/>
    <m/>
    <m/>
    <m/>
    <m/>
    <m/>
    <m/>
    <m/>
    <m/>
    <m/>
    <m/>
    <m/>
    <m/>
    <m/>
    <m/>
    <m/>
    <m/>
    <m/>
    <n v="9.4E-2"/>
    <s v="18/5/2021"/>
    <s v="18"/>
    <s v="5"/>
    <s v="2021"/>
    <x v="13"/>
    <x v="13"/>
    <x v="9"/>
    <m/>
    <n v="2.2599231754161329"/>
    <n v="1.6611507128309573"/>
    <n v="1.6993293834233997E-2"/>
    <n v="5.5507830568955256"/>
    <n v="0.99542978776685676"/>
    <n v="1.5839228698428596"/>
    <s v="T"/>
    <n v="2"/>
  </r>
  <r>
    <s v="PU-GSP-209"/>
    <x v="1"/>
    <s v="I"/>
    <s v="I"/>
    <s v="G"/>
    <n v="99"/>
    <n v="94"/>
    <n v="22.242999999999999"/>
    <n v="0.58599999999999997"/>
    <n v="4.1680000000000001"/>
    <s v="F30"/>
    <x v="0"/>
    <n v="30"/>
    <n v="0.94699999999999995"/>
    <n v="0.86699999999999999"/>
    <s v="2 snail: 0.032; veg: 0.015"/>
    <s v="F"/>
    <m/>
    <m/>
    <m/>
    <m/>
    <m/>
    <m/>
    <m/>
    <m/>
    <m/>
    <m/>
    <m/>
    <m/>
    <m/>
    <m/>
    <m/>
    <s v="  "/>
    <m/>
    <m/>
    <n v="2"/>
    <n v="3.2000000000000001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.4999999999999999E-2"/>
    <n v="4.7E-2"/>
    <s v="18/5/2021"/>
    <s v="18"/>
    <s v="5"/>
    <s v="2021"/>
    <x v="13"/>
    <x v="13"/>
    <x v="9"/>
    <m/>
    <n v="23.059474412171511"/>
    <n v="2.7058225977743917"/>
    <n v="3.3506775687575041E-2"/>
    <n v="4.0559505988023954"/>
    <n v="0.35966371442701062"/>
    <n v="0.57096614665287937"/>
    <s v="T"/>
    <n v="1"/>
  </r>
  <r>
    <s v="PU-GSP-210"/>
    <x v="1"/>
    <s v="I"/>
    <s v="B"/>
    <s v="N"/>
    <n v="127"/>
    <n v="120"/>
    <n v="45.917999999999999"/>
    <n v="1.052"/>
    <n v="5.9749999999999996"/>
    <s v="F30"/>
    <x v="0"/>
    <n v="30"/>
    <n v="3.4430000000000001"/>
    <n v="2.3849999999999998"/>
    <s v="6 snails: 0.221; 3 caddis: 0.208; 1 leech: 0.333"/>
    <s v="F"/>
    <m/>
    <m/>
    <m/>
    <m/>
    <m/>
    <m/>
    <m/>
    <m/>
    <m/>
    <m/>
    <m/>
    <m/>
    <m/>
    <m/>
    <m/>
    <m/>
    <m/>
    <m/>
    <n v="6"/>
    <n v="0.221"/>
    <m/>
    <m/>
    <m/>
    <m/>
    <m/>
    <m/>
    <m/>
    <m/>
    <m/>
    <m/>
    <m/>
    <m/>
    <m/>
    <m/>
    <m/>
    <m/>
    <n v="3"/>
    <n v="0.20799999999999999"/>
    <m/>
    <m/>
    <n v="1"/>
    <n v="0.33300000000000002"/>
    <m/>
    <m/>
    <m/>
    <m/>
    <m/>
    <m/>
    <m/>
    <m/>
    <m/>
    <m/>
    <m/>
    <m/>
    <m/>
    <m/>
    <n v="0.76200000000000001"/>
    <s v="18/5/2021"/>
    <s v="18"/>
    <s v="5"/>
    <s v="2021"/>
    <x v="13"/>
    <x v="13"/>
    <x v="9"/>
    <m/>
    <n v="14.958816313246375"/>
    <n v="2.3447599518566395"/>
    <n v="2.7049960145020702E-2"/>
    <n v="5.4786024395286326"/>
    <n v="2.3041073217474635"/>
    <n v="3.96358726425367"/>
    <s v="T"/>
    <n v="2"/>
  </r>
  <r>
    <s v="PU-GSP-211"/>
    <x v="1"/>
    <s v="I"/>
    <s v="I"/>
    <s v="G"/>
    <n v="85"/>
    <n v="80"/>
    <n v="11.438000000000001"/>
    <n v="0.28399999999999997"/>
    <n v="1.1419999999999999"/>
    <s v="F30"/>
    <x v="0"/>
    <n v="30"/>
    <n v="0.53600000000000003"/>
    <n v="0.42599999999999999"/>
    <s v="6 inverts: 0.049; ~40 zoops: 0.042"/>
    <s v="F"/>
    <m/>
    <m/>
    <n v="6"/>
    <n v="4.9000000000000002E-2"/>
    <m/>
    <m/>
    <m/>
    <m/>
    <m/>
    <m/>
    <m/>
    <m/>
    <m/>
    <m/>
    <m/>
    <m/>
    <m/>
    <m/>
    <m/>
    <m/>
    <m/>
    <m/>
    <n v="40"/>
    <n v="4.2000000000000003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9.0999999999999998E-2"/>
    <s v="18/5/2021"/>
    <s v="18"/>
    <s v="5"/>
    <s v="2021"/>
    <x v="13"/>
    <x v="13"/>
    <x v="9"/>
    <m/>
    <n v="11.091686091686089"/>
    <n v="2.5461717769410077"/>
    <n v="2.8365960846983614E-2"/>
    <n v="3.8685070831819832"/>
    <n v="0.96170659206154951"/>
    <n v="1.7573002273124676"/>
    <s v="T"/>
    <n v="2"/>
  </r>
  <r>
    <s v="PU-GSP-212"/>
    <x v="1"/>
    <s v="I"/>
    <s v="I"/>
    <s v="G"/>
    <n v="103"/>
    <n v="98"/>
    <n v="20.542000000000002"/>
    <n v="0.30499999999999999"/>
    <n v="0.42099999999999999"/>
    <s v="M30"/>
    <x v="2"/>
    <n v="30"/>
    <n v="1.1579999999999999"/>
    <n v="0.95499999999999996"/>
    <s v="pupa: 0.102"/>
    <s v="F"/>
    <m/>
    <m/>
    <n v="1"/>
    <n v="0.10199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1"/>
    <s v="18/5/2021"/>
    <s v="18"/>
    <s v="5"/>
    <s v="2021"/>
    <x v="13"/>
    <x v="13"/>
    <x v="9"/>
    <m/>
    <n v="2.0923413349237112"/>
    <n v="1.5071403864209121"/>
    <n v="1.5391602745256356E-2"/>
    <n v="4.8756828508704739"/>
    <n v="0.98821925810534483"/>
    <n v="1.4750267744133965"/>
    <s v="T"/>
    <n v="2"/>
  </r>
  <r>
    <s v="PU-GSP-213"/>
    <x v="1"/>
    <s v="I"/>
    <s v="IMM"/>
    <s v="G"/>
    <n v="64"/>
    <n v="61"/>
    <n v="4.9279999999999999"/>
    <n v="7.0999999999999994E-2"/>
    <n v="0.13400000000000001"/>
    <s v="M30"/>
    <x v="2"/>
    <n v="30"/>
    <n v="0.25800000000000001"/>
    <n v="0.193"/>
    <s v="2 inverts: NA; ~30 zoops: 0.023"/>
    <s v="F"/>
    <m/>
    <m/>
    <n v="2"/>
    <m/>
    <m/>
    <m/>
    <m/>
    <m/>
    <m/>
    <m/>
    <m/>
    <m/>
    <m/>
    <m/>
    <m/>
    <m/>
    <m/>
    <m/>
    <m/>
    <m/>
    <m/>
    <m/>
    <n v="30"/>
    <n v="2.3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.3E-2"/>
    <s v="18/5/2021"/>
    <s v="18"/>
    <s v="5"/>
    <s v="2021"/>
    <x v="13"/>
    <x v="13"/>
    <x v="9"/>
    <m/>
    <n v="2.7951606174384653"/>
    <n v="1.4618077002264771"/>
    <n v="1.5032818124073682E-2"/>
    <n v="4.0760295670538547"/>
    <n v="1.3189935064935066"/>
    <n v="1.7857142857142856"/>
    <s v="T"/>
    <n v="1"/>
  </r>
  <r>
    <s v="PU-GSP-214"/>
    <x v="1"/>
    <s v="I"/>
    <s v="IMM"/>
    <s v="G"/>
    <n v="62"/>
    <n v="59"/>
    <n v="3.8639999999999999"/>
    <n v="0.108"/>
    <n v="0.26600000000000001"/>
    <s v="F30"/>
    <x v="0"/>
    <n v="30"/>
    <n v="0.25700000000000001"/>
    <n v="0.187"/>
    <s v="~100 zoops: 0.04; 7 chiro: 0.014"/>
    <s v="F"/>
    <m/>
    <m/>
    <m/>
    <m/>
    <m/>
    <m/>
    <m/>
    <m/>
    <m/>
    <m/>
    <m/>
    <m/>
    <m/>
    <m/>
    <m/>
    <m/>
    <m/>
    <m/>
    <m/>
    <m/>
    <m/>
    <m/>
    <n v="100"/>
    <n v="0.04"/>
    <m/>
    <m/>
    <m/>
    <m/>
    <m/>
    <m/>
    <n v="7"/>
    <n v="1.4E-2"/>
    <m/>
    <m/>
    <m/>
    <m/>
    <m/>
    <m/>
    <m/>
    <m/>
    <m/>
    <m/>
    <m/>
    <m/>
    <m/>
    <m/>
    <m/>
    <m/>
    <m/>
    <m/>
    <m/>
    <m/>
    <m/>
    <m/>
    <m/>
    <m/>
    <n v="1.7999999999999999E-2"/>
    <s v="18/5/2021"/>
    <s v="18"/>
    <s v="5"/>
    <s v="2021"/>
    <x v="13"/>
    <x v="13"/>
    <x v="9"/>
    <m/>
    <n v="7.3929961089494167"/>
    <n v="2.8753993610223643"/>
    <n v="3.0945558739255016E-2"/>
    <n v="5.0856676638564045"/>
    <n v="1.8115942028985508"/>
    <n v="2.2774327122153211"/>
    <s v="T"/>
    <n v="1"/>
  </r>
  <r>
    <s v="PU-GSP-215"/>
    <x v="1"/>
    <s v="S"/>
    <s v="IMM"/>
    <s v="N"/>
    <n v="54"/>
    <n v="51"/>
    <n v="2.6040000000000001"/>
    <n v="0.04"/>
    <n v="0.13100000000000001"/>
    <s v="M30"/>
    <x v="2"/>
    <n v="30"/>
    <n v="0.128"/>
    <n v="0.114"/>
    <s v="3 chiro: 0.006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6.0000000000000001E-3"/>
    <m/>
    <m/>
    <m/>
    <m/>
    <m/>
    <m/>
    <m/>
    <m/>
    <m/>
    <m/>
    <m/>
    <m/>
    <m/>
    <m/>
    <m/>
    <m/>
    <m/>
    <m/>
    <m/>
    <m/>
    <m/>
    <m/>
    <m/>
    <m/>
    <n v="6.0000000000000001E-3"/>
    <s v="18/5/2021"/>
    <s v="18"/>
    <s v="5"/>
    <s v="2021"/>
    <x v="13"/>
    <x v="13"/>
    <x v="9"/>
    <m/>
    <n v="5.2972098665588359"/>
    <n v="1.5600624024960998"/>
    <n v="1.6440608302507195E-2"/>
    <n v="4.5783132530120483"/>
    <n v="0.5376344086021505"/>
    <n v="0.7680491551459292"/>
    <s v="T"/>
    <n v="2"/>
  </r>
  <r>
    <s v="PU-GSP-216"/>
    <x v="1"/>
    <s v="S"/>
    <s v="IMM"/>
    <s v="N"/>
    <n v="53"/>
    <n v="49"/>
    <n v="2.2589999999999999"/>
    <n v="4.5999999999999999E-2"/>
    <n v="4.7E-2"/>
    <s v="F23"/>
    <x v="0"/>
    <n v="23"/>
    <n v="0.14499999999999999"/>
    <n v="0.13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8/5/2021"/>
    <s v="18"/>
    <s v="5"/>
    <s v="2021"/>
    <x v="13"/>
    <x v="13"/>
    <x v="9"/>
    <m/>
    <n v="2.1247739602169986"/>
    <n v="2.0786262991414368"/>
    <n v="2.1237303785780242E-2"/>
    <n v="6.1061531235321747"/>
    <n v="0.66401062416998613"/>
    <n v="0.66401062416998613"/>
    <s v="T"/>
    <n v="2"/>
  </r>
  <r>
    <s v="PU-GSP-217"/>
    <x v="1"/>
    <s v="I"/>
    <s v="B"/>
    <s v="N"/>
    <n v="128"/>
    <n v="122"/>
    <n v="45.776000000000003"/>
    <n v="1.4870000000000001"/>
    <n v="6.5090000000000003"/>
    <s v="F30"/>
    <x v="0"/>
    <n v="30"/>
    <n v="3.2970000000000002"/>
    <n v="2.145"/>
    <s v="1 pump: 0.993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0.99299999999999999"/>
    <m/>
    <m/>
    <m/>
    <m/>
    <n v="0.99299999999999999"/>
    <s v="18/5/2021"/>
    <s v="18"/>
    <s v="5"/>
    <s v="2021"/>
    <x v="13"/>
    <x v="13"/>
    <x v="9"/>
    <m/>
    <n v="16.57625996383732"/>
    <n v="3.357492831177042"/>
    <n v="3.9359449444150346E-2"/>
    <n v="4.9162292865164678"/>
    <n v="2.5166025865082138"/>
    <n v="4.685861586857742"/>
    <s v="T"/>
    <n v="2"/>
  </r>
  <r>
    <s v="PU-GSP-218"/>
    <x v="1"/>
    <s v="I"/>
    <s v="B"/>
    <s v="N"/>
    <n v="124"/>
    <n v="119"/>
    <n v="42.866"/>
    <n v="0.86099999999999999"/>
    <n v="5.8999999999999997E-2"/>
    <s v="M30"/>
    <x v="2"/>
    <n v="30"/>
    <n v="2.1579999999999999"/>
    <n v="1.845"/>
    <s v="2 odo: 0.228"/>
    <s v="F"/>
    <m/>
    <m/>
    <m/>
    <m/>
    <m/>
    <m/>
    <m/>
    <m/>
    <m/>
    <m/>
    <m/>
    <m/>
    <m/>
    <m/>
    <m/>
    <m/>
    <m/>
    <m/>
    <m/>
    <m/>
    <m/>
    <m/>
    <m/>
    <m/>
    <n v="2"/>
    <n v="0.22800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22800000000000001"/>
    <s v="18/5/2021"/>
    <s v="18"/>
    <s v="5"/>
    <s v="2021"/>
    <x v="13"/>
    <x v="13"/>
    <x v="9"/>
    <m/>
    <n v="0.13782792533931365"/>
    <n v="2.0497559814307817"/>
    <n v="2.0526391074238304E-2"/>
    <n v="4.4976963018941518"/>
    <n v="0.73018242896468055"/>
    <n v="1.2620725050156298"/>
    <s v="T"/>
    <n v="2"/>
  </r>
  <r>
    <s v="PU-GSP-219"/>
    <x v="1"/>
    <s v="I"/>
    <s v="I"/>
    <s v="G"/>
    <n v="109"/>
    <n v="104"/>
    <n v="24.459"/>
    <n v="0.318"/>
    <n v="0.34399999999999997"/>
    <s v="M30"/>
    <x v="2"/>
    <n v="30"/>
    <n v="2.2549999999999999"/>
    <n v="1.2150000000000001"/>
    <s v="1 pump: 0.925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0.92500000000000004"/>
    <m/>
    <m/>
    <m/>
    <m/>
    <n v="0.92500000000000004"/>
    <s v="18/5/2021"/>
    <s v="18"/>
    <s v="5"/>
    <s v="2021"/>
    <x v="13"/>
    <x v="13"/>
    <x v="9"/>
    <m/>
    <n v="1.426498030271615"/>
    <n v="1.3172610910898472"/>
    <n v="1.3363028953229401E-2"/>
    <n v="5.2271553949406302"/>
    <n v="4.2520135737356384"/>
    <n v="8.0338525696062799"/>
    <s v="T"/>
    <n v="2"/>
  </r>
  <r>
    <s v="PU-GSP-220"/>
    <x v="1"/>
    <s v="I"/>
    <s v="I"/>
    <s v="G"/>
    <n v="94"/>
    <n v="88"/>
    <n v="16.550999999999998"/>
    <n v="0.437"/>
    <n v="1.7170000000000001"/>
    <s v="F30"/>
    <x v="0"/>
    <n v="30"/>
    <n v="0.88500000000000001"/>
    <n v="0.78"/>
    <s v="8 chiro: 0.045; 2 damsel: 0.021"/>
    <s v="F"/>
    <m/>
    <m/>
    <m/>
    <m/>
    <m/>
    <m/>
    <m/>
    <m/>
    <m/>
    <m/>
    <m/>
    <m/>
    <m/>
    <m/>
    <m/>
    <m/>
    <m/>
    <m/>
    <m/>
    <m/>
    <m/>
    <m/>
    <m/>
    <m/>
    <m/>
    <m/>
    <n v="2"/>
    <n v="2.1000000000000001E-2"/>
    <m/>
    <m/>
    <n v="8"/>
    <n v="4.4999999999999998E-2"/>
    <m/>
    <m/>
    <m/>
    <m/>
    <m/>
    <m/>
    <m/>
    <m/>
    <m/>
    <m/>
    <m/>
    <m/>
    <m/>
    <m/>
    <m/>
    <m/>
    <m/>
    <m/>
    <m/>
    <m/>
    <m/>
    <m/>
    <m/>
    <m/>
    <n v="6.6000000000000003E-2"/>
    <s v="18/5/2021"/>
    <s v="18"/>
    <s v="5"/>
    <s v="2021"/>
    <x v="13"/>
    <x v="13"/>
    <x v="9"/>
    <m/>
    <n v="11.57476068491304"/>
    <n v="2.7119275164453276"/>
    <n v="3.0353545877613398E-2"/>
    <n v="4.945786570287237"/>
    <n v="0.63440275512053645"/>
    <n v="1.0331702011963024"/>
    <s v="T"/>
    <n v="1"/>
  </r>
  <r>
    <s v="PU-GSP-221"/>
    <x v="1"/>
    <s v="I"/>
    <s v="I"/>
    <s v="G"/>
    <n v="88"/>
    <n v="83"/>
    <n v="13.433999999999999"/>
    <n v="0.33"/>
    <n v="2.27"/>
    <s v="F30"/>
    <x v="0"/>
    <n v="30"/>
    <n v="0.52100000000000002"/>
    <n v="0.496"/>
    <s v="5 chiro: 0.008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n v="8.0000000000000002E-3"/>
    <m/>
    <m/>
    <m/>
    <m/>
    <m/>
    <m/>
    <m/>
    <m/>
    <m/>
    <m/>
    <m/>
    <m/>
    <m/>
    <m/>
    <m/>
    <m/>
    <m/>
    <m/>
    <m/>
    <m/>
    <m/>
    <m/>
    <m/>
    <m/>
    <n v="8.0000000000000002E-3"/>
    <s v="18/5/2021"/>
    <s v="18"/>
    <s v="5"/>
    <s v="2021"/>
    <x v="13"/>
    <x v="13"/>
    <x v="9"/>
    <m/>
    <n v="20.333213901827303"/>
    <n v="2.5183150183150187"/>
    <n v="3.0459664020675653E-2"/>
    <n v="3.8336682640284434"/>
    <n v="0.18609498287926174"/>
    <n v="0.24564537740062545"/>
    <s v="T"/>
    <n v="1"/>
  </r>
  <r>
    <s v="PU-GSP-222"/>
    <x v="1"/>
    <s v="I"/>
    <s v="S"/>
    <s v="G"/>
    <n v="65"/>
    <n v="62"/>
    <n v="5.0910000000000002"/>
    <n v="0.14099999999999999"/>
    <n v="0.28199999999999997"/>
    <s v="F30"/>
    <x v="0"/>
    <n v="30"/>
    <n v="0.379"/>
    <n v="0.27300000000000002"/>
    <s v="~200 zoops: 0.083"/>
    <s v="F"/>
    <m/>
    <m/>
    <m/>
    <m/>
    <m/>
    <m/>
    <m/>
    <m/>
    <m/>
    <m/>
    <m/>
    <m/>
    <m/>
    <m/>
    <m/>
    <m/>
    <m/>
    <m/>
    <m/>
    <m/>
    <m/>
    <m/>
    <n v="200"/>
    <n v="8.3000000000000004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.3000000000000004E-2"/>
    <s v="18/5/2021"/>
    <s v="18"/>
    <s v="5"/>
    <s v="2021"/>
    <x v="13"/>
    <x v="13"/>
    <x v="9"/>
    <m/>
    <n v="5.8640049906425444"/>
    <n v="2.8484848484848482"/>
    <n v="3.0205655526992285E-2"/>
    <n v="5.6662515566625151"/>
    <n v="2.0821056766843444"/>
    <n v="3.7124337065409545"/>
    <s v="T"/>
    <n v="2"/>
  </r>
  <r>
    <s v="PU-GSP-223"/>
    <x v="1"/>
    <s v="I"/>
    <s v="IMM"/>
    <s v="G"/>
    <n v="64"/>
    <n v="61"/>
    <n v="4.38"/>
    <n v="5.2999999999999999E-2"/>
    <n v="0.16200000000000001"/>
    <s v="F30"/>
    <x v="0"/>
    <n v="30"/>
    <n v="0.23300000000000001"/>
    <n v="0.186"/>
    <s v="~100 zoops: 0.083"/>
    <s v="F"/>
    <m/>
    <m/>
    <m/>
    <m/>
    <m/>
    <m/>
    <m/>
    <m/>
    <m/>
    <m/>
    <m/>
    <m/>
    <m/>
    <m/>
    <m/>
    <m/>
    <m/>
    <m/>
    <m/>
    <m/>
    <m/>
    <m/>
    <n v="100"/>
    <n v="8.3000000000000004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.3000000000000004E-2"/>
    <s v="18/5/2021"/>
    <s v="18"/>
    <s v="5"/>
    <s v="2021"/>
    <x v="13"/>
    <x v="13"/>
    <x v="9"/>
    <m/>
    <n v="3.8406827880512093"/>
    <n v="1.2248671134735383"/>
    <n v="1.2725090036014405E-2"/>
    <n v="4.4349070100143066"/>
    <n v="1.073059360730594"/>
    <n v="2.9680365296803655"/>
    <s v="T"/>
    <n v="1"/>
  </r>
  <r>
    <s v="PU-GSP-224"/>
    <x v="1"/>
    <s v="I"/>
    <s v="S"/>
    <s v="G"/>
    <n v="66"/>
    <n v="62"/>
    <n v="4.9080000000000004"/>
    <n v="7.1999999999999995E-2"/>
    <n v="0.25700000000000001"/>
    <s v="M30"/>
    <x v="2"/>
    <n v="30"/>
    <n v="0.23300000000000001"/>
    <n v="0.19900000000000001"/>
    <s v="~40 zoops: 0.022"/>
    <s v="F"/>
    <m/>
    <m/>
    <m/>
    <m/>
    <m/>
    <m/>
    <m/>
    <m/>
    <m/>
    <m/>
    <m/>
    <m/>
    <m/>
    <m/>
    <m/>
    <m/>
    <m/>
    <m/>
    <m/>
    <m/>
    <m/>
    <m/>
    <n v="40"/>
    <n v="2.1999999999999999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.1999999999999999E-2"/>
    <s v="18/5/2021"/>
    <s v="18"/>
    <s v="5"/>
    <s v="2021"/>
    <x v="13"/>
    <x v="13"/>
    <x v="9"/>
    <m/>
    <n v="5.5256933992689738"/>
    <n v="1.4888337468982629"/>
    <n v="1.5723957195894298E-2"/>
    <n v="4.2259503079210026"/>
    <n v="0.69274653626731864"/>
    <n v="1.1409942950285248"/>
    <s v="T"/>
    <m/>
  </r>
  <r>
    <s v="PU-GSP-225"/>
    <x v="1"/>
    <s v="I"/>
    <s v="B"/>
    <s v="N"/>
    <n v="126"/>
    <n v="120"/>
    <n v="40.908000000000001"/>
    <n v="1.056"/>
    <n v="2.2679999999999998"/>
    <s v="F30"/>
    <x v="0"/>
    <n v="30"/>
    <n v="2.653"/>
    <n v="1.6919999999999999"/>
    <s v="1 pump: 0.811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0.81100000000000005"/>
    <m/>
    <m/>
    <m/>
    <m/>
    <n v="0.81100000000000005"/>
    <d v="2021-06-06T00:00:00"/>
    <n v="6"/>
    <n v="6"/>
    <n v="2021"/>
    <x v="14"/>
    <x v="14"/>
    <x v="10"/>
    <m/>
    <n v="5.8695652173913038"/>
    <n v="2.6498042758205358"/>
    <n v="2.8097062579821201E-2"/>
    <n v="4.314565483476132"/>
    <n v="2.3491737557445975"/>
    <n v="4.3316710667840033"/>
    <s v="T"/>
    <n v="3"/>
  </r>
  <r>
    <s v="PU-GSP-226"/>
    <x v="1"/>
    <s v="I"/>
    <s v="B"/>
    <s v="N"/>
    <n v="141"/>
    <n v="133"/>
    <n v="60.497"/>
    <n v="0.97299999999999998"/>
    <n v="0.72699999999999998"/>
    <s v="M30"/>
    <x v="2"/>
    <n v="30"/>
    <n v="2.6190000000000002"/>
    <n v="2.5750000000000002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1-06-06T00:00:00"/>
    <n v="6"/>
    <n v="6"/>
    <n v="2021"/>
    <x v="14"/>
    <x v="14"/>
    <x v="10"/>
    <m/>
    <n v="1.2163292621716579"/>
    <n v="1.6346347691687386"/>
    <n v="1.6548463356973995E-2"/>
    <n v="4.4456337833638342"/>
    <n v="7.2730879217151323E-2"/>
    <n v="7.2730879217151323E-2"/>
    <s v="T"/>
    <n v="3"/>
  </r>
  <r>
    <s v="PU-GSP-227"/>
    <x v="1"/>
    <s v="I"/>
    <s v="I"/>
    <s v="G"/>
    <n v="101"/>
    <n v="95"/>
    <n v="18.495000000000001"/>
    <n v="0.378"/>
    <n v="2.2210000000000001"/>
    <s v="F30"/>
    <x v="0"/>
    <n v="30"/>
    <n v="0.79100000000000004"/>
    <n v="0.63500000000000001"/>
    <s v="1 mayfly: 0.041; 1 odo: 0.084"/>
    <s v="F"/>
    <m/>
    <m/>
    <m/>
    <m/>
    <m/>
    <m/>
    <m/>
    <m/>
    <m/>
    <m/>
    <m/>
    <m/>
    <m/>
    <m/>
    <m/>
    <m/>
    <m/>
    <m/>
    <m/>
    <m/>
    <m/>
    <m/>
    <m/>
    <m/>
    <n v="1"/>
    <n v="8.4000000000000005E-2"/>
    <m/>
    <m/>
    <m/>
    <m/>
    <m/>
    <m/>
    <m/>
    <m/>
    <m/>
    <m/>
    <m/>
    <m/>
    <n v="1"/>
    <n v="4.1000000000000002E-2"/>
    <m/>
    <m/>
    <m/>
    <m/>
    <m/>
    <m/>
    <m/>
    <m/>
    <m/>
    <m/>
    <m/>
    <m/>
    <m/>
    <m/>
    <m/>
    <m/>
    <n v="0.125"/>
    <d v="2021-06-06T00:00:00"/>
    <n v="6"/>
    <n v="6"/>
    <n v="2021"/>
    <x v="14"/>
    <x v="14"/>
    <x v="10"/>
    <m/>
    <n v="13.647535946909182"/>
    <n v="2.0864381520119224"/>
    <n v="2.3779567186713639E-2"/>
    <n v="3.555431131019037"/>
    <n v="0.84347120843471213"/>
    <n v="1.5193295485266289"/>
    <s v="T"/>
    <n v="2"/>
  </r>
  <r>
    <s v="PU-GSP-228"/>
    <x v="1"/>
    <s v="I"/>
    <s v="B"/>
    <s v="N"/>
    <n v="125"/>
    <n v="115"/>
    <n v="40.476999999999997"/>
    <n v="0.69899999999999995"/>
    <n v="4.3360000000000003"/>
    <s v="F30"/>
    <x v="0"/>
    <n v="30"/>
    <n v="1.5209999999999999"/>
    <n v="1.5009999999999999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1-06-06T00:00:00"/>
    <n v="6"/>
    <n v="6"/>
    <n v="2021"/>
    <x v="14"/>
    <x v="14"/>
    <x v="10"/>
    <m/>
    <n v="11.997454414653719"/>
    <n v="1.7572527527779176"/>
    <n v="1.9722363297782292E-2"/>
    <n v="3.8510878489326763"/>
    <n v="4.9410776490352595E-2"/>
    <n v="4.9410776490352595E-2"/>
    <s v="T"/>
    <n v="3"/>
  </r>
  <r>
    <s v="PU-GSP-229"/>
    <x v="1"/>
    <s v="I"/>
    <s v="S"/>
    <s v="G"/>
    <n v="83"/>
    <n v="78"/>
    <n v="10.515000000000001"/>
    <n v="0.16900000000000001"/>
    <n v="0.57199999999999995"/>
    <s v="F30"/>
    <x v="0"/>
    <n v="30"/>
    <n v="0.314"/>
    <n v="0.29899999999999999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1-06-06T00:00:00"/>
    <n v="6"/>
    <n v="6"/>
    <n v="2021"/>
    <x v="14"/>
    <x v="14"/>
    <x v="10"/>
    <m/>
    <n v="5.7527909081766051"/>
    <n v="1.6334815387589408"/>
    <n v="1.7290771434417842E-2"/>
    <n v="2.926781519185591"/>
    <n v="0.14265335235378043"/>
    <n v="0.14265335235378043"/>
    <s v="T"/>
    <n v="2"/>
  </r>
  <r>
    <s v="PU-GSP-230"/>
    <x v="1"/>
    <s v="I"/>
    <s v="S"/>
    <s v="G"/>
    <n v="78"/>
    <n v="74"/>
    <n v="9.9920000000000009"/>
    <n v="0.33100000000000002"/>
    <n v="1.5029999999999999"/>
    <s v="F30"/>
    <x v="0"/>
    <n v="30"/>
    <n v="0.48099999999999998"/>
    <n v="0.29299999999999998"/>
    <s v="6 inverts: 0.126; 1 chiro: 0.009"/>
    <s v="F"/>
    <m/>
    <m/>
    <n v="6"/>
    <n v="0.126"/>
    <m/>
    <m/>
    <m/>
    <m/>
    <m/>
    <m/>
    <m/>
    <m/>
    <m/>
    <m/>
    <m/>
    <m/>
    <m/>
    <m/>
    <m/>
    <m/>
    <m/>
    <m/>
    <m/>
    <m/>
    <m/>
    <m/>
    <m/>
    <m/>
    <m/>
    <m/>
    <n v="1"/>
    <n v="8.9999999999999993E-3"/>
    <m/>
    <m/>
    <m/>
    <m/>
    <m/>
    <m/>
    <m/>
    <m/>
    <m/>
    <m/>
    <m/>
    <m/>
    <m/>
    <m/>
    <m/>
    <m/>
    <m/>
    <m/>
    <m/>
    <m/>
    <m/>
    <m/>
    <m/>
    <m/>
    <n v="0.13500000000000001"/>
    <d v="2021-06-06T00:00:00"/>
    <n v="6"/>
    <n v="6"/>
    <n v="2021"/>
    <x v="14"/>
    <x v="14"/>
    <x v="10"/>
    <m/>
    <n v="17.705265637884317"/>
    <n v="3.4261463616602832"/>
    <n v="4.0573670017161063E-2"/>
    <n v="3.0209299927827606"/>
    <n v="1.8815052041633307"/>
    <n v="3.2325860688550838"/>
    <s v="T"/>
    <n v="1"/>
  </r>
  <r>
    <s v="PU-GSP-231"/>
    <x v="1"/>
    <s v="I"/>
    <s v="I"/>
    <s v="G"/>
    <n v="104"/>
    <n v="99"/>
    <n v="19.363"/>
    <n v="0.33600000000000002"/>
    <n v="1.546"/>
    <s v="F30"/>
    <x v="0"/>
    <n v="30"/>
    <n v="0.754"/>
    <n v="0.74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1-06-06T00:00:00"/>
    <n v="6"/>
    <n v="6"/>
    <n v="2021"/>
    <x v="14"/>
    <x v="14"/>
    <x v="10"/>
    <m/>
    <n v="8.6771061345905593"/>
    <n v="1.7659115993062489"/>
    <n v="1.9220868371374634E-2"/>
    <n v="3.9735810556838316"/>
    <n v="7.2302845633424637E-2"/>
    <n v="7.2302845633424637E-2"/>
    <s v="T"/>
    <n v="2"/>
  </r>
  <r>
    <s v="PU-GSP-232"/>
    <x v="1"/>
    <s v="I"/>
    <s v="S"/>
    <s v="G"/>
    <n v="76"/>
    <n v="72"/>
    <n v="7.6589999999999998"/>
    <n v="9.2999999999999999E-2"/>
    <n v="3.2000000000000001E-2"/>
    <s v="M30"/>
    <x v="2"/>
    <n v="30"/>
    <n v="0.38600000000000001"/>
    <n v="0.255"/>
    <s v="~10 chiro: 0.103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0"/>
    <n v="0.10299999999999999"/>
    <m/>
    <m/>
    <m/>
    <m/>
    <m/>
    <m/>
    <m/>
    <m/>
    <m/>
    <m/>
    <m/>
    <m/>
    <m/>
    <m/>
    <m/>
    <m/>
    <m/>
    <m/>
    <m/>
    <m/>
    <m/>
    <m/>
    <m/>
    <m/>
    <n v="0.10299999999999999"/>
    <d v="2021-06-06T00:00:00"/>
    <n v="6"/>
    <n v="6"/>
    <n v="2021"/>
    <x v="14"/>
    <x v="14"/>
    <x v="10"/>
    <m/>
    <n v="0.41956208207683238"/>
    <n v="1.2291831879460746"/>
    <n v="1.2344040350411468E-2"/>
    <n v="3.4440842787682335"/>
    <n v="1.7104060582321452"/>
    <n v="3.0552291421856639"/>
    <s v="T"/>
    <n v="2"/>
  </r>
  <r>
    <s v="PU-GSP-233"/>
    <x v="1"/>
    <s v="I"/>
    <s v="IMM"/>
    <s v="G"/>
    <n v="62"/>
    <n v="59"/>
    <n v="4.3860000000000001"/>
    <n v="7.0999999999999994E-2"/>
    <n v="0.159"/>
    <s v="M30"/>
    <x v="2"/>
    <n v="30"/>
    <n v="0.182"/>
    <n v="0.13700000000000001"/>
    <s v="8 chiro: 0.034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"/>
    <n v="3.4000000000000002E-2"/>
    <m/>
    <m/>
    <m/>
    <m/>
    <m/>
    <m/>
    <m/>
    <m/>
    <m/>
    <m/>
    <m/>
    <m/>
    <m/>
    <m/>
    <m/>
    <m/>
    <m/>
    <m/>
    <m/>
    <m/>
    <m/>
    <m/>
    <m/>
    <m/>
    <n v="3.4000000000000002E-2"/>
    <d v="2021-06-06T00:00:00"/>
    <n v="6"/>
    <n v="6"/>
    <n v="2021"/>
    <x v="14"/>
    <x v="14"/>
    <x v="10"/>
    <m/>
    <n v="3.7615330021291693"/>
    <n v="1.6454229432213208"/>
    <n v="1.7083734359961498E-2"/>
    <n v="3.224288067780654"/>
    <n v="1.0259917920656632"/>
    <n v="1.8011855905152756"/>
    <s v="T"/>
    <n v="1"/>
  </r>
  <r>
    <s v="PU-GSP-234"/>
    <x v="1"/>
    <s v="I"/>
    <s v="S"/>
    <s v="G"/>
    <n v="66"/>
    <n v="62"/>
    <n v="5.3479999999999999"/>
    <n v="0.112"/>
    <n v="0.71399999999999997"/>
    <s v="F30"/>
    <x v="0"/>
    <n v="30"/>
    <n v="0.23100000000000001"/>
    <n v="0.19900000000000001"/>
    <s v="~30 zoops: 0.019"/>
    <s v="F"/>
    <m/>
    <m/>
    <m/>
    <m/>
    <m/>
    <m/>
    <m/>
    <m/>
    <m/>
    <m/>
    <m/>
    <m/>
    <m/>
    <m/>
    <m/>
    <m/>
    <m/>
    <m/>
    <m/>
    <m/>
    <m/>
    <m/>
    <n v="30"/>
    <n v="1.9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.9E-2"/>
    <d v="2021-06-06T00:00:00"/>
    <n v="6"/>
    <n v="6"/>
    <n v="2021"/>
    <x v="14"/>
    <x v="14"/>
    <x v="10"/>
    <m/>
    <n v="15.407854984894259"/>
    <n v="2.1390374331550803"/>
    <n v="2.4767801857585137E-2"/>
    <n v="3.8648281219654299"/>
    <n v="0.59835452505609577"/>
    <n v="0.95362752430815279"/>
    <s v="T"/>
    <n v="1"/>
  </r>
  <r>
    <s v="PU-GSP-235"/>
    <x v="1"/>
    <s v="S"/>
    <s v="IMM"/>
    <s v="N"/>
    <n v="58"/>
    <n v="55"/>
    <n v="3.2930000000000001"/>
    <n v="5.2999999999999999E-2"/>
    <n v="0.14599999999999999"/>
    <s v="M30"/>
    <x v="2"/>
    <n v="30"/>
    <n v="0.153"/>
    <n v="0.114"/>
    <s v="2 inverts: 0.018"/>
    <s v="F"/>
    <m/>
    <m/>
    <n v="2"/>
    <n v="1.7999999999999999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.7999999999999999E-2"/>
    <d v="2021-06-06T00:00:00"/>
    <n v="6"/>
    <n v="6"/>
    <n v="2021"/>
    <x v="14"/>
    <x v="14"/>
    <x v="10"/>
    <m/>
    <n v="4.6393390530664114"/>
    <n v="1.6358024691358022"/>
    <n v="1.7129928894634775E-2"/>
    <n v="3.5860333438188103"/>
    <n v="1.1843303978135438"/>
    <n v="1.730944427573641"/>
    <s v="T"/>
    <n v="1"/>
  </r>
  <r>
    <s v="PU-GSP-236"/>
    <x v="1"/>
    <s v="I"/>
    <s v="I"/>
    <s v="G"/>
    <n v="93"/>
    <n v="89"/>
    <n v="15.035"/>
    <n v="0.11899999999999999"/>
    <n v="0.11799999999999999"/>
    <s v="M30"/>
    <x v="2"/>
    <n v="30"/>
    <n v="0.59799999999999998"/>
    <n v="0.42299999999999999"/>
    <s v="3 inverts: 0.114"/>
    <s v="F"/>
    <m/>
    <m/>
    <n v="3"/>
    <n v="0.1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114"/>
    <d v="2021-06-06T00:00:00"/>
    <n v="6"/>
    <n v="6"/>
    <n v="2021"/>
    <x v="14"/>
    <x v="14"/>
    <x v="10"/>
    <m/>
    <n v="0.79104377555808802"/>
    <n v="0.79780101903995704"/>
    <n v="8.0416272469252606E-3"/>
    <n v="2.8948809197919516"/>
    <n v="1.1639507815098105"/>
    <n v="1.9221815763219154"/>
    <s v="T"/>
    <n v="1"/>
  </r>
  <r>
    <s v="PU-GSP-237"/>
    <x v="1"/>
    <s v="I"/>
    <s v="I"/>
    <s v="G"/>
    <n v="98"/>
    <n v="94"/>
    <n v="17.760999999999999"/>
    <n v="0.31"/>
    <n v="0.121"/>
    <s v="M30"/>
    <x v="2"/>
    <n v="30"/>
    <n v="0.86799999999999999"/>
    <n v="0.76"/>
    <s v="1 Inverts: 0.07"/>
    <s v="F"/>
    <m/>
    <m/>
    <n v="1"/>
    <n v="7.0000000000000007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.0000000000000007E-2"/>
    <d v="2021-06-06T00:00:00"/>
    <n v="6"/>
    <n v="6"/>
    <n v="2021"/>
    <x v="14"/>
    <x v="14"/>
    <x v="10"/>
    <m/>
    <n v="0.68594104308390014"/>
    <n v="1.7764024984241591"/>
    <n v="1.7888055395268318E-2"/>
    <n v="4.4703252749838249"/>
    <n v="0.60807386971454302"/>
    <n v="1.0021958223073024"/>
    <s v="T"/>
    <n v="1"/>
  </r>
  <r>
    <s v="PU-GSP-238"/>
    <x v="1"/>
    <s v="I"/>
    <s v="S"/>
    <s v="G"/>
    <n v="66"/>
    <n v="62"/>
    <n v="5.101"/>
    <n v="8.4000000000000005E-2"/>
    <n v="0.13900000000000001"/>
    <s v="F30"/>
    <x v="0"/>
    <n v="30"/>
    <n v="0.23"/>
    <n v="0.20399999999999999"/>
    <s v="2 chiro: 0.008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8.0000000000000002E-3"/>
    <m/>
    <m/>
    <m/>
    <m/>
    <m/>
    <m/>
    <m/>
    <m/>
    <m/>
    <m/>
    <m/>
    <m/>
    <m/>
    <m/>
    <m/>
    <m/>
    <m/>
    <m/>
    <m/>
    <m/>
    <m/>
    <m/>
    <m/>
    <m/>
    <n v="8.0000000000000002E-3"/>
    <d v="2021-06-06T00:00:00"/>
    <n v="6"/>
    <n v="6"/>
    <n v="2021"/>
    <x v="14"/>
    <x v="14"/>
    <x v="10"/>
    <m/>
    <n v="2.8012898024989927"/>
    <n v="1.6743073549930236"/>
    <n v="1.7220172201722016E-2"/>
    <n v="4.1658158055952619"/>
    <n v="0.50970397961184133"/>
    <n v="0.66653597333856152"/>
    <s v="T"/>
    <n v="1"/>
  </r>
  <r>
    <s v="PU-GSP-239"/>
    <x v="1"/>
    <s v="I"/>
    <s v="I"/>
    <s v="G"/>
    <n v="86"/>
    <n v="83"/>
    <n v="11.301"/>
    <n v="0.19500000000000001"/>
    <n v="0.80800000000000005"/>
    <s v="F30"/>
    <x v="0"/>
    <n v="30"/>
    <n v="0.40699999999999997"/>
    <n v="0.36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1-06-06T00:00:00"/>
    <n v="6"/>
    <n v="6"/>
    <n v="2021"/>
    <x v="14"/>
    <x v="14"/>
    <x v="10"/>
    <m/>
    <n v="7.7003716763556662"/>
    <n v="1.7558076715289035"/>
    <n v="1.8935715672946205E-2"/>
    <n v="3.2903756512201809"/>
    <n v="0.41589239890275181"/>
    <n v="0.41589239890275181"/>
    <s v="T"/>
    <n v="2"/>
  </r>
  <r>
    <s v="PU-GSP-240"/>
    <x v="1"/>
    <s v="I"/>
    <s v="S"/>
    <s v="G"/>
    <n v="70"/>
    <n v="66"/>
    <n v="6.3460000000000001"/>
    <n v="0.13400000000000001"/>
    <n v="0.79100000000000004"/>
    <s v="F30"/>
    <x v="0"/>
    <n v="30"/>
    <n v="0.2"/>
    <n v="0.184"/>
    <s v="1 inverts: 0.003"/>
    <s v="F"/>
    <m/>
    <m/>
    <n v="1"/>
    <n v="3.0000000000000001E-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.0000000000000001E-3"/>
    <d v="2021-06-06T00:00:00"/>
    <n v="6"/>
    <n v="6"/>
    <n v="2021"/>
    <x v="14"/>
    <x v="14"/>
    <x v="10"/>
    <m/>
    <n v="14.239423942394241"/>
    <n v="2.1571152607855764"/>
    <n v="2.471868658919019E-2"/>
    <n v="2.9860434923726062"/>
    <n v="0.2521273242987711"/>
    <n v="0.29940119760479061"/>
    <s v="T"/>
    <n v="1"/>
  </r>
  <r>
    <s v="PU-GSP-241"/>
    <x v="1"/>
    <s v="I"/>
    <s v="B"/>
    <s v="N"/>
    <n v="129"/>
    <n v="120"/>
    <n v="42.198"/>
    <n v="0.72199999999999998"/>
    <n v="1.92"/>
    <s v="F30"/>
    <x v="0"/>
    <n v="30"/>
    <n v="1.9470000000000001"/>
    <n v="1.871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2/6/2021"/>
    <s v="22"/>
    <s v="6"/>
    <s v="2021"/>
    <x v="15"/>
    <x v="15"/>
    <x v="11"/>
    <s v="main"/>
    <n v="4.7668702517503352"/>
    <n v="1.7407657440447488"/>
    <n v="1.825260390332693E-2"/>
    <n v="4.6395715029632756"/>
    <n v="0.18010332243234292"/>
    <n v="0.18010332243234292"/>
    <s v="T"/>
    <n v="2"/>
  </r>
  <r>
    <s v="PU-GSP-242"/>
    <x v="1"/>
    <s v="I"/>
    <s v="B"/>
    <s v="N"/>
    <n v="140"/>
    <n v="133"/>
    <n v="54.679000000000002"/>
    <n v="0.93200000000000005"/>
    <n v="2.544"/>
    <s v="F30"/>
    <x v="0"/>
    <n v="30"/>
    <n v="2.399"/>
    <n v="2.0950000000000002"/>
    <s v="Veg: 0.132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0.13200000000000001"/>
    <n v="0.13200000000000001"/>
    <s v="22/6/2021"/>
    <s v="22"/>
    <s v="6"/>
    <s v="2021"/>
    <x v="15"/>
    <x v="15"/>
    <x v="11"/>
    <s v="main"/>
    <n v="4.8796393977174644"/>
    <n v="1.7340502725733529"/>
    <n v="1.8202058473136339E-2"/>
    <n v="3.9841016278715959"/>
    <n v="0.55597212823936026"/>
    <n v="0.7973810786590827"/>
    <s v="T"/>
    <n v="3"/>
  </r>
  <r>
    <s v="PU-GSP-243"/>
    <x v="1"/>
    <s v="I"/>
    <s v="B"/>
    <s v="N"/>
    <n v="119"/>
    <n v="113"/>
    <n v="32.362000000000002"/>
    <n v="0.4"/>
    <n v="0.41299999999999998"/>
    <s v="M30"/>
    <x v="2"/>
    <n v="30"/>
    <n v="1.155"/>
    <n v="1.0880000000000001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2/6/2021"/>
    <s v="22"/>
    <s v="6"/>
    <s v="2021"/>
    <x v="15"/>
    <x v="15"/>
    <x v="11"/>
    <s v="main"/>
    <n v="1.2926852170646967"/>
    <n v="1.2514861397910018"/>
    <n v="1.2678690291292909E-2"/>
    <n v="3.4789281831553365"/>
    <n v="0.20703293986774596"/>
    <n v="0.20703293986774596"/>
    <s v="T"/>
    <n v="1"/>
  </r>
  <r>
    <s v="PU-GSP-244"/>
    <x v="1"/>
    <s v="I"/>
    <s v="B"/>
    <s v="N"/>
    <n v="127"/>
    <n v="121"/>
    <n v="39.896999999999998"/>
    <n v="0.39100000000000001"/>
    <n v="2.823"/>
    <s v="F30"/>
    <x v="0"/>
    <n v="30"/>
    <n v="1.431"/>
    <n v="1.349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2/6/2021"/>
    <s v="22"/>
    <s v="6"/>
    <s v="2021"/>
    <x v="15"/>
    <x v="15"/>
    <x v="11"/>
    <s v="main"/>
    <n v="7.6145007282731836"/>
    <n v="0.98972308003847509"/>
    <n v="1.0658888313387673E-2"/>
    <n v="3.4995330497042647"/>
    <n v="0.20552923778730248"/>
    <n v="0.20552923778730248"/>
    <s v="T"/>
    <n v="2"/>
  </r>
  <r>
    <s v="PU-GSP-245"/>
    <x v="1"/>
    <s v="I"/>
    <s v="B"/>
    <s v="N"/>
    <n v="134"/>
    <n v="128"/>
    <n v="50.795000000000002"/>
    <n v="0.65500000000000003"/>
    <n v="0.39400000000000002"/>
    <s v="M30"/>
    <x v="2"/>
    <n v="30"/>
    <n v="2.5819999999999999"/>
    <n v="1.653"/>
    <s v="3 odo: 0.755"/>
    <s v="F"/>
    <m/>
    <m/>
    <m/>
    <m/>
    <m/>
    <m/>
    <m/>
    <m/>
    <m/>
    <m/>
    <m/>
    <m/>
    <m/>
    <m/>
    <m/>
    <m/>
    <m/>
    <m/>
    <m/>
    <m/>
    <m/>
    <m/>
    <m/>
    <m/>
    <n v="3"/>
    <n v="0.7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755"/>
    <s v="22/6/2021"/>
    <s v="22"/>
    <s v="6"/>
    <s v="2021"/>
    <x v="15"/>
    <x v="15"/>
    <x v="11"/>
    <s v="SC TAKEN main"/>
    <n v="0.78173052121981701"/>
    <n v="1.3063422417231751"/>
    <n v="1.3166887789973063E-2"/>
    <n v="3.3637214602580277"/>
    <n v="1.8289201693080022"/>
    <n v="3.3152869376907166"/>
    <s v="T"/>
    <n v="1"/>
  </r>
  <r>
    <s v="PU-GSP-246"/>
    <x v="1"/>
    <s v="I"/>
    <s v="B"/>
    <s v="N"/>
    <n v="116"/>
    <n v="107"/>
    <n v="29.143999999999998"/>
    <n v="0.42299999999999999"/>
    <n v="2.3140000000000001"/>
    <s v="F30"/>
    <x v="0"/>
    <n v="30"/>
    <n v="1.8120000000000001"/>
    <n v="0.88"/>
    <s v="1 leech: 0.755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0.755"/>
    <m/>
    <m/>
    <m/>
    <m/>
    <m/>
    <m/>
    <m/>
    <m/>
    <m/>
    <m/>
    <m/>
    <m/>
    <m/>
    <m/>
    <n v="0.755"/>
    <s v="22/6/2021"/>
    <s v="22"/>
    <s v="6"/>
    <s v="2021"/>
    <x v="15"/>
    <x v="15"/>
    <x v="11"/>
    <s v="main"/>
    <n v="8.6246738725307495"/>
    <n v="1.4727899446398105"/>
    <n v="1.6018479948498504E-2"/>
    <n v="3.1135012737050669"/>
    <n v="3.1979138073016751"/>
    <n v="5.788498490255285"/>
    <s v="T"/>
    <n v="2"/>
  </r>
  <r>
    <s v="PU-GSP-247"/>
    <x v="1"/>
    <s v="I"/>
    <s v="B"/>
    <s v="N"/>
    <n v="117"/>
    <n v="111"/>
    <n v="32.466000000000001"/>
    <n v="0.32300000000000001"/>
    <n v="0.26400000000000001"/>
    <s v="M30"/>
    <x v="2"/>
    <n v="30"/>
    <n v="1.56"/>
    <n v="1.091"/>
    <s v="1 june bug: 0.345"/>
    <s v="F"/>
    <m/>
    <m/>
    <m/>
    <m/>
    <n v="1"/>
    <n v="0.3449999999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34499999999999997"/>
    <s v="22/6/2021"/>
    <s v="22"/>
    <s v="6"/>
    <s v="2021"/>
    <x v="15"/>
    <x v="15"/>
    <x v="11"/>
    <s v="main SC TAKEN"/>
    <n v="0.81982485559903129"/>
    <n v="1.0048844227358988"/>
    <n v="1.013206185890398E-2"/>
    <n v="3.4772908366533866"/>
    <n v="1.4445881845623116"/>
    <n v="2.5072383416497259"/>
    <s v="T"/>
    <n v="2"/>
  </r>
  <r>
    <s v="PU-GSP-248"/>
    <x v="1"/>
    <s v="I"/>
    <s v="I"/>
    <s v="G"/>
    <n v="91"/>
    <n v="85"/>
    <n v="14.651"/>
    <n v="0.182"/>
    <n v="0.105"/>
    <s v="M40"/>
    <x v="2"/>
    <n v="40"/>
    <n v="0.72099999999999997"/>
    <n v="0.70599999999999996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2/6/2021"/>
    <s v="22"/>
    <s v="6"/>
    <s v="2021"/>
    <x v="15"/>
    <x v="15"/>
    <x v="11"/>
    <s v="main"/>
    <n v="0.72184793070259867"/>
    <n v="1.257861635220126"/>
    <n v="1.2670565302144251E-2"/>
    <n v="5.0627465041233419"/>
    <n v="0.10238208995972981"/>
    <n v="0.10238208995972981"/>
    <s v="T"/>
    <n v="1"/>
  </r>
  <r>
    <s v="PU-GSP-249"/>
    <x v="1"/>
    <s v="I"/>
    <s v="I"/>
    <s v="G"/>
    <n v="103"/>
    <n v="98"/>
    <n v="22.347000000000001"/>
    <n v="0.216"/>
    <n v="0.1"/>
    <s v="M40"/>
    <x v="2"/>
    <n v="40"/>
    <n v="0.82899999999999996"/>
    <n v="0.77800000000000002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2/6/2021"/>
    <s v="22"/>
    <s v="6"/>
    <s v="2021"/>
    <x v="15"/>
    <x v="15"/>
    <x v="11"/>
    <s v="main"/>
    <n v="0.44949880882815663"/>
    <n v="0.97600650671004463"/>
    <n v="9.8043665743724751E-3"/>
    <n v="3.6070286058695347"/>
    <n v="0.22821855282588238"/>
    <n v="0.22821855282588238"/>
    <s v="T"/>
    <n v="1"/>
  </r>
  <r>
    <s v="PU-GSP-250"/>
    <x v="1"/>
    <s v="I"/>
    <s v="I"/>
    <s v="G"/>
    <n v="102"/>
    <n v="96"/>
    <n v="20.437999999999999"/>
    <n v="0.20300000000000001"/>
    <n v="0.13100000000000001"/>
    <s v="M40"/>
    <x v="2"/>
    <n v="40"/>
    <n v="0.93200000000000005"/>
    <n v="0.69099999999999995"/>
    <s v="1 gypsy moth cat: 0.177"/>
    <s v="F"/>
    <m/>
    <m/>
    <m/>
    <m/>
    <n v="1"/>
    <n v="0.17699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17699999999999999"/>
    <s v="22/6/2021"/>
    <s v="22"/>
    <s v="6"/>
    <s v="2021"/>
    <x v="15"/>
    <x v="15"/>
    <x v="11"/>
    <s v="main"/>
    <n v="0.64509774954449217"/>
    <n v="1.0032122559920931"/>
    <n v="1.0097493036211701E-2"/>
    <n v="3.4992657112472778"/>
    <n v="1.1791760446227622"/>
    <n v="2.0452099031216369"/>
    <s v="T"/>
    <n v="1"/>
  </r>
  <r>
    <s v="PU-GSP-251"/>
    <x v="1"/>
    <s v="I"/>
    <s v="I"/>
    <s v="G"/>
    <n v="86"/>
    <n v="80"/>
    <n v="11.048"/>
    <n v="0.11700000000000001"/>
    <n v="3.2000000000000001E-2"/>
    <s v="M40"/>
    <x v="2"/>
    <n v="40"/>
    <n v="0.42599999999999999"/>
    <n v="0.38"/>
    <s v="1 wasp: 0.025"/>
    <s v="F"/>
    <m/>
    <m/>
    <m/>
    <m/>
    <n v="1"/>
    <n v="2.5000000000000001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.5000000000000001E-2"/>
    <s v="22/6/2021"/>
    <s v="22"/>
    <s v="6"/>
    <s v="2021"/>
    <x v="15"/>
    <x v="15"/>
    <x v="11"/>
    <s v="main"/>
    <n v="0.29048656499636893"/>
    <n v="1.0703503796541947"/>
    <n v="1.0734929810074321E-2"/>
    <n v="3.5620547431571059"/>
    <n v="0.4163649529326573"/>
    <n v="0.64265025343953641"/>
    <s v="T"/>
    <n v="2"/>
  </r>
  <r>
    <s v="PU-GSP-252"/>
    <x v="1"/>
    <s v="I"/>
    <s v="I"/>
    <s v="G"/>
    <n v="93"/>
    <n v="87"/>
    <n v="12.090999999999999"/>
    <n v="0.13"/>
    <n v="0.999"/>
    <s v="F30"/>
    <x v="0"/>
    <n v="30"/>
    <n v="0.41599999999999998"/>
    <n v="0.39700000000000002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2/6/2021"/>
    <s v="22"/>
    <s v="6"/>
    <s v="2021"/>
    <x v="15"/>
    <x v="15"/>
    <x v="11"/>
    <s v="main"/>
    <n v="9.006491164803462"/>
    <n v="1.0868656466850599"/>
    <n v="1.1859149790184275E-2"/>
    <n v="3.3949033692491879"/>
    <n v="0.15714167562649875"/>
    <n v="0.15714167562649875"/>
    <s v="T"/>
    <n v="1"/>
  </r>
  <r>
    <s v="PU-GSP-253"/>
    <x v="1"/>
    <s v="I"/>
    <s v="I"/>
    <s v="G"/>
    <n v="91"/>
    <n v="86"/>
    <n v="14.122999999999999"/>
    <n v="0.16600000000000001"/>
    <n v="8.7999999999999995E-2"/>
    <s v="M40"/>
    <x v="2"/>
    <n v="40"/>
    <n v="0.59"/>
    <n v="0.55700000000000005"/>
    <s v="1 invert: 0.013"/>
    <s v="F"/>
    <m/>
    <m/>
    <n v="1"/>
    <n v="1.2999999999999999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.2999999999999999E-2"/>
    <s v="22/6/2021"/>
    <s v="22"/>
    <s v="6"/>
    <s v="2021"/>
    <x v="15"/>
    <x v="15"/>
    <x v="11"/>
    <s v="main"/>
    <n v="0.62700391877449224"/>
    <n v="1.1893673425521245"/>
    <n v="1.196913980820535E-2"/>
    <n v="4.105852867462775"/>
    <n v="0.23366140338454944"/>
    <n v="0.32570983502088729"/>
    <s v="T"/>
    <n v="1"/>
  </r>
  <r>
    <s v="PU-GSP-254"/>
    <x v="1"/>
    <s v="I"/>
    <s v="S"/>
    <s v="G"/>
    <n v="72"/>
    <n v="68"/>
    <n v="6.3109999999999999"/>
    <n v="6.6000000000000003E-2"/>
    <n v="8.0000000000000002E-3"/>
    <s v="M40"/>
    <x v="2"/>
    <n v="40"/>
    <n v="0.32"/>
    <n v="0.25"/>
    <s v="1 invert: 0.035"/>
    <s v="F"/>
    <m/>
    <m/>
    <n v="1"/>
    <n v="3.5000000000000003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.5000000000000003E-2"/>
    <s v="22/6/2021"/>
    <s v="22"/>
    <s v="6"/>
    <s v="2021"/>
    <x v="15"/>
    <x v="15"/>
    <x v="11"/>
    <s v="main"/>
    <n v="0.12692368713311122"/>
    <n v="1.0568454763811048"/>
    <n v="1.0582010582010583E-2"/>
    <n v="4.1247318924269925"/>
    <n v="1.1091744572967834"/>
    <n v="1.6637616859451754"/>
    <s v="T"/>
    <n v="1"/>
  </r>
  <r>
    <s v="PU-GSP-255"/>
    <x v="1"/>
    <s v="I"/>
    <s v="S"/>
    <s v="G"/>
    <n v="83"/>
    <n v="79"/>
    <n v="10.906000000000001"/>
    <n v="0.16700000000000001"/>
    <n v="4.5999999999999999E-2"/>
    <s v="M40"/>
    <x v="2"/>
    <n v="40"/>
    <n v="0.86199999999999999"/>
    <n v="0.44400000000000001"/>
    <s v="1 june bug: 0.391"/>
    <s v="F"/>
    <m/>
    <m/>
    <m/>
    <m/>
    <n v="1"/>
    <n v="0.39100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39100000000000001"/>
    <s v="22/6/2021"/>
    <s v="22"/>
    <s v="6"/>
    <s v="2021"/>
    <x v="15"/>
    <x v="15"/>
    <x v="11"/>
    <s v="main, SC KEPT"/>
    <n v="0.42357274401473288"/>
    <n v="1.5550796163516156"/>
    <n v="1.5617693818385859E-2"/>
    <n v="4.2439304148346393"/>
    <n v="3.8327526132404177"/>
    <n v="7.417935081606454"/>
    <s v="T"/>
    <n v="1"/>
  </r>
  <r>
    <s v="PU-GSP-256"/>
    <x v="1"/>
    <s v="I"/>
    <s v="S"/>
    <s v="G"/>
    <n v="71"/>
    <n v="66"/>
    <n v="5.7140000000000004"/>
    <n v="6.0999999999999999E-2"/>
    <n v="8.0000000000000002E-3"/>
    <s v="M40"/>
    <x v="2"/>
    <n v="40"/>
    <n v="0.222"/>
    <n v="0.17499999999999999"/>
    <s v="4 zoops: 0.007"/>
    <s v="F"/>
    <m/>
    <m/>
    <m/>
    <m/>
    <m/>
    <m/>
    <m/>
    <m/>
    <m/>
    <m/>
    <m/>
    <m/>
    <m/>
    <m/>
    <m/>
    <m/>
    <m/>
    <m/>
    <m/>
    <m/>
    <m/>
    <m/>
    <n v="4"/>
    <n v="7.0000000000000001E-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.0000000000000001E-3"/>
    <s v="22/6/2021"/>
    <s v="22"/>
    <s v="6"/>
    <s v="2021"/>
    <x v="15"/>
    <x v="15"/>
    <x v="11"/>
    <s v="branch"/>
    <n v="0.14020329477742727"/>
    <n v="1.0790730585529806"/>
    <n v="1.0806023029229405E-2"/>
    <n v="3.1594150568694706"/>
    <n v="0.82254112705635296"/>
    <n v="0.94504725236261833"/>
    <s v="T"/>
    <n v="1"/>
  </r>
  <r>
    <s v="PU-GSP-257"/>
    <x v="1"/>
    <s v="S"/>
    <s v="IMM"/>
    <s v="G"/>
    <n v="60"/>
    <n v="56"/>
    <n v="3.762"/>
    <n v="7.2999999999999995E-2"/>
    <n v="0.113"/>
    <s v="F30"/>
    <x v="0"/>
    <n v="30"/>
    <n v="0.21099999999999999"/>
    <n v="0.17899999999999999"/>
    <s v="~20 zoops: 0.012"/>
    <s v="F"/>
    <m/>
    <m/>
    <m/>
    <m/>
    <m/>
    <m/>
    <m/>
    <m/>
    <m/>
    <m/>
    <m/>
    <m/>
    <m/>
    <m/>
    <m/>
    <m/>
    <m/>
    <m/>
    <m/>
    <m/>
    <m/>
    <m/>
    <n v="20"/>
    <n v="1.2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.2E-2"/>
    <s v="22/6/2021"/>
    <s v="22"/>
    <s v="6"/>
    <s v="2021"/>
    <x v="15"/>
    <x v="15"/>
    <x v="11"/>
    <s v="branch, SC Kept"/>
    <n v="3.096738832556865"/>
    <n v="1.9788560585524533"/>
    <n v="2.0413870246085011E-2"/>
    <n v="4.9958135640524697"/>
    <n v="0.85061137692716648"/>
    <n v="1.1695906432748537"/>
    <s v="T"/>
    <n v="1"/>
  </r>
  <r>
    <s v="PU-GSP-258"/>
    <x v="1"/>
    <s v="S"/>
    <s v="IMM"/>
    <s v="N"/>
    <n v="56"/>
    <n v="53"/>
    <n v="2.9239999999999999"/>
    <n v="4.8000000000000001E-2"/>
    <n v="0.28699999999999998"/>
    <s v="F30"/>
    <x v="0"/>
    <n v="30"/>
    <n v="0.106"/>
    <n v="8.5999999999999993E-2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2/6/2021"/>
    <s v="22"/>
    <s v="6"/>
    <s v="2021"/>
    <x v="15"/>
    <x v="15"/>
    <x v="11"/>
    <s v="branch"/>
    <n v="10.883579825559348"/>
    <n v="1.6689847009735743"/>
    <n v="1.8539976825028968E-2"/>
    <n v="3.0303030303030298"/>
    <n v="0.68399452804377581"/>
    <n v="0.68399452804377581"/>
    <s v="T"/>
    <n v="1"/>
  </r>
  <r>
    <s v="PU-GSP-259"/>
    <x v="1"/>
    <s v="S"/>
    <s v="IMM"/>
    <s v="G"/>
    <n v="60"/>
    <n v="56"/>
    <n v="3.6459999999999999"/>
    <n v="4.2000000000000003E-2"/>
    <n v="4.7E-2"/>
    <s v="F20"/>
    <x v="0"/>
    <n v="20"/>
    <n v="0.224"/>
    <n v="0.17499999999999999"/>
    <s v="veg: 0.013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.2999999999999999E-2"/>
    <n v="1.2999999999999999E-2"/>
    <s v="22/6/2021"/>
    <s v="22"/>
    <s v="6"/>
    <s v="2021"/>
    <x v="15"/>
    <x v="15"/>
    <x v="11"/>
    <s v="branch"/>
    <n v="1.305918310641845"/>
    <n v="1.165371809100999"/>
    <n v="1.1807703120607254E-2"/>
    <n v="5.0417747046960528"/>
    <n v="1.3439385628085578"/>
    <n v="1.7004936917169506"/>
    <s v="T"/>
    <n v="1"/>
  </r>
  <r>
    <s v="PU-GSP-260"/>
    <x v="1"/>
    <s v="I"/>
    <s v="S"/>
    <s v="G"/>
    <n v="77"/>
    <n v="73"/>
    <n v="8.4589999999999996"/>
    <n v="8.8999999999999996E-2"/>
    <n v="8.0000000000000002E-3"/>
    <s v="M40"/>
    <x v="2"/>
    <n v="40"/>
    <n v="0.33400000000000002"/>
    <n v="0.29699999999999999"/>
    <s v="veg: 0.022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2.1999999999999999E-2"/>
    <n v="2.1999999999999999E-2"/>
    <s v="22/6/2021"/>
    <s v="22"/>
    <s v="6"/>
    <s v="2021"/>
    <x v="15"/>
    <x v="15"/>
    <x v="11"/>
    <s v="branch"/>
    <n v="9.4663353449295939E-2"/>
    <n v="1.063321385902031"/>
    <n v="1.064338674958144E-2"/>
    <n v="3.6388140161725069"/>
    <n v="0.43740394845726482"/>
    <n v="0.69748197186428695"/>
    <s v="T"/>
    <n v="1"/>
  </r>
  <r>
    <s v="PU-GSP-261"/>
    <x v="1"/>
    <s v="I"/>
    <s v="B"/>
    <s v="N"/>
    <n v="140"/>
    <n v="134"/>
    <n v="53.66"/>
    <n v="0.53700000000000003"/>
    <n v="0.56100000000000005"/>
    <s v="M30"/>
    <x v="2"/>
    <n v="30"/>
    <n v="2.3679999999999999"/>
    <n v="1.8779999999999999"/>
    <s v="1 june bug: 0.316; 3 snail: 0.013"/>
    <s v="F"/>
    <m/>
    <m/>
    <m/>
    <m/>
    <n v="1"/>
    <n v="0.316"/>
    <m/>
    <m/>
    <m/>
    <m/>
    <m/>
    <m/>
    <m/>
    <m/>
    <m/>
    <m/>
    <m/>
    <m/>
    <n v="3"/>
    <n v="1.2999999999999999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32900000000000001"/>
    <d v="2021-07-07T00:00:00"/>
    <n v="7"/>
    <n v="7"/>
    <n v="2021"/>
    <x v="16"/>
    <x v="16"/>
    <x v="12"/>
    <s v="Mislabelled (241); SC kept"/>
    <n v="1.0565170718845931"/>
    <n v="1.010861585377332"/>
    <n v="1.0216506221224459E-2"/>
    <n v="3.6267428836275153"/>
    <n v="0.9131569139023481"/>
    <n v="1.5262765560939247"/>
    <s v="T"/>
    <n v="1"/>
  </r>
  <r>
    <s v="PU-GSP-262"/>
    <x v="1"/>
    <s v="I"/>
    <s v="B"/>
    <s v="N"/>
    <n v="124"/>
    <n v="117"/>
    <n v="37.616999999999997"/>
    <n v="0.40500000000000003"/>
    <n v="0.11600000000000001"/>
    <s v="M30"/>
    <x v="2"/>
    <n v="30"/>
    <n v="2.2490000000000001"/>
    <n v="2.0579999999999998"/>
    <s v="1 gypsy moth cat: 0.093; 1 june bug (2 legs): 0.017"/>
    <s v="F"/>
    <m/>
    <m/>
    <m/>
    <m/>
    <n v="3"/>
    <n v="0.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11"/>
    <d v="2021-07-07T00:00:00"/>
    <n v="7"/>
    <n v="7"/>
    <n v="2021"/>
    <x v="16"/>
    <x v="16"/>
    <x v="12"/>
    <s v="Mislabelled (242); SC kept"/>
    <n v="0.309325084664409"/>
    <n v="1.0883585940019349"/>
    <n v="1.0917619150312703E-2"/>
    <n v="5.7875643297055603"/>
    <n v="0.50774915596671799"/>
    <n v="0.80017013584283769"/>
    <s v="T"/>
    <n v="1"/>
  </r>
  <r>
    <s v="PU-GSP-263"/>
    <x v="1"/>
    <s v="I"/>
    <s v="B"/>
    <s v="N"/>
    <n v="122"/>
    <n v="114"/>
    <n v="34.052"/>
    <n v="0.35499999999999998"/>
    <n v="0.23300000000000001"/>
    <s v="M30"/>
    <x v="2"/>
    <n v="30"/>
    <n v="2.355"/>
    <n v="1.8939999999999999"/>
    <s v="1 june bug: 0.271; 25 chiro: 0.058; 1 damsel: 0.02"/>
    <s v="F"/>
    <m/>
    <m/>
    <m/>
    <m/>
    <n v="1"/>
    <n v="0.27100000000000002"/>
    <m/>
    <m/>
    <m/>
    <m/>
    <m/>
    <m/>
    <m/>
    <m/>
    <m/>
    <m/>
    <m/>
    <m/>
    <m/>
    <m/>
    <m/>
    <m/>
    <m/>
    <m/>
    <m/>
    <m/>
    <n v="1"/>
    <n v="0.02"/>
    <m/>
    <m/>
    <n v="25"/>
    <n v="5.8000000000000003E-2"/>
    <m/>
    <m/>
    <m/>
    <m/>
    <m/>
    <m/>
    <m/>
    <m/>
    <m/>
    <m/>
    <m/>
    <m/>
    <m/>
    <m/>
    <m/>
    <m/>
    <m/>
    <m/>
    <m/>
    <m/>
    <m/>
    <m/>
    <m/>
    <m/>
    <n v="0.34900000000000003"/>
    <d v="2021-07-07T00:00:00"/>
    <n v="7"/>
    <n v="7"/>
    <n v="2021"/>
    <x v="16"/>
    <x v="16"/>
    <x v="12"/>
    <s v="Mislabelled (243); SC kept"/>
    <n v="0.688961826192377"/>
    <n v="1.0535062468469001"/>
    <n v="1.0608415013148456E-2"/>
    <n v="5.8896697555818136"/>
    <n v="1.3538118172207216"/>
    <n v="2.378714906613415"/>
    <s v="T"/>
    <n v="1"/>
  </r>
  <r>
    <s v="PU-GSP-264"/>
    <x v="1"/>
    <s v="I"/>
    <s v="B"/>
    <s v="N"/>
    <n v="141"/>
    <n v="134"/>
    <n v="59.548999999999999"/>
    <n v="0.59"/>
    <n v="0.45600000000000002"/>
    <s v="M30"/>
    <x v="2"/>
    <n v="30"/>
    <n v="2.1760000000000002"/>
    <n v="1.8720000000000001"/>
    <s v="1 june bug: 0.25"/>
    <s v="F"/>
    <m/>
    <m/>
    <m/>
    <m/>
    <n v="1"/>
    <n v="0.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25"/>
    <d v="2021-07-07T00:00:00"/>
    <n v="7"/>
    <n v="7"/>
    <n v="2021"/>
    <x v="16"/>
    <x v="16"/>
    <x v="12"/>
    <s v="Mislabelled (244); SC kept"/>
    <n v="0.7716650026229841"/>
    <n v="1.0006953984972609"/>
    <n v="1.008495290839786E-2"/>
    <n v="3.2456611821003172"/>
    <n v="0.5105039547263599"/>
    <n v="0.93032628591580047"/>
    <s v="T"/>
    <n v="2"/>
  </r>
  <r>
    <s v="PU-GSP-265"/>
    <x v="1"/>
    <s v="I"/>
    <s v="B"/>
    <s v="N"/>
    <n v="117"/>
    <n v="111"/>
    <n v="29.038"/>
    <n v="0.28599999999999998"/>
    <n v="0.115"/>
    <s v="M30-40"/>
    <x v="2"/>
    <s v="30-40"/>
    <n v="1.1220000000000001"/>
    <n v="1.01"/>
    <s v="3 inverts: 0.061"/>
    <s v="F"/>
    <m/>
    <m/>
    <n v="3"/>
    <n v="6.0999999999999999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.0999999999999999E-2"/>
    <d v="2021-07-07T00:00:00"/>
    <n v="7"/>
    <n v="7"/>
    <n v="2021"/>
    <x v="16"/>
    <x v="16"/>
    <x v="12"/>
    <s v="Mislabelled (245)"/>
    <n v="0.39760744044532031"/>
    <n v="0.99471341124095713"/>
    <n v="9.9870796521982046E-3"/>
    <n v="3.6035393178250321"/>
    <n v="0.38570149459329189"/>
    <n v="0.59577105861285251"/>
    <s v="T"/>
    <n v="2"/>
  </r>
  <r>
    <s v="PU-GSP-266"/>
    <x v="1"/>
    <s v="I"/>
    <s v="B"/>
    <s v="N"/>
    <n v="137"/>
    <n v="131"/>
    <n v="43.735999999999997"/>
    <n v="0.60799999999999998"/>
    <n v="1.012"/>
    <s v="F30"/>
    <x v="0"/>
    <n v="30"/>
    <n v="1.752"/>
    <n v="1.599"/>
    <s v="2 water strider: 0.077"/>
    <s v="F"/>
    <m/>
    <m/>
    <m/>
    <m/>
    <n v="2"/>
    <n v="7.6999999999999999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.6999999999999999E-2"/>
    <d v="2021-07-07T00:00:00"/>
    <n v="7"/>
    <n v="7"/>
    <n v="2021"/>
    <x v="16"/>
    <x v="16"/>
    <x v="12"/>
    <s v="Mislabelled (246); SC kept"/>
    <n v="2.368692070030896"/>
    <n v="1.4097570024114265"/>
    <n v="1.4436318738721626E-2"/>
    <n v="3.7947646961103065"/>
    <n v="0.34982623010792036"/>
    <n v="0.52588256813608936"/>
    <s v="T"/>
    <n v="2"/>
  </r>
  <r>
    <s v="PU-GSP-267"/>
    <x v="1"/>
    <s v="I"/>
    <s v="B"/>
    <s v="N"/>
    <n v="123"/>
    <n v="113"/>
    <n v="37.076000000000001"/>
    <n v="0.38700000000000001"/>
    <n v="2.0369999999999999"/>
    <s v="F30"/>
    <x v="0"/>
    <n v="30"/>
    <n v="1.208"/>
    <n v="1.0389999999999999"/>
    <s v="veg: 0.01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0.01"/>
    <n v="0.01"/>
    <d v="2021-07-07T00:00:00"/>
    <n v="7"/>
    <n v="7"/>
    <n v="2021"/>
    <x v="16"/>
    <x v="16"/>
    <x v="12"/>
    <s v="Mislabelled (247)"/>
    <n v="5.8135220754016945"/>
    <n v="1.0548120690125107"/>
    <n v="1.1168186540459426E-2"/>
    <n v="2.8831478757943221"/>
    <n v="0.45582047685834509"/>
    <n v="0.48279210270795136"/>
    <s v="T"/>
    <n v="2"/>
  </r>
  <r>
    <s v="PU-GSP-268"/>
    <x v="1"/>
    <s v="I"/>
    <s v="I"/>
    <s v="G"/>
    <n v="87"/>
    <n v="82"/>
    <n v="11.397"/>
    <n v="0.106"/>
    <n v="0.02"/>
    <s v="F40"/>
    <x v="0"/>
    <n v="40"/>
    <n v="0.42599999999999999"/>
    <n v="0.41699999999999998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1-07-07T00:00:00"/>
    <n v="7"/>
    <n v="7"/>
    <n v="2021"/>
    <x v="16"/>
    <x v="16"/>
    <x v="12"/>
    <s v="Mislabelled (248)"/>
    <n v="0.17579326711786938"/>
    <n v="0.93880081480825428"/>
    <n v="9.4046668441132106E-3"/>
    <n v="3.7978142076502728"/>
    <n v="7.8968149513029814E-2"/>
    <n v="7.8968149513029814E-2"/>
    <s v="T"/>
    <n v="1"/>
  </r>
  <r>
    <s v="PU-GSP-269"/>
    <x v="1"/>
    <s v="I"/>
    <s v="S"/>
    <s v="G"/>
    <n v="78"/>
    <n v="73"/>
    <n v="8.7089999999999996"/>
    <n v="0.114"/>
    <n v="0.30199999999999999"/>
    <s v="F30"/>
    <x v="0"/>
    <n v="30"/>
    <n v="0.248"/>
    <n v="0.22500000000000001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1-07-07T00:00:00"/>
    <n v="7"/>
    <n v="7"/>
    <n v="2021"/>
    <x v="16"/>
    <x v="16"/>
    <x v="12"/>
    <s v="Mislabelled (249)"/>
    <n v="3.5922445581063398"/>
    <n v="1.3263525305410124"/>
    <n v="1.3746533220788618E-2"/>
    <n v="2.6520509193776522"/>
    <n v="0.26409461476633361"/>
    <n v="0.26409461476633361"/>
    <s v="T"/>
    <n v="1"/>
  </r>
  <r>
    <s v="PU-GSP-270"/>
    <x v="1"/>
    <s v="I"/>
    <s v="I"/>
    <s v="G"/>
    <n v="89"/>
    <n v="85"/>
    <n v="12.474"/>
    <n v="0.155"/>
    <n v="2.5000000000000001E-2"/>
    <s v="M40"/>
    <x v="2"/>
    <n v="40"/>
    <n v="0.71799999999999997"/>
    <n v="0.60699999999999998"/>
    <s v="1 caddis: 0.039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.9E-2"/>
    <m/>
    <m/>
    <m/>
    <m/>
    <m/>
    <m/>
    <m/>
    <m/>
    <m/>
    <m/>
    <m/>
    <m/>
    <m/>
    <m/>
    <m/>
    <m/>
    <m/>
    <m/>
    <m/>
    <n v="3.9E-2"/>
    <d v="2021-07-07T00:00:00"/>
    <n v="7"/>
    <n v="7"/>
    <n v="2021"/>
    <x v="16"/>
    <x v="16"/>
    <x v="12"/>
    <s v="Mislabelled (250)"/>
    <n v="0.20081934291910999"/>
    <n v="1.2582190112833833"/>
    <n v="1.2607776150967951E-2"/>
    <n v="5.1150248588522791"/>
    <n v="0.88985088985088967"/>
    <n v="1.2025012025012023"/>
    <s v="T"/>
    <n v="2"/>
  </r>
  <r>
    <s v="PU-GSP-271"/>
    <x v="1"/>
    <s v="I"/>
    <s v="S"/>
    <s v="G"/>
    <n v="72"/>
    <n v="69"/>
    <n v="6.7370000000000001"/>
    <n v="9.2999999999999999E-2"/>
    <n v="0.25800000000000001"/>
    <s v="M30"/>
    <x v="2"/>
    <n v="30"/>
    <n v="0.23200000000000001"/>
    <n v="0.22500000000000001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1-07-07T00:00:00"/>
    <n v="7"/>
    <n v="7"/>
    <n v="2021"/>
    <x v="16"/>
    <x v="16"/>
    <x v="12"/>
    <s v="Mislabelled (251)"/>
    <n v="3.9820960024695173"/>
    <n v="1.399759181216135"/>
    <n v="1.4563106796116505E-2"/>
    <n v="3.4551597051597049"/>
    <n v="0.10390381475434179"/>
    <n v="0.10390381475434179"/>
    <s v="T"/>
    <n v="2"/>
  </r>
  <r>
    <s v="PU-GSP-272"/>
    <x v="1"/>
    <s v="I"/>
    <s v="S"/>
    <s v="G"/>
    <n v="73"/>
    <n v="67"/>
    <n v="6.5359999999999996"/>
    <n v="0.106"/>
    <n v="8.4000000000000005E-2"/>
    <s v="F30"/>
    <x v="0"/>
    <n v="30"/>
    <n v="0.24299999999999999"/>
    <n v="0.19800000000000001"/>
    <s v="1 inverts: 0.029"/>
    <s v="F"/>
    <m/>
    <m/>
    <n v="1"/>
    <n v="2.9000000000000001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.9000000000000001E-2"/>
    <d v="2021-07-07T00:00:00"/>
    <n v="7"/>
    <n v="7"/>
    <n v="2021"/>
    <x v="16"/>
    <x v="16"/>
    <x v="12"/>
    <s v="Mislabelled (252)"/>
    <n v="1.3019218846869189"/>
    <n v="1.6485225505443235"/>
    <n v="1.6703435234793569E-2"/>
    <n v="3.1240138845061538"/>
    <n v="0.68849449204406343"/>
    <n v="1.1321909424724601"/>
    <s v="T"/>
    <n v="2"/>
  </r>
  <r>
    <s v="PU-GSP-273"/>
    <x v="1"/>
    <s v="I"/>
    <s v="S"/>
    <s v="G"/>
    <n v="72"/>
    <n v="68"/>
    <n v="6.2089999999999996"/>
    <n v="9.8000000000000004E-2"/>
    <n v="9.0999999999999998E-2"/>
    <s v="M30"/>
    <x v="2"/>
    <n v="30"/>
    <n v="0.20799999999999999"/>
    <n v="0.19500000000000001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1-07-07T00:00:00"/>
    <n v="7"/>
    <n v="7"/>
    <n v="2021"/>
    <x v="16"/>
    <x v="16"/>
    <x v="12"/>
    <s v="Mislabelled (253)"/>
    <n v="1.4874141876430207"/>
    <n v="1.6036655211912947"/>
    <n v="1.6279069767441864E-2"/>
    <n v="3.2424343199201866"/>
    <n v="0.2093734900950231"/>
    <n v="0.2093734900950231"/>
    <s v="T"/>
    <n v="2"/>
  </r>
  <r>
    <s v="PU-GSP-274"/>
    <x v="1"/>
    <s v="I"/>
    <s v="S"/>
    <s v="G"/>
    <n v="69"/>
    <n v="65"/>
    <n v="5.5880000000000001"/>
    <n v="6.9000000000000006E-2"/>
    <n v="0.08"/>
    <s v="F30"/>
    <x v="0"/>
    <n v="30"/>
    <n v="0.248"/>
    <n v="0.186"/>
    <s v="3 inverts: 0.023"/>
    <s v="F"/>
    <m/>
    <m/>
    <n v="3"/>
    <n v="2.3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.3E-2"/>
    <d v="2021-07-07T00:00:00"/>
    <n v="7"/>
    <n v="7"/>
    <n v="2021"/>
    <x v="16"/>
    <x v="16"/>
    <x v="12"/>
    <s v="Mislabelled (254)"/>
    <n v="1.4524328249818446"/>
    <n v="1.250226490306215"/>
    <n v="1.2686155543298402E-2"/>
    <n v="3.4431691965938538"/>
    <n v="1.1095204008589834"/>
    <n v="1.5211166785969934"/>
    <s v="T"/>
    <n v="2"/>
  </r>
  <r>
    <s v="PU-GSP-275"/>
    <x v="1"/>
    <s v="I"/>
    <s v="I"/>
    <s v="G"/>
    <n v="92"/>
    <n v="86"/>
    <n v="13.541"/>
    <n v="0.114"/>
    <n v="3.4000000000000002E-2"/>
    <s v="M40"/>
    <x v="2"/>
    <n v="40"/>
    <n v="0.58299999999999996"/>
    <n v="0.56699999999999995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1-01-08T00:00:00"/>
    <n v="1"/>
    <n v="8"/>
    <n v="2021"/>
    <x v="17"/>
    <x v="17"/>
    <x v="13"/>
    <m/>
    <n v="0.25172132968090621"/>
    <n v="0.84903552543382743"/>
    <n v="8.5119092063018001E-3"/>
    <n v="4.370279019577616"/>
    <n v="0.11815966324495986"/>
    <n v="0.11815966324495986"/>
    <s v="T"/>
    <n v="2"/>
  </r>
  <r>
    <s v="PU-GSP-276"/>
    <x v="1"/>
    <s v="I"/>
    <s v="I"/>
    <s v="G"/>
    <n v="98"/>
    <n v="87"/>
    <n v="17.54"/>
    <n v="0.17699999999999999"/>
    <n v="2.1999999999999999E-2"/>
    <s v="M40"/>
    <x v="2"/>
    <n v="40"/>
    <n v="0.90200000000000002"/>
    <n v="0.88600000000000001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1-01-08T00:00:00"/>
    <n v="1"/>
    <n v="8"/>
    <n v="2021"/>
    <x v="17"/>
    <x v="17"/>
    <x v="13"/>
    <m/>
    <n v="0.12558511245575979"/>
    <n v="1.0194090882911939"/>
    <n v="1.0207023816388903E-2"/>
    <n v="5.3200432328569711"/>
    <n v="9.1220068415051397E-2"/>
    <n v="9.1220068415051397E-2"/>
    <s v="T"/>
    <n v="2"/>
  </r>
  <r>
    <s v="PU-GSP-277"/>
    <x v="1"/>
    <s v="I"/>
    <s v="I"/>
    <s v="G"/>
    <n v="98"/>
    <n v="93"/>
    <n v="14.254"/>
    <n v="0.14799999999999999"/>
    <n v="0.36399999999999999"/>
    <s v="F30"/>
    <x v="0"/>
    <n v="30"/>
    <n v="0.505"/>
    <n v="0.49299999999999999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1-01-08T00:00:00"/>
    <n v="1"/>
    <n v="8"/>
    <n v="2021"/>
    <x v="17"/>
    <x v="17"/>
    <x v="13"/>
    <m/>
    <n v="2.6205903527717784"/>
    <n v="1.0491989224443499"/>
    <n v="1.0769902488720711E-2"/>
    <n v="3.5825884746748056"/>
    <n v="8.4186894906692941E-2"/>
    <n v="8.4186894906692941E-2"/>
    <s v="T"/>
    <n v="2"/>
  </r>
  <r>
    <s v="PU-GSP-278"/>
    <x v="1"/>
    <s v="I"/>
    <s v="B"/>
    <s v="N"/>
    <n v="116"/>
    <n v="110"/>
    <n v="28.85"/>
    <n v="0.31900000000000001"/>
    <n v="0.622"/>
    <s v="F30"/>
    <x v="0"/>
    <n v="30"/>
    <n v="1.204"/>
    <n v="1.0660000000000001"/>
    <s v="veg: 0.027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2.7E-2"/>
    <n v="2.7E-2"/>
    <d v="2021-01-08T00:00:00"/>
    <n v="1"/>
    <n v="8"/>
    <n v="2021"/>
    <x v="17"/>
    <x v="17"/>
    <x v="13"/>
    <m/>
    <n v="2.2034859005243019"/>
    <n v="1.1180820861519047"/>
    <n v="1.1430004657995627E-2"/>
    <n v="3.8367405701122945"/>
    <n v="0.47833622183708807"/>
    <n v="0.57192374350086617"/>
    <s v="T"/>
    <n v="2"/>
  </r>
  <r>
    <s v="PU-GSP-279"/>
    <x v="1"/>
    <s v="I"/>
    <s v="I"/>
    <s v="G"/>
    <n v="101"/>
    <n v="84"/>
    <n v="17.488"/>
    <n v="0.17100000000000001"/>
    <n v="0.40400000000000003"/>
    <s v="F30"/>
    <x v="0"/>
    <n v="30"/>
    <n v="0.69399999999999995"/>
    <n v="0.67400000000000004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1-01-08T00:00:00"/>
    <n v="1"/>
    <n v="8"/>
    <n v="2021"/>
    <x v="17"/>
    <x v="17"/>
    <x v="13"/>
    <m/>
    <n v="2.3647857644579724"/>
    <n v="0.98746896113645555"/>
    <n v="1.0110565836930173E-2"/>
    <n v="4.0085642916617106"/>
    <n v="0.11436413540713579"/>
    <n v="0.11436413540713579"/>
    <s v="T"/>
    <n v="1"/>
  </r>
  <r>
    <s v="PU-GSP-280"/>
    <x v="1"/>
    <s v="I"/>
    <s v="I"/>
    <s v="G"/>
    <n v="101"/>
    <n v="95"/>
    <n v="17.777000000000001"/>
    <n v="0.13300000000000001"/>
    <n v="3.1E-2"/>
    <s v="M40"/>
    <x v="2"/>
    <n v="40"/>
    <n v="0.78"/>
    <n v="0.73099999999999998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1-01-08T00:00:00"/>
    <n v="1"/>
    <n v="8"/>
    <n v="2021"/>
    <x v="17"/>
    <x v="17"/>
    <x v="13"/>
    <m/>
    <n v="0.17468725346556968"/>
    <n v="0.75379732486964401"/>
    <n v="7.5512405609492982E-3"/>
    <n v="4.2883961046579842"/>
    <n v="0.27563705912133679"/>
    <n v="0.27563705912133679"/>
    <s v="T"/>
    <n v="1"/>
  </r>
  <r>
    <s v="PU-GSP-281"/>
    <x v="1"/>
    <s v="I"/>
    <s v="B"/>
    <s v="N"/>
    <n v="123"/>
    <n v="112"/>
    <n v="33.131999999999998"/>
    <n v="0.308"/>
    <n v="0.44400000000000001"/>
    <s v="F21 (skip?)"/>
    <x v="0"/>
    <n v="21"/>
    <n v="1.5489999999999999"/>
    <n v="1.2350000000000001"/>
    <s v="1 PU: 0.219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0.219"/>
    <m/>
    <m/>
    <m/>
    <m/>
    <n v="0.219"/>
    <d v="2021-01-08T00:00:00"/>
    <n v="1"/>
    <n v="8"/>
    <n v="2021"/>
    <x v="17"/>
    <x v="17"/>
    <x v="13"/>
    <s v="Dormant gonads"/>
    <n v="1.3582966226138034"/>
    <n v="0.93833780160857916"/>
    <n v="9.5120444718962329E-3"/>
    <n v="3.8718374768787043"/>
    <n v="0.94772425449716236"/>
    <n v="1.6087166485572857"/>
    <s v="T"/>
    <n v="1"/>
  </r>
  <r>
    <s v="PU-GSP-282"/>
    <x v="1"/>
    <s v="I"/>
    <s v="S"/>
    <s v="G"/>
    <n v="83"/>
    <n v="78"/>
    <n v="9.218"/>
    <n v="9.8000000000000004E-2"/>
    <n v="3.1E-2"/>
    <s v="M40"/>
    <x v="2"/>
    <n v="40"/>
    <n v="0.39700000000000002"/>
    <n v="0.314"/>
    <s v="5 snails: 0.018; 4 mayfly: 0.028"/>
    <s v="F"/>
    <m/>
    <m/>
    <m/>
    <m/>
    <m/>
    <m/>
    <m/>
    <m/>
    <m/>
    <m/>
    <m/>
    <m/>
    <m/>
    <m/>
    <m/>
    <m/>
    <m/>
    <m/>
    <n v="5"/>
    <n v="1.7999999999999999E-2"/>
    <m/>
    <m/>
    <m/>
    <m/>
    <m/>
    <m/>
    <m/>
    <m/>
    <m/>
    <m/>
    <m/>
    <m/>
    <m/>
    <m/>
    <m/>
    <m/>
    <m/>
    <m/>
    <n v="4"/>
    <n v="2.8000000000000001E-2"/>
    <m/>
    <m/>
    <m/>
    <m/>
    <m/>
    <m/>
    <m/>
    <m/>
    <m/>
    <m/>
    <m/>
    <m/>
    <m/>
    <m/>
    <m/>
    <m/>
    <n v="4.5999999999999999E-2"/>
    <d v="2021-01-08T00:00:00"/>
    <n v="1"/>
    <n v="8"/>
    <n v="2021"/>
    <x v="17"/>
    <x v="17"/>
    <x v="13"/>
    <m/>
    <n v="0.33743332970501799"/>
    <n v="1.0745614035087721"/>
    <n v="1.0782264275497857E-2"/>
    <n v="3.5265049415992809"/>
    <n v="0.9004122369277503"/>
    <n v="1.3994358863093947"/>
    <s v="T"/>
    <n v="2"/>
  </r>
  <r>
    <s v="PU-GSP-283"/>
    <x v="1"/>
    <s v="I"/>
    <s v="S"/>
    <s v="G"/>
    <n v="68"/>
    <n v="64"/>
    <n v="5.1980000000000004"/>
    <n v="7.0999999999999994E-2"/>
    <n v="8.9999999999999993E-3"/>
    <s v="M40"/>
    <x v="2"/>
    <n v="40"/>
    <n v="0.28299999999999997"/>
    <n v="0.222"/>
    <s v="~50 zoops: 0.039"/>
    <s v="F"/>
    <m/>
    <m/>
    <m/>
    <m/>
    <m/>
    <m/>
    <m/>
    <m/>
    <m/>
    <m/>
    <m/>
    <m/>
    <m/>
    <m/>
    <m/>
    <m/>
    <m/>
    <m/>
    <m/>
    <m/>
    <m/>
    <m/>
    <n v="50"/>
    <n v="3.9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.9E-2"/>
    <d v="2021-01-08T00:00:00"/>
    <n v="1"/>
    <n v="8"/>
    <n v="2021"/>
    <x v="17"/>
    <x v="17"/>
    <x v="13"/>
    <m/>
    <n v="0.17344382347273074"/>
    <n v="1.3848254339769843"/>
    <n v="1.3872606486908946E-2"/>
    <n v="4.4614147909967841"/>
    <n v="1.1735282801077331"/>
    <n v="1.9238168526356285"/>
    <s v="T"/>
    <n v="1"/>
  </r>
  <r>
    <s v="PU-GSP-284"/>
    <x v="1"/>
    <s v="I"/>
    <s v="I"/>
    <s v="G"/>
    <n v="91"/>
    <n v="84"/>
    <n v="12.558"/>
    <n v="0.151"/>
    <n v="0.26100000000000001"/>
    <s v="F30"/>
    <x v="0"/>
    <n v="30"/>
    <n v="0.53700000000000003"/>
    <n v="0.45600000000000002"/>
    <s v="~12 chiro: 0.021; 1 caterpillar: 0.024"/>
    <s v="F"/>
    <m/>
    <m/>
    <m/>
    <m/>
    <n v="1"/>
    <n v="2.4E-2"/>
    <m/>
    <m/>
    <m/>
    <m/>
    <m/>
    <m/>
    <m/>
    <m/>
    <m/>
    <m/>
    <m/>
    <m/>
    <m/>
    <m/>
    <m/>
    <m/>
    <m/>
    <m/>
    <m/>
    <m/>
    <m/>
    <m/>
    <m/>
    <m/>
    <n v="12"/>
    <n v="2.1000000000000001E-2"/>
    <m/>
    <m/>
    <m/>
    <m/>
    <m/>
    <m/>
    <m/>
    <m/>
    <m/>
    <m/>
    <m/>
    <m/>
    <m/>
    <m/>
    <m/>
    <m/>
    <m/>
    <m/>
    <m/>
    <m/>
    <m/>
    <m/>
    <m/>
    <m/>
    <n v="4.4999999999999998E-2"/>
    <d v="2021-01-08T00:00:00"/>
    <n v="1"/>
    <n v="8"/>
    <n v="2021"/>
    <x v="17"/>
    <x v="17"/>
    <x v="13"/>
    <m/>
    <n v="2.1224688948524029"/>
    <n v="1.2170548883694687"/>
    <n v="1.2432076403754322E-2"/>
    <n v="3.7679722359940508"/>
    <n v="0.64500716674629732"/>
    <n v="1.0033444816053512"/>
    <s v="T"/>
    <n v="2"/>
  </r>
  <r>
    <s v="PU-GSP-285"/>
    <x v="1"/>
    <s v="I"/>
    <s v="B"/>
    <s v="N"/>
    <n v="127"/>
    <n v="120"/>
    <n v="37.936"/>
    <n v="0.52600000000000002"/>
    <n v="0.89500000000000002"/>
    <s v="F30"/>
    <x v="0"/>
    <n v="30"/>
    <n v="1.4470000000000001"/>
    <n v="1.403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1-01-08T00:00:00"/>
    <n v="1"/>
    <n v="8"/>
    <n v="2021"/>
    <x v="17"/>
    <x v="17"/>
    <x v="13"/>
    <m/>
    <n v="2.4162414621635486"/>
    <n v="1.4060411654637799"/>
    <n v="1.4405039025058198E-2"/>
    <n v="3.8403635069663045"/>
    <n v="0.11598481653310849"/>
    <n v="0.11598481653310849"/>
    <s v="T"/>
    <n v="2"/>
  </r>
  <r>
    <s v="PU-GSP-286"/>
    <x v="1"/>
    <s v="I"/>
    <s v="B"/>
    <s v="N"/>
    <n v="138"/>
    <n v="130"/>
    <n v="49.536999999999999"/>
    <n v="0.35399999999999998"/>
    <n v="0.497"/>
    <s v="M30"/>
    <x v="2"/>
    <n v="30"/>
    <n v="1.605"/>
    <n v="1.528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1-01-08T00:00:00"/>
    <n v="1"/>
    <n v="8"/>
    <n v="2021"/>
    <x v="17"/>
    <x v="17"/>
    <x v="13"/>
    <m/>
    <n v="1.0134584013050572"/>
    <n v="0.71976089299148083"/>
    <n v="7.2710840898821015E-3"/>
    <n v="3.1827365702264161"/>
    <n v="0.15543936855279883"/>
    <n v="0.15543936855279883"/>
    <s v="T"/>
    <n v="1"/>
  </r>
  <r>
    <s v="PU-KSB-1"/>
    <x v="2"/>
    <s v="B"/>
    <s v="B"/>
    <s v="N"/>
    <n v="206"/>
    <n v="196"/>
    <n v="171.71799999999999"/>
    <n v="2.34"/>
    <n v="0.33500000000000002"/>
    <s v="M22"/>
    <x v="2"/>
    <n v="22"/>
    <n v="7.1319999999999997"/>
    <n v="7.05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1/12/2020"/>
    <s v="21"/>
    <s v="12"/>
    <s v="2020"/>
    <x v="18"/>
    <x v="18"/>
    <x v="0"/>
    <s v="Liver subsampled"/>
    <n v="0.19546862874380774"/>
    <n v="1.3815253456765342"/>
    <n v="1.3842631756417005"/>
    <n v="4.1055684319640342"/>
    <n v="4.7752710839865278E-2"/>
    <m/>
    <s v="A"/>
    <m/>
  </r>
  <r>
    <s v="PU-KSB-2"/>
    <x v="2"/>
    <s v="B"/>
    <s v="B"/>
    <s v="N"/>
    <n v="177"/>
    <n v="169"/>
    <n v="121.184"/>
    <n v="2.12"/>
    <n v="0.19900000000000001"/>
    <s v="M22"/>
    <x v="2"/>
    <n v="22"/>
    <n v="5.6050000000000004"/>
    <n v="5.5229999999999997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1/12/2020"/>
    <s v="21"/>
    <s v="12"/>
    <s v="2020"/>
    <x v="18"/>
    <x v="18"/>
    <x v="0"/>
    <s v="Liver subsampled"/>
    <n v="0.16448320039674341"/>
    <n v="1.7805549956326012"/>
    <n v="1.7835359441383085"/>
    <n v="4.5575323475046208"/>
    <n v="6.7665698442039166E-2"/>
    <m/>
    <s v="A"/>
    <m/>
  </r>
  <r>
    <s v="PU-KSB-3"/>
    <x v="2"/>
    <s v="B"/>
    <s v="B"/>
    <s v="N"/>
    <n v="198"/>
    <n v="188"/>
    <n v="164.89400000000001"/>
    <n v="2.4929999999999999"/>
    <n v="0.27600000000000002"/>
    <s v="M22"/>
    <x v="2"/>
    <n v="22"/>
    <n v="1.43"/>
    <n v="1.3779999999999999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1/12/2020"/>
    <s v="21"/>
    <s v="12"/>
    <s v="2020"/>
    <x v="18"/>
    <x v="18"/>
    <x v="0"/>
    <s v="Liver subsampled"/>
    <n v="0.16766088763075729"/>
    <n v="1.5350890696485857"/>
    <n v="1.5377023901310718"/>
    <n v="0.83568838162698456"/>
    <n v="3.1535410627433404E-2"/>
    <m/>
    <s v="A"/>
    <m/>
  </r>
  <r>
    <s v="PU-KSB-4"/>
    <x v="2"/>
    <s v="B"/>
    <s v="B"/>
    <s v="N"/>
    <n v="174"/>
    <n v="166"/>
    <n v="104.36"/>
    <n v="1.724"/>
    <n v="0.88"/>
    <s v="F22"/>
    <x v="0"/>
    <n v="22"/>
    <n v="3.99"/>
    <n v="3.9369999999999998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1/12/2020"/>
    <s v="21"/>
    <s v="12"/>
    <s v="2020"/>
    <x v="18"/>
    <x v="18"/>
    <x v="0"/>
    <s v="NA"/>
    <n v="0.8504058755315036"/>
    <n v="1.6797225145173234"/>
    <n v="1.6942489877746765"/>
    <n v="3.7725182062092757"/>
    <n v="5.0785741663472952E-2"/>
    <m/>
    <s v="A"/>
    <m/>
  </r>
  <r>
    <s v="PU-KSB-5"/>
    <x v="2"/>
    <s v="B"/>
    <s v="B"/>
    <s v="N"/>
    <n v="198"/>
    <n v="189"/>
    <n v="153.09200000000001"/>
    <n v="2.0819999999999999"/>
    <n v="0.23100000000000001"/>
    <s v="M22"/>
    <x v="2"/>
    <n v="22"/>
    <n v="5.5369999999999999"/>
    <n v="5.4859999999999998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1/12/2020"/>
    <s v="21"/>
    <s v="12"/>
    <s v="2020"/>
    <x v="18"/>
    <x v="18"/>
    <x v="0"/>
    <s v="Liver subsampled"/>
    <n v="0.15111768207718121"/>
    <n v="1.378716641282034"/>
    <n v="1.3808288952705612"/>
    <n v="3.5834661510725572"/>
    <n v="3.3313301805450418E-2"/>
    <m/>
    <s v="A"/>
    <m/>
  </r>
  <r>
    <s v="PU-KSB-6"/>
    <x v="2"/>
    <s v="B"/>
    <s v="B"/>
    <s v="N"/>
    <n v="196"/>
    <n v="186"/>
    <n v="141.476"/>
    <n v="2.5129999999999999"/>
    <n v="0.32700000000000001"/>
    <s v="M22"/>
    <x v="2"/>
    <n v="22"/>
    <n v="5.3330000000000002"/>
    <n v="5.2089999999999996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1/12/2020"/>
    <s v="21"/>
    <s v="12"/>
    <s v="2020"/>
    <x v="18"/>
    <x v="18"/>
    <x v="0"/>
    <s v="Liver subsampled"/>
    <n v="0.23167007913623194"/>
    <n v="1.8083950404064391"/>
    <n v="1.812660492224242"/>
    <n v="3.6818965760977123"/>
    <n v="8.7647374819757817E-2"/>
    <m/>
    <s v="A"/>
    <m/>
  </r>
  <r>
    <s v="PU-KSB-7"/>
    <x v="2"/>
    <s v="B"/>
    <s v="B"/>
    <s v="N"/>
    <n v="207"/>
    <n v="198"/>
    <n v="156.922"/>
    <n v="2.653"/>
    <n v="1.8640000000000001"/>
    <s v="F22"/>
    <x v="0"/>
    <n v="22"/>
    <n v="5.8810000000000002"/>
    <n v="5.7720000000000002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0/12/2020"/>
    <s v="30"/>
    <s v="12"/>
    <s v="2020"/>
    <x v="19"/>
    <x v="19"/>
    <x v="0"/>
    <s v="Liver subsampled"/>
    <n v="1.2021308155657884"/>
    <n v="1.7197233403989136"/>
    <n v="1.740756536859027"/>
    <n v="3.6782605370821173"/>
    <n v="6.9461261008653977E-2"/>
    <m/>
    <s v="A"/>
    <m/>
  </r>
  <r>
    <s v="PU-KSB-8"/>
    <x v="2"/>
    <s v="B"/>
    <s v="B"/>
    <s v="N"/>
    <n v="194"/>
    <n v="184"/>
    <n v="150.27099999999999"/>
    <n v="2.4929999999999999"/>
    <n v="0.26100000000000001"/>
    <s v="M22"/>
    <x v="2"/>
    <n v="22"/>
    <n v="7.3259999999999996"/>
    <n v="6.8179999999999996"/>
    <s v="1 odonate, 3 caddis larvae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0/12/2020"/>
    <s v="30"/>
    <s v="12"/>
    <s v="2020"/>
    <x v="19"/>
    <x v="19"/>
    <x v="0"/>
    <s v="Liver subsampled"/>
    <n v="0.17398840077328179"/>
    <n v="1.6869899443760235"/>
    <n v="1.6899747147786355"/>
    <n v="4.5371362405254505"/>
    <n v="0.33805591231841142"/>
    <m/>
    <s v="A"/>
    <m/>
  </r>
  <r>
    <s v="PU-KSB-9"/>
    <x v="2"/>
    <s v="B"/>
    <s v="B"/>
    <s v="N"/>
    <n v="195"/>
    <n v="184"/>
    <n v="163.654"/>
    <n v="2.585"/>
    <n v="0.26600000000000001"/>
    <s v="M22"/>
    <x v="2"/>
    <n v="22"/>
    <n v="6.7759999999999998"/>
    <n v="6.4450000000000003"/>
    <s v="11 damselfly, 1 mayfly, 1 caddis larva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0/12/2020"/>
    <s v="30"/>
    <s v="12"/>
    <s v="2020"/>
    <x v="19"/>
    <x v="19"/>
    <x v="0"/>
    <s v="Liver subsampled"/>
    <n v="0.16280265380566505"/>
    <n v="1.6049022468631455"/>
    <n v="1.6075570729401814"/>
    <n v="3.9381866621041954"/>
    <n v="0.20225597907781021"/>
    <m/>
    <s v="A"/>
    <m/>
  </r>
  <r>
    <s v="PU-KSB-10"/>
    <x v="2"/>
    <s v="B"/>
    <s v="B"/>
    <s v="N"/>
    <n v="198"/>
    <n v="182"/>
    <n v="141.56100000000001"/>
    <n v="2.536"/>
    <n v="0.23"/>
    <s v="M22"/>
    <x v="2"/>
    <n v="22"/>
    <n v="4.3239999999999998"/>
    <n v="4.2699999999999996"/>
    <s v="Inverts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0/12/2020"/>
    <s v="30"/>
    <s v="12"/>
    <s v="2020"/>
    <x v="19"/>
    <x v="19"/>
    <x v="0"/>
    <s v="Liver subsampled, developed gonads"/>
    <n v="0.1627385357777133"/>
    <n v="1.8241323502967093"/>
    <n v="1.8271551568860549"/>
    <n v="3.0163675023488103"/>
    <n v="3.8146099561320042E-2"/>
    <m/>
    <s v="A"/>
    <m/>
  </r>
  <r>
    <s v="PU-KSB-11"/>
    <x v="2"/>
    <s v="I"/>
    <s v="S"/>
    <s v="G"/>
    <n v="67"/>
    <n v="63"/>
    <n v="4.476"/>
    <n v="8.1000000000000003E-2"/>
    <n v="0.03"/>
    <s v="F22"/>
    <x v="0"/>
    <n v="22"/>
    <n v="0.19800000000000001"/>
    <n v="0.14899999999999999"/>
    <s v="Inverts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1/01/2021"/>
    <s v="21"/>
    <s v="01"/>
    <s v="2021"/>
    <x v="20"/>
    <x v="20"/>
    <x v="1"/>
    <s v="Trapped, small gonads"/>
    <n v="0.67476383265856954"/>
    <n v="1.8430034129692834"/>
    <n v="1.8556701030927838"/>
    <n v="3.3288650580875783"/>
    <n v="1.0947274352100094"/>
    <m/>
    <s v="T"/>
    <m/>
  </r>
  <r>
    <s v="PU-KSB-12"/>
    <x v="2"/>
    <s v="S"/>
    <s v="IMM"/>
    <s v="N"/>
    <n v="56"/>
    <n v="53"/>
    <n v="2.5779999999999998"/>
    <n v="3.6999999999999998E-2"/>
    <n v="1E-3"/>
    <s v="M22"/>
    <x v="2"/>
    <n v="22"/>
    <n v="0.13300000000000001"/>
    <n v="9.7000000000000003E-2"/>
    <s v="1 mayfly, 3 chironomids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1/01/2021"/>
    <s v="21"/>
    <s v="01"/>
    <s v="2021"/>
    <x v="20"/>
    <x v="20"/>
    <x v="1"/>
    <s v="Trapped, gonads not kept"/>
    <n v="3.8804811796662786E-2"/>
    <n v="1.4561196379378198"/>
    <n v="1.4566929133858268"/>
    <n v="3.7626066718386348"/>
    <n v="1.3964313421256791"/>
    <m/>
    <s v="T"/>
    <m/>
  </r>
  <r>
    <s v="PU-KSB-13"/>
    <x v="2"/>
    <s v="S"/>
    <s v="IMM"/>
    <s v="N"/>
    <n v="56"/>
    <n v="51"/>
    <n v="2.5339999999999998"/>
    <n v="5.5E-2"/>
    <n v="2.5999999999999999E-2"/>
    <s v="F22"/>
    <x v="0"/>
    <n v="22"/>
    <n v="0.13400000000000001"/>
    <n v="0.104"/>
    <s v="Inverts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1/01/2021"/>
    <s v="21"/>
    <s v="01"/>
    <s v="2021"/>
    <x v="20"/>
    <x v="20"/>
    <x v="1"/>
    <s v="Trapped"/>
    <n v="1.036682615629984"/>
    <n v="2.2186365469947562"/>
    <n v="2.2421524663677133"/>
    <n v="4.1041831097079724"/>
    <n v="1.1838989739542232"/>
    <m/>
    <s v="T"/>
    <m/>
  </r>
  <r>
    <s v="PU-KSB-14"/>
    <x v="2"/>
    <s v="I"/>
    <s v="I"/>
    <s v="G"/>
    <n v="88"/>
    <n v="84"/>
    <n v="11.117000000000001"/>
    <n v="0.17799999999999999"/>
    <n v="0.01"/>
    <s v="M22"/>
    <x v="2"/>
    <n v="22"/>
    <n v="0.6"/>
    <n v="0.53900000000000003"/>
    <s v="Inverts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2/01/2021"/>
    <s v="22"/>
    <s v="01"/>
    <s v="2021"/>
    <x v="21"/>
    <x v="21"/>
    <x v="1"/>
    <s v="Angled, heavily parasitized"/>
    <n v="9.0033312325560458E-2"/>
    <n v="1.6272054118292349"/>
    <n v="1.6286942995699514"/>
    <n v="4.8484303319240798"/>
    <n v="0.54870918413240921"/>
    <m/>
    <s v="A"/>
    <m/>
  </r>
  <r>
    <s v="PU-KSB-15"/>
    <x v="2"/>
    <s v="I"/>
    <s v="I"/>
    <s v="G"/>
    <n v="101"/>
    <n v="95"/>
    <n v="16.686"/>
    <n v="0.26200000000000001"/>
    <n v="8.9999999999999993E-3"/>
    <s v="M22"/>
    <x v="2"/>
    <n v="22"/>
    <n v="1.163"/>
    <n v="0.81399999999999995"/>
    <s v="1 damselfly larva, 2 caddisfly larva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2/01/2021"/>
    <s v="22"/>
    <s v="01"/>
    <s v="2021"/>
    <x v="21"/>
    <x v="21"/>
    <x v="1"/>
    <s v="Angled, heavily parasitized"/>
    <n v="5.3966540744738264E-2"/>
    <n v="1.5952264978080861"/>
    <n v="1.5961011270179717"/>
    <n v="4.878341124295817"/>
    <n v="2.0915737744216711"/>
    <m/>
    <s v="A"/>
    <m/>
  </r>
  <r>
    <s v="PU-KSB-16"/>
    <x v="2"/>
    <s v="I"/>
    <s v="S"/>
    <s v="G"/>
    <n v="81"/>
    <n v="76"/>
    <n v="7.92"/>
    <n v="0.10299999999999999"/>
    <n v="5.0000000000000001E-3"/>
    <s v="M22"/>
    <x v="2"/>
    <n v="22"/>
    <n v="0.48699999999999999"/>
    <n v="0.36699999999999999"/>
    <s v="4 damselfly, 1 mayfly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2/01/2021"/>
    <s v="22"/>
    <s v="01"/>
    <s v="2021"/>
    <x v="21"/>
    <x v="21"/>
    <x v="1"/>
    <s v="Angled, heavily parasitized"/>
    <n v="6.3171193935565376E-2"/>
    <n v="1.3176410387616733"/>
    <n v="1.3184843830005117"/>
    <n v="4.6338383838383841"/>
    <n v="1.5151515151515151"/>
    <m/>
    <s v="A"/>
    <m/>
  </r>
  <r>
    <s v="PU-KSB-17"/>
    <x v="2"/>
    <s v="I"/>
    <s v="B"/>
    <s v="N"/>
    <n v="136"/>
    <n v="130"/>
    <n v="51.673000000000002"/>
    <n v="1.0029999999999999"/>
    <n v="0.373"/>
    <s v="F22"/>
    <x v="0"/>
    <n v="22"/>
    <n v="2.7850000000000001"/>
    <n v="2.38"/>
    <s v="4 caddis, 2 odonates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2/01/2021"/>
    <s v="22"/>
    <s v="01"/>
    <s v="2021"/>
    <x v="21"/>
    <x v="21"/>
    <x v="1"/>
    <s v="Angled, no parasites"/>
    <n v="0.72709551656920068"/>
    <n v="1.9794750345372012"/>
    <n v="1.9941547209575121"/>
    <n v="4.6058870203007372"/>
    <n v="0.78377489210999984"/>
    <m/>
    <s v="A"/>
    <m/>
  </r>
  <r>
    <s v="PU-KSB-18"/>
    <x v="2"/>
    <s v="I"/>
    <s v="S"/>
    <s v="G"/>
    <n v="78"/>
    <n v="74"/>
    <n v="7.7229999999999999"/>
    <n v="0.14899999999999999"/>
    <n v="7.0000000000000001E-3"/>
    <s v="M22"/>
    <x v="2"/>
    <n v="22"/>
    <n v="0.45800000000000002"/>
    <n v="0.36399999999999999"/>
    <s v="9 damsel: 0.044; 2 odonate: 0.018"/>
    <s v="F"/>
    <m/>
    <m/>
    <m/>
    <m/>
    <m/>
    <m/>
    <m/>
    <m/>
    <m/>
    <m/>
    <m/>
    <m/>
    <m/>
    <m/>
    <m/>
    <m/>
    <m/>
    <m/>
    <m/>
    <m/>
    <m/>
    <m/>
    <m/>
    <m/>
    <n v="2"/>
    <n v="1.7999999999999999E-2"/>
    <n v="9"/>
    <n v="4.3999999999999997E-2"/>
    <m/>
    <m/>
    <m/>
    <m/>
    <m/>
    <m/>
    <m/>
    <m/>
    <m/>
    <m/>
    <m/>
    <m/>
    <m/>
    <m/>
    <m/>
    <m/>
    <m/>
    <m/>
    <m/>
    <m/>
    <m/>
    <m/>
    <m/>
    <m/>
    <m/>
    <m/>
    <m/>
    <m/>
    <n v="6.2E-2"/>
    <d v="2021-11-02T00:00:00"/>
    <n v="11"/>
    <n v="2"/>
    <n v="2021"/>
    <x v="22"/>
    <x v="22"/>
    <x v="2"/>
    <s v="Trapped, heavily parasitized"/>
    <n v="9.0720580611715909E-2"/>
    <n v="1.9672564034856086"/>
    <n v="1.9690762521474823"/>
    <n v="4.7131943545254433"/>
    <n v="1.2171435970477797"/>
    <n v="2.0199404376537617"/>
    <s v="T"/>
    <n v="3"/>
  </r>
  <r>
    <s v="PU-KSB-19"/>
    <x v="2"/>
    <s v="S"/>
    <s v="IMM"/>
    <s v="N"/>
    <n v="58"/>
    <n v="55"/>
    <n v="2.7410000000000001"/>
    <n v="0.05"/>
    <n v="3.3000000000000002E-2"/>
    <s v="F22"/>
    <x v="0"/>
    <n v="22"/>
    <n v="0.126"/>
    <n v="0.10299999999999999"/>
    <s v="6 chiro: 0.004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"/>
    <n v="4.0000000000000001E-3"/>
    <m/>
    <m/>
    <m/>
    <m/>
    <m/>
    <m/>
    <m/>
    <m/>
    <m/>
    <m/>
    <m/>
    <m/>
    <m/>
    <m/>
    <m/>
    <m/>
    <m/>
    <m/>
    <m/>
    <m/>
    <m/>
    <m/>
    <m/>
    <m/>
    <n v="4.0000000000000001E-3"/>
    <d v="2021-11-02T00:00:00"/>
    <n v="11"/>
    <n v="2"/>
    <n v="2021"/>
    <x v="22"/>
    <x v="22"/>
    <x v="2"/>
    <s v="Trapped, heavily parasitized"/>
    <n v="1.2186115214180206"/>
    <n v="1.8580453363062057"/>
    <n v="1.8811136192626032"/>
    <n v="3.7577526450200653"/>
    <n v="0.83910981393651973"/>
    <n v="0.98504195549069706"/>
    <s v="T"/>
    <n v="3"/>
  </r>
  <r>
    <s v="PU-KSB-20"/>
    <x v="2"/>
    <s v="I"/>
    <s v="S"/>
    <s v="G"/>
    <n v="68"/>
    <n v="65"/>
    <n v="4.2489999999999997"/>
    <n v="0.10299999999999999"/>
    <n v="6.0000000000000001E-3"/>
    <s v="M22"/>
    <x v="2"/>
    <n v="22"/>
    <n v="0.21299999999999999"/>
    <n v="0.16600000000000001"/>
    <s v="10 chiro: 0.017; 1 caddis: 0.006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0"/>
    <n v="1.7000000000000001E-2"/>
    <m/>
    <m/>
    <m/>
    <m/>
    <n v="1"/>
    <n v="6.0000000000000001E-3"/>
    <m/>
    <m/>
    <m/>
    <m/>
    <m/>
    <m/>
    <m/>
    <m/>
    <m/>
    <m/>
    <m/>
    <m/>
    <m/>
    <m/>
    <m/>
    <m/>
    <m/>
    <m/>
    <n v="2.3E-2"/>
    <d v="2021-11-02T00:00:00"/>
    <n v="11"/>
    <n v="2"/>
    <n v="2021"/>
    <x v="22"/>
    <x v="22"/>
    <x v="2"/>
    <s v="Trapped, some parasites"/>
    <n v="0.14140938015555032"/>
    <n v="2.4843222383019778"/>
    <n v="2.4879227053140096"/>
    <n v="3.9068016003765598"/>
    <n v="1.1061426217933628"/>
    <n v="1.6474464579901149"/>
    <s v="T"/>
    <n v="2"/>
  </r>
  <r>
    <s v="PU-KSB-21"/>
    <x v="2"/>
    <s v="I"/>
    <s v="IMM"/>
    <s v="G"/>
    <n v="64"/>
    <n v="61"/>
    <n v="4.0590000000000002"/>
    <n v="4.7E-2"/>
    <n v="5.0000000000000001E-3"/>
    <s v="M22"/>
    <x v="2"/>
    <n v="22"/>
    <n v="0.16400000000000001"/>
    <n v="0.13900000000000001"/>
    <s v="5 chiro: 0.009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n v="8.9999999999999993E-3"/>
    <m/>
    <m/>
    <m/>
    <m/>
    <m/>
    <m/>
    <m/>
    <m/>
    <m/>
    <m/>
    <m/>
    <m/>
    <m/>
    <m/>
    <m/>
    <m/>
    <m/>
    <m/>
    <m/>
    <m/>
    <m/>
    <m/>
    <m/>
    <m/>
    <n v="8.9999999999999993E-3"/>
    <d v="2021-11-02T00:00:00"/>
    <n v="11"/>
    <n v="2"/>
    <n v="2021"/>
    <x v="22"/>
    <x v="22"/>
    <x v="2"/>
    <s v="Trapped, heavily parasitized"/>
    <n v="0.123334977799704"/>
    <n v="1.1714855433698901"/>
    <n v="1.1729473421512351"/>
    <n v="3.424488790342449"/>
    <n v="0.61591525006159131"/>
    <n v="0.83764474008376433"/>
    <s v="T"/>
    <n v="3"/>
  </r>
  <r>
    <s v="PU-KSB-22"/>
    <x v="2"/>
    <s v="I"/>
    <s v="S"/>
    <s v="G"/>
    <n v="70"/>
    <n v="66"/>
    <n v="4.6379999999999999"/>
    <n v="7.2999999999999995E-2"/>
    <n v="5.1999999999999998E-2"/>
    <s v="F22"/>
    <x v="0"/>
    <n v="22"/>
    <n v="0.187"/>
    <n v="0.16"/>
    <s v="6 chiro: 0.006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"/>
    <n v="6.0000000000000001E-3"/>
    <m/>
    <m/>
    <m/>
    <m/>
    <m/>
    <m/>
    <m/>
    <m/>
    <m/>
    <m/>
    <m/>
    <m/>
    <m/>
    <m/>
    <m/>
    <m/>
    <m/>
    <m/>
    <m/>
    <m/>
    <m/>
    <m/>
    <m/>
    <m/>
    <n v="6.0000000000000001E-3"/>
    <d v="2021-11-02T00:00:00"/>
    <n v="11"/>
    <n v="2"/>
    <n v="2021"/>
    <x v="22"/>
    <x v="22"/>
    <x v="2"/>
    <s v="Trapped, heavily parasitized"/>
    <n v="1.1338857392062798"/>
    <n v="1.5991237677984667"/>
    <n v="1.6175493020163971"/>
    <n v="3.44976282880552"/>
    <n v="0.58214747736093142"/>
    <n v="0.71151358344113835"/>
    <s v="T"/>
    <n v="3"/>
  </r>
  <r>
    <s v="PU-KSB-23"/>
    <x v="2"/>
    <s v="I"/>
    <s v="S"/>
    <s v="G"/>
    <n v="66"/>
    <n v="62"/>
    <n v="4.4800000000000004"/>
    <n v="7.9000000000000001E-2"/>
    <n v="4.0000000000000001E-3"/>
    <s v="M22"/>
    <x v="2"/>
    <n v="22"/>
    <n v="0.23"/>
    <n v="0.17899999999999999"/>
    <s v="15 damsel: 0.031"/>
    <s v="F"/>
    <m/>
    <m/>
    <m/>
    <m/>
    <m/>
    <m/>
    <m/>
    <m/>
    <m/>
    <m/>
    <m/>
    <m/>
    <m/>
    <m/>
    <m/>
    <m/>
    <m/>
    <m/>
    <m/>
    <m/>
    <m/>
    <m/>
    <m/>
    <m/>
    <m/>
    <m/>
    <n v="15"/>
    <n v="3.1E-2"/>
    <m/>
    <m/>
    <m/>
    <m/>
    <m/>
    <m/>
    <m/>
    <m/>
    <m/>
    <m/>
    <m/>
    <m/>
    <m/>
    <m/>
    <m/>
    <m/>
    <m/>
    <m/>
    <m/>
    <m/>
    <m/>
    <m/>
    <m/>
    <m/>
    <m/>
    <m/>
    <m/>
    <m/>
    <n v="3.1E-2"/>
    <d v="2021-11-02T00:00:00"/>
    <n v="11"/>
    <n v="2"/>
    <n v="2021"/>
    <x v="22"/>
    <x v="22"/>
    <x v="2"/>
    <s v="Trapped, heavily parasitized"/>
    <n v="8.9365504915102756E-2"/>
    <n v="1.7950465803226536"/>
    <n v="1.7966795542415279"/>
    <n v="3.995535714285714"/>
    <n v="1.1383928571428574"/>
    <n v="1.830357142857143"/>
    <s v="T"/>
    <n v="3"/>
  </r>
  <r>
    <s v="PU-KSB-24"/>
    <x v="2"/>
    <s v="I"/>
    <s v="IMM"/>
    <s v="G"/>
    <n v="62"/>
    <n v="58"/>
    <n v="3.1509999999999998"/>
    <n v="4.4999999999999998E-2"/>
    <n v="3.1E-2"/>
    <s v="F20"/>
    <x v="0"/>
    <n v="20"/>
    <n v="0.23"/>
    <n v="0.13800000000000001"/>
    <s v="2 damsnel: 0.048; 4 inverts: 0.01"/>
    <s v="F"/>
    <m/>
    <m/>
    <n v="4"/>
    <n v="0.01"/>
    <m/>
    <m/>
    <m/>
    <m/>
    <m/>
    <m/>
    <m/>
    <m/>
    <m/>
    <m/>
    <m/>
    <m/>
    <m/>
    <m/>
    <m/>
    <m/>
    <m/>
    <m/>
    <m/>
    <m/>
    <m/>
    <m/>
    <n v="2"/>
    <n v="4.8000000000000001E-2"/>
    <m/>
    <m/>
    <m/>
    <m/>
    <m/>
    <m/>
    <m/>
    <m/>
    <m/>
    <m/>
    <m/>
    <m/>
    <m/>
    <m/>
    <m/>
    <m/>
    <m/>
    <m/>
    <m/>
    <m/>
    <m/>
    <m/>
    <m/>
    <m/>
    <m/>
    <m/>
    <m/>
    <m/>
    <n v="5.8000000000000003E-2"/>
    <d v="2021-11-02T00:00:00"/>
    <n v="11"/>
    <n v="2"/>
    <n v="2021"/>
    <x v="22"/>
    <x v="22"/>
    <x v="2"/>
    <s v="Trapped, heavily parasitized"/>
    <n v="0.99358974358974372"/>
    <n v="1.4488087572440438"/>
    <n v="1.4634146341463417"/>
    <n v="4.3795620437956213"/>
    <n v="2.9197080291970807"/>
    <n v="4.7603935258648047"/>
    <s v="T"/>
    <n v="3"/>
  </r>
  <r>
    <s v="PU-KSB-25"/>
    <x v="2"/>
    <s v="S"/>
    <s v="IMM"/>
    <s v="N"/>
    <n v="56"/>
    <n v="53"/>
    <n v="2.726"/>
    <n v="3.5999999999999997E-2"/>
    <n v="3.0000000000000001E-3"/>
    <s v="M22"/>
    <x v="2"/>
    <n v="22"/>
    <n v="0.16900000000000001"/>
    <n v="0.123"/>
    <s v="3 damsel: 0.015; 3 chiro: 0.007"/>
    <s v="F"/>
    <m/>
    <m/>
    <m/>
    <m/>
    <m/>
    <m/>
    <m/>
    <m/>
    <m/>
    <m/>
    <m/>
    <m/>
    <m/>
    <m/>
    <m/>
    <m/>
    <m/>
    <m/>
    <m/>
    <m/>
    <m/>
    <m/>
    <m/>
    <m/>
    <m/>
    <m/>
    <n v="3"/>
    <n v="1.4999999999999999E-2"/>
    <m/>
    <m/>
    <n v="3"/>
    <n v="7.0000000000000001E-3"/>
    <m/>
    <m/>
    <m/>
    <m/>
    <m/>
    <m/>
    <m/>
    <m/>
    <m/>
    <m/>
    <m/>
    <m/>
    <m/>
    <m/>
    <m/>
    <m/>
    <m/>
    <m/>
    <m/>
    <m/>
    <m/>
    <m/>
    <m/>
    <m/>
    <n v="2.1999999999999999E-2"/>
    <d v="2021-11-02T00:00:00"/>
    <n v="11"/>
    <n v="2"/>
    <n v="2021"/>
    <x v="22"/>
    <x v="22"/>
    <x v="2"/>
    <s v="Trapped, heavily parasitized"/>
    <n v="0.11017260374586854"/>
    <n v="1.3382899628252787"/>
    <n v="1.339784145887607"/>
    <n v="4.5121056493030078"/>
    <n v="1.6874541452677922"/>
    <n v="2.4944974321349966"/>
    <s v="T"/>
    <n v="3"/>
  </r>
  <r>
    <s v="PU-KSB-26"/>
    <x v="2"/>
    <s v="S"/>
    <s v="IMM"/>
    <s v="G"/>
    <n v="60"/>
    <n v="56"/>
    <n v="2.8460000000000001"/>
    <n v="4.8000000000000001E-2"/>
    <n v="2E-3"/>
    <s v="M20"/>
    <x v="2"/>
    <n v="20"/>
    <n v="0.115"/>
    <n v="9.6000000000000002E-2"/>
    <s v="1 damsel: 0.001; 3 chiro: 0.007"/>
    <s v="F"/>
    <m/>
    <m/>
    <m/>
    <m/>
    <m/>
    <m/>
    <m/>
    <m/>
    <m/>
    <m/>
    <m/>
    <m/>
    <m/>
    <m/>
    <m/>
    <m/>
    <m/>
    <m/>
    <m/>
    <m/>
    <m/>
    <m/>
    <m/>
    <m/>
    <m/>
    <m/>
    <n v="1"/>
    <n v="1E-3"/>
    <m/>
    <m/>
    <n v="3"/>
    <n v="7.0000000000000001E-3"/>
    <m/>
    <m/>
    <m/>
    <m/>
    <m/>
    <m/>
    <m/>
    <m/>
    <m/>
    <m/>
    <m/>
    <m/>
    <m/>
    <m/>
    <m/>
    <m/>
    <m/>
    <m/>
    <m/>
    <m/>
    <m/>
    <m/>
    <m/>
    <m/>
    <n v="8.0000000000000002E-3"/>
    <d v="2021-11-02T00:00:00"/>
    <n v="11"/>
    <n v="2"/>
    <n v="2021"/>
    <x v="22"/>
    <x v="22"/>
    <x v="2"/>
    <s v="Trapped, some parasites, gonads not kept"/>
    <n v="7.0323488045007029E-2"/>
    <n v="1.7155110793423873"/>
    <n v="1.7167381974248928"/>
    <n v="3.3731553056921992"/>
    <n v="0.66760365425158119"/>
    <n v="0.9486999297259312"/>
    <s v="T"/>
    <n v="2"/>
  </r>
  <r>
    <s v="PU-KSB-27"/>
    <x v="2"/>
    <s v="S"/>
    <s v="IMM"/>
    <s v="N"/>
    <n v="55"/>
    <n v="52"/>
    <n v="2.444"/>
    <n v="4.1000000000000002E-2"/>
    <n v="4.0000000000000001E-3"/>
    <s v="M22"/>
    <x v="2"/>
    <n v="22"/>
    <n v="0.14000000000000001"/>
    <n v="0.11700000000000001"/>
    <s v="10 chiro: 0.012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0"/>
    <n v="1.2E-2"/>
    <m/>
    <m/>
    <m/>
    <m/>
    <m/>
    <m/>
    <m/>
    <m/>
    <m/>
    <m/>
    <m/>
    <m/>
    <m/>
    <m/>
    <m/>
    <m/>
    <m/>
    <m/>
    <m/>
    <m/>
    <m/>
    <m/>
    <m/>
    <m/>
    <n v="1.2E-2"/>
    <d v="2021-11-02T00:00:00"/>
    <n v="11"/>
    <n v="2"/>
    <n v="2021"/>
    <x v="22"/>
    <x v="22"/>
    <x v="2"/>
    <s v="Trapped, heavily parasitized"/>
    <n v="0.16393442622950818"/>
    <n v="1.706200582605077"/>
    <n v="1.7090454355981659"/>
    <n v="4.7872340425531918"/>
    <n v="0.94108019639934559"/>
    <n v="1.4320785597381342"/>
    <s v="T"/>
    <n v="3"/>
  </r>
  <r>
    <s v="PU-KSB-28"/>
    <x v="2"/>
    <s v="S"/>
    <s v="IMM"/>
    <s v="N"/>
    <n v="59"/>
    <n v="56"/>
    <n v="3.0939999999999999"/>
    <n v="6.2E-2"/>
    <n v="3.4000000000000002E-2"/>
    <s v="F22"/>
    <x v="0"/>
    <n v="22"/>
    <n v="0.17299999999999999"/>
    <n v="0.13500000000000001"/>
    <s v="1 damsel: 0.006; 4 chiro: 0.005"/>
    <s v="F"/>
    <m/>
    <m/>
    <m/>
    <m/>
    <m/>
    <m/>
    <m/>
    <m/>
    <m/>
    <m/>
    <m/>
    <m/>
    <m/>
    <m/>
    <m/>
    <m/>
    <m/>
    <m/>
    <m/>
    <m/>
    <m/>
    <m/>
    <m/>
    <m/>
    <m/>
    <m/>
    <n v="1"/>
    <n v="6.0000000000000001E-3"/>
    <m/>
    <m/>
    <n v="4"/>
    <n v="5.0000000000000001E-3"/>
    <m/>
    <m/>
    <m/>
    <m/>
    <m/>
    <m/>
    <m/>
    <m/>
    <m/>
    <m/>
    <m/>
    <m/>
    <m/>
    <m/>
    <m/>
    <m/>
    <m/>
    <m/>
    <m/>
    <m/>
    <m/>
    <m/>
    <m/>
    <m/>
    <n v="1.0999999999999999E-2"/>
    <d v="2021-11-02T00:00:00"/>
    <n v="11"/>
    <n v="2"/>
    <n v="2021"/>
    <x v="22"/>
    <x v="22"/>
    <x v="2"/>
    <s v="Trapped, heavily parasitized"/>
    <n v="1.1111111111111112"/>
    <n v="2.0448548812664908"/>
    <n v="2.0680453635757172"/>
    <n v="4.3632837750484814"/>
    <n v="1.2281835811247568"/>
    <n v="1.5837104072398183"/>
    <s v="T"/>
    <n v="3"/>
  </r>
  <r>
    <s v="PU-KSB-29"/>
    <x v="2"/>
    <s v="S"/>
    <s v="IMM"/>
    <s v="N"/>
    <n v="58"/>
    <n v="55"/>
    <n v="2.843"/>
    <n v="5.7000000000000002E-2"/>
    <n v="3.0000000000000001E-3"/>
    <s v="M22"/>
    <x v="2"/>
    <n v="22"/>
    <n v="0.14299999999999999"/>
    <n v="0.115"/>
    <s v="5 damsel: 0.02"/>
    <s v="F"/>
    <m/>
    <m/>
    <m/>
    <m/>
    <m/>
    <m/>
    <m/>
    <m/>
    <m/>
    <m/>
    <m/>
    <m/>
    <m/>
    <m/>
    <m/>
    <m/>
    <m/>
    <m/>
    <m/>
    <m/>
    <m/>
    <m/>
    <m/>
    <m/>
    <m/>
    <m/>
    <n v="5"/>
    <n v="0.02"/>
    <m/>
    <m/>
    <m/>
    <m/>
    <m/>
    <m/>
    <m/>
    <m/>
    <m/>
    <m/>
    <m/>
    <m/>
    <m/>
    <m/>
    <m/>
    <m/>
    <m/>
    <m/>
    <m/>
    <m/>
    <m/>
    <m/>
    <m/>
    <m/>
    <m/>
    <m/>
    <m/>
    <m/>
    <n v="0.02"/>
    <d v="2021-11-02T00:00:00"/>
    <n v="11"/>
    <n v="2"/>
    <n v="2021"/>
    <x v="22"/>
    <x v="22"/>
    <x v="2"/>
    <s v="Trapped, heavily parasitized"/>
    <n v="0.10563380281690142"/>
    <n v="2.0459440057430007"/>
    <n v="2.0481494789795187"/>
    <n v="4.0450228631727052"/>
    <n v="0.98487513190291898"/>
    <n v="1.6883573689764328"/>
    <s v="T"/>
    <n v="3"/>
  </r>
  <r>
    <s v="PU-KSB-30"/>
    <x v="2"/>
    <s v="S"/>
    <s v="IMM"/>
    <s v="N"/>
    <n v="56"/>
    <n v="53"/>
    <n v="2.9649999999999999"/>
    <n v="6.9000000000000006E-2"/>
    <n v="1E-3"/>
    <s v="M20"/>
    <x v="2"/>
    <n v="20"/>
    <n v="0.184"/>
    <n v="0.126"/>
    <s v="16 chiro: 0.037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6"/>
    <n v="3.6999999999999998E-2"/>
    <m/>
    <m/>
    <m/>
    <m/>
    <m/>
    <m/>
    <m/>
    <m/>
    <m/>
    <m/>
    <m/>
    <m/>
    <m/>
    <m/>
    <m/>
    <m/>
    <m/>
    <m/>
    <m/>
    <m/>
    <m/>
    <m/>
    <m/>
    <m/>
    <n v="3.6999999999999998E-2"/>
    <d v="2021-11-02T00:00:00"/>
    <n v="11"/>
    <n v="2"/>
    <n v="2021"/>
    <x v="22"/>
    <x v="22"/>
    <x v="2"/>
    <s v="Trapped, heavily parasitized, gonads not kept"/>
    <n v="3.3738191632928474E-2"/>
    <n v="2.382596685082873"/>
    <n v="2.3834196891191715"/>
    <n v="4.2495784148397977"/>
    <n v="1.9561551433389543"/>
    <n v="3.2040472175379429"/>
    <s v="T"/>
    <n v="3"/>
  </r>
  <r>
    <s v="PU-KSB-31"/>
    <x v="2"/>
    <s v="S"/>
    <s v="IMM"/>
    <s v="N"/>
    <n v="56"/>
    <n v="53"/>
    <n v="2.6560000000000001"/>
    <n v="5.7000000000000002E-2"/>
    <n v="5.0000000000000001E-3"/>
    <s v="M22"/>
    <x v="2"/>
    <n v="22"/>
    <n v="0.14799999999999999"/>
    <n v="0.111"/>
    <s v="7 damsel: 0.024"/>
    <s v="F"/>
    <m/>
    <m/>
    <m/>
    <m/>
    <m/>
    <m/>
    <m/>
    <m/>
    <m/>
    <m/>
    <m/>
    <m/>
    <m/>
    <m/>
    <m/>
    <m/>
    <m/>
    <m/>
    <m/>
    <m/>
    <m/>
    <m/>
    <m/>
    <m/>
    <m/>
    <m/>
    <n v="7"/>
    <n v="2.4E-2"/>
    <m/>
    <m/>
    <m/>
    <m/>
    <m/>
    <m/>
    <m/>
    <m/>
    <m/>
    <m/>
    <m/>
    <m/>
    <m/>
    <m/>
    <m/>
    <m/>
    <m/>
    <m/>
    <m/>
    <m/>
    <m/>
    <m/>
    <m/>
    <m/>
    <m/>
    <m/>
    <m/>
    <m/>
    <n v="2.4E-2"/>
    <d v="2021-11-02T00:00:00"/>
    <n v="11"/>
    <n v="2"/>
    <n v="2021"/>
    <x v="22"/>
    <x v="22"/>
    <x v="2"/>
    <s v="Trapped, heavily parasitized"/>
    <n v="0.18860807242549982"/>
    <n v="2.1931512120046173"/>
    <n v="2.1973785659213569"/>
    <n v="4.1792168674698793"/>
    <n v="1.3930722891566261"/>
    <n v="2.2966867469879513"/>
    <s v="T"/>
    <n v="3"/>
  </r>
  <r>
    <s v="PU-KSB-32"/>
    <x v="2"/>
    <s v="S"/>
    <s v="IMM"/>
    <s v="N"/>
    <n v="56"/>
    <n v="53"/>
    <n v="2.4510000000000001"/>
    <n v="3.5999999999999997E-2"/>
    <n v="3.0000000000000001E-3"/>
    <s v="M20"/>
    <x v="2"/>
    <n v="20"/>
    <n v="0.192"/>
    <n v="0.11700000000000001"/>
    <s v="10 damsel: 0.041; 1 mayfly: 0.004; 3 chiro: 0.005"/>
    <s v="F"/>
    <m/>
    <m/>
    <m/>
    <m/>
    <m/>
    <m/>
    <m/>
    <m/>
    <m/>
    <m/>
    <m/>
    <m/>
    <m/>
    <m/>
    <m/>
    <m/>
    <m/>
    <m/>
    <m/>
    <m/>
    <m/>
    <m/>
    <m/>
    <m/>
    <m/>
    <m/>
    <n v="10"/>
    <n v="4.1000000000000002E-2"/>
    <m/>
    <m/>
    <n v="3"/>
    <n v="5.0000000000000001E-3"/>
    <m/>
    <m/>
    <m/>
    <m/>
    <m/>
    <m/>
    <n v="1"/>
    <n v="4.0000000000000001E-3"/>
    <m/>
    <m/>
    <m/>
    <m/>
    <m/>
    <m/>
    <m/>
    <m/>
    <m/>
    <m/>
    <m/>
    <m/>
    <m/>
    <m/>
    <m/>
    <m/>
    <n v="0.05"/>
    <d v="2021-11-02T00:00:00"/>
    <n v="11"/>
    <n v="2"/>
    <n v="2021"/>
    <x v="22"/>
    <x v="22"/>
    <x v="2"/>
    <s v="Trapped, heavily parasitized"/>
    <n v="0.12254901960784313"/>
    <n v="1.4906832298136643"/>
    <n v="1.4925373134328357"/>
    <n v="4.7735618115055081"/>
    <n v="3.0599755201958385"/>
    <n v="5.0999592003263974"/>
    <s v="T"/>
    <n v="3"/>
  </r>
  <r>
    <s v="PU-KSB-33"/>
    <x v="2"/>
    <s v="S"/>
    <s v="IMM"/>
    <s v="N"/>
    <n v="53"/>
    <n v="50"/>
    <n v="2.0960000000000001"/>
    <n v="3.4000000000000002E-2"/>
    <n v="3.0000000000000001E-3"/>
    <s v="M20"/>
    <x v="2"/>
    <n v="20"/>
    <n v="0.105"/>
    <n v="6.8000000000000005E-2"/>
    <s v="8 damsel: 0.016"/>
    <s v="F"/>
    <m/>
    <m/>
    <m/>
    <m/>
    <m/>
    <m/>
    <m/>
    <m/>
    <m/>
    <m/>
    <m/>
    <m/>
    <m/>
    <m/>
    <m/>
    <m/>
    <m/>
    <m/>
    <m/>
    <m/>
    <m/>
    <m/>
    <m/>
    <m/>
    <m/>
    <m/>
    <n v="8"/>
    <n v="1.6E-2"/>
    <m/>
    <m/>
    <m/>
    <m/>
    <m/>
    <m/>
    <m/>
    <m/>
    <m/>
    <m/>
    <m/>
    <m/>
    <m/>
    <m/>
    <m/>
    <m/>
    <m/>
    <m/>
    <m/>
    <m/>
    <m/>
    <m/>
    <m/>
    <m/>
    <m/>
    <m/>
    <m/>
    <m/>
    <n v="1.6E-2"/>
    <d v="2021-11-02T00:00:00"/>
    <n v="11"/>
    <n v="2"/>
    <n v="2021"/>
    <x v="22"/>
    <x v="22"/>
    <x v="2"/>
    <s v="Trapped, no parasites"/>
    <n v="0.1433349259436216"/>
    <n v="1.6488845780795343"/>
    <n v="1.6512870325400681"/>
    <n v="3.2442748091603053"/>
    <n v="1.7652671755725184"/>
    <n v="2.5286259541984726"/>
    <s v="T"/>
    <n v="1"/>
  </r>
  <r>
    <s v="PU-KSB-34"/>
    <x v="2"/>
    <s v="S"/>
    <s v="IMM"/>
    <s v="N"/>
    <n v="43"/>
    <n v="40"/>
    <n v="1.111"/>
    <n v="2.5999999999999999E-2"/>
    <n v="1E-3"/>
    <s v="M10"/>
    <x v="2"/>
    <n v="10"/>
    <n v="0.05"/>
    <n v="4.7E-2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d v="2021-11-02T00:00:00"/>
    <n v="11"/>
    <n v="2"/>
    <n v="2021"/>
    <x v="22"/>
    <x v="22"/>
    <x v="2"/>
    <s v="Trapped, heavily parasitized, gonads not kept"/>
    <n v="9.0090090090090086E-2"/>
    <n v="2.3963133640552994"/>
    <n v="2.3985239852398523"/>
    <n v="4.2304230423042304"/>
    <n v="0.2700270027002703"/>
    <n v="0.2700270027002703"/>
    <s v="T"/>
    <n v="3"/>
  </r>
  <r>
    <s v="PU-KSB-35"/>
    <x v="2"/>
    <s v="S"/>
    <s v="IMM"/>
    <s v="N"/>
    <n v="47"/>
    <n v="44"/>
    <n v="1.54"/>
    <n v="3.2000000000000001E-2"/>
    <n v="2.1000000000000001E-2"/>
    <s v="F20"/>
    <x v="0"/>
    <n v="20"/>
    <n v="6.5000000000000002E-2"/>
    <n v="5.3999999999999999E-2"/>
    <s v="3 chiro: 0.004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4.0000000000000001E-3"/>
    <m/>
    <m/>
    <m/>
    <m/>
    <m/>
    <m/>
    <m/>
    <m/>
    <m/>
    <m/>
    <m/>
    <m/>
    <m/>
    <m/>
    <m/>
    <m/>
    <m/>
    <m/>
    <m/>
    <m/>
    <m/>
    <m/>
    <m/>
    <m/>
    <n v="4.0000000000000001E-3"/>
    <d v="2021-11-02T00:00:00"/>
    <n v="11"/>
    <n v="2"/>
    <n v="2021"/>
    <x v="22"/>
    <x v="22"/>
    <x v="2"/>
    <s v="Trapped, some parasites"/>
    <n v="1.3824884792626728"/>
    <n v="2.1220159151193632"/>
    <n v="2.151983860121049"/>
    <n v="3.5064935064935061"/>
    <n v="0.71428571428571441"/>
    <n v="0.97402597402597413"/>
    <s v="T"/>
    <n v="2"/>
  </r>
  <r>
    <s v="PU-KSB-36"/>
    <x v="2"/>
    <s v="S"/>
    <s v="IMM"/>
    <s v="N"/>
    <n v="41"/>
    <n v="38"/>
    <n v="0.98599999999999999"/>
    <n v="2.1000000000000001E-2"/>
    <n v="5.0000000000000001E-3"/>
    <s v="F10"/>
    <x v="0"/>
    <n v="10"/>
    <n v="5.7000000000000002E-2"/>
    <n v="3.9E-2"/>
    <s v="4 chiro: 0.008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8.0000000000000002E-3"/>
    <m/>
    <m/>
    <m/>
    <m/>
    <m/>
    <m/>
    <m/>
    <m/>
    <m/>
    <m/>
    <m/>
    <m/>
    <m/>
    <m/>
    <m/>
    <m/>
    <m/>
    <m/>
    <m/>
    <m/>
    <m/>
    <m/>
    <m/>
    <m/>
    <n v="8.0000000000000002E-3"/>
    <d v="2021-11-02T00:00:00"/>
    <n v="11"/>
    <n v="2"/>
    <n v="2021"/>
    <x v="22"/>
    <x v="22"/>
    <x v="2"/>
    <s v="Trapped, heavily parasitized, gonads not kept"/>
    <n v="0.509683995922528"/>
    <n v="2.1761658031088085"/>
    <n v="2.1875"/>
    <n v="3.9553752535496955"/>
    <n v="1.8255578093306291"/>
    <n v="2.6369168356997976"/>
    <s v="T"/>
    <n v="3"/>
  </r>
  <r>
    <s v="PU-KSB-37"/>
    <x v="2"/>
    <s v="S"/>
    <s v="IMM"/>
    <s v="N"/>
    <n v="57"/>
    <n v="54"/>
    <n v="2.5310000000000001"/>
    <n v="6.5000000000000002E-2"/>
    <n v="0.02"/>
    <s v="F22"/>
    <x v="0"/>
    <n v="22"/>
    <n v="0.13"/>
    <n v="0.105"/>
    <s v="4 chiro: 0.008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8.0000000000000002E-3"/>
    <m/>
    <m/>
    <m/>
    <m/>
    <m/>
    <m/>
    <m/>
    <m/>
    <m/>
    <m/>
    <m/>
    <m/>
    <m/>
    <m/>
    <m/>
    <m/>
    <m/>
    <m/>
    <m/>
    <m/>
    <m/>
    <m/>
    <m/>
    <m/>
    <n v="8.0000000000000002E-3"/>
    <s v="21/2/21"/>
    <s v="21"/>
    <s v="2"/>
    <s v="2021"/>
    <x v="23"/>
    <x v="23"/>
    <x v="3"/>
    <s v="Trapped, some parasites"/>
    <n v="0.79649542015133401"/>
    <n v="2.6358475263584751"/>
    <n v="2.6573998364677021"/>
    <n v="4.1485578822599765"/>
    <n v="0.98775187672856601"/>
    <n v="1.3038324772817071"/>
    <s v="T"/>
    <n v="2"/>
  </r>
  <r>
    <s v="PU-KSB-38"/>
    <x v="2"/>
    <s v="I"/>
    <s v="S"/>
    <s v="G"/>
    <n v="69"/>
    <n v="65"/>
    <n v="4.3250000000000002"/>
    <n v="7.3999999999999996E-2"/>
    <n v="4.1000000000000002E-2"/>
    <s v="F22"/>
    <x v="0"/>
    <n v="22"/>
    <n v="0.25600000000000001"/>
    <n v="0.16600000000000001"/>
    <s v="12 damsel: 0.045"/>
    <s v="F"/>
    <m/>
    <m/>
    <m/>
    <m/>
    <m/>
    <m/>
    <m/>
    <m/>
    <m/>
    <m/>
    <m/>
    <m/>
    <m/>
    <m/>
    <m/>
    <m/>
    <m/>
    <m/>
    <m/>
    <m/>
    <m/>
    <m/>
    <m/>
    <m/>
    <m/>
    <m/>
    <n v="12"/>
    <n v="4.4999999999999998E-2"/>
    <m/>
    <m/>
    <m/>
    <m/>
    <m/>
    <m/>
    <m/>
    <m/>
    <m/>
    <m/>
    <m/>
    <m/>
    <m/>
    <m/>
    <m/>
    <m/>
    <m/>
    <m/>
    <m/>
    <m/>
    <m/>
    <m/>
    <m/>
    <m/>
    <m/>
    <m/>
    <m/>
    <m/>
    <n v="4.4999999999999998E-2"/>
    <s v="21/2/21"/>
    <s v="21"/>
    <s v="2"/>
    <s v="2021"/>
    <x v="23"/>
    <x v="23"/>
    <x v="3"/>
    <s v="Trapped, some parasites"/>
    <n v="0.95704948646125121"/>
    <n v="1.7407668783815569"/>
    <n v="1.7577197149643706"/>
    <n v="3.8381502890173413"/>
    <n v="2.0809248554913293"/>
    <n v="3.1213872832369942"/>
    <s v="T"/>
    <n v="2"/>
  </r>
  <r>
    <s v="PU-KSB-39"/>
    <x v="2"/>
    <s v="I"/>
    <s v="S"/>
    <s v="G"/>
    <n v="75"/>
    <n v="71"/>
    <n v="6.0730000000000004"/>
    <n v="0.114"/>
    <n v="5.7000000000000002E-2"/>
    <s v="F22"/>
    <x v="0"/>
    <n v="22"/>
    <n v="0.35099999999999998"/>
    <n v="0.26300000000000001"/>
    <s v="12 damsel: 0.058"/>
    <s v="F"/>
    <m/>
    <m/>
    <m/>
    <m/>
    <m/>
    <m/>
    <m/>
    <m/>
    <m/>
    <m/>
    <m/>
    <m/>
    <m/>
    <m/>
    <m/>
    <m/>
    <m/>
    <m/>
    <m/>
    <m/>
    <m/>
    <m/>
    <m/>
    <m/>
    <m/>
    <m/>
    <n v="12"/>
    <n v="5.8000000000000003E-2"/>
    <m/>
    <m/>
    <m/>
    <m/>
    <m/>
    <m/>
    <m/>
    <m/>
    <m/>
    <m/>
    <m/>
    <m/>
    <m/>
    <m/>
    <m/>
    <m/>
    <m/>
    <m/>
    <m/>
    <m/>
    <m/>
    <m/>
    <m/>
    <m/>
    <m/>
    <m/>
    <m/>
    <m/>
    <n v="5.8000000000000003E-2"/>
    <s v="21/2/21"/>
    <s v="21"/>
    <s v="2"/>
    <s v="2021"/>
    <x v="23"/>
    <x v="23"/>
    <x v="3"/>
    <s v="Trapped, heavily parasitized"/>
    <n v="0.94747340425531923"/>
    <n v="1.9130726631985233"/>
    <n v="1.9315486275838698"/>
    <n v="4.3306438333607771"/>
    <n v="1.449036719907788"/>
    <n v="2.4040836489379211"/>
    <s v="T"/>
    <n v="3"/>
  </r>
  <r>
    <s v="PU-KSB-40"/>
    <x v="2"/>
    <s v="I"/>
    <s v="S"/>
    <s v="G"/>
    <n v="75"/>
    <n v="70"/>
    <n v="5.8860000000000001"/>
    <n v="0.14299999999999999"/>
    <n v="5.8999999999999997E-2"/>
    <s v="F22"/>
    <x v="0"/>
    <n v="22"/>
    <n v="0.26200000000000001"/>
    <n v="0.254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21/2/21"/>
    <s v="21"/>
    <s v="2"/>
    <s v="2021"/>
    <x v="23"/>
    <x v="23"/>
    <x v="3"/>
    <s v="Trapped, heavily parasitized"/>
    <n v="1.012527887420628"/>
    <n v="2.4899878112484761"/>
    <n v="2.5158339197748063"/>
    <n v="4.3153244988107371"/>
    <n v="0.13591573224600759"/>
    <n v="0.13591573224600759"/>
    <s v="T"/>
    <n v="3"/>
  </r>
  <r>
    <s v="PU-KSB-41"/>
    <x v="2"/>
    <s v="I"/>
    <s v="S"/>
    <s v="G"/>
    <n v="72"/>
    <n v="68"/>
    <n v="5.3250000000000002"/>
    <n v="0.114"/>
    <n v="6.0000000000000001E-3"/>
    <s v="M20"/>
    <x v="2"/>
    <n v="20"/>
    <n v="0.23100000000000001"/>
    <n v="0.22600000000000001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21/2/21"/>
    <s v="21"/>
    <s v="2"/>
    <s v="2021"/>
    <x v="23"/>
    <x v="23"/>
    <x v="3"/>
    <s v="Trapped, heavily parasitized"/>
    <n v="0.11280315848843769"/>
    <n v="2.1876799078871616"/>
    <n v="2.190201729106628"/>
    <n v="4.244131455399061"/>
    <n v="9.3896713615023553E-2"/>
    <n v="9.3896713615023553E-2"/>
    <s v="T"/>
    <n v="3"/>
  </r>
  <r>
    <s v="PU-KSB-42"/>
    <x v="2"/>
    <s v="I"/>
    <s v="S"/>
    <s v="G"/>
    <n v="71"/>
    <n v="62"/>
    <n v="5.03"/>
    <n v="8.7999999999999995E-2"/>
    <n v="5.1999999999999998E-2"/>
    <s v="F22"/>
    <x v="0"/>
    <n v="22"/>
    <n v="0.22800000000000001"/>
    <n v="0.19600000000000001"/>
    <s v="5 chiro: 0.013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n v="1.2999999999999999E-2"/>
    <m/>
    <m/>
    <m/>
    <m/>
    <m/>
    <m/>
    <m/>
    <m/>
    <m/>
    <m/>
    <m/>
    <m/>
    <m/>
    <m/>
    <m/>
    <m/>
    <m/>
    <m/>
    <m/>
    <m/>
    <m/>
    <m/>
    <m/>
    <m/>
    <n v="1.2999999999999999E-2"/>
    <s v="21/2/21"/>
    <s v="21"/>
    <s v="2"/>
    <s v="2021"/>
    <x v="23"/>
    <x v="23"/>
    <x v="3"/>
    <s v="Trapped, heavily parasitized"/>
    <n v="1.0445962233828845"/>
    <n v="1.780655605018211"/>
    <n v="1.7995910020449895"/>
    <n v="3.8966202783300199"/>
    <n v="0.63618290258449306"/>
    <n v="0.89463220675944333"/>
    <s v="T"/>
    <n v="3"/>
  </r>
  <r>
    <s v="PU-KSB-43"/>
    <x v="2"/>
    <s v="I"/>
    <s v="IMM"/>
    <s v="G"/>
    <n v="63"/>
    <n v="60"/>
    <n v="3.6509999999999998"/>
    <n v="6.6000000000000003E-2"/>
    <n v="4.2999999999999997E-2"/>
    <s v="F22"/>
    <x v="0"/>
    <n v="22"/>
    <n v="0.127"/>
    <n v="0.124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21/2/21"/>
    <s v="21"/>
    <s v="2"/>
    <s v="2021"/>
    <x v="23"/>
    <x v="23"/>
    <x v="3"/>
    <s v="Trapped, heavily parasitized"/>
    <n v="1.1917960088691797"/>
    <n v="1.8410041841004186"/>
    <n v="1.8633540372670807"/>
    <n v="3.3963297726650237"/>
    <n v="8.2169268693508699E-2"/>
    <n v="8.2169268693508699E-2"/>
    <s v="T"/>
    <n v="3"/>
  </r>
  <r>
    <s v="PU-KSB-44"/>
    <x v="2"/>
    <s v="I"/>
    <s v="IMM"/>
    <s v="G"/>
    <n v="62"/>
    <n v="59"/>
    <n v="3.2770000000000001"/>
    <n v="0.06"/>
    <n v="2E-3"/>
    <s v="M10"/>
    <x v="2"/>
    <n v="10"/>
    <n v="0.158"/>
    <n v="0.15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21/2/21"/>
    <s v="21"/>
    <s v="2"/>
    <s v="2021"/>
    <x v="23"/>
    <x v="23"/>
    <x v="3"/>
    <s v="Trapped, XTREME parasites"/>
    <n v="6.1068702290076327E-2"/>
    <n v="1.8650917003419334"/>
    <n v="1.8662519440124414"/>
    <n v="4.5773573390296001"/>
    <n v="0.24412572474824557"/>
    <n v="0.24412572474824557"/>
    <s v="T"/>
    <n v="4"/>
  </r>
  <r>
    <s v="PU-KSB-45"/>
    <x v="2"/>
    <s v="I"/>
    <s v="IMM"/>
    <s v="G"/>
    <n v="61"/>
    <n v="58"/>
    <n v="3.012"/>
    <n v="6.2E-2"/>
    <n v="2.8000000000000001E-2"/>
    <s v="F22"/>
    <x v="0"/>
    <n v="22"/>
    <n v="0.14699999999999999"/>
    <n v="9.6000000000000002E-2"/>
    <s v="~10 zoops: 0.003"/>
    <s v="F"/>
    <m/>
    <m/>
    <m/>
    <m/>
    <m/>
    <m/>
    <m/>
    <m/>
    <m/>
    <m/>
    <m/>
    <m/>
    <m/>
    <m/>
    <m/>
    <m/>
    <m/>
    <m/>
    <m/>
    <m/>
    <m/>
    <m/>
    <n v="10"/>
    <n v="3.0000000000000001E-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.0000000000000001E-3"/>
    <s v="21/2/21"/>
    <s v="21"/>
    <s v="2"/>
    <s v="2021"/>
    <x v="23"/>
    <x v="23"/>
    <x v="3"/>
    <s v="Trapped, heavily parasitized"/>
    <n v="0.93833780160857916"/>
    <n v="2.101694915254237"/>
    <n v="2.1218343600273784"/>
    <n v="3.1872509960159361"/>
    <n v="1.6932270916334657"/>
    <n v="1.7928286852589639"/>
    <s v="T"/>
    <n v="3"/>
  </r>
  <r>
    <s v="PU-KSB-46"/>
    <x v="2"/>
    <s v="S"/>
    <s v="IMM"/>
    <s v="N"/>
    <n v="58"/>
    <n v="54"/>
    <n v="2.887"/>
    <n v="5.8999999999999997E-2"/>
    <n v="2.7E-2"/>
    <s v="F22"/>
    <x v="0"/>
    <n v="22"/>
    <n v="0.17"/>
    <n v="0.123"/>
    <s v="14 chiro: 0.021; 4 damsel: 0.01"/>
    <s v="F"/>
    <m/>
    <m/>
    <m/>
    <m/>
    <m/>
    <m/>
    <m/>
    <m/>
    <m/>
    <m/>
    <m/>
    <m/>
    <m/>
    <m/>
    <m/>
    <m/>
    <m/>
    <m/>
    <m/>
    <m/>
    <m/>
    <m/>
    <m/>
    <m/>
    <m/>
    <m/>
    <n v="4"/>
    <n v="0.01"/>
    <m/>
    <m/>
    <n v="14"/>
    <n v="2.1000000000000001E-2"/>
    <m/>
    <m/>
    <m/>
    <m/>
    <m/>
    <m/>
    <m/>
    <m/>
    <m/>
    <m/>
    <m/>
    <m/>
    <m/>
    <m/>
    <m/>
    <m/>
    <m/>
    <m/>
    <m/>
    <m/>
    <m/>
    <m/>
    <m/>
    <m/>
    <n v="2.1999999999999999E-2"/>
    <s v="21/2/21"/>
    <s v="21"/>
    <s v="2"/>
    <s v="2021"/>
    <x v="23"/>
    <x v="23"/>
    <x v="3"/>
    <s v="Trapped, some parasites"/>
    <n v="0.94405594405594406"/>
    <n v="2.086280056577086"/>
    <n v="2.1063905747947165"/>
    <n v="4.2604780048493245"/>
    <n v="1.6279875303082791"/>
    <n v="2.3900242466227919"/>
    <s v="T"/>
    <n v="2"/>
  </r>
  <r>
    <s v="PU-KSB-47"/>
    <x v="2"/>
    <s v="S"/>
    <s v="IMM"/>
    <s v="N"/>
    <n v="58"/>
    <n v="55"/>
    <n v="2.6520000000000001"/>
    <n v="7.0999999999999994E-2"/>
    <n v="1E-3"/>
    <s v="M10"/>
    <x v="2"/>
    <n v="10"/>
    <n v="0.121"/>
    <n v="0.109"/>
    <s v="3 chiro: 0.005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5.0000000000000001E-3"/>
    <m/>
    <m/>
    <m/>
    <m/>
    <m/>
    <m/>
    <m/>
    <m/>
    <m/>
    <m/>
    <m/>
    <m/>
    <m/>
    <m/>
    <m/>
    <m/>
    <m/>
    <m/>
    <m/>
    <m/>
    <m/>
    <m/>
    <m/>
    <m/>
    <n v="5.0000000000000001E-3"/>
    <s v="21/2/21"/>
    <s v="21"/>
    <s v="2"/>
    <s v="2021"/>
    <x v="23"/>
    <x v="23"/>
    <x v="3"/>
    <s v="Trapped, heavily parasitized, gonads not kept"/>
    <n v="3.7721614485099961E-2"/>
    <n v="2.750871755133669"/>
    <n v="2.7519379844961236"/>
    <n v="4.1101055806938156"/>
    <n v="0.45248868778280532"/>
    <n v="0.64102564102564097"/>
    <s v="T"/>
    <n v="3"/>
  </r>
  <r>
    <s v="PU-KSB-48"/>
    <x v="2"/>
    <s v="I"/>
    <s v="IMM"/>
    <s v="G"/>
    <n v="61"/>
    <n v="59"/>
    <n v="3.3570000000000002"/>
    <n v="7.2999999999999995E-2"/>
    <n v="3.5000000000000003E-2"/>
    <s v="F22"/>
    <x v="0"/>
    <n v="22"/>
    <n v="0.185"/>
    <n v="0.14799999999999999"/>
    <s v="inverts: 0.018"/>
    <s v="F"/>
    <m/>
    <m/>
    <m/>
    <n v="1.7999999999999999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.7999999999999999E-2"/>
    <s v="21/2/21"/>
    <s v="21"/>
    <s v="2"/>
    <s v="2021"/>
    <x v="23"/>
    <x v="23"/>
    <x v="3"/>
    <s v="Trapped, some parasites"/>
    <n v="1.0535821794099942"/>
    <n v="2.2228989037758828"/>
    <n v="2.2468451831332716"/>
    <n v="4.4086982424784029"/>
    <n v="1.102174560619601"/>
    <n v="1.6383675901102175"/>
    <s v="T"/>
    <n v="2"/>
  </r>
  <r>
    <s v="PU-KSB-49"/>
    <x v="2"/>
    <s v="S"/>
    <s v="IMM"/>
    <s v="G"/>
    <n v="60"/>
    <n v="57"/>
    <n v="3.0569999999999999"/>
    <n v="5.6000000000000001E-2"/>
    <n v="0.04"/>
    <s v="F22"/>
    <x v="0"/>
    <n v="22"/>
    <n v="0.12"/>
    <n v="0.109"/>
    <s v="1 chiro: 0.002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2E-3"/>
    <m/>
    <m/>
    <m/>
    <m/>
    <m/>
    <m/>
    <m/>
    <m/>
    <m/>
    <m/>
    <m/>
    <m/>
    <m/>
    <m/>
    <m/>
    <m/>
    <m/>
    <m/>
    <m/>
    <m/>
    <m/>
    <m/>
    <m/>
    <m/>
    <n v="2E-3"/>
    <s v="21/2/21"/>
    <s v="21"/>
    <s v="2"/>
    <s v="2021"/>
    <x v="23"/>
    <x v="23"/>
    <x v="3"/>
    <s v="Trapped, some parasites"/>
    <n v="1.3258203513423932"/>
    <n v="1.8660446517827394"/>
    <n v="1.8912529550827426"/>
    <n v="3.5655871769708867"/>
    <n v="0.35982989859339209"/>
    <n v="0.42525351651946341"/>
    <s v="T"/>
    <n v="2"/>
  </r>
  <r>
    <s v="PU-KSB-50"/>
    <x v="2"/>
    <s v="S"/>
    <s v="IMM"/>
    <s v="N"/>
    <n v="46"/>
    <n v="44"/>
    <n v="1.252"/>
    <n v="2.4E-2"/>
    <n v="5.0000000000000001E-3"/>
    <s v="F10"/>
    <x v="0"/>
    <n v="10"/>
    <n v="5.8999999999999997E-2"/>
    <n v="4.9000000000000002E-2"/>
    <s v="Inverts: 0.003"/>
    <s v="F"/>
    <m/>
    <m/>
    <m/>
    <n v="3.0000000000000001E-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.0000000000000001E-3"/>
    <s v="21/2/21"/>
    <s v="21"/>
    <s v="2"/>
    <s v="2021"/>
    <x v="23"/>
    <x v="23"/>
    <x v="3"/>
    <s v="Trapped, some parasites"/>
    <n v="0.40096230954290296"/>
    <n v="1.954397394136808"/>
    <n v="1.9623875715453802"/>
    <n v="3.9137380191693292"/>
    <n v="0.79872204472843411"/>
    <n v="1.0383386581469645"/>
    <s v="T"/>
    <n v="2"/>
  </r>
  <r>
    <s v="PU-KSB-51"/>
    <x v="2"/>
    <s v="S"/>
    <s v="IMM"/>
    <s v="N"/>
    <n v="44"/>
    <n v="41"/>
    <n v="1.085"/>
    <n v="3.5000000000000003E-2"/>
    <n v="2E-3"/>
    <s v="M10"/>
    <x v="2"/>
    <n v="10"/>
    <n v="4.4999999999999998E-2"/>
    <n v="0.04"/>
    <s v="1 chiro: 0.001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E-3"/>
    <m/>
    <m/>
    <m/>
    <m/>
    <m/>
    <m/>
    <m/>
    <m/>
    <m/>
    <m/>
    <m/>
    <m/>
    <m/>
    <m/>
    <m/>
    <m/>
    <m/>
    <m/>
    <m/>
    <m/>
    <m/>
    <m/>
    <m/>
    <m/>
    <n v="1E-3"/>
    <s v="21/2/21"/>
    <s v="21"/>
    <s v="2"/>
    <s v="2021"/>
    <x v="23"/>
    <x v="23"/>
    <x v="3"/>
    <s v="Trapped, some parasites"/>
    <n v="0.18467220683287167"/>
    <n v="3.3333333333333335"/>
    <n v="3.3396946564885495"/>
    <n v="3.6866359447004609"/>
    <n v="0.46082949308755744"/>
    <n v="0.55299539170506895"/>
    <s v="T"/>
    <n v="2"/>
  </r>
  <r>
    <s v="PU-KSB-52"/>
    <x v="2"/>
    <s v="S"/>
    <s v="IMM"/>
    <s v="N"/>
    <n v="44"/>
    <n v="42"/>
    <n v="1.083"/>
    <n v="2.7E-2"/>
    <n v="2E-3"/>
    <s v="M10"/>
    <x v="2"/>
    <n v="10"/>
    <n v="5.6000000000000001E-2"/>
    <n v="4.1000000000000002E-2"/>
    <s v="2 chiro: 0.004; 1 damsel: 0.001"/>
    <s v="F"/>
    <m/>
    <m/>
    <m/>
    <m/>
    <m/>
    <m/>
    <m/>
    <m/>
    <m/>
    <m/>
    <m/>
    <m/>
    <m/>
    <m/>
    <m/>
    <m/>
    <m/>
    <m/>
    <m/>
    <m/>
    <m/>
    <m/>
    <m/>
    <m/>
    <m/>
    <m/>
    <n v="1"/>
    <n v="1E-3"/>
    <m/>
    <m/>
    <n v="2"/>
    <n v="4.0000000000000001E-3"/>
    <m/>
    <m/>
    <m/>
    <m/>
    <m/>
    <m/>
    <m/>
    <m/>
    <m/>
    <m/>
    <m/>
    <m/>
    <m/>
    <m/>
    <m/>
    <m/>
    <m/>
    <m/>
    <m/>
    <m/>
    <m/>
    <m/>
    <m/>
    <m/>
    <n v="5.0000000000000001E-3"/>
    <s v="21/2/21"/>
    <s v="21"/>
    <s v="2"/>
    <s v="2021"/>
    <x v="23"/>
    <x v="23"/>
    <x v="3"/>
    <s v="Trapped, some parasites, gonads not kept"/>
    <n v="0.18501387604070307"/>
    <n v="2.5568181818181817"/>
    <n v="2.5616698292220113"/>
    <n v="3.7857802400738696"/>
    <n v="1.3850415512465373"/>
    <n v="1.8467220683287167"/>
    <s v="T"/>
    <n v="2"/>
  </r>
  <r>
    <s v="PU-KSB-53"/>
    <x v="2"/>
    <s v="I"/>
    <s v="I"/>
    <s v="G"/>
    <n v="85"/>
    <n v="81"/>
    <n v="9.1440000000000001"/>
    <n v="0.16700000000000001"/>
    <n v="8.0000000000000002E-3"/>
    <s v="M22"/>
    <x v="2"/>
    <n v="22"/>
    <n v="0.38500000000000001"/>
    <n v="0.35699999999999998"/>
    <s v="6 chiro: 0.013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"/>
    <n v="1.2999999999999999E-2"/>
    <m/>
    <m/>
    <m/>
    <m/>
    <m/>
    <m/>
    <m/>
    <m/>
    <m/>
    <m/>
    <m/>
    <m/>
    <m/>
    <m/>
    <m/>
    <m/>
    <m/>
    <m/>
    <m/>
    <m/>
    <m/>
    <m/>
    <m/>
    <m/>
    <n v="1.2999999999999999E-2"/>
    <d v="2021-07-03T00:00:00"/>
    <n v="7"/>
    <n v="3"/>
    <n v="2021"/>
    <x v="24"/>
    <x v="24"/>
    <x v="4"/>
    <m/>
    <n v="8.7566000000000005E-2"/>
    <n v="1.8603099999999999"/>
    <n v="1.861969"/>
    <n v="4.0628200000000003"/>
    <n v="0.30621199999999998"/>
    <n v="0.44838145231846044"/>
    <s v="T"/>
    <n v="3"/>
  </r>
  <r>
    <s v="PU-KSB-54"/>
    <x v="2"/>
    <s v="I"/>
    <s v="IMM"/>
    <s v="G"/>
    <n v="62"/>
    <n v="59"/>
    <n v="3.1429999999999998"/>
    <n v="5.8000000000000003E-2"/>
    <n v="4.2000000000000003E-2"/>
    <s v="F22"/>
    <x v="0"/>
    <n v="22"/>
    <n v="0.11600000000000001"/>
    <n v="0.114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d v="2021-07-03T00:00:00"/>
    <n v="7"/>
    <n v="3"/>
    <n v="2021"/>
    <x v="24"/>
    <x v="24"/>
    <x v="4"/>
    <m/>
    <n v="1.3544020000000001"/>
    <n v="1.8800650000000001"/>
    <n v="1.9060140000000001"/>
    <n v="3.7636180000000001"/>
    <n v="6.3632999999999995E-2"/>
    <n v="6.3633471205854344E-2"/>
    <s v="T"/>
    <n v="3"/>
  </r>
  <r>
    <s v="PU-KSB-55"/>
    <x v="2"/>
    <s v="S"/>
    <s v="IMM"/>
    <s v="N"/>
    <n v="59"/>
    <n v="56"/>
    <n v="2.6190000000000002"/>
    <n v="5.6000000000000001E-2"/>
    <n v="2.9000000000000001E-2"/>
    <s v="F22"/>
    <x v="0"/>
    <n v="22"/>
    <n v="0.108"/>
    <n v="9.7000000000000003E-2"/>
    <s v="zoops: 0.001"/>
    <s v="F"/>
    <m/>
    <m/>
    <m/>
    <m/>
    <m/>
    <m/>
    <m/>
    <m/>
    <m/>
    <m/>
    <m/>
    <m/>
    <m/>
    <m/>
    <m/>
    <m/>
    <m/>
    <m/>
    <m/>
    <m/>
    <m/>
    <m/>
    <n v="1"/>
    <n v="1E-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E-3"/>
    <d v="2021-07-03T00:00:00"/>
    <n v="7"/>
    <n v="3"/>
    <n v="2021"/>
    <x v="24"/>
    <x v="24"/>
    <x v="4"/>
    <m/>
    <n v="1.119691"/>
    <n v="2.1849400000000001"/>
    <n v="2.2099449999999998"/>
    <n v="3.8461539999999999"/>
    <n v="0.42000799999999999"/>
    <n v="0.45819014891179827"/>
    <s v="T"/>
    <n v="2"/>
  </r>
  <r>
    <s v="PU-KSB-56"/>
    <x v="2"/>
    <s v="S"/>
    <s v="IMM"/>
    <s v="N"/>
    <n v="51"/>
    <n v="49"/>
    <n v="1.845"/>
    <n v="3.9E-2"/>
    <n v="2E-3"/>
    <s v="M10"/>
    <x v="2"/>
    <n v="10"/>
    <n v="6.7000000000000004E-2"/>
    <n v="6.3E-2"/>
    <s v="zoops: 0.001"/>
    <s v="F"/>
    <m/>
    <m/>
    <m/>
    <m/>
    <m/>
    <m/>
    <m/>
    <m/>
    <m/>
    <m/>
    <m/>
    <m/>
    <m/>
    <m/>
    <m/>
    <m/>
    <m/>
    <m/>
    <m/>
    <m/>
    <m/>
    <m/>
    <n v="1"/>
    <n v="1E-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E-3"/>
    <d v="2021-07-03T00:00:00"/>
    <n v="7"/>
    <n v="3"/>
    <n v="2021"/>
    <x v="24"/>
    <x v="24"/>
    <x v="4"/>
    <m/>
    <n v="0.108519"/>
    <n v="2.1594679999999999"/>
    <n v="2.1618629999999999"/>
    <n v="3.5353539999999999"/>
    <n v="0.21680199999999999"/>
    <n v="0.27100271002710047"/>
    <s v="T"/>
    <n v="3"/>
  </r>
  <r>
    <s v="PU-KSB-57"/>
    <x v="2"/>
    <s v="S"/>
    <s v="IMM"/>
    <s v="N"/>
    <n v="52"/>
    <n v="49"/>
    <n v="1.69"/>
    <n v="2.5999999999999999E-2"/>
    <n v="2E-3"/>
    <s v="M10"/>
    <x v="2"/>
    <n v="10"/>
    <n v="5.7000000000000002E-2"/>
    <n v="5.1999999999999998E-2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d v="2021-07-03T00:00:00"/>
    <n v="7"/>
    <n v="3"/>
    <n v="2021"/>
    <x v="24"/>
    <x v="24"/>
    <x v="4"/>
    <m/>
    <n v="0.118483"/>
    <n v="1.5625"/>
    <n v="1.5643800000000001"/>
    <n v="3.1746029999999998"/>
    <n v="0.29585800000000001"/>
    <n v="0.29585798816568071"/>
    <s v="T"/>
    <n v="3"/>
  </r>
  <r>
    <s v="PU-KSB-58"/>
    <x v="2"/>
    <s v="S"/>
    <s v="IMM"/>
    <s v="N"/>
    <n v="46"/>
    <n v="44"/>
    <n v="1.3580000000000001"/>
    <n v="2.1999999999999999E-2"/>
    <s v="&lt;0.001"/>
    <s v="M10"/>
    <x v="2"/>
    <n v="10"/>
    <n v="4.8000000000000001E-2"/>
    <n v="4.5999999999999999E-2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d v="2021-07-03T00:00:00"/>
    <n v="7"/>
    <n v="3"/>
    <n v="2021"/>
    <x v="24"/>
    <x v="24"/>
    <x v="4"/>
    <m/>
    <m/>
    <n v="1.6467069999999999"/>
    <m/>
    <n v="3.5060980000000002"/>
    <n v="0.14727499999999999"/>
    <n v="0.14727540500736389"/>
    <s v="T"/>
    <n v="2"/>
  </r>
  <r>
    <s v="PU-KSB-59"/>
    <x v="2"/>
    <s v="I"/>
    <s v="IMM"/>
    <s v="G"/>
    <n v="61"/>
    <n v="58"/>
    <n v="3.0960000000000001"/>
    <n v="0.05"/>
    <n v="4.0000000000000001E-3"/>
    <s v="M10"/>
    <x v="2"/>
    <n v="10"/>
    <n v="0.11600000000000001"/>
    <n v="0.105"/>
    <s v="zoops: 0.001"/>
    <s v="F"/>
    <m/>
    <m/>
    <m/>
    <m/>
    <m/>
    <m/>
    <m/>
    <m/>
    <m/>
    <m/>
    <m/>
    <m/>
    <m/>
    <m/>
    <m/>
    <m/>
    <m/>
    <m/>
    <m/>
    <m/>
    <m/>
    <m/>
    <n v="1"/>
    <n v="1E-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E-3"/>
    <d v="2021-08-03T00:00:00"/>
    <n v="8"/>
    <n v="3"/>
    <n v="2021"/>
    <x v="25"/>
    <x v="25"/>
    <x v="4"/>
    <m/>
    <n v="0.12936600000000001"/>
    <n v="1.641497"/>
    <n v="1.6436550000000001"/>
    <n v="3.510532"/>
    <n v="0.35529699999999997"/>
    <n v="0.38759689922480656"/>
    <s v="T"/>
    <n v="3"/>
  </r>
  <r>
    <s v="PU-KSB-60"/>
    <x v="2"/>
    <s v="S"/>
    <s v="IMM"/>
    <s v="G"/>
    <n v="60"/>
    <n v="57"/>
    <n v="2.93"/>
    <n v="5.7000000000000002E-2"/>
    <n v="3.4000000000000002E-2"/>
    <s v="F22"/>
    <x v="0"/>
    <n v="22"/>
    <n v="0.11"/>
    <n v="9.0999999999999998E-2"/>
    <s v="zoops: 0.003"/>
    <s v="F"/>
    <m/>
    <m/>
    <m/>
    <m/>
    <m/>
    <m/>
    <m/>
    <m/>
    <m/>
    <m/>
    <m/>
    <m/>
    <m/>
    <m/>
    <m/>
    <m/>
    <m/>
    <m/>
    <m/>
    <m/>
    <m/>
    <m/>
    <n v="1"/>
    <n v="3.0000000000000001E-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.0000000000000001E-3"/>
    <d v="2021-08-03T00:00:00"/>
    <n v="8"/>
    <n v="3"/>
    <n v="2021"/>
    <x v="25"/>
    <x v="25"/>
    <x v="4"/>
    <m/>
    <n v="1.1740330000000001"/>
    <n v="1.983989"/>
    <n v="2.007749"/>
    <n v="3.2053539999999998"/>
    <n v="0.64846400000000004"/>
    <n v="0.75085324232081918"/>
    <s v="T"/>
    <n v="3"/>
  </r>
  <r>
    <s v="PU-KSB-61"/>
    <x v="2"/>
    <s v="I"/>
    <s v="IMM"/>
    <s v="G"/>
    <n v="61"/>
    <n v="58"/>
    <n v="3.0139999999999998"/>
    <n v="7.0999999999999994E-2"/>
    <n v="4.0000000000000001E-3"/>
    <s v="M20"/>
    <x v="2"/>
    <n v="20"/>
    <n v="0.122"/>
    <n v="0.115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d v="2021-08-03T00:00:00"/>
    <n v="8"/>
    <n v="3"/>
    <n v="2021"/>
    <x v="25"/>
    <x v="25"/>
    <x v="4"/>
    <m/>
    <n v="0.13289000000000001"/>
    <n v="2.4125040000000002"/>
    <n v="2.415788"/>
    <n v="3.966885"/>
    <n v="0.23225000000000001"/>
    <n v="0.23224950232249481"/>
    <s v="T"/>
    <n v="2"/>
  </r>
  <r>
    <s v="PU-KSB-62"/>
    <x v="2"/>
    <s v="S"/>
    <s v="IMM"/>
    <s v="N"/>
    <n v="56"/>
    <n v="54"/>
    <n v="2.5499999999999998"/>
    <n v="4.2000000000000003E-2"/>
    <n v="3.0000000000000001E-3"/>
    <s v="M10"/>
    <x v="2"/>
    <n v="10"/>
    <n v="0.107"/>
    <n v="0.1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d v="2021-08-03T00:00:00"/>
    <n v="8"/>
    <n v="3"/>
    <n v="2021"/>
    <x v="25"/>
    <x v="25"/>
    <x v="4"/>
    <m/>
    <n v="0.117786"/>
    <n v="1.674641"/>
    <n v="1.676647"/>
    <n v="4.0816330000000001"/>
    <n v="0.27450999999999998"/>
    <n v="0.27450980392156832"/>
    <s v="T"/>
    <n v="3"/>
  </r>
  <r>
    <s v="PU-KSB-63"/>
    <x v="2"/>
    <s v="S"/>
    <s v="IMM"/>
    <s v="N"/>
    <n v="58"/>
    <n v="55"/>
    <n v="2.5089999999999999"/>
    <n v="4.1000000000000002E-2"/>
    <n v="2E-3"/>
    <s v="M10"/>
    <x v="2"/>
    <n v="10"/>
    <n v="0.11"/>
    <n v="8.5999999999999993E-2"/>
    <s v="1 damsel: 0.012"/>
    <s v="F"/>
    <m/>
    <m/>
    <m/>
    <m/>
    <m/>
    <m/>
    <m/>
    <m/>
    <m/>
    <m/>
    <m/>
    <m/>
    <m/>
    <m/>
    <m/>
    <m/>
    <m/>
    <m/>
    <m/>
    <m/>
    <m/>
    <m/>
    <m/>
    <m/>
    <m/>
    <m/>
    <n v="1"/>
    <n v="1.2E-2"/>
    <m/>
    <m/>
    <m/>
    <m/>
    <m/>
    <m/>
    <m/>
    <m/>
    <m/>
    <m/>
    <m/>
    <m/>
    <m/>
    <m/>
    <m/>
    <m/>
    <m/>
    <m/>
    <m/>
    <m/>
    <m/>
    <m/>
    <m/>
    <m/>
    <m/>
    <m/>
    <m/>
    <m/>
    <n v="1.2E-2"/>
    <d v="2021-08-03T00:00:00"/>
    <n v="8"/>
    <n v="3"/>
    <n v="2021"/>
    <x v="25"/>
    <x v="25"/>
    <x v="4"/>
    <m/>
    <n v="7.9777000000000001E-2"/>
    <n v="1.6612640000000001"/>
    <n v="1.662612"/>
    <n v="3.5493190000000001"/>
    <n v="0.95655599999999996"/>
    <n v="1.4348345954563575"/>
    <s v="T"/>
    <n v="3"/>
  </r>
  <r>
    <s v="PU-KSB-64"/>
    <x v="2"/>
    <s v="S"/>
    <s v="IMM"/>
    <s v="N"/>
    <n v="52"/>
    <n v="49"/>
    <n v="1.915"/>
    <n v="3.4000000000000002E-2"/>
    <n v="1.7999999999999999E-2"/>
    <s v="F20"/>
    <x v="0"/>
    <n v="20"/>
    <n v="7.0000000000000007E-2"/>
    <n v="6.6000000000000003E-2"/>
    <s v="zoops &lt;0.001"/>
    <s v="F"/>
    <m/>
    <m/>
    <m/>
    <m/>
    <m/>
    <m/>
    <m/>
    <m/>
    <m/>
    <m/>
    <m/>
    <m/>
    <m/>
    <m/>
    <m/>
    <m/>
    <m/>
    <m/>
    <m/>
    <m/>
    <m/>
    <m/>
    <n v="1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d v="2021-08-03T00:00:00"/>
    <n v="8"/>
    <n v="3"/>
    <n v="2021"/>
    <x v="25"/>
    <x v="25"/>
    <x v="4"/>
    <m/>
    <n v="0.94886700000000002"/>
    <n v="1.8075490000000001"/>
    <n v="1.825013"/>
    <n v="3.5694970000000001"/>
    <n v="0.20887700000000001"/>
    <n v="0.20887728459530042"/>
    <s v="T"/>
    <n v="2"/>
  </r>
  <r>
    <s v="PU-KSB-65"/>
    <x v="2"/>
    <s v="S"/>
    <s v="IMM"/>
    <s v="N"/>
    <n v="49"/>
    <n v="46"/>
    <n v="1.673"/>
    <n v="4.9000000000000002E-2"/>
    <n v="1E-3"/>
    <s v="M10"/>
    <x v="2"/>
    <n v="10"/>
    <n v="7.0000000000000007E-2"/>
    <n v="5.8000000000000003E-2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d v="2021-08-03T00:00:00"/>
    <n v="8"/>
    <n v="3"/>
    <n v="2021"/>
    <x v="25"/>
    <x v="25"/>
    <x v="4"/>
    <m/>
    <n v="5.9809000000000001E-2"/>
    <n v="3.0172409999999998"/>
    <n v="3.0190999999999999"/>
    <n v="3.5913309999999998"/>
    <n v="0.71727399999999997"/>
    <n v="0.71727435744172163"/>
    <s v="T"/>
    <n v="2"/>
  </r>
  <r>
    <s v="PU-KSB-66"/>
    <x v="2"/>
    <s v="I"/>
    <s v="S"/>
    <s v="G"/>
    <n v="72"/>
    <n v="68"/>
    <n v="4.9589999999999996"/>
    <n v="7.6999999999999999E-2"/>
    <n v="5.6000000000000001E-2"/>
    <s v="F22"/>
    <x v="0"/>
    <n v="22"/>
    <n v="0.156"/>
    <n v="0.152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18/3/2021"/>
    <s v="18"/>
    <s v="3"/>
    <s v="2021"/>
    <x v="26"/>
    <x v="26"/>
    <x v="5"/>
    <m/>
    <n v="1.142157862533143"/>
    <n v="1.5772224498156493"/>
    <n v="1.5955242436800663E-2"/>
    <n v="3.1620553359683798"/>
    <n v="8.066142367412793E-2"/>
    <n v="8.066142367412793E-2"/>
    <s v="T"/>
    <n v="2"/>
  </r>
  <r>
    <s v="PU-KSB-67"/>
    <x v="2"/>
    <s v="I"/>
    <s v="S"/>
    <s v="G"/>
    <n v="67"/>
    <n v="62"/>
    <n v="4.4169999999999998"/>
    <n v="8.5999999999999993E-2"/>
    <n v="4.0000000000000001E-3"/>
    <s v="M20"/>
    <x v="2"/>
    <n v="20"/>
    <n v="0.189"/>
    <n v="0.16900000000000001"/>
    <s v="zoops: 0.01"/>
    <s v="F"/>
    <m/>
    <m/>
    <m/>
    <m/>
    <m/>
    <m/>
    <m/>
    <m/>
    <m/>
    <m/>
    <m/>
    <m/>
    <m/>
    <m/>
    <m/>
    <m/>
    <m/>
    <m/>
    <m/>
    <m/>
    <m/>
    <m/>
    <m/>
    <n v="0.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01"/>
    <s v="18/3/2021"/>
    <s v="18"/>
    <s v="3"/>
    <s v="2021"/>
    <x v="26"/>
    <x v="26"/>
    <x v="5"/>
    <m/>
    <n v="9.0641287106276905E-2"/>
    <n v="1.9856845993996768"/>
    <n v="1.9875202218627222E-2"/>
    <n v="3.9783427495291903"/>
    <n v="0.45279601539506431"/>
    <n v="0.67919402309259669"/>
    <s v="T"/>
    <n v="3"/>
  </r>
  <r>
    <s v="PU-KSB-68"/>
    <x v="2"/>
    <s v="I"/>
    <s v="S"/>
    <s v="G"/>
    <n v="67"/>
    <n v="64"/>
    <n v="4.29"/>
    <n v="7.8E-2"/>
    <n v="4.9000000000000002E-2"/>
    <s v="F22"/>
    <x v="0"/>
    <n v="22"/>
    <n v="0.21299999999999999"/>
    <n v="0.19"/>
    <s v="1 swimming mayfly larv: 0.012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.2E-2"/>
    <m/>
    <m/>
    <m/>
    <m/>
    <m/>
    <m/>
    <m/>
    <m/>
    <m/>
    <m/>
    <m/>
    <m/>
    <m/>
    <m/>
    <m/>
    <m/>
    <n v="1.2E-2"/>
    <s v="18/3/2021"/>
    <s v="18"/>
    <s v="3"/>
    <s v="2021"/>
    <x v="26"/>
    <x v="26"/>
    <x v="5"/>
    <m/>
    <n v="1.1553878802169302"/>
    <n v="1.8518518518518521"/>
    <n v="1.8736488109536396E-2"/>
    <n v="4.6341463414634152"/>
    <n v="0.53613053613053596"/>
    <n v="0.81585081585081565"/>
    <s v="T"/>
    <n v="2"/>
  </r>
  <r>
    <s v="PU-KSB-69"/>
    <x v="2"/>
    <s v="I"/>
    <s v="IMM"/>
    <s v="G"/>
    <n v="63"/>
    <n v="59"/>
    <n v="3.3570000000000002"/>
    <n v="5.5E-2"/>
    <n v="0.04"/>
    <s v="F22"/>
    <x v="0"/>
    <n v="22"/>
    <n v="0.182"/>
    <n v="0.115"/>
    <s v="9 chiro: 0.026; 2 mayfly: 0.008; 1 swimming mayfly larva: 0.005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9"/>
    <n v="2.5999999999999999E-2"/>
    <m/>
    <m/>
    <m/>
    <m/>
    <m/>
    <m/>
    <n v="3"/>
    <n v="1.2999999999999999E-2"/>
    <m/>
    <m/>
    <m/>
    <m/>
    <m/>
    <m/>
    <m/>
    <m/>
    <m/>
    <m/>
    <m/>
    <m/>
    <m/>
    <m/>
    <m/>
    <m/>
    <n v="4.1000000000000002E-2"/>
    <s v="18/3/2021"/>
    <s v="18"/>
    <s v="3"/>
    <s v="2021"/>
    <x v="26"/>
    <x v="26"/>
    <x v="5"/>
    <m/>
    <n v="1.2059089538739824"/>
    <n v="1.6656571774682012"/>
    <n v="1.6860821581851624E-2"/>
    <n v="3.5471930906847624"/>
    <n v="1.9958296097706281"/>
    <n v="3.2171581769436992"/>
    <s v="T"/>
    <n v="2"/>
  </r>
  <r>
    <s v="PU-KSB-70"/>
    <x v="2"/>
    <s v="I"/>
    <s v="IMM"/>
    <s v="G"/>
    <n v="64"/>
    <n v="59"/>
    <n v="3.5649999999999999"/>
    <n v="8.6999999999999994E-2"/>
    <n v="3.5999999999999997E-2"/>
    <s v="F22"/>
    <x v="0"/>
    <n v="22"/>
    <n v="0.121"/>
    <n v="0.11899999999999999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18/3/2021"/>
    <s v="18"/>
    <s v="3"/>
    <s v="2021"/>
    <x v="26"/>
    <x v="26"/>
    <x v="5"/>
    <m/>
    <n v="1.0201190138849532"/>
    <n v="2.5014376078205869"/>
    <n v="2.52760023242301E-2"/>
    <n v="3.453279164248404"/>
    <n v="5.6100981767180973E-2"/>
    <n v="5.6100981767180973E-2"/>
    <s v="T"/>
    <n v="3"/>
  </r>
  <r>
    <s v="PU-KSB-71"/>
    <x v="2"/>
    <s v="S"/>
    <s v="IMM"/>
    <s v="G"/>
    <n v="60"/>
    <n v="57"/>
    <n v="2.99"/>
    <n v="5.6000000000000001E-2"/>
    <n v="4.4999999999999998E-2"/>
    <s v="F22"/>
    <x v="0"/>
    <n v="22"/>
    <n v="0.11899999999999999"/>
    <n v="0.114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18/3/2021"/>
    <s v="18"/>
    <s v="3"/>
    <s v="2021"/>
    <x v="26"/>
    <x v="26"/>
    <x v="5"/>
    <m/>
    <n v="1.5280135823429539"/>
    <n v="1.9086571233810496"/>
    <n v="1.9383869851159568E-2"/>
    <n v="3.9638386648122386"/>
    <n v="0.16722408026755819"/>
    <n v="0.16722408026755819"/>
    <s v="T"/>
    <n v="2"/>
  </r>
  <r>
    <s v="PU-KSB-72"/>
    <x v="2"/>
    <s v="S"/>
    <s v="IMM"/>
    <s v="N"/>
    <n v="57"/>
    <n v="53"/>
    <n v="2.4159999999999999"/>
    <n v="3.5999999999999997E-2"/>
    <n v="3.1E-2"/>
    <s v="F22"/>
    <x v="0"/>
    <n v="22"/>
    <n v="0.105"/>
    <n v="8.5000000000000006E-2"/>
    <s v="1 mayfly: 0.008; 2 chiro: 0.002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2E-3"/>
    <m/>
    <m/>
    <m/>
    <m/>
    <m/>
    <m/>
    <n v="1"/>
    <n v="8.0000000000000002E-3"/>
    <m/>
    <m/>
    <m/>
    <m/>
    <m/>
    <m/>
    <m/>
    <m/>
    <m/>
    <m/>
    <m/>
    <m/>
    <m/>
    <m/>
    <m/>
    <m/>
    <n v="0.01"/>
    <s v="18/3/2021"/>
    <s v="18"/>
    <s v="3"/>
    <s v="2021"/>
    <x v="26"/>
    <x v="26"/>
    <x v="5"/>
    <m/>
    <n v="1.2997903563941302"/>
    <n v="1.5126050420168067"/>
    <n v="1.5325670498084292E-2"/>
    <n v="3.6465036465036467"/>
    <n v="0.82781456953642341"/>
    <n v="1.2417218543046356"/>
    <s v="T"/>
    <n v="2"/>
  </r>
  <r>
    <s v="PU-KSB-73"/>
    <x v="2"/>
    <s v="S"/>
    <s v="IMM"/>
    <s v="N"/>
    <n v="57"/>
    <n v="54"/>
    <n v="2.496"/>
    <n v="5.3999999999999999E-2"/>
    <n v="4.0000000000000001E-3"/>
    <s v="M20"/>
    <x v="2"/>
    <n v="20"/>
    <n v="0.13400000000000001"/>
    <n v="0.12"/>
    <s v="1 damsel: 0.003"/>
    <s v="F"/>
    <m/>
    <m/>
    <m/>
    <m/>
    <m/>
    <m/>
    <m/>
    <m/>
    <m/>
    <m/>
    <m/>
    <m/>
    <m/>
    <m/>
    <m/>
    <m/>
    <m/>
    <m/>
    <m/>
    <m/>
    <m/>
    <m/>
    <m/>
    <m/>
    <m/>
    <m/>
    <n v="1"/>
    <n v="3.0000000000000001E-3"/>
    <m/>
    <m/>
    <m/>
    <m/>
    <m/>
    <m/>
    <m/>
    <m/>
    <m/>
    <m/>
    <m/>
    <m/>
    <m/>
    <m/>
    <m/>
    <m/>
    <m/>
    <m/>
    <m/>
    <m/>
    <m/>
    <m/>
    <m/>
    <m/>
    <m/>
    <m/>
    <m/>
    <m/>
    <n v="3.0000000000000001E-3"/>
    <s v="19/03/2021"/>
    <s v="19"/>
    <s v="03"/>
    <s v="2021"/>
    <x v="27"/>
    <x v="27"/>
    <x v="5"/>
    <m/>
    <n v="0.16051364365971107"/>
    <n v="2.2113022113022112"/>
    <n v="2.2149302707136997E-2"/>
    <n v="5.0505050505050502"/>
    <n v="0.56089743589743646"/>
    <n v="0.68108974358974406"/>
    <s v="T"/>
    <n v="3"/>
  </r>
  <r>
    <s v="PU-KSB-74"/>
    <x v="2"/>
    <s v="S"/>
    <s v="IMM"/>
    <s v="N"/>
    <n v="52"/>
    <n v="50"/>
    <n v="1.9970000000000001"/>
    <n v="3.7999999999999999E-2"/>
    <n v="2.3E-2"/>
    <s v="F22"/>
    <x v="0"/>
    <n v="22"/>
    <n v="8.8999999999999996E-2"/>
    <n v="8.2000000000000003E-2"/>
    <s v="zoops: 0.001"/>
    <s v="F"/>
    <m/>
    <m/>
    <m/>
    <m/>
    <m/>
    <m/>
    <m/>
    <m/>
    <m/>
    <m/>
    <m/>
    <m/>
    <m/>
    <m/>
    <m/>
    <m/>
    <m/>
    <m/>
    <m/>
    <m/>
    <m/>
    <m/>
    <m/>
    <n v="1E-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E-3"/>
    <s v="19/03/2021"/>
    <s v="19"/>
    <s v="03"/>
    <s v="2021"/>
    <x v="27"/>
    <x v="27"/>
    <x v="5"/>
    <m/>
    <n v="1.1651469098277607"/>
    <n v="1.9397651863195506"/>
    <n v="1.9628099173553716E-2"/>
    <n v="4.2819843342036554"/>
    <n v="0.35052578868302414"/>
    <n v="0.40060090135202764"/>
    <s v="T"/>
    <n v="3"/>
  </r>
  <r>
    <s v="PU-KSB-75"/>
    <x v="2"/>
    <s v="I"/>
    <s v="S"/>
    <s v="G"/>
    <n v="83"/>
    <n v="78"/>
    <n v="8.9789999999999992"/>
    <n v="0.152"/>
    <n v="0.02"/>
    <s v="M22"/>
    <x v="2"/>
    <n v="22"/>
    <n v="0.51300000000000001"/>
    <n v="0.45400000000000001"/>
    <s v="2 mayfly: 0.014; 2 damsel: 0.026"/>
    <s v="F"/>
    <m/>
    <m/>
    <m/>
    <m/>
    <m/>
    <m/>
    <m/>
    <m/>
    <m/>
    <m/>
    <m/>
    <m/>
    <m/>
    <m/>
    <m/>
    <m/>
    <m/>
    <m/>
    <m/>
    <m/>
    <m/>
    <m/>
    <m/>
    <m/>
    <m/>
    <m/>
    <n v="2"/>
    <n v="2.5999999999999999E-2"/>
    <m/>
    <m/>
    <m/>
    <m/>
    <m/>
    <m/>
    <m/>
    <m/>
    <m/>
    <m/>
    <n v="2"/>
    <n v="1.4E-2"/>
    <m/>
    <m/>
    <m/>
    <m/>
    <m/>
    <m/>
    <m/>
    <m/>
    <m/>
    <m/>
    <m/>
    <m/>
    <m/>
    <m/>
    <m/>
    <m/>
    <n v="0.04"/>
    <d v="2021-07-04T00:00:00"/>
    <n v="7"/>
    <n v="4"/>
    <n v="2021"/>
    <x v="28"/>
    <x v="28"/>
    <x v="6"/>
    <m/>
    <n v="0.22323920080366114"/>
    <n v="1.7219893508553303"/>
    <n v="1.7258998523901441E-2"/>
    <n v="5.3255131964809399"/>
    <n v="0.65708876266844862"/>
    <n v="1.1025726695623124"/>
    <s v="T"/>
    <n v="3"/>
  </r>
  <r>
    <s v="PU-KSB-76"/>
    <x v="2"/>
    <s v="I"/>
    <s v="S"/>
    <s v="G"/>
    <n v="68"/>
    <n v="64"/>
    <n v="4.4859999999999998"/>
    <n v="7.9000000000000001E-2"/>
    <n v="8.9999999999999993E-3"/>
    <s v="M22"/>
    <x v="2"/>
    <n v="22"/>
    <n v="0.23599999999999999"/>
    <n v="0.17499999999999999"/>
    <s v="3 damsel: 0.041; 2 scud: 0.005"/>
    <s v="F"/>
    <m/>
    <m/>
    <m/>
    <m/>
    <m/>
    <m/>
    <m/>
    <m/>
    <m/>
    <m/>
    <m/>
    <m/>
    <m/>
    <m/>
    <n v="2"/>
    <n v="5.0000000000000001E-3"/>
    <m/>
    <m/>
    <m/>
    <m/>
    <m/>
    <m/>
    <m/>
    <m/>
    <m/>
    <m/>
    <n v="3"/>
    <n v="4.1000000000000002E-2"/>
    <m/>
    <m/>
    <m/>
    <m/>
    <m/>
    <m/>
    <m/>
    <m/>
    <m/>
    <m/>
    <m/>
    <m/>
    <m/>
    <m/>
    <m/>
    <m/>
    <m/>
    <m/>
    <m/>
    <m/>
    <m/>
    <m/>
    <m/>
    <m/>
    <m/>
    <m/>
    <m/>
    <m/>
    <n v="4.5999999999999999E-2"/>
    <d v="2021-09-04T00:00:00"/>
    <n v="9"/>
    <n v="4"/>
    <n v="2021"/>
    <x v="29"/>
    <x v="29"/>
    <x v="6"/>
    <m/>
    <n v="0.20102747375474647"/>
    <n v="1.7926026775584298"/>
    <n v="1.7962710322874036E-2"/>
    <n v="4.0593829737879839"/>
    <n v="1.3597860008916629"/>
    <n v="2.3851983950066877"/>
    <s v="T"/>
    <n v="3"/>
  </r>
  <r>
    <s v="PU-KSB-77"/>
    <x v="2"/>
    <s v="I"/>
    <s v="S"/>
    <s v="G"/>
    <n v="66"/>
    <n v="62"/>
    <n v="4.0510000000000002"/>
    <n v="7.0999999999999994E-2"/>
    <n v="5.0999999999999997E-2"/>
    <s v="F22"/>
    <x v="0"/>
    <n v="22"/>
    <n v="0.19500000000000001"/>
    <n v="0.182"/>
    <s v="1 invert: 0.007"/>
    <s v="F"/>
    <m/>
    <m/>
    <n v="1"/>
    <n v="7.0000000000000001E-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.0000000000000001E-3"/>
    <d v="2021-09-04T00:00:00"/>
    <n v="9"/>
    <n v="4"/>
    <n v="2021"/>
    <x v="29"/>
    <x v="29"/>
    <x v="6"/>
    <m/>
    <n v="1.2749999999999999"/>
    <n v="1.7839195979899496"/>
    <n v="1.8070755917536267E-2"/>
    <n v="4.7040578960971819"/>
    <n v="0.32090841767464851"/>
    <n v="0.49370525796099751"/>
    <s v="T"/>
    <n v="2"/>
  </r>
  <r>
    <s v="PU-KSB-78"/>
    <x v="2"/>
    <s v="I"/>
    <s v="IMM"/>
    <s v="G"/>
    <n v="64"/>
    <n v="61"/>
    <n v="3.6869999999999998"/>
    <n v="5.5E-2"/>
    <n v="0.04"/>
    <s v="F23"/>
    <x v="0"/>
    <n v="23"/>
    <n v="0.185"/>
    <n v="0.13400000000000001"/>
    <s v="2 chiro: 0.015; 2 soldier: 0.009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1.4999999999999999E-2"/>
    <m/>
    <m/>
    <n v="2"/>
    <n v="8.9999999999999993E-3"/>
    <m/>
    <m/>
    <m/>
    <m/>
    <m/>
    <m/>
    <m/>
    <m/>
    <m/>
    <m/>
    <m/>
    <m/>
    <m/>
    <m/>
    <m/>
    <m/>
    <m/>
    <m/>
    <m/>
    <m/>
    <n v="2.4E-2"/>
    <d v="2021-09-04T00:00:00"/>
    <n v="9"/>
    <n v="4"/>
    <n v="2021"/>
    <x v="29"/>
    <x v="29"/>
    <x v="6"/>
    <m/>
    <n v="1.0967918837400603"/>
    <n v="1.5143171806167401"/>
    <n v="1.5311804008908688E-2"/>
    <n v="3.7714607374050102"/>
    <n v="1.3832384052074855"/>
    <n v="2.0341741253051255"/>
    <s v="T"/>
    <n v="1"/>
  </r>
  <r>
    <s v="PU-KSB-79"/>
    <x v="2"/>
    <s v="I"/>
    <s v="S"/>
    <s v="G"/>
    <n v="65"/>
    <n v="61"/>
    <n v="3.4689999999999999"/>
    <n v="6.3E-2"/>
    <n v="4.1000000000000002E-2"/>
    <s v="F22"/>
    <x v="0"/>
    <n v="22"/>
    <n v="0.16600000000000001"/>
    <n v="0.158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1-09-04T00:00:00"/>
    <n v="9"/>
    <n v="4"/>
    <n v="2021"/>
    <x v="29"/>
    <x v="29"/>
    <x v="6"/>
    <m/>
    <n v="1.1960326721120189"/>
    <n v="1.8496770405167353"/>
    <n v="1.8722139673105501E-2"/>
    <n v="4.7719722138326794"/>
    <n v="0.23061400980109564"/>
    <n v="0.23061400980109564"/>
    <s v="T"/>
    <n v="2"/>
  </r>
  <r>
    <s v="PU-KSB-80"/>
    <x v="2"/>
    <s v="S"/>
    <s v="IMM"/>
    <s v="G"/>
    <n v="60"/>
    <n v="57"/>
    <n v="3.1869999999999998"/>
    <n v="5.0999999999999997E-2"/>
    <n v="3.4000000000000002E-2"/>
    <s v="F22"/>
    <x v="0"/>
    <n v="22"/>
    <n v="0.192"/>
    <n v="0.14000000000000001"/>
    <s v="~100 zoops: 0.012"/>
    <s v="F"/>
    <m/>
    <m/>
    <m/>
    <m/>
    <m/>
    <m/>
    <m/>
    <m/>
    <m/>
    <m/>
    <m/>
    <m/>
    <m/>
    <m/>
    <m/>
    <m/>
    <m/>
    <m/>
    <m/>
    <m/>
    <m/>
    <m/>
    <n v="100"/>
    <n v="1.2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.2E-2"/>
    <d v="2021-09-04T00:00:00"/>
    <n v="9"/>
    <n v="4"/>
    <n v="2021"/>
    <x v="29"/>
    <x v="29"/>
    <x v="6"/>
    <m/>
    <n v="1.0783380907072628"/>
    <n v="1.6262755102040818"/>
    <n v="1.6441005802707929E-2"/>
    <n v="4.5946832950443062"/>
    <n v="1.631628490743646"/>
    <n v="2.008158142453718"/>
    <s v="T"/>
    <n v="3"/>
  </r>
  <r>
    <s v="PU-KSB-81"/>
    <x v="2"/>
    <s v="I"/>
    <s v="IMM"/>
    <s v="G"/>
    <n v="63"/>
    <n v="59"/>
    <n v="3.6"/>
    <n v="6.7000000000000004E-2"/>
    <n v="4.0000000000000001E-3"/>
    <s v="M10"/>
    <x v="2"/>
    <n v="10"/>
    <n v="0.221"/>
    <n v="0.20499999999999999"/>
    <s v="inverts: 0.009"/>
    <s v="F"/>
    <m/>
    <m/>
    <m/>
    <n v="8.9999999999999993E-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.9999999999999993E-3"/>
    <d v="2021-09-04T00:00:00"/>
    <n v="9"/>
    <n v="4"/>
    <n v="2021"/>
    <x v="29"/>
    <x v="29"/>
    <x v="6"/>
    <m/>
    <n v="0.11123470522803114"/>
    <n v="1.8964053212567227"/>
    <n v="1.8985548313969966E-2"/>
    <n v="6.0382916053019136"/>
    <n v="0.44444444444444481"/>
    <n v="0.69444444444444486"/>
    <s v="T"/>
    <n v="3"/>
  </r>
  <r>
    <s v="PU-KSB-82"/>
    <x v="2"/>
    <s v="S"/>
    <s v="IMM"/>
    <s v="G"/>
    <n v="60"/>
    <n v="56"/>
    <n v="2.952"/>
    <n v="3.7999999999999999E-2"/>
    <n v="4.0000000000000001E-3"/>
    <s v="M20"/>
    <x v="2"/>
    <n v="20"/>
    <n v="0.20100000000000001"/>
    <n v="0.16"/>
    <s v="~200 zoops: 0.027"/>
    <s v="F"/>
    <m/>
    <m/>
    <m/>
    <m/>
    <m/>
    <m/>
    <m/>
    <m/>
    <m/>
    <m/>
    <m/>
    <m/>
    <m/>
    <m/>
    <m/>
    <m/>
    <m/>
    <m/>
    <m/>
    <m/>
    <m/>
    <m/>
    <n v="200"/>
    <n v="2.7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.7E-2"/>
    <d v="2021-09-04T00:00:00"/>
    <n v="9"/>
    <n v="4"/>
    <n v="2021"/>
    <x v="29"/>
    <x v="29"/>
    <x v="6"/>
    <m/>
    <n v="0.135685210312076"/>
    <n v="1.3040494166094714"/>
    <n v="1.3058419243986253E-2"/>
    <n v="5.7306590257879657"/>
    <n v="1.3888888888888891"/>
    <n v="2.3035230352303522"/>
    <s v="T"/>
    <n v="3"/>
  </r>
  <r>
    <s v="PU-KSB-83"/>
    <x v="2"/>
    <s v="S"/>
    <s v="IMM"/>
    <s v="G"/>
    <n v="60"/>
    <n v="56"/>
    <n v="2.8969999999999998"/>
    <n v="0.05"/>
    <n v="5.0000000000000001E-3"/>
    <s v="M20"/>
    <x v="2"/>
    <n v="20"/>
    <n v="0.14299999999999999"/>
    <n v="0.115"/>
    <s v="3 chiro: 0.017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1.7000000000000001E-2"/>
    <m/>
    <m/>
    <m/>
    <m/>
    <m/>
    <m/>
    <m/>
    <m/>
    <m/>
    <m/>
    <m/>
    <m/>
    <m/>
    <m/>
    <m/>
    <m/>
    <m/>
    <m/>
    <m/>
    <m/>
    <m/>
    <m/>
    <m/>
    <m/>
    <n v="1.7000000000000001E-2"/>
    <d v="2021-09-04T00:00:00"/>
    <n v="9"/>
    <n v="4"/>
    <n v="2021"/>
    <x v="29"/>
    <x v="29"/>
    <x v="6"/>
    <m/>
    <n v="0.17289073305670818"/>
    <n v="1.7562346329469618"/>
    <n v="1.7593244194229415E-2"/>
    <n v="4.1337167505391816"/>
    <n v="0.96651708664135272"/>
    <n v="1.5533310321021743"/>
    <s v="T"/>
    <n v="2"/>
  </r>
  <r>
    <s v="PU-KSB-84"/>
    <x v="2"/>
    <s v="B"/>
    <s v="B"/>
    <s v="N"/>
    <n v="171"/>
    <n v="163"/>
    <n v="112.40300000000001"/>
    <n v="1.68"/>
    <n v="0.53800000000000003"/>
    <s v="M30"/>
    <x v="2"/>
    <n v="30"/>
    <n v="7.4850000000000003"/>
    <n v="5.968"/>
    <s v="11 caddis: 0.667; 4 mayfly: 0.064; 1 odo: 0.283; 8 chiro: 0.11; 5 snail: 0.115; veg: 0.034"/>
    <s v="F"/>
    <m/>
    <m/>
    <m/>
    <m/>
    <m/>
    <m/>
    <m/>
    <m/>
    <m/>
    <m/>
    <m/>
    <m/>
    <m/>
    <m/>
    <m/>
    <m/>
    <m/>
    <m/>
    <n v="5"/>
    <n v="0.115"/>
    <m/>
    <m/>
    <m/>
    <m/>
    <n v="1"/>
    <n v="0.28299999999999997"/>
    <m/>
    <m/>
    <m/>
    <m/>
    <n v="8"/>
    <n v="0.11"/>
    <m/>
    <m/>
    <m/>
    <m/>
    <n v="11"/>
    <n v="0.66700000000000004"/>
    <n v="4"/>
    <n v="6.4000000000000001E-2"/>
    <m/>
    <m/>
    <m/>
    <m/>
    <m/>
    <m/>
    <m/>
    <m/>
    <m/>
    <m/>
    <m/>
    <m/>
    <m/>
    <m/>
    <n v="1"/>
    <n v="3.4000000000000002E-2"/>
    <n v="1.2730000000000001"/>
    <s v="19/4/2021"/>
    <s v="19"/>
    <s v="4"/>
    <s v="2021"/>
    <x v="10"/>
    <x v="10"/>
    <x v="7"/>
    <m/>
    <n v="0.48093684351673893"/>
    <n v="1.5172999286507771"/>
    <n v="1.5247084448881426E-2"/>
    <n v="5.607178089914032"/>
    <n v="1.3496081065451992"/>
    <n v="2.48214015640152"/>
    <s v="A"/>
    <n v="2"/>
  </r>
  <r>
    <s v="PU-KSB-85"/>
    <x v="2"/>
    <s v="B"/>
    <s v="B"/>
    <s v="N"/>
    <n v="185"/>
    <n v="175"/>
    <n v="125.44799999999999"/>
    <n v="1.93"/>
    <n v="0.68400000000000005"/>
    <s v="M30"/>
    <x v="2"/>
    <n v="30"/>
    <n v="5.9409999999999998"/>
    <n v="5.5730000000000004"/>
    <s v="~35 chiro: 0.193; 1 mussel: 0.016"/>
    <s v="F"/>
    <m/>
    <m/>
    <m/>
    <m/>
    <m/>
    <m/>
    <m/>
    <m/>
    <m/>
    <m/>
    <m/>
    <m/>
    <m/>
    <m/>
    <m/>
    <m/>
    <n v="1"/>
    <n v="1.6E-2"/>
    <m/>
    <m/>
    <m/>
    <m/>
    <m/>
    <m/>
    <m/>
    <m/>
    <m/>
    <m/>
    <m/>
    <m/>
    <n v="35"/>
    <n v="0.193"/>
    <m/>
    <m/>
    <m/>
    <m/>
    <m/>
    <m/>
    <m/>
    <m/>
    <m/>
    <m/>
    <m/>
    <m/>
    <m/>
    <m/>
    <m/>
    <m/>
    <m/>
    <m/>
    <m/>
    <m/>
    <m/>
    <m/>
    <m/>
    <m/>
    <n v="0.20900000000000002"/>
    <s v="19/4/2021"/>
    <s v="19"/>
    <s v="4"/>
    <s v="2021"/>
    <x v="10"/>
    <x v="10"/>
    <x v="7"/>
    <m/>
    <n v="0.54823506780802156"/>
    <n v="1.5625252999562818"/>
    <n v="1.5712262077275021E-2"/>
    <n v="4.6490093847758081"/>
    <n v="0.29334863847968834"/>
    <n v="0.45995153370320735"/>
    <s v="A"/>
    <n v="2"/>
  </r>
  <r>
    <s v="PU-KSB-86"/>
    <x v="2"/>
    <s v="B"/>
    <s v="B"/>
    <s v="N"/>
    <n v="185"/>
    <n v="177"/>
    <n v="136.023"/>
    <n v="1.9159999999999999"/>
    <n v="0.70499999999999996"/>
    <s v="M30"/>
    <x v="2"/>
    <n v="30"/>
    <n v="6.274"/>
    <n v="5.8769999999999998"/>
    <s v="inverts: 0.258"/>
    <s v="F"/>
    <m/>
    <m/>
    <m/>
    <n v="0.25800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25800000000000001"/>
    <s v="19/4/2021"/>
    <s v="19"/>
    <s v="4"/>
    <s v="2021"/>
    <x v="10"/>
    <x v="10"/>
    <x v="7"/>
    <m/>
    <n v="0.52099498958010027"/>
    <n v="1.4287099107429142"/>
    <n v="1.436260325932145E-2"/>
    <n v="4.5156977548291923"/>
    <n v="0.29186240562257876"/>
    <n v="0.48153621078788161"/>
    <s v="A"/>
    <n v="3"/>
  </r>
  <r>
    <s v="PU-KSB-87"/>
    <x v="2"/>
    <s v="B"/>
    <s v="B"/>
    <s v="N"/>
    <n v="161"/>
    <n v="153"/>
    <n v="90.927999999999997"/>
    <n v="1.2290000000000001"/>
    <n v="0.39"/>
    <s v="M30"/>
    <x v="2"/>
    <n v="30"/>
    <n v="5.5810000000000004"/>
    <n v="4.4390000000000001"/>
    <s v="inverts: 1.005"/>
    <s v="F"/>
    <m/>
    <m/>
    <m/>
    <n v="1.0049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.0049999999999999"/>
    <s v="19/4/2021"/>
    <s v="19"/>
    <s v="4"/>
    <s v="2021"/>
    <x v="10"/>
    <x v="10"/>
    <x v="7"/>
    <m/>
    <n v="0.43075835560759018"/>
    <n v="1.3701379056622707"/>
    <n v="1.3761211076151341E-2"/>
    <n v="5.1324445883291512"/>
    <n v="1.2559387647369351"/>
    <n v="2.361208868555341"/>
    <s v="A"/>
    <n v="2"/>
  </r>
  <r>
    <s v="PU-KSB-88"/>
    <x v="2"/>
    <s v="B"/>
    <s v="B"/>
    <s v="N"/>
    <n v="181"/>
    <n v="174"/>
    <n v="128.78700000000001"/>
    <n v="2.1259999999999999"/>
    <n v="0.77700000000000002"/>
    <s v="M30"/>
    <x v="2"/>
    <n v="30"/>
    <n v="7.1820000000000004"/>
    <n v="6.0019999999999998"/>
    <s v="4 mussel: 0.066; 3 caddis: 0.12; 6 odo: 0.51; 2 snail: 0.038; inverts:0.137; 1 mayfly: 0.022"/>
    <s v="F"/>
    <m/>
    <m/>
    <m/>
    <n v="0.13700000000000001"/>
    <m/>
    <m/>
    <m/>
    <m/>
    <m/>
    <m/>
    <m/>
    <m/>
    <m/>
    <m/>
    <m/>
    <m/>
    <n v="4"/>
    <n v="6.6000000000000003E-2"/>
    <n v="2"/>
    <n v="3.7999999999999999E-2"/>
    <m/>
    <m/>
    <m/>
    <m/>
    <n v="6"/>
    <n v="0.51"/>
    <m/>
    <m/>
    <m/>
    <m/>
    <m/>
    <m/>
    <m/>
    <m/>
    <m/>
    <m/>
    <n v="3"/>
    <n v="0.12"/>
    <n v="1"/>
    <n v="2.1999999999999999E-2"/>
    <m/>
    <m/>
    <m/>
    <m/>
    <m/>
    <m/>
    <m/>
    <m/>
    <m/>
    <m/>
    <m/>
    <m/>
    <m/>
    <m/>
    <m/>
    <m/>
    <n v="0.89300000000000002"/>
    <s v="19/4/2021"/>
    <s v="19"/>
    <s v="4"/>
    <s v="2021"/>
    <x v="10"/>
    <x v="10"/>
    <x v="7"/>
    <m/>
    <n v="0.60698382938832895"/>
    <n v="1.6784961432485135"/>
    <n v="1.6888564074862569E-2"/>
    <n v="4.8882192450217854"/>
    <n v="0.91624154611878572"/>
    <n v="1.6096345128002052"/>
    <s v="A"/>
    <n v="3"/>
  </r>
  <r>
    <s v="PU-KSB-89"/>
    <x v="2"/>
    <s v="B"/>
    <s v="B"/>
    <s v="N"/>
    <n v="163"/>
    <n v="156"/>
    <n v="95.649000000000001"/>
    <n v="1.4710000000000001"/>
    <n v="0.46"/>
    <s v="M30"/>
    <x v="2"/>
    <n v="30"/>
    <n v="5.859"/>
    <n v="4.601"/>
    <s v="12 caddis: 0.817; 3 mites: 0.05; 1 mayfly: 0.017; 2 odo: 0.153"/>
    <s v="F"/>
    <m/>
    <m/>
    <m/>
    <m/>
    <m/>
    <m/>
    <m/>
    <m/>
    <m/>
    <m/>
    <m/>
    <m/>
    <m/>
    <m/>
    <m/>
    <m/>
    <m/>
    <m/>
    <m/>
    <m/>
    <n v="3"/>
    <n v="0.05"/>
    <m/>
    <m/>
    <n v="2"/>
    <n v="0.153"/>
    <m/>
    <m/>
    <m/>
    <m/>
    <m/>
    <m/>
    <m/>
    <m/>
    <m/>
    <m/>
    <n v="12"/>
    <n v="0.81699999999999995"/>
    <n v="1"/>
    <n v="1.7000000000000001E-2"/>
    <m/>
    <m/>
    <m/>
    <m/>
    <m/>
    <m/>
    <m/>
    <m/>
    <m/>
    <m/>
    <m/>
    <m/>
    <m/>
    <m/>
    <m/>
    <m/>
    <n v="1.0369999999999999"/>
    <s v="19/4/2021"/>
    <s v="19"/>
    <s v="4"/>
    <s v="2021"/>
    <x v="10"/>
    <x v="10"/>
    <x v="7"/>
    <m/>
    <n v="0.48324911491874056"/>
    <n v="1.5619359085986113"/>
    <n v="1.569602424294159E-2"/>
    <n v="5.0533784377471225"/>
    <n v="1.3152254597538917"/>
    <n v="2.3993977981996673"/>
    <s v="A"/>
    <n v="3"/>
  </r>
  <r>
    <s v="PU-KSB-90"/>
    <x v="2"/>
    <s v="I"/>
    <s v="B"/>
    <s v="N"/>
    <n v="148"/>
    <n v="141"/>
    <n v="65.072999999999993"/>
    <n v="0.99099999999999999"/>
    <n v="1"/>
    <s v="F30"/>
    <x v="0"/>
    <n v="30"/>
    <n v="4.431"/>
    <n v="3.5"/>
    <s v="inverts: 0.481; 2 odonate: 0.292"/>
    <s v="F"/>
    <m/>
    <m/>
    <m/>
    <n v="0.48099999999999998"/>
    <m/>
    <m/>
    <m/>
    <m/>
    <m/>
    <m/>
    <m/>
    <m/>
    <m/>
    <m/>
    <m/>
    <m/>
    <m/>
    <m/>
    <m/>
    <m/>
    <m/>
    <m/>
    <m/>
    <m/>
    <n v="2"/>
    <n v="0.29199999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77299999999999991"/>
    <s v="19/4/2021"/>
    <s v="19"/>
    <s v="4"/>
    <s v="2021"/>
    <x v="10"/>
    <x v="10"/>
    <x v="7"/>
    <m/>
    <n v="1.5607198039735928"/>
    <n v="1.5464561031178805"/>
    <n v="1.5709711169588792E-2"/>
    <n v="5.684309681191432"/>
    <n v="1.4307009051373074"/>
    <n v="2.618597575031119"/>
    <s v="A"/>
    <n v="3"/>
  </r>
  <r>
    <s v="PU-KSB-91"/>
    <x v="2"/>
    <s v="B"/>
    <s v="B"/>
    <s v="N"/>
    <n v="162"/>
    <n v="155"/>
    <n v="93.001000000000005"/>
    <n v="2.395"/>
    <n v="1.7330000000000001"/>
    <s v="F30"/>
    <x v="0"/>
    <n v="30"/>
    <n v="6.9939999999999998"/>
    <n v="5.5919999999999996"/>
    <s v="4 odo: 0.812; 43 mayfly: 0.422"/>
    <s v="F"/>
    <m/>
    <m/>
    <m/>
    <m/>
    <m/>
    <m/>
    <m/>
    <m/>
    <m/>
    <m/>
    <m/>
    <m/>
    <m/>
    <m/>
    <m/>
    <m/>
    <m/>
    <m/>
    <m/>
    <m/>
    <m/>
    <m/>
    <m/>
    <m/>
    <n v="4"/>
    <n v="0.81200000000000006"/>
    <m/>
    <m/>
    <m/>
    <m/>
    <m/>
    <m/>
    <m/>
    <m/>
    <m/>
    <m/>
    <m/>
    <m/>
    <n v="43"/>
    <n v="0.42199999999999999"/>
    <m/>
    <m/>
    <m/>
    <m/>
    <m/>
    <m/>
    <m/>
    <m/>
    <m/>
    <m/>
    <m/>
    <m/>
    <m/>
    <m/>
    <m/>
    <m/>
    <n v="1.2330000000000001"/>
    <s v="19/4/2021"/>
    <s v="19"/>
    <s v="4"/>
    <s v="2021"/>
    <x v="10"/>
    <x v="10"/>
    <x v="7"/>
    <m/>
    <n v="1.8988035236884779"/>
    <n v="2.643312804891508"/>
    <n v="2.6948567056361325E-2"/>
    <n v="6.3975105538331283"/>
    <n v="1.5075106719282589"/>
    <n v="2.8333028677111001"/>
    <s v="A"/>
    <n v="3"/>
  </r>
  <r>
    <s v="PU-KSB-92"/>
    <x v="2"/>
    <s v="I"/>
    <s v="B"/>
    <s v="N"/>
    <n v="134"/>
    <n v="128"/>
    <n v="49.01"/>
    <n v="1.339"/>
    <n v="7.282"/>
    <s v="F30"/>
    <x v="0"/>
    <n v="30"/>
    <n v="1.9339999999999999"/>
    <n v="1.7589999999999999"/>
    <s v="~23 chiro: 0.119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3"/>
    <n v="0.11899999999999999"/>
    <m/>
    <m/>
    <m/>
    <m/>
    <m/>
    <m/>
    <m/>
    <m/>
    <m/>
    <m/>
    <m/>
    <m/>
    <m/>
    <m/>
    <m/>
    <m/>
    <m/>
    <m/>
    <m/>
    <m/>
    <m/>
    <m/>
    <m/>
    <m/>
    <n v="0.11899999999999999"/>
    <s v="19/5/2021"/>
    <s v="19"/>
    <s v="5"/>
    <s v="2021"/>
    <x v="30"/>
    <x v="30"/>
    <x v="9"/>
    <m/>
    <n v="17.451111963190186"/>
    <n v="2.8088355604035997"/>
    <n v="3.3152591052019113E-2"/>
    <n v="3.7226725360309834"/>
    <n v="0.35706998571720067"/>
    <n v="0.599877576004897"/>
    <s v="A"/>
    <n v="2"/>
  </r>
  <r>
    <s v="PU-KSB-93"/>
    <x v="2"/>
    <s v="I"/>
    <s v="B"/>
    <s v="N"/>
    <n v="132"/>
    <n v="128"/>
    <n v="50.62"/>
    <n v="1.341"/>
    <n v="3.702"/>
    <s v="F30"/>
    <x v="0"/>
    <n v="30"/>
    <n v="4.1379999999999999"/>
    <n v="2.7250000000000001"/>
    <s v="~45 chiro: 0.434; 1 mayfly: 0.016; 5 odo: 0.664"/>
    <s v="F"/>
    <m/>
    <m/>
    <m/>
    <m/>
    <m/>
    <m/>
    <m/>
    <m/>
    <m/>
    <m/>
    <m/>
    <m/>
    <m/>
    <m/>
    <m/>
    <m/>
    <m/>
    <m/>
    <m/>
    <m/>
    <m/>
    <m/>
    <m/>
    <m/>
    <n v="5"/>
    <n v="0.66400000000000003"/>
    <m/>
    <m/>
    <m/>
    <m/>
    <n v="45"/>
    <n v="0.434"/>
    <m/>
    <m/>
    <m/>
    <m/>
    <m/>
    <m/>
    <n v="1"/>
    <n v="1.6E-2"/>
    <m/>
    <m/>
    <m/>
    <m/>
    <m/>
    <m/>
    <m/>
    <m/>
    <m/>
    <m/>
    <m/>
    <m/>
    <m/>
    <m/>
    <m/>
    <m/>
    <n v="1.1140000000000001"/>
    <s v="19/5/2021"/>
    <s v="19"/>
    <s v="5"/>
    <s v="2021"/>
    <x v="30"/>
    <x v="30"/>
    <x v="9"/>
    <m/>
    <n v="7.8903619080097185"/>
    <n v="2.721240284908379"/>
    <n v="2.9422735151501855E-2"/>
    <n v="5.6895291784111084"/>
    <n v="2.7913868036349267"/>
    <n v="4.992097984986172"/>
    <s v="A"/>
    <n v="2"/>
  </r>
  <r>
    <s v="PU-KSB-94"/>
    <x v="2"/>
    <s v="I"/>
    <s v="B"/>
    <s v="N"/>
    <n v="111"/>
    <n v="107"/>
    <n v="25.954999999999998"/>
    <n v="0.33300000000000002"/>
    <n v="0.23400000000000001"/>
    <s v="M30"/>
    <x v="2"/>
    <n v="30"/>
    <n v="1.8149999999999999"/>
    <n v="1.4339999999999999"/>
    <s v="2 odo: 0.276; 5 chiro: 0.035"/>
    <s v="F"/>
    <m/>
    <m/>
    <m/>
    <m/>
    <m/>
    <m/>
    <m/>
    <m/>
    <m/>
    <m/>
    <m/>
    <m/>
    <m/>
    <m/>
    <m/>
    <m/>
    <m/>
    <m/>
    <m/>
    <m/>
    <m/>
    <m/>
    <m/>
    <m/>
    <n v="2"/>
    <n v="0.27600000000000002"/>
    <m/>
    <m/>
    <m/>
    <m/>
    <n v="5"/>
    <n v="3.5000000000000003E-2"/>
    <m/>
    <m/>
    <m/>
    <m/>
    <m/>
    <m/>
    <m/>
    <m/>
    <m/>
    <m/>
    <m/>
    <m/>
    <m/>
    <m/>
    <m/>
    <m/>
    <m/>
    <m/>
    <m/>
    <m/>
    <m/>
    <m/>
    <m/>
    <m/>
    <n v="0.31100000000000005"/>
    <s v="19/5/2021"/>
    <s v="19"/>
    <s v="5"/>
    <s v="2021"/>
    <x v="30"/>
    <x v="30"/>
    <x v="9"/>
    <m/>
    <n v="0.90976245091559449"/>
    <n v="1.2996643509484038"/>
    <n v="1.3116432960453759E-2"/>
    <n v="5.8480486113943151"/>
    <n v="1.4679252552494704"/>
    <n v="2.6661529570410329"/>
    <s v="A"/>
    <n v="2"/>
  </r>
  <r>
    <s v="PU-KSB-95"/>
    <x v="2"/>
    <s v="I"/>
    <s v="B"/>
    <s v="N"/>
    <n v="118"/>
    <n v="113"/>
    <n v="33.094000000000001"/>
    <n v="0.93200000000000005"/>
    <n v="2.3879999999999999"/>
    <s v="F30"/>
    <x v="0"/>
    <n v="30"/>
    <n v="2.121"/>
    <n v="1.3480000000000001"/>
    <s v="~20 mussels: 0.099; 1 damsel: 0.01; ~30 chiro: 0.494"/>
    <s v="F"/>
    <m/>
    <m/>
    <m/>
    <m/>
    <m/>
    <m/>
    <m/>
    <m/>
    <m/>
    <m/>
    <m/>
    <m/>
    <m/>
    <m/>
    <m/>
    <m/>
    <n v="20"/>
    <n v="9.9000000000000005E-2"/>
    <m/>
    <m/>
    <m/>
    <m/>
    <m/>
    <m/>
    <m/>
    <m/>
    <n v="1"/>
    <n v="0.01"/>
    <m/>
    <m/>
    <n v="30"/>
    <n v="0.49399999999999999"/>
    <m/>
    <m/>
    <m/>
    <m/>
    <m/>
    <m/>
    <m/>
    <m/>
    <m/>
    <m/>
    <m/>
    <m/>
    <m/>
    <m/>
    <m/>
    <m/>
    <m/>
    <m/>
    <m/>
    <m/>
    <m/>
    <m/>
    <m/>
    <m/>
    <n v="0.60299999999999998"/>
    <s v="19/5/2021"/>
    <s v="19"/>
    <s v="5"/>
    <s v="2021"/>
    <x v="30"/>
    <x v="30"/>
    <x v="9"/>
    <m/>
    <n v="7.7769816973881314"/>
    <n v="2.8978297369566572"/>
    <n v="3.130247867266743E-2"/>
    <n v="4.2462042462042469"/>
    <n v="2.3357708345923727"/>
    <n v="4.157853387320964"/>
    <s v="A"/>
    <n v="2"/>
  </r>
  <r>
    <s v="PU-KSB-96"/>
    <x v="2"/>
    <s v="I"/>
    <s v="B"/>
    <s v="N"/>
    <n v="126"/>
    <n v="121"/>
    <n v="37.726999999999997"/>
    <n v="0.624"/>
    <n v="0.48"/>
    <s v="M30"/>
    <x v="2"/>
    <n v="30"/>
    <n v="2.46"/>
    <n v="2.2549999999999999"/>
    <s v="3 odo: 0.024; 1 scud: 0.003; 5 mussels: 0.026; ~10 inverts: 0.049"/>
    <s v="F"/>
    <m/>
    <m/>
    <n v="10"/>
    <n v="4.9000000000000002E-2"/>
    <m/>
    <m/>
    <m/>
    <m/>
    <m/>
    <m/>
    <m/>
    <m/>
    <m/>
    <m/>
    <n v="1"/>
    <n v="3.0000000000000001E-3"/>
    <n v="5"/>
    <n v="2.5999999999999999E-2"/>
    <m/>
    <m/>
    <m/>
    <m/>
    <m/>
    <m/>
    <n v="3"/>
    <n v="2.4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10200000000000001"/>
    <s v="19/5/2021"/>
    <s v="19"/>
    <s v="5"/>
    <s v="2021"/>
    <x v="30"/>
    <x v="30"/>
    <x v="9"/>
    <m/>
    <n v="1.288694391494617"/>
    <n v="1.6818047058189365"/>
    <n v="1.7038473090680722E-2"/>
    <n v="6.3571267478574649"/>
    <n v="0.54337742200546058"/>
    <n v="0.81374082222281152"/>
    <s v="A"/>
    <n v="2"/>
  </r>
  <r>
    <s v="PU-KSB-97"/>
    <x v="2"/>
    <s v="B"/>
    <s v="B"/>
    <s v="N"/>
    <n v="150"/>
    <n v="142"/>
    <n v="70.671999999999997"/>
    <n v="1.359"/>
    <n v="6.1660000000000004"/>
    <s v="F30"/>
    <x v="0"/>
    <n v="30"/>
    <n v="2.6"/>
    <n v="2.395"/>
    <s v="~4 arthropod: 0.12"/>
    <s v="F"/>
    <m/>
    <m/>
    <n v="4"/>
    <n v="0.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12"/>
    <s v="20/5/2021"/>
    <s v="20"/>
    <s v="5"/>
    <s v="2021"/>
    <x v="31"/>
    <x v="31"/>
    <x v="9"/>
    <m/>
    <n v="9.5588007317148804"/>
    <n v="1.9606711583685599"/>
    <n v="2.1521212409140573E-2"/>
    <n v="3.5077698199979497"/>
    <n v="0.29007244736246335"/>
    <n v="0.45987095313561255"/>
    <s v="T"/>
    <n v="2"/>
  </r>
  <r>
    <s v="PU-KSB-98"/>
    <x v="2"/>
    <s v="I"/>
    <s v="B"/>
    <s v="N"/>
    <n v="128"/>
    <n v="121"/>
    <n v="42.750999999999998"/>
    <n v="0.95899999999999996"/>
    <n v="4.5019999999999998"/>
    <s v="F30"/>
    <x v="0"/>
    <n v="30"/>
    <n v="1.492"/>
    <n v="1.347"/>
    <s v="1 odo: 0.042; 1 caddis: 0.019"/>
    <s v="F"/>
    <m/>
    <m/>
    <m/>
    <m/>
    <m/>
    <m/>
    <m/>
    <m/>
    <m/>
    <m/>
    <m/>
    <m/>
    <m/>
    <m/>
    <m/>
    <m/>
    <m/>
    <m/>
    <m/>
    <m/>
    <m/>
    <m/>
    <m/>
    <m/>
    <n v="1"/>
    <n v="4.2000000000000003E-2"/>
    <m/>
    <m/>
    <m/>
    <m/>
    <m/>
    <m/>
    <m/>
    <m/>
    <m/>
    <m/>
    <n v="1"/>
    <n v="1.9E-2"/>
    <m/>
    <m/>
    <m/>
    <m/>
    <m/>
    <m/>
    <m/>
    <m/>
    <m/>
    <m/>
    <m/>
    <m/>
    <m/>
    <m/>
    <m/>
    <m/>
    <m/>
    <m/>
    <n v="6.0999999999999999E-2"/>
    <s v="20/5/2021"/>
    <s v="20"/>
    <s v="5"/>
    <s v="2021"/>
    <x v="31"/>
    <x v="31"/>
    <x v="9"/>
    <m/>
    <n v="11.770242359277368"/>
    <n v="2.2946975497702913"/>
    <n v="2.5717350496111561E-2"/>
    <n v="3.2533088590474351"/>
    <n v="0.339173352670113"/>
    <n v="0.4818600734485744"/>
    <s v="T"/>
    <n v="2"/>
  </r>
  <r>
    <s v="PU-KSB-99"/>
    <x v="2"/>
    <s v="I"/>
    <s v="B"/>
    <s v="N"/>
    <n v="116"/>
    <n v="110"/>
    <n v="29.872"/>
    <n v="0.35799999999999998"/>
    <n v="0.28799999999999998"/>
    <s v="M30"/>
    <x v="2"/>
    <n v="30"/>
    <n v="1.123"/>
    <n v="1.087"/>
    <s v="1 chiro: 0.004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4.0000000000000001E-3"/>
    <m/>
    <m/>
    <m/>
    <m/>
    <m/>
    <m/>
    <m/>
    <m/>
    <m/>
    <m/>
    <m/>
    <m/>
    <m/>
    <m/>
    <m/>
    <m/>
    <m/>
    <m/>
    <m/>
    <m/>
    <m/>
    <m/>
    <m/>
    <m/>
    <n v="4.0000000000000001E-3"/>
    <s v="20/5/2021"/>
    <s v="20"/>
    <s v="5"/>
    <s v="2021"/>
    <x v="31"/>
    <x v="31"/>
    <x v="9"/>
    <m/>
    <n v="0.97349918875067587"/>
    <n v="1.2129836687673647"/>
    <n v="1.2249367001984535E-2"/>
    <n v="3.7762723640785132"/>
    <n v="0.12051419389394762"/>
    <n v="0.13390465988216402"/>
    <s v="T"/>
    <n v="2"/>
  </r>
  <r>
    <s v="PU-KSB-100"/>
    <x v="2"/>
    <s v="I"/>
    <s v="B"/>
    <s v="N"/>
    <n v="120"/>
    <n v="114"/>
    <n v="36.953000000000003"/>
    <n v="0.81499999999999995"/>
    <n v="3.5049999999999999"/>
    <s v="F30"/>
    <x v="0"/>
    <n v="30"/>
    <n v="1.163"/>
    <n v="1.093"/>
    <s v="goo: 0.027 (MT)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0/5/2021"/>
    <s v="20"/>
    <s v="5"/>
    <s v="2021"/>
    <x v="31"/>
    <x v="31"/>
    <x v="9"/>
    <m/>
    <n v="10.478952403731165"/>
    <n v="2.2552437877026947"/>
    <n v="2.4974718842889095E-2"/>
    <n v="3.0479643056330175"/>
    <n v="0.18942981625307839"/>
    <n v="0.18942981625307839"/>
    <s v="T"/>
    <n v="2"/>
  </r>
  <r>
    <s v="PU-KSB-101"/>
    <x v="2"/>
    <s v="I"/>
    <s v="B"/>
    <s v="N"/>
    <n v="133"/>
    <n v="125"/>
    <n v="50.41"/>
    <n v="0.752"/>
    <n v="1.272"/>
    <s v="F30"/>
    <x v="0"/>
    <n v="30"/>
    <n v="2.0649999999999999"/>
    <n v="1.923"/>
    <s v="~5 inverts: 0.110"/>
    <s v="F"/>
    <m/>
    <m/>
    <n v="5"/>
    <n v="0.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11"/>
    <d v="2021-07-06T00:00:00"/>
    <n v="7"/>
    <n v="6"/>
    <n v="2021"/>
    <x v="32"/>
    <x v="32"/>
    <x v="10"/>
    <m/>
    <n v="2.5886279457853392"/>
    <n v="1.5143582101574773"/>
    <n v="1.554168561154053E-2"/>
    <n v="3.9660115082393226"/>
    <n v="0.28169014084507027"/>
    <n v="0.4999008133306882"/>
    <s v="T"/>
    <n v="3"/>
  </r>
  <r>
    <s v="PU-KSB-102"/>
    <x v="2"/>
    <s v="I"/>
    <s v="I"/>
    <s v="G"/>
    <n v="92"/>
    <n v="88"/>
    <n v="15.297000000000001"/>
    <n v="0.23100000000000001"/>
    <n v="1.4530000000000001"/>
    <s v="F30"/>
    <x v="0"/>
    <n v="30"/>
    <n v="0.54400000000000004"/>
    <n v="0.51"/>
    <s v="1 pupa: 0.013"/>
    <s v="F"/>
    <m/>
    <m/>
    <n v="1"/>
    <n v="1.2999999999999999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.2999999999999999E-2"/>
    <d v="2021-07-06T00:00:00"/>
    <n v="7"/>
    <n v="6"/>
    <n v="2021"/>
    <x v="32"/>
    <x v="32"/>
    <x v="10"/>
    <m/>
    <n v="10.495521525570643"/>
    <n v="1.5332536837913182"/>
    <n v="1.6969073679570998E-2"/>
    <n v="3.4489754514100226"/>
    <n v="0.22226580375236993"/>
    <n v="0.30724978754004073"/>
    <s v="T"/>
    <n v="2"/>
  </r>
  <r>
    <s v="PU-KSB-103"/>
    <x v="2"/>
    <s v="I"/>
    <s v="I"/>
    <s v="G"/>
    <n v="108"/>
    <n v="103"/>
    <n v="23.236999999999998"/>
    <n v="0.252"/>
    <n v="9.0999999999999998E-2"/>
    <s v="M40"/>
    <x v="2"/>
    <n v="40"/>
    <n v="1.2929999999999999"/>
    <n v="1.2769999999999999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1-07-06T00:00:00"/>
    <n v="7"/>
    <n v="6"/>
    <n v="2021"/>
    <x v="32"/>
    <x v="32"/>
    <x v="10"/>
    <m/>
    <n v="0.39315648492180078"/>
    <n v="1.0963671959973897"/>
    <n v="1.1007250808071984E-2"/>
    <n v="5.8151183970856106"/>
    <n v="6.8855704264750253E-2"/>
    <n v="6.8855704264750253E-2"/>
    <s v="T"/>
    <n v="2"/>
  </r>
  <r>
    <s v="PU-KSB-104"/>
    <x v="2"/>
    <s v="I"/>
    <s v="I"/>
    <s v="G"/>
    <n v="107"/>
    <n v="102"/>
    <n v="22.614999999999998"/>
    <n v="0.20699999999999999"/>
    <n v="6.4000000000000001E-2"/>
    <s v="M40"/>
    <x v="2"/>
    <n v="40"/>
    <n v="1.0760000000000001"/>
    <n v="1.046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1-07-06T00:00:00"/>
    <n v="7"/>
    <n v="6"/>
    <n v="2021"/>
    <x v="32"/>
    <x v="32"/>
    <x v="10"/>
    <m/>
    <n v="0.28380116181100618"/>
    <n v="0.92377722242056415"/>
    <n v="9.2642320085929118E-3"/>
    <n v="4.849552598636933"/>
    <n v="0.13265531726730059"/>
    <n v="0.13265531726730059"/>
    <s v="T"/>
    <n v="3"/>
  </r>
  <r>
    <s v="PU-KSB-105"/>
    <x v="2"/>
    <s v="I"/>
    <s v="I"/>
    <s v="G"/>
    <n v="90"/>
    <n v="84"/>
    <n v="11.906000000000001"/>
    <n v="0.11600000000000001"/>
    <n v="3.4000000000000002E-2"/>
    <s v="M40"/>
    <x v="2"/>
    <n v="40"/>
    <n v="0.58499999999999996"/>
    <n v="0.55600000000000005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1-07-06T00:00:00"/>
    <n v="7"/>
    <n v="6"/>
    <n v="2021"/>
    <x v="32"/>
    <x v="32"/>
    <x v="10"/>
    <m/>
    <n v="0.28638814016172509"/>
    <n v="0.98388464800678532"/>
    <n v="9.8673018033344686E-3"/>
    <n v="4.8986784140969162"/>
    <n v="0.24357466823450288"/>
    <n v="0.24357466823450288"/>
    <s v="T"/>
    <n v="1"/>
  </r>
  <r>
    <s v="PU-KSB-106"/>
    <x v="2"/>
    <s v="I"/>
    <s v="S"/>
    <s v="G"/>
    <n v="83"/>
    <n v="77"/>
    <n v="9.9369999999999994"/>
    <n v="0.13"/>
    <n v="0.26300000000000001"/>
    <s v="F30"/>
    <x v="0"/>
    <n v="30"/>
    <n v="0.4"/>
    <n v="0.38800000000000001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1-07-06T00:00:00"/>
    <n v="7"/>
    <n v="6"/>
    <n v="2021"/>
    <x v="32"/>
    <x v="32"/>
    <x v="10"/>
    <m/>
    <n v="2.7186272482943976"/>
    <n v="1.3255837666972572"/>
    <n v="1.3621123218776197E-2"/>
    <n v="4.0632526966174467"/>
    <n v="0.12076079299587411"/>
    <n v="0.12076079299587411"/>
    <s v="T"/>
    <n v="3"/>
  </r>
  <r>
    <s v="PU-KSB-107"/>
    <x v="2"/>
    <s v="S"/>
    <s v="IMM"/>
    <s v="N"/>
    <n v="53"/>
    <n v="51"/>
    <n v="2.3279999999999998"/>
    <n v="2.5000000000000001E-2"/>
    <n v="0"/>
    <s v="M10"/>
    <x v="2"/>
    <n v="10"/>
    <n v="0.124"/>
    <n v="9.6000000000000002E-2"/>
    <s v="~5 inverts: 0.019"/>
    <s v="F"/>
    <m/>
    <m/>
    <n v="5"/>
    <n v="1.9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.9E-2"/>
    <s v="23/6/2021"/>
    <s v="23"/>
    <s v="6"/>
    <s v="2021"/>
    <x v="33"/>
    <x v="33"/>
    <x v="11"/>
    <m/>
    <n v="0"/>
    <n v="1.0855405992184108"/>
    <n v="1.0855405992184109E-2"/>
    <n v="4.3010752688172049"/>
    <n v="1.2027491408934707"/>
    <n v="2.0189003436426116"/>
    <s v="T"/>
    <n v="2"/>
  </r>
  <r>
    <s v="PU-KSB-108"/>
    <x v="2"/>
    <s v="S"/>
    <s v="IMM"/>
    <s v="N"/>
    <n v="59"/>
    <n v="55"/>
    <n v="3.202"/>
    <n v="3.1E-2"/>
    <n v="3.1E-2"/>
    <s v="F20"/>
    <x v="0"/>
    <n v="20"/>
    <n v="0.13600000000000001"/>
    <n v="0.106"/>
    <s v="4 inverts: 0.011"/>
    <s v="F"/>
    <m/>
    <m/>
    <n v="4"/>
    <n v="1.0999999999999999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.0999999999999999E-2"/>
    <s v="23/6/2021"/>
    <s v="23"/>
    <s v="6"/>
    <s v="2021"/>
    <x v="33"/>
    <x v="33"/>
    <x v="11"/>
    <m/>
    <n v="0.9776095868811101"/>
    <n v="0.9776095868811101"/>
    <n v="9.8726114649681541E-3"/>
    <n v="3.4237726098191215"/>
    <n v="0.93691442848219897"/>
    <n v="1.2804497189256718"/>
    <s v="T"/>
    <n v="2"/>
  </r>
  <r>
    <s v="PU-KSB-109"/>
    <x v="2"/>
    <s v="I"/>
    <s v="S"/>
    <s v="G"/>
    <n v="69"/>
    <n v="65"/>
    <n v="5.3310000000000004"/>
    <n v="4.8000000000000001E-2"/>
    <n v="6.0000000000000001E-3"/>
    <s v="M10"/>
    <x v="2"/>
    <n v="10"/>
    <n v="0.34599999999999997"/>
    <n v="0.27300000000000002"/>
    <s v="1 inverts: 0.057"/>
    <s v="F"/>
    <m/>
    <m/>
    <n v="1"/>
    <n v="5.7000000000000002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.7000000000000002E-2"/>
    <s v="23/6/2021"/>
    <s v="23"/>
    <s v="6"/>
    <s v="2021"/>
    <x v="33"/>
    <x v="33"/>
    <x v="11"/>
    <s v="SC taken"/>
    <n v="0.11267605633802817"/>
    <n v="0.90857467348097676"/>
    <n v="9.0960773166571911E-3"/>
    <n v="5.3973902728351124"/>
    <n v="1.3693490902269734"/>
    <n v="2.4385668730069394"/>
    <s v="T"/>
    <n v="2"/>
  </r>
  <r>
    <s v="PU-KSB-110"/>
    <x v="2"/>
    <s v="S"/>
    <s v="IMM"/>
    <s v="N"/>
    <n v="57"/>
    <n v="54"/>
    <n v="3.036"/>
    <n v="2.9000000000000001E-2"/>
    <n v="3.0000000000000001E-3"/>
    <s v="M10"/>
    <x v="2"/>
    <n v="10"/>
    <n v="0.129"/>
    <n v="0.11799999999999999"/>
    <s v="2 chiro: 0.003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3.0000000000000001E-3"/>
    <m/>
    <m/>
    <m/>
    <m/>
    <m/>
    <m/>
    <m/>
    <m/>
    <m/>
    <m/>
    <m/>
    <m/>
    <m/>
    <m/>
    <m/>
    <m/>
    <m/>
    <m/>
    <m/>
    <m/>
    <m/>
    <m/>
    <m/>
    <m/>
    <n v="3.0000000000000001E-3"/>
    <s v="23/6/2021"/>
    <s v="23"/>
    <s v="6"/>
    <s v="2021"/>
    <x v="33"/>
    <x v="33"/>
    <x v="11"/>
    <s v="Gonad not kept"/>
    <n v="9.8911968348170121E-2"/>
    <n v="0.96441636182241441"/>
    <n v="9.6537949400798944E-3"/>
    <n v="4.0438656614119255"/>
    <n v="0.36231884057971048"/>
    <n v="0.46113306982872226"/>
    <s v="T"/>
    <n v="1"/>
  </r>
  <r>
    <s v="PU-KSB-111"/>
    <x v="2"/>
    <s v="I"/>
    <s v="I"/>
    <s v="G"/>
    <n v="87"/>
    <n v="83"/>
    <n v="10.853999999999999"/>
    <n v="7.0000000000000007E-2"/>
    <n v="6.0000000000000001E-3"/>
    <s v="M40"/>
    <x v="2"/>
    <n v="40"/>
    <n v="0.46500000000000002"/>
    <n v="0.45800000000000002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3/6/2021"/>
    <s v="23"/>
    <s v="6"/>
    <s v="2021"/>
    <x v="33"/>
    <x v="33"/>
    <x v="11"/>
    <m/>
    <n v="5.5309734513274346E-2"/>
    <n v="0.64910979228486654"/>
    <n v="6.4947114492484703E-3"/>
    <n v="4.4055405925355906"/>
    <n v="6.4492353049567047E-2"/>
    <n v="6.4492353049567047E-2"/>
    <s v="T"/>
    <n v="2"/>
  </r>
  <r>
    <s v="PU-KSB-112"/>
    <x v="2"/>
    <s v="I"/>
    <s v="I"/>
    <s v="G"/>
    <n v="90"/>
    <n v="85"/>
    <n v="12.069000000000001"/>
    <n v="0.107"/>
    <n v="1.2E-2"/>
    <s v="M40"/>
    <x v="2"/>
    <n v="40"/>
    <n v="0.56899999999999995"/>
    <n v="0.53700000000000003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4/6/2021"/>
    <s v="24"/>
    <s v="6"/>
    <s v="2021"/>
    <x v="34"/>
    <x v="34"/>
    <x v="11"/>
    <m/>
    <n v="9.9527245583478474E-2"/>
    <n v="0.89449924761745514"/>
    <n v="8.9539748953974888E-3"/>
    <n v="4.6566077003121746"/>
    <n v="0.26514209959400048"/>
    <n v="0.26514209959400048"/>
    <s v="T"/>
    <n v="1"/>
  </r>
  <r>
    <s v="PU-KSB-113"/>
    <x v="2"/>
    <s v="I"/>
    <s v="S"/>
    <s v="G"/>
    <n v="77"/>
    <n v="73"/>
    <n v="7.5419999999999998"/>
    <n v="5.8999999999999997E-2"/>
    <n v="5.8999999999999997E-2"/>
    <s v="F20/40"/>
    <x v="0"/>
    <s v="20/40"/>
    <n v="0.314"/>
    <n v="0.30499999999999999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4/6/2021"/>
    <s v="24"/>
    <s v="6"/>
    <s v="2021"/>
    <x v="34"/>
    <x v="34"/>
    <x v="11"/>
    <m/>
    <n v="0.78845382867833746"/>
    <n v="0.78845382867833746"/>
    <n v="7.9471982758620684E-3"/>
    <n v="4.2144535028326651"/>
    <n v="0.11933174224343687"/>
    <n v="0.11933174224343687"/>
    <s v="T"/>
    <n v="2"/>
  </r>
  <r>
    <s v="PU-KSB-114"/>
    <x v="2"/>
    <s v="I"/>
    <s v="I"/>
    <s v="G"/>
    <n v="87"/>
    <n v="83"/>
    <n v="10.185"/>
    <n v="7.9000000000000001E-2"/>
    <n v="7.0000000000000001E-3"/>
    <s v="M40"/>
    <x v="2"/>
    <n v="40"/>
    <n v="0.44900000000000001"/>
    <n v="0.435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4/6/2021"/>
    <s v="24"/>
    <s v="6"/>
    <s v="2021"/>
    <x v="34"/>
    <x v="34"/>
    <x v="11"/>
    <m/>
    <n v="6.8775790921595595E-2"/>
    <n v="0.78171383336631717"/>
    <n v="7.8225566887810665E-3"/>
    <n v="4.4615384615384617"/>
    <n v="0.13745704467353964"/>
    <n v="0.13745704467353964"/>
    <s v="T"/>
    <n v="1"/>
  </r>
  <r>
    <s v="PU-KSB-115"/>
    <x v="2"/>
    <s v="I"/>
    <s v="S"/>
    <s v="G"/>
    <n v="65"/>
    <n v="62"/>
    <n v="4.2809999999999997"/>
    <n v="3.5999999999999997E-2"/>
    <n v="3.0000000000000001E-3"/>
    <s v="M10/40"/>
    <x v="2"/>
    <n v="10"/>
    <n v="0.17599999999999999"/>
    <n v="0.15"/>
    <s v="1 damsel: 0.015"/>
    <s v="F"/>
    <m/>
    <m/>
    <m/>
    <m/>
    <m/>
    <m/>
    <m/>
    <m/>
    <m/>
    <m/>
    <m/>
    <m/>
    <m/>
    <m/>
    <m/>
    <m/>
    <m/>
    <m/>
    <m/>
    <m/>
    <m/>
    <m/>
    <m/>
    <m/>
    <m/>
    <m/>
    <n v="1"/>
    <n v="1.4999999999999999E-2"/>
    <m/>
    <m/>
    <m/>
    <m/>
    <m/>
    <m/>
    <m/>
    <m/>
    <m/>
    <m/>
    <m/>
    <m/>
    <m/>
    <m/>
    <m/>
    <m/>
    <m/>
    <m/>
    <m/>
    <m/>
    <m/>
    <m/>
    <m/>
    <m/>
    <m/>
    <m/>
    <m/>
    <m/>
    <n v="1.4999999999999999E-2"/>
    <s v="24/6/2021"/>
    <s v="24"/>
    <s v="6"/>
    <s v="2021"/>
    <x v="34"/>
    <x v="34"/>
    <x v="11"/>
    <m/>
    <n v="7.0126227208976169E-2"/>
    <n v="0.84805653710247342"/>
    <n v="8.4865629420084864E-3"/>
    <n v="3.6310820624546118"/>
    <n v="0.60733473487502909"/>
    <n v="0.95772015884139217"/>
    <s v="T"/>
    <n v="1"/>
  </r>
  <r>
    <s v="PU-KSB-116"/>
    <x v="2"/>
    <s v="B"/>
    <s v="B"/>
    <s v="N"/>
    <n v="190"/>
    <n v="181"/>
    <n v="145.26599999999999"/>
    <n v="1.381"/>
    <n v="10.717000000000001"/>
    <s v="F40"/>
    <x v="0"/>
    <n v="40"/>
    <n v="4.29"/>
    <n v="4.194"/>
    <s v="1 caddis: 0.057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5.7000000000000002E-2"/>
    <m/>
    <m/>
    <m/>
    <m/>
    <m/>
    <m/>
    <m/>
    <m/>
    <m/>
    <m/>
    <m/>
    <m/>
    <m/>
    <m/>
    <m/>
    <m/>
    <m/>
    <m/>
    <n v="5.7000000000000002E-2"/>
    <d v="2021-08-07T00:00:00"/>
    <n v="8"/>
    <n v="7"/>
    <n v="2021"/>
    <x v="35"/>
    <x v="35"/>
    <x v="12"/>
    <s v="SC kept"/>
    <n v="7.9651279459527764"/>
    <n v="0.95979428015429002"/>
    <n v="1.0370359245464377E-2"/>
    <n v="2.9729499829874104"/>
    <n v="6.6085663541365552E-2"/>
    <n v="0.10532402626905132"/>
    <s v="T"/>
    <n v="3"/>
  </r>
  <r>
    <s v="PU-KSB-117"/>
    <x v="2"/>
    <s v="B"/>
    <s v="B"/>
    <s v="N"/>
    <n v="178"/>
    <n v="170"/>
    <n v="121.196"/>
    <n v="0.86599999999999999"/>
    <n v="0.53200000000000003"/>
    <s v="M40"/>
    <x v="2"/>
    <n v="40"/>
    <n v="4.75"/>
    <n v="4.5060000000000002"/>
    <s v="2 inverts: 0.104"/>
    <s v="F"/>
    <m/>
    <m/>
    <n v="2"/>
    <n v="0.1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104"/>
    <d v="2021-08-07T00:00:00"/>
    <n v="8"/>
    <n v="7"/>
    <n v="2021"/>
    <x v="35"/>
    <x v="35"/>
    <x v="12"/>
    <m/>
    <n v="0.44089372140820793"/>
    <n v="0.71968752597024843"/>
    <n v="7.2288352059299817E-3"/>
    <n v="3.861513411603394"/>
    <n v="0.20132677646126917"/>
    <n v="0.28713818937918723"/>
    <s v="T"/>
    <n v="2"/>
  </r>
  <r>
    <s v="PU-KSB-118"/>
    <x v="2"/>
    <s v="I"/>
    <s v="B"/>
    <s v="N"/>
    <n v="141"/>
    <n v="134"/>
    <n v="60.462000000000003"/>
    <n v="0.432"/>
    <n v="0.432"/>
    <s v="F40"/>
    <x v="0"/>
    <n v="40"/>
    <n v="2.9580000000000002"/>
    <n v="2.6760000000000002"/>
    <s v="9 snails: 0.202; veg: 0.015"/>
    <s v="F"/>
    <m/>
    <m/>
    <m/>
    <m/>
    <m/>
    <m/>
    <m/>
    <m/>
    <m/>
    <m/>
    <m/>
    <m/>
    <m/>
    <m/>
    <m/>
    <m/>
    <m/>
    <m/>
    <n v="9"/>
    <n v="0.20200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.4999999999999999E-2"/>
    <n v="0.217"/>
    <d v="2021-08-07T00:00:00"/>
    <n v="8"/>
    <n v="7"/>
    <n v="2021"/>
    <x v="35"/>
    <x v="35"/>
    <x v="12"/>
    <m/>
    <n v="0.71964017991004492"/>
    <n v="0.71964017991004492"/>
    <n v="7.2485653881002718E-3"/>
    <n v="4.6308794517703245"/>
    <n v="0.46640865336905823"/>
    <n v="0.82531176606794343"/>
    <s v="T"/>
    <n v="2"/>
  </r>
  <r>
    <s v="PU-KSB-119"/>
    <x v="2"/>
    <s v="I"/>
    <s v="I"/>
    <s v="G"/>
    <n v="104"/>
    <n v="98"/>
    <n v="21.353999999999999"/>
    <n v="0.20499999999999999"/>
    <n v="0.16800000000000001"/>
    <s v="F40"/>
    <x v="0"/>
    <n v="40"/>
    <n v="0.98"/>
    <n v="0.93300000000000005"/>
    <s v="5 chiro: 0.015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n v="1.4999999999999999E-2"/>
    <m/>
    <m/>
    <m/>
    <m/>
    <m/>
    <m/>
    <m/>
    <m/>
    <m/>
    <m/>
    <m/>
    <m/>
    <m/>
    <m/>
    <m/>
    <m/>
    <m/>
    <m/>
    <m/>
    <m/>
    <m/>
    <m/>
    <m/>
    <m/>
    <n v="1.4999999999999999E-2"/>
    <d v="2021-08-07T00:00:00"/>
    <n v="8"/>
    <n v="7"/>
    <n v="2021"/>
    <x v="35"/>
    <x v="35"/>
    <x v="12"/>
    <s v="SC kept"/>
    <n v="0.79297649391107339"/>
    <n v="0.96931296988037252"/>
    <n v="9.7707449597254654E-3"/>
    <n v="4.5688262083149702"/>
    <n v="0.2200992788236393"/>
    <n v="0.29034372951203491"/>
    <s v="T"/>
    <n v="2"/>
  </r>
  <r>
    <s v="PU-KSS-1"/>
    <x v="3"/>
    <s v="I"/>
    <s v="I"/>
    <s v="G"/>
    <n v="105"/>
    <n v="99"/>
    <n v="15.598000000000001"/>
    <n v="0.12"/>
    <n v="0.02"/>
    <s v="M22"/>
    <x v="2"/>
    <n v="22"/>
    <n v="0.72"/>
    <n v="0.70799999999999996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1/12/2020"/>
    <s v="21"/>
    <s v="12"/>
    <s v="2020"/>
    <x v="18"/>
    <x v="18"/>
    <x v="0"/>
    <s v="NA"/>
    <n v="0.12838618564642446"/>
    <n v="0.77529396562863406"/>
    <n v="0.77629706300944479"/>
    <n v="4.539043467111167"/>
    <n v="7.6932940120528343E-2"/>
    <m/>
    <m/>
    <m/>
  </r>
  <r>
    <s v="PU-KSS-2"/>
    <x v="3"/>
    <s v="I"/>
    <s v="I"/>
    <s v="G"/>
    <n v="108"/>
    <n v="97"/>
    <n v="17.803000000000001"/>
    <n v="0.21199999999999999"/>
    <n v="2.1000000000000001E-2"/>
    <s v="M22"/>
    <x v="2"/>
    <n v="22"/>
    <n v="0.83799999999999997"/>
    <n v="0.82499999999999996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1/12/2020"/>
    <s v="21"/>
    <s v="12"/>
    <s v="2020"/>
    <x v="18"/>
    <x v="18"/>
    <x v="0"/>
    <s v="NA"/>
    <n v="0.11809695197390621"/>
    <n v="1.2051617304303337"/>
    <n v="1.2066021627774615"/>
    <n v="4.6340504409369201"/>
    <n v="7.3021400887490928E-2"/>
    <m/>
    <m/>
    <m/>
  </r>
  <r>
    <s v="PU-KSS-3"/>
    <x v="3"/>
    <s v="I"/>
    <s v="B"/>
    <s v="N"/>
    <n v="111"/>
    <n v="105"/>
    <n v="19.454999999999998"/>
    <n v="0.26"/>
    <n v="1.6E-2"/>
    <s v="M22"/>
    <x v="2"/>
    <n v="22"/>
    <n v="0.92200000000000004"/>
    <n v="0.81799999999999995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1/12/2020"/>
    <s v="21"/>
    <s v="12"/>
    <s v="2020"/>
    <x v="18"/>
    <x v="18"/>
    <x v="0"/>
    <s v="NA"/>
    <n v="8.2308760738721135E-2"/>
    <n v="1.3545194060953376"/>
    <n v="1.3556494082068931"/>
    <n v="4.2045746594705733"/>
    <n v="0.53456694937034233"/>
    <m/>
    <m/>
    <m/>
  </r>
  <r>
    <s v="PU-KSS-4"/>
    <x v="3"/>
    <s v="I"/>
    <s v="I"/>
    <s v="G"/>
    <n v="99"/>
    <n v="92"/>
    <n v="14.106999999999999"/>
    <n v="0.28799999999999998"/>
    <n v="0.192"/>
    <s v="F22"/>
    <x v="0"/>
    <n v="22"/>
    <n v="0.65300000000000002"/>
    <n v="0.56799999999999995"/>
    <s v="Chaoborous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1/12/2020"/>
    <s v="21"/>
    <s v="12"/>
    <s v="2020"/>
    <x v="18"/>
    <x v="18"/>
    <x v="0"/>
    <s v="NA"/>
    <n v="1.379805964786202"/>
    <n v="2.0840871264201462"/>
    <n v="2.1134512365157407"/>
    <n v="4.0263698872899978"/>
    <n v="0.60253774721769393"/>
    <m/>
    <m/>
    <m/>
  </r>
  <r>
    <s v="PU-KSS-5"/>
    <x v="3"/>
    <s v="I"/>
    <s v="B"/>
    <s v="G"/>
    <n v="110"/>
    <n v="104"/>
    <n v="19.393999999999998"/>
    <n v="0.28199999999999997"/>
    <n v="0.22"/>
    <s v="F22"/>
    <x v="0"/>
    <n v="22"/>
    <n v="1.034"/>
    <n v="0.97599999999999998"/>
    <s v="Inverts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1/12/2020"/>
    <s v="21"/>
    <s v="12"/>
    <s v="2020"/>
    <x v="18"/>
    <x v="18"/>
    <x v="0"/>
    <s v="NA"/>
    <n v="1.147387086679879"/>
    <n v="1.4755127668480537"/>
    <n v="1.4926953207706963"/>
    <n v="5.0324842734866451"/>
    <n v="0.29906156543260831"/>
    <m/>
    <m/>
    <m/>
  </r>
  <r>
    <s v="PU-KSS-6"/>
    <x v="3"/>
    <s v="I"/>
    <s v="S"/>
    <s v="G"/>
    <n v="70"/>
    <n v="66"/>
    <n v="5.2169999999999996"/>
    <n v="0.105"/>
    <n v="7.0000000000000001E-3"/>
    <s v="M22"/>
    <x v="2"/>
    <n v="22"/>
    <n v="0.217"/>
    <n v="0.21099999999999999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1/12/2020"/>
    <s v="21"/>
    <s v="12"/>
    <s v="2020"/>
    <x v="18"/>
    <x v="18"/>
    <x v="0"/>
    <s v="NA"/>
    <n v="0.1343570057581574"/>
    <n v="2.0539906103286385"/>
    <n v="2.0568070519098924"/>
    <n v="4.0444700019168103"/>
    <n v="0.11500862564692363"/>
    <m/>
    <m/>
    <m/>
  </r>
  <r>
    <s v="PU-KSS-7"/>
    <x v="3"/>
    <s v="I"/>
    <s v="I"/>
    <s v="G"/>
    <n v="105"/>
    <n v="99"/>
    <n v="16.170000000000002"/>
    <n v="0.20699999999999999"/>
    <n v="2.1000000000000001E-2"/>
    <s v="M22"/>
    <x v="2"/>
    <n v="22"/>
    <n v="0.80100000000000005"/>
    <n v="0.749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1/12/2020"/>
    <s v="21"/>
    <s v="12"/>
    <s v="2020"/>
    <x v="18"/>
    <x v="18"/>
    <x v="0"/>
    <s v="NA"/>
    <n v="0.13003901170351106"/>
    <n v="1.2967487314414583"/>
    <n v="1.298456906285284"/>
    <n v="4.6320346320346317"/>
    <n v="0.32158317872603615"/>
    <m/>
    <m/>
    <m/>
  </r>
  <r>
    <s v="PU-KSS-8"/>
    <x v="3"/>
    <s v="I"/>
    <s v="S"/>
    <s v="G"/>
    <n v="72"/>
    <n v="67"/>
    <n v="6.2009999999999996"/>
    <n v="0.112"/>
    <n v="5.0000000000000001E-3"/>
    <s v="M22"/>
    <x v="2"/>
    <n v="22"/>
    <n v="0.26500000000000001"/>
    <n v="0.25600000000000001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1/12/2020"/>
    <s v="21"/>
    <s v="12"/>
    <s v="2020"/>
    <x v="18"/>
    <x v="18"/>
    <x v="0"/>
    <s v="Gonads very small"/>
    <n v="8.0697224015493868E-2"/>
    <n v="1.8393824930202005"/>
    <n v="1.8408941485864565"/>
    <n v="4.1283663925173357"/>
    <n v="0.14513788098693772"/>
    <m/>
    <m/>
    <m/>
  </r>
  <r>
    <s v="PU-KSS-9"/>
    <x v="3"/>
    <s v="I"/>
    <s v="S"/>
    <s v="G"/>
    <n v="65"/>
    <n v="60"/>
    <n v="3.8079999999999998"/>
    <n v="0.08"/>
    <n v="6.0000000000000001E-3"/>
    <s v="M22"/>
    <x v="2"/>
    <n v="22"/>
    <n v="0.189"/>
    <n v="0.17100000000000001"/>
    <s v="Inverts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1/12/2020"/>
    <s v="21"/>
    <s v="12"/>
    <s v="2020"/>
    <x v="18"/>
    <x v="18"/>
    <x v="0"/>
    <s v="NA"/>
    <n v="0.15781167806417673"/>
    <n v="2.1459227467811162"/>
    <n v="2.1493820526598602"/>
    <n v="4.4905462184873954"/>
    <n v="0.47268907563025181"/>
    <m/>
    <m/>
    <m/>
  </r>
  <r>
    <s v="PU-KSS-10"/>
    <x v="3"/>
    <s v="I"/>
    <s v="I"/>
    <s v="G"/>
    <n v="87"/>
    <n v="81"/>
    <n v="8.49"/>
    <n v="0.14000000000000001"/>
    <n v="6.0000000000000001E-3"/>
    <s v="M22"/>
    <x v="2"/>
    <n v="22"/>
    <n v="0.50800000000000001"/>
    <n v="0.44500000000000001"/>
    <s v="Inverts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1/12/2020"/>
    <s v="21"/>
    <s v="12"/>
    <s v="2020"/>
    <x v="18"/>
    <x v="18"/>
    <x v="0"/>
    <s v="Gonads not kept"/>
    <n v="7.0721357850070721E-2"/>
    <n v="1.6766467065868267"/>
    <n v="1.6778523489932891"/>
    <n v="5.2414605418138986"/>
    <n v="0.74204946996466437"/>
    <m/>
    <m/>
    <m/>
  </r>
  <r>
    <s v="PU-KSS-11"/>
    <x v="3"/>
    <s v="I"/>
    <s v="S"/>
    <s v="G"/>
    <n v="66"/>
    <n v="61"/>
    <n v="4.3369999999999997"/>
    <n v="7.3999999999999996E-2"/>
    <n v="6.9000000000000006E-2"/>
    <s v="F22"/>
    <x v="0"/>
    <n v="22"/>
    <n v="0.248"/>
    <n v="0.20899999999999999"/>
    <s v="Inverts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1/12/2020"/>
    <s v="21"/>
    <s v="12"/>
    <s v="2020"/>
    <x v="18"/>
    <x v="18"/>
    <x v="0"/>
    <s v="NA"/>
    <n v="1.6166822867853796"/>
    <n v="1.7358667604973024"/>
    <n v="1.764425369575584"/>
    <n v="4.8189993082776112"/>
    <n v="0.89923910537237739"/>
    <m/>
    <m/>
    <m/>
  </r>
  <r>
    <s v="PU-KSS-12"/>
    <x v="3"/>
    <s v="I"/>
    <s v="I"/>
    <s v="G"/>
    <n v="103"/>
    <n v="96"/>
    <n v="15.851000000000001"/>
    <n v="0.23"/>
    <n v="1.7000000000000001E-2"/>
    <s v="M22"/>
    <x v="2"/>
    <n v="22"/>
    <n v="0.57399999999999995"/>
    <n v="0.56799999999999995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1/12/2020"/>
    <s v="21"/>
    <s v="12"/>
    <s v="2020"/>
    <x v="18"/>
    <x v="18"/>
    <x v="0"/>
    <s v="NA"/>
    <n v="0.10736390046734874"/>
    <n v="1.4723769284936943"/>
    <n v="1.4739810305049985"/>
    <n v="3.5833701343763797"/>
    <n v="3.7852501419468831E-2"/>
    <m/>
    <m/>
    <m/>
  </r>
  <r>
    <s v="PU-KSS-13"/>
    <x v="3"/>
    <s v="I"/>
    <s v="I"/>
    <s v="G"/>
    <n v="95"/>
    <n v="89"/>
    <n v="12.118"/>
    <n v="0.23499999999999999"/>
    <n v="0.17299999999999999"/>
    <s v="F22"/>
    <x v="0"/>
    <n v="22"/>
    <n v="0.56499999999999995"/>
    <n v="0.53600000000000003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1/12/2020"/>
    <s v="21"/>
    <s v="12"/>
    <s v="2020"/>
    <x v="18"/>
    <x v="18"/>
    <x v="0"/>
    <s v="NA"/>
    <n v="1.4483047300125573"/>
    <n v="1.9776150803669106"/>
    <n v="2.0068317677198975"/>
    <n v="4.4231721406172637"/>
    <n v="0.23931341805578407"/>
    <m/>
    <m/>
    <m/>
  </r>
  <r>
    <s v="PU-KSS-14"/>
    <x v="3"/>
    <s v="I"/>
    <s v="S"/>
    <s v="G"/>
    <n v="65"/>
    <n v="62"/>
    <n v="4.0730000000000004"/>
    <n v="9.1999999999999998E-2"/>
    <n v="6.7000000000000004E-2"/>
    <s v="F22"/>
    <x v="0"/>
    <n v="22"/>
    <m/>
    <n v="0.189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1/12/2020"/>
    <s v="21"/>
    <s v="12"/>
    <s v="2020"/>
    <x v="18"/>
    <x v="18"/>
    <x v="0"/>
    <s v="NA"/>
    <n v="1.6724912631053419"/>
    <n v="2.3109771414217528"/>
    <n v="2.350536535513541"/>
    <n v="4.6403142646697759"/>
    <m/>
    <m/>
    <m/>
    <m/>
  </r>
  <r>
    <s v="PU-KSS-15"/>
    <x v="3"/>
    <s v="I"/>
    <s v="IMM"/>
    <s v="G"/>
    <n v="63"/>
    <n v="59"/>
    <n v="3.351"/>
    <n v="8.5000000000000006E-2"/>
    <n v="4.0000000000000001E-3"/>
    <s v="M22"/>
    <x v="2"/>
    <n v="22"/>
    <n v="0.17399999999999999"/>
    <n v="0.14499999999999999"/>
    <s v="Inverts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1/12/2020"/>
    <s v="21"/>
    <s v="12"/>
    <s v="2020"/>
    <x v="18"/>
    <x v="18"/>
    <x v="0"/>
    <s v="Gonads not kept"/>
    <n v="0.11951000896325066"/>
    <n v="2.6025719534598899"/>
    <n v="2.6057633353770693"/>
    <n v="4.3270665472993128"/>
    <n v="0.86541330945986272"/>
    <m/>
    <m/>
    <m/>
  </r>
  <r>
    <s v="PU-KSS-16"/>
    <x v="3"/>
    <s v="I"/>
    <s v="S"/>
    <s v="G"/>
    <n v="65"/>
    <n v="61"/>
    <n v="3.67"/>
    <n v="8.7999999999999995E-2"/>
    <n v="5.0000000000000001E-3"/>
    <s v="M22"/>
    <x v="2"/>
    <n v="22"/>
    <n v="0.17100000000000001"/>
    <n v="0.16300000000000001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1/12/2020"/>
    <s v="21"/>
    <s v="12"/>
    <s v="2020"/>
    <x v="18"/>
    <x v="18"/>
    <x v="0"/>
    <s v="NA"/>
    <n v="0.13642564802182811"/>
    <n v="2.4567280848687885"/>
    <n v="2.460162147050601"/>
    <n v="4.4414168937329705"/>
    <n v="0.21798365122615823"/>
    <m/>
    <m/>
    <m/>
  </r>
  <r>
    <s v="PU-KSS-17"/>
    <x v="3"/>
    <s v="I"/>
    <s v="B"/>
    <s v="N"/>
    <n v="112"/>
    <n v="106"/>
    <n v="23.34"/>
    <n v="0.46300000000000002"/>
    <n v="0.34699999999999998"/>
    <s v="F22"/>
    <x v="0"/>
    <n v="22"/>
    <n v="1.61"/>
    <n v="1.3540000000000001"/>
    <s v="1 caddis, 1 odonate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0/01/2021"/>
    <s v="20"/>
    <s v="01"/>
    <s v="2021"/>
    <x v="36"/>
    <x v="36"/>
    <x v="1"/>
    <s v="Angled, heavily parasitized"/>
    <n v="1.5091549602052798"/>
    <n v="2.0238667657472571"/>
    <n v="2.0550377274744789"/>
    <n v="5.8011996572407885"/>
    <n v="1.0968294772922023"/>
    <m/>
    <s v="A"/>
    <m/>
  </r>
  <r>
    <s v="PU-KSS-18"/>
    <x v="3"/>
    <s v="I"/>
    <s v="B"/>
    <s v="N"/>
    <n v="125"/>
    <n v="119"/>
    <n v="30.734000000000002"/>
    <n v="0.68899999999999995"/>
    <n v="4.2000000000000003E-2"/>
    <s v="M22"/>
    <x v="2"/>
    <n v="22"/>
    <n v="2.444"/>
    <n v="1.903"/>
    <s v="3 odonate, 5 damselfly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0/01/2021"/>
    <s v="20"/>
    <s v="01"/>
    <s v="2021"/>
    <x v="36"/>
    <x v="36"/>
    <x v="1"/>
    <s v="Angled"/>
    <n v="0.13684347712759026"/>
    <n v="2.2932268264270257"/>
    <n v="2.29643702296437"/>
    <n v="6.191839656406585"/>
    <n v="1.7602655040020823"/>
    <m/>
    <s v="A"/>
    <m/>
  </r>
  <r>
    <s v="PU-KSS-19"/>
    <x v="3"/>
    <s v="I"/>
    <s v="B"/>
    <s v="N"/>
    <n v="114"/>
    <n v="109"/>
    <n v="20.716000000000001"/>
    <n v="0.25700000000000001"/>
    <n v="1.2E-2"/>
    <s v="M22"/>
    <x v="2"/>
    <n v="22"/>
    <n v="0.73899999999999999"/>
    <n v="0.72199999999999998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0/01/2021"/>
    <s v="20"/>
    <s v="01"/>
    <s v="2021"/>
    <x v="36"/>
    <x v="36"/>
    <x v="1"/>
    <s v="Angled, heavily parasitized"/>
    <n v="5.7959814528593508E-2"/>
    <n v="1.25617087834205"/>
    <n v="1.2569081038783196"/>
    <n v="3.485228808650318"/>
    <n v="8.2062174164896778E-2"/>
    <m/>
    <s v="A"/>
    <m/>
  </r>
  <r>
    <s v="PU-KSS-20"/>
    <x v="3"/>
    <s v="I"/>
    <s v="I"/>
    <s v="G"/>
    <n v="107"/>
    <n v="102"/>
    <n v="18.945"/>
    <n v="0.371"/>
    <n v="3.3000000000000002E-2"/>
    <s v="M22"/>
    <x v="2"/>
    <n v="22"/>
    <n v="0.80200000000000005"/>
    <n v="0.77200000000000002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0/01/2021"/>
    <s v="20"/>
    <s v="01"/>
    <s v="2021"/>
    <x v="36"/>
    <x v="36"/>
    <x v="1"/>
    <s v="Angled, heavily parasitized"/>
    <n v="0.17449238578680207"/>
    <n v="1.9974157424356624"/>
    <n v="2.0009708214227926"/>
    <n v="4.0749538136711534"/>
    <n v="0.15835312747426777"/>
    <m/>
    <s v="A"/>
    <m/>
  </r>
  <r>
    <s v="PU-KSS-21"/>
    <x v="3"/>
    <s v="I"/>
    <s v="B"/>
    <s v="N"/>
    <n v="115"/>
    <n v="109"/>
    <n v="21.064"/>
    <n v="0.34"/>
    <n v="3.3000000000000002E-2"/>
    <s v="M22"/>
    <x v="2"/>
    <n v="22"/>
    <n v="1.466"/>
    <n v="1.26"/>
    <s v="22 mayfly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0/01/2021"/>
    <s v="20"/>
    <s v="01"/>
    <s v="2021"/>
    <x v="36"/>
    <x v="36"/>
    <x v="1"/>
    <s v="Angled, heavily parasitized"/>
    <n v="0.15691122628500787"/>
    <n v="1.6406099208646983"/>
    <n v="1.6432265236092991"/>
    <n v="5.9817698442840861"/>
    <n v="0.97797189517660443"/>
    <m/>
    <s v="A"/>
    <m/>
  </r>
  <r>
    <s v="PU-KSS-22"/>
    <x v="3"/>
    <s v="I"/>
    <s v="B"/>
    <s v="N"/>
    <n v="111"/>
    <n v="105"/>
    <n v="14.792999999999999"/>
    <n v="0.125"/>
    <n v="0.127"/>
    <s v="F22"/>
    <x v="0"/>
    <n v="22"/>
    <n v="1.296"/>
    <n v="0.85799999999999998"/>
    <s v="3 odonate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0/01/2021"/>
    <s v="20"/>
    <s v="01"/>
    <s v="2021"/>
    <x v="36"/>
    <x v="36"/>
    <x v="1"/>
    <s v="Angled, heavily parasitized"/>
    <n v="0.86594845220237304"/>
    <n v="0.85219525497682025"/>
    <n v="0.85963826421841705"/>
    <n v="5.8000405597241942"/>
    <n v="2.9608598661529104"/>
    <m/>
    <s v="A"/>
    <m/>
  </r>
  <r>
    <s v="PU-KSS-23"/>
    <x v="3"/>
    <s v="I"/>
    <s v="B"/>
    <s v="G"/>
    <n v="110"/>
    <n v="104"/>
    <n v="15.085000000000001"/>
    <n v="0.157"/>
    <n v="0.15"/>
    <s v="F22"/>
    <x v="0"/>
    <n v="22"/>
    <n v="0.81599999999999995"/>
    <n v="0.78400000000000003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0/01/2021"/>
    <s v="20"/>
    <s v="01"/>
    <s v="2021"/>
    <x v="36"/>
    <x v="36"/>
    <x v="1"/>
    <s v="Angled, heavily parasitized"/>
    <n v="1.0043521928356209"/>
    <n v="1.0517148981779207"/>
    <n v="1.0623900392475301"/>
    <n v="5.1972157772621808"/>
    <n v="0.21213125621478232"/>
    <m/>
    <s v="A"/>
    <m/>
  </r>
  <r>
    <s v="PU-KSS-24"/>
    <x v="3"/>
    <s v="I"/>
    <s v="I"/>
    <s v="G"/>
    <n v="107"/>
    <n v="100"/>
    <n v="16.206"/>
    <n v="0.13400000000000001"/>
    <n v="0.153"/>
    <s v="F22"/>
    <x v="0"/>
    <n v="22"/>
    <n v="0.65600000000000003"/>
    <n v="0.58499999999999996"/>
    <s v="1 odonate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0/01/2021"/>
    <s v="20"/>
    <s v="01"/>
    <s v="2021"/>
    <x v="36"/>
    <x v="36"/>
    <x v="1"/>
    <s v="Angled, heavily parasitized"/>
    <n v="0.95309287983554469"/>
    <n v="0.83374813339970144"/>
    <n v="0.84176141717444575"/>
    <n v="3.6097741577193627"/>
    <n v="0.43810934221893166"/>
    <m/>
    <s v="A"/>
    <m/>
  </r>
  <r>
    <s v="PU-KSS-25"/>
    <x v="3"/>
    <s v="I"/>
    <s v="I"/>
    <s v="G"/>
    <n v="99"/>
    <n v="93"/>
    <n v="12.506"/>
    <n v="0.13900000000000001"/>
    <n v="1.7000000000000001E-2"/>
    <s v="M22"/>
    <x v="2"/>
    <n v="22"/>
    <n v="0.77600000000000002"/>
    <n v="0.71899999999999997"/>
    <s v="2 mayfly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0/01/2021"/>
    <s v="20"/>
    <s v="01"/>
    <s v="2021"/>
    <x v="36"/>
    <x v="36"/>
    <x v="1"/>
    <s v="Angled, heavily parasitized"/>
    <n v="0.13611978541116182"/>
    <n v="1.1239589229400824"/>
    <n v="1.1255060728744939"/>
    <n v="5.7492403646249794"/>
    <n v="0.45578122501199458"/>
    <m/>
    <s v="A"/>
    <m/>
  </r>
  <r>
    <s v="PU-KSS-26"/>
    <x v="3"/>
    <s v="I"/>
    <s v="IMM"/>
    <s v="G"/>
    <n v="64"/>
    <n v="60"/>
    <n v="3.8050000000000002"/>
    <n v="6.2E-2"/>
    <n v="3.0000000000000001E-3"/>
    <s v="M22"/>
    <x v="2"/>
    <n v="22"/>
    <n v="0.16900000000000001"/>
    <n v="0.13900000000000001"/>
    <s v="Inverts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1/01/2021"/>
    <s v="21"/>
    <s v="01"/>
    <s v="2021"/>
    <x v="20"/>
    <x v="20"/>
    <x v="1"/>
    <s v="Trapped, gonads not kept"/>
    <n v="7.8905839032088365E-2"/>
    <n v="1.6564253272775848"/>
    <n v="1.6577540106951869"/>
    <n v="3.6530880420499345"/>
    <n v="0.78843626806833111"/>
    <m/>
    <s v="T"/>
    <m/>
  </r>
  <r>
    <s v="PU-KSS-27"/>
    <x v="3"/>
    <s v="S"/>
    <s v="IMM"/>
    <s v="G"/>
    <n v="60"/>
    <n v="56"/>
    <n v="3.0750000000000002"/>
    <n v="5.5E-2"/>
    <n v="0.04"/>
    <s v="F22"/>
    <x v="0"/>
    <n v="22"/>
    <n v="0.14199999999999999"/>
    <n v="0.115"/>
    <s v="1 odonate, 1 damselfly, 2 chironomids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1/01/2021"/>
    <s v="21"/>
    <s v="01"/>
    <s v="2021"/>
    <x v="20"/>
    <x v="20"/>
    <x v="1"/>
    <s v="Trapped"/>
    <n v="1.3179571663920924"/>
    <n v="1.8211920529801324"/>
    <n v="1.8456375838926176"/>
    <n v="3.7398373983739837"/>
    <n v="0.87804878048780433"/>
    <m/>
    <s v="T"/>
    <m/>
  </r>
  <r>
    <s v="PU-KSS-28"/>
    <x v="3"/>
    <s v="I"/>
    <s v="IMM"/>
    <s v="G"/>
    <n v="63"/>
    <n v="59"/>
    <n v="3.7229999999999999"/>
    <n v="9.5000000000000001E-2"/>
    <n v="7.0000000000000001E-3"/>
    <s v="M22"/>
    <x v="2"/>
    <n v="22"/>
    <n v="0.17199999999999999"/>
    <n v="0.16200000000000001"/>
    <s v="1 chironomid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1/01/2021"/>
    <s v="21"/>
    <s v="01"/>
    <s v="2021"/>
    <x v="20"/>
    <x v="20"/>
    <x v="1"/>
    <s v="Trapped"/>
    <n v="0.18837459634015072"/>
    <n v="2.6185226019845649"/>
    <n v="2.6235846451256561"/>
    <n v="4.3513295729250601"/>
    <n v="0.26860059092129951"/>
    <m/>
    <s v="T"/>
    <m/>
  </r>
  <r>
    <s v="PU-KSS-29"/>
    <x v="3"/>
    <s v="I"/>
    <s v="IMM"/>
    <s v="G"/>
    <n v="61"/>
    <n v="57"/>
    <n v="3.355"/>
    <n v="8.8999999999999996E-2"/>
    <n v="0.06"/>
    <s v="F22"/>
    <x v="0"/>
    <n v="22"/>
    <n v="0.15"/>
    <n v="0.11899999999999999"/>
    <s v="3 chironomids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1/01/2021"/>
    <s v="21"/>
    <s v="01"/>
    <s v="2021"/>
    <x v="20"/>
    <x v="20"/>
    <x v="1"/>
    <s v="Trapped"/>
    <n v="1.8209408194233687"/>
    <n v="2.7250459277403549"/>
    <n v="2.776044915782907"/>
    <n v="3.5469448584202681"/>
    <n v="0.92399403874813701"/>
    <m/>
    <s v="T"/>
    <m/>
  </r>
  <r>
    <s v="PU-KSS-30"/>
    <x v="3"/>
    <s v="I"/>
    <s v="IMM"/>
    <s v="G"/>
    <n v="63"/>
    <n v="59"/>
    <n v="3.3690000000000002"/>
    <n v="7.3999999999999996E-2"/>
    <n v="2E-3"/>
    <s v="M22"/>
    <x v="2"/>
    <n v="22"/>
    <n v="0.18"/>
    <n v="0.157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1/01/2021"/>
    <s v="21"/>
    <s v="01"/>
    <s v="2021"/>
    <x v="20"/>
    <x v="20"/>
    <x v="1"/>
    <s v="Trapped, gonads not kept"/>
    <n v="5.9400059400059393E-2"/>
    <n v="2.2458270106221545"/>
    <n v="2.2471910112359548"/>
    <n v="4.6601365390323535"/>
    <n v="0.68269516176907075"/>
    <m/>
    <s v="T"/>
    <m/>
  </r>
  <r>
    <s v="PU-KSS-31"/>
    <x v="3"/>
    <s v="S"/>
    <s v="IMM"/>
    <s v="N"/>
    <n v="58"/>
    <n v="54"/>
    <n v="3.1080000000000001"/>
    <n v="0.06"/>
    <n v="4.0000000000000001E-3"/>
    <s v="M22"/>
    <x v="2"/>
    <n v="22"/>
    <n v="0.13500000000000001"/>
    <n v="0.11"/>
    <s v="Inverts (bait)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1/01/2021"/>
    <s v="21"/>
    <s v="01"/>
    <s v="2021"/>
    <x v="20"/>
    <x v="20"/>
    <x v="1"/>
    <s v="Trapped"/>
    <n v="0.12886597938144329"/>
    <n v="1.9685039370078741"/>
    <n v="1.971090670170828"/>
    <n v="3.5392535392535387"/>
    <n v="0.80437580437580458"/>
    <m/>
    <s v="T"/>
    <m/>
  </r>
  <r>
    <s v="PU-KSS-32"/>
    <x v="3"/>
    <s v="I"/>
    <s v="IMM"/>
    <s v="G"/>
    <n v="61"/>
    <n v="57"/>
    <n v="3.18"/>
    <n v="5.6000000000000001E-2"/>
    <n v="5.7000000000000002E-2"/>
    <s v="F22"/>
    <x v="0"/>
    <n v="22"/>
    <n v="0.115"/>
    <n v="0.107"/>
    <s v="2 chironomids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1/01/2021"/>
    <s v="21"/>
    <s v="01"/>
    <s v="2021"/>
    <x v="20"/>
    <x v="20"/>
    <x v="1"/>
    <s v="Trapped"/>
    <n v="1.8251681075888568"/>
    <n v="1.7925736235595391"/>
    <n v="1.8258884903814803"/>
    <n v="3.3647798742138364"/>
    <n v="0.25157232704402538"/>
    <m/>
    <s v="T"/>
    <m/>
  </r>
  <r>
    <s v="PU-KSS-33"/>
    <x v="3"/>
    <s v="S"/>
    <s v="IMM"/>
    <s v="G"/>
    <n v="60"/>
    <n v="56"/>
    <n v="2.9729999999999999"/>
    <n v="5.1999999999999998E-2"/>
    <n v="7.0000000000000001E-3"/>
    <s v="M22"/>
    <x v="2"/>
    <n v="22"/>
    <n v="0.11899999999999999"/>
    <n v="0.106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1/01/2021"/>
    <s v="21"/>
    <s v="01"/>
    <s v="2021"/>
    <x v="20"/>
    <x v="20"/>
    <x v="1"/>
    <s v="Trapped"/>
    <n v="0.2360080917060014"/>
    <n v="1.780212256076686"/>
    <n v="1.7844886753603295"/>
    <n v="3.5654221325260678"/>
    <n v="0.43726875210225358"/>
    <m/>
    <s v="T"/>
    <m/>
  </r>
  <r>
    <s v="PU-KSS-34"/>
    <x v="3"/>
    <s v="S"/>
    <s v="IMM"/>
    <s v="N"/>
    <n v="56"/>
    <n v="53"/>
    <n v="2.76"/>
    <n v="6.3E-2"/>
    <n v="4.1000000000000002E-2"/>
    <s v="F22"/>
    <x v="0"/>
    <n v="22"/>
    <n v="0.112"/>
    <n v="8.8999999999999996E-2"/>
    <s v="Inverts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1/01/2021"/>
    <s v="21"/>
    <s v="01"/>
    <s v="2021"/>
    <x v="20"/>
    <x v="20"/>
    <x v="1"/>
    <s v="Trapped"/>
    <n v="1.5079073188672307"/>
    <n v="2.3359288097886544"/>
    <n v="2.3719879518072293"/>
    <n v="3.22463768115942"/>
    <n v="0.8333333333333337"/>
    <m/>
    <s v="T"/>
    <m/>
  </r>
  <r>
    <s v="PU-KSS-35"/>
    <x v="3"/>
    <s v="I"/>
    <s v="IMM"/>
    <s v="G"/>
    <n v="63"/>
    <n v="58"/>
    <n v="3.5350000000000001"/>
    <n v="7.8E-2"/>
    <n v="7.0000000000000001E-3"/>
    <s v="M22"/>
    <x v="2"/>
    <n v="22"/>
    <n v="0.13700000000000001"/>
    <n v="0.126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d v="2021-09-02T00:00:00"/>
    <n v="9"/>
    <n v="2"/>
    <n v="2021"/>
    <x v="37"/>
    <x v="37"/>
    <x v="2"/>
    <s v="Trapped, some parasites"/>
    <n v="0.1984126984126984"/>
    <n v="2.2562915822967886"/>
    <n v="2.2608695652173911"/>
    <n v="3.564356435643564"/>
    <n v="0.31117397454031143"/>
    <n v="0.31117397454031143"/>
    <s v="T"/>
    <n v="2"/>
  </r>
  <r>
    <s v="PU-KSS-36"/>
    <x v="3"/>
    <s v="I"/>
    <s v="IMM"/>
    <s v="G"/>
    <n v="64"/>
    <n v="60"/>
    <n v="3.7360000000000002"/>
    <n v="8.5000000000000006E-2"/>
    <n v="4.0000000000000001E-3"/>
    <s v="M10"/>
    <x v="2"/>
    <n v="10"/>
    <n v="0.17799999999999999"/>
    <n v="0.15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d v="2021-09-02T00:00:00"/>
    <n v="9"/>
    <n v="2"/>
    <n v="2021"/>
    <x v="37"/>
    <x v="37"/>
    <x v="2"/>
    <s v="Trapped dead, some parasites"/>
    <n v="0.10718113612004287"/>
    <n v="2.3281292796494113"/>
    <n v="2.3306827529476282"/>
    <n v="4.014989293361884"/>
    <n v="0.7494646680942183"/>
    <n v="0.7494646680942183"/>
    <s v="T"/>
    <n v="2"/>
  </r>
  <r>
    <s v="PU-KSS-37"/>
    <x v="3"/>
    <s v="I"/>
    <s v="IMM"/>
    <s v="G"/>
    <n v="64"/>
    <n v="61"/>
    <n v="4.0730000000000004"/>
    <n v="7.3999999999999996E-2"/>
    <n v="4.0000000000000001E-3"/>
    <s v="M10"/>
    <x v="2"/>
    <n v="10"/>
    <n v="0.156"/>
    <n v="0.11899999999999999"/>
    <s v="2 mayflies: 0.015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1.4999999999999999E-2"/>
    <m/>
    <m/>
    <m/>
    <m/>
    <m/>
    <m/>
    <m/>
    <m/>
    <m/>
    <m/>
    <m/>
    <m/>
    <m/>
    <m/>
    <m/>
    <m/>
    <n v="1.4999999999999999E-2"/>
    <d v="2021-09-02T00:00:00"/>
    <n v="9"/>
    <n v="2"/>
    <n v="2021"/>
    <x v="37"/>
    <x v="37"/>
    <x v="2"/>
    <s v="Trapped dead, some parasites"/>
    <n v="9.8304251658884234E-2"/>
    <n v="1.8504626156539132"/>
    <n v="1.8523153942428032"/>
    <n v="2.9216793518291184"/>
    <n v="0.90842131107291924"/>
    <n v="1.2767002209673459"/>
    <s v="T"/>
    <n v="2"/>
  </r>
  <r>
    <s v="PU-KSS-38"/>
    <x v="3"/>
    <s v="I"/>
    <s v="IMM"/>
    <s v="G"/>
    <n v="64"/>
    <n v="61"/>
    <n v="4.47"/>
    <n v="0.09"/>
    <n v="7.0000000000000001E-3"/>
    <s v="M22"/>
    <x v="2"/>
    <n v="22"/>
    <n v="0.157"/>
    <n v="0.122"/>
    <s v="Inverts: 0.013"/>
    <s v="F"/>
    <m/>
    <m/>
    <m/>
    <n v="1.2999999999999999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.2999999999999999E-2"/>
    <d v="2021-09-02T00:00:00"/>
    <n v="9"/>
    <n v="2"/>
    <n v="2021"/>
    <x v="37"/>
    <x v="37"/>
    <x v="2"/>
    <s v="Trapped dead, some parasites"/>
    <n v="0.15684517140936591"/>
    <n v="2.054794520547945"/>
    <n v="2.0580836954036128"/>
    <n v="2.7293064876957494"/>
    <n v="0.78299776286353484"/>
    <n v="1.0738255033557049"/>
    <s v="T"/>
    <n v="2"/>
  </r>
  <r>
    <s v="PU-KSS-39"/>
    <x v="3"/>
    <s v="S"/>
    <s v="IMM"/>
    <s v="N"/>
    <n v="55"/>
    <n v="52"/>
    <n v="2.4260000000000002"/>
    <n v="5.2999999999999999E-2"/>
    <n v="3.4000000000000002E-2"/>
    <s v="F22"/>
    <x v="0"/>
    <n v="22"/>
    <n v="0.10199999999999999"/>
    <n v="7.0999999999999994E-2"/>
    <s v="9 chiro: 0.015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9"/>
    <n v="1.4999999999999999E-2"/>
    <m/>
    <m/>
    <m/>
    <m/>
    <m/>
    <m/>
    <m/>
    <m/>
    <m/>
    <m/>
    <m/>
    <m/>
    <m/>
    <m/>
    <m/>
    <m/>
    <m/>
    <m/>
    <m/>
    <m/>
    <m/>
    <m/>
    <m/>
    <m/>
    <n v="1.4999999999999999E-2"/>
    <d v="2021-09-02T00:00:00"/>
    <n v="9"/>
    <n v="2"/>
    <n v="2021"/>
    <x v="37"/>
    <x v="37"/>
    <x v="2"/>
    <s v="Trapped dead, heavily parasitized, tail broken but salvaged for length"/>
    <n v="1.4214046822742474"/>
    <n v="2.2334597555836493"/>
    <n v="2.2659256092347153"/>
    <n v="2.9266281945589441"/>
    <n v="1.2778235779060181"/>
    <n v="1.8961253091508656"/>
    <s v="T"/>
    <n v="3"/>
  </r>
  <r>
    <s v="PU-KSS-40"/>
    <x v="3"/>
    <s v="S"/>
    <s v="IMM"/>
    <s v="G"/>
    <n v="60"/>
    <n v="57"/>
    <n v="3.36"/>
    <n v="0.06"/>
    <n v="5.6000000000000001E-2"/>
    <s v="F22"/>
    <x v="0"/>
    <n v="22"/>
    <n v="9.7000000000000003E-2"/>
    <n v="8.4000000000000005E-2"/>
    <s v="Inverts: 0.001"/>
    <s v="F"/>
    <m/>
    <m/>
    <m/>
    <n v="1E-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E-3"/>
    <d v="2021-09-02T00:00:00"/>
    <n v="9"/>
    <n v="2"/>
    <n v="2021"/>
    <x v="37"/>
    <x v="37"/>
    <x v="2"/>
    <s v="Trapped dead, heavily parasitized"/>
    <n v="1.6949152542372881"/>
    <n v="1.8181818181818181"/>
    <n v="1.8495684340320593"/>
    <n v="2.5"/>
    <n v="0.38690476190476181"/>
    <n v="0.41666666666666669"/>
    <s v="T"/>
    <n v="3"/>
  </r>
  <r>
    <s v="PU-KSS-41"/>
    <x v="3"/>
    <s v="I"/>
    <s v="IMM"/>
    <s v="G"/>
    <n v="61"/>
    <n v="57"/>
    <n v="3.5640000000000001"/>
    <n v="7.0999999999999994E-2"/>
    <n v="6.0000000000000001E-3"/>
    <s v="M22"/>
    <x v="2"/>
    <n v="22"/>
    <n v="0.14499999999999999"/>
    <n v="0.11600000000000001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d v="2021-10-02T00:00:00"/>
    <n v="10"/>
    <n v="2"/>
    <n v="2021"/>
    <x v="38"/>
    <x v="38"/>
    <x v="2"/>
    <s v="Trapped dead, heavily parasitized"/>
    <n v="0.16863406408094433"/>
    <n v="2.0326367019753793"/>
    <n v="2.0361342127903641"/>
    <n v="3.2547699214365884"/>
    <n v="0.81369248035914665"/>
    <n v="0.81369248035914665"/>
    <s v="T"/>
    <n v="3"/>
  </r>
  <r>
    <s v="PU-KSS-42"/>
    <x v="3"/>
    <s v="I"/>
    <s v="IMM"/>
    <s v="G"/>
    <n v="61"/>
    <n v="57"/>
    <n v="3.7989999999999999"/>
    <n v="0.09"/>
    <n v="6.7000000000000004E-2"/>
    <s v="F22"/>
    <x v="0"/>
    <n v="22"/>
    <n v="0.13400000000000001"/>
    <n v="0.107"/>
    <s v="2 x chiro: 0.008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8.0000000000000002E-3"/>
    <m/>
    <m/>
    <m/>
    <m/>
    <m/>
    <m/>
    <m/>
    <m/>
    <m/>
    <m/>
    <m/>
    <m/>
    <m/>
    <m/>
    <m/>
    <m/>
    <m/>
    <m/>
    <m/>
    <m/>
    <m/>
    <m/>
    <m/>
    <m/>
    <n v="8.0000000000000002E-3"/>
    <d v="2021-10-02T00:00:00"/>
    <n v="10"/>
    <n v="2"/>
    <n v="2021"/>
    <x v="38"/>
    <x v="38"/>
    <x v="2"/>
    <s v="Trapped dead, heavily parasitized, picture #5"/>
    <n v="1.7952840300107182"/>
    <n v="2.4265300620113237"/>
    <n v="2.4711696869851729"/>
    <n v="2.8165306659647276"/>
    <n v="0.71071334561726807"/>
    <n v="0.92129507765201391"/>
    <s v="T"/>
    <n v="3"/>
  </r>
  <r>
    <s v="PU-KSS-43"/>
    <x v="3"/>
    <s v="S"/>
    <s v="IMM"/>
    <s v="N"/>
    <n v="58"/>
    <n v="55"/>
    <n v="3.23"/>
    <n v="7.6999999999999999E-2"/>
    <n v="6.0999999999999999E-2"/>
    <s v="F22"/>
    <x v="0"/>
    <n v="22"/>
    <n v="0.11700000000000001"/>
    <n v="0.105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d v="2021-10-02T00:00:00"/>
    <n v="10"/>
    <n v="2"/>
    <n v="2021"/>
    <x v="38"/>
    <x v="38"/>
    <x v="2"/>
    <s v="Trapped dead, heavily parasitized"/>
    <n v="1.9248974439886399"/>
    <n v="2.4421186171899776"/>
    <n v="2.4902975420439843"/>
    <n v="3.2507739938080498"/>
    <n v="0.37151702786377744"/>
    <n v="0.37151702786377744"/>
    <s v="T"/>
    <n v="3"/>
  </r>
  <r>
    <s v="PU-KSS-44"/>
    <x v="3"/>
    <s v="I"/>
    <s v="IMM"/>
    <s v="G"/>
    <n v="62"/>
    <n v="58"/>
    <n v="3.7789999999999999"/>
    <n v="7.0999999999999994E-2"/>
    <n v="6.0000000000000001E-3"/>
    <s v="M22"/>
    <x v="2"/>
    <n v="22"/>
    <n v="0.156"/>
    <n v="0.13700000000000001"/>
    <s v="Goo: 0.003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d v="2021-10-02T00:00:00"/>
    <n v="10"/>
    <n v="2"/>
    <n v="2021"/>
    <x v="38"/>
    <x v="38"/>
    <x v="2"/>
    <s v="Trapped dead, heavily parasitized"/>
    <n v="0.15902464882056719"/>
    <n v="1.9147788565264292"/>
    <n v="1.917882225823879"/>
    <n v="3.625297697803652"/>
    <n v="0.50277851283408281"/>
    <n v="0.50277851283408281"/>
    <s v="T"/>
    <n v="3"/>
  </r>
  <r>
    <s v="PU-KSS-45"/>
    <x v="3"/>
    <s v="S"/>
    <s v="IMM"/>
    <s v="N"/>
    <n v="54"/>
    <n v="51"/>
    <n v="2.3149999999999999"/>
    <n v="6.0999999999999999E-2"/>
    <n v="2.9000000000000001E-2"/>
    <s v="F20"/>
    <x v="0"/>
    <n v="20"/>
    <n v="0.09"/>
    <n v="6.4000000000000001E-2"/>
    <s v="Goo: 0.006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d v="2021-10-02T00:00:00"/>
    <n v="10"/>
    <n v="2"/>
    <n v="2021"/>
    <x v="38"/>
    <x v="38"/>
    <x v="2"/>
    <s v="Trapped dead, heavily parasitized, picture #6"/>
    <n v="1.268591426071741"/>
    <n v="2.7062999112688555"/>
    <n v="2.7415730337078648"/>
    <n v="2.7645788336933044"/>
    <n v="1.1231101511879049"/>
    <n v="1.1231101511879049"/>
    <s v="T"/>
    <n v="3"/>
  </r>
  <r>
    <s v="PU-KSS-46"/>
    <x v="3"/>
    <s v="I"/>
    <s v="IMM"/>
    <s v="G"/>
    <n v="64"/>
    <n v="61"/>
    <n v="3.98"/>
    <n v="7.1999999999999995E-2"/>
    <n v="7.0000000000000001E-3"/>
    <s v="M22"/>
    <x v="2"/>
    <n v="22"/>
    <n v="0.16"/>
    <n v="0.13"/>
    <s v="Goo: NW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d v="2021-10-02T00:00:00"/>
    <n v="10"/>
    <n v="2"/>
    <n v="2021"/>
    <x v="38"/>
    <x v="38"/>
    <x v="2"/>
    <s v="Trapped dead, heavily parasitized, picture #7 IMG_2905-07"/>
    <n v="0.17618927762396175"/>
    <n v="1.842374616171955"/>
    <n v="1.8456805947193029"/>
    <n v="3.2663316582914574"/>
    <n v="0.75376884422110546"/>
    <n v="0.75376884422110546"/>
    <s v="T"/>
    <n v="3"/>
  </r>
  <r>
    <s v="PU-KSS-47"/>
    <x v="3"/>
    <s v="I"/>
    <s v="S"/>
    <s v="G"/>
    <n v="68"/>
    <n v="63"/>
    <n v="4.5380000000000003"/>
    <n v="0.11700000000000001"/>
    <n v="1.2E-2"/>
    <s v="M22"/>
    <x v="2"/>
    <n v="22"/>
    <n v="0.32800000000000001"/>
    <n v="0.24"/>
    <s v="4 damsel: 0.053; 1 invert: 0.018"/>
    <s v="F"/>
    <m/>
    <m/>
    <n v="1"/>
    <n v="1.7999999999999999E-2"/>
    <m/>
    <m/>
    <m/>
    <m/>
    <m/>
    <m/>
    <m/>
    <m/>
    <m/>
    <m/>
    <m/>
    <m/>
    <m/>
    <m/>
    <m/>
    <m/>
    <m/>
    <m/>
    <m/>
    <m/>
    <m/>
    <m/>
    <n v="4"/>
    <n v="5.2999999999999999E-2"/>
    <m/>
    <m/>
    <m/>
    <m/>
    <m/>
    <m/>
    <m/>
    <m/>
    <m/>
    <m/>
    <m/>
    <m/>
    <m/>
    <m/>
    <m/>
    <m/>
    <m/>
    <m/>
    <m/>
    <m/>
    <m/>
    <m/>
    <m/>
    <m/>
    <m/>
    <m/>
    <m/>
    <m/>
    <n v="7.0999999999999994E-2"/>
    <d v="2021-07-04T00:00:00"/>
    <n v="7"/>
    <n v="4"/>
    <n v="2021"/>
    <x v="28"/>
    <x v="28"/>
    <x v="6"/>
    <m/>
    <n v="0.26513477684489611"/>
    <n v="2.6464600769056776"/>
    <n v="2.65366296212293E-2"/>
    <n v="5.5839925546765938"/>
    <n v="1.9391802556192157"/>
    <n v="3.5037461436756283"/>
    <s v="T"/>
    <n v="3"/>
  </r>
  <r>
    <s v="PU-KSS-48"/>
    <x v="3"/>
    <s v="S"/>
    <s v="IMM"/>
    <s v="G"/>
    <n v="60"/>
    <n v="55"/>
    <n v="3.0979999999999999"/>
    <n v="7.4999999999999997E-2"/>
    <n v="7.1999999999999995E-2"/>
    <s v="F23"/>
    <x v="0"/>
    <n v="23"/>
    <n v="0.185"/>
    <n v="0.13700000000000001"/>
    <s v="1 damsel: 0.025; ~4 inverts: 0.004"/>
    <s v="F"/>
    <m/>
    <m/>
    <n v="4"/>
    <n v="4.0000000000000001E-3"/>
    <m/>
    <m/>
    <m/>
    <m/>
    <m/>
    <m/>
    <m/>
    <m/>
    <m/>
    <m/>
    <m/>
    <m/>
    <m/>
    <m/>
    <m/>
    <m/>
    <m/>
    <m/>
    <m/>
    <m/>
    <m/>
    <m/>
    <n v="1"/>
    <n v="2.5000000000000001E-2"/>
    <m/>
    <m/>
    <m/>
    <m/>
    <m/>
    <m/>
    <m/>
    <m/>
    <m/>
    <m/>
    <m/>
    <m/>
    <m/>
    <m/>
    <m/>
    <m/>
    <m/>
    <m/>
    <m/>
    <m/>
    <m/>
    <m/>
    <m/>
    <m/>
    <m/>
    <m/>
    <m/>
    <m/>
    <n v="2.9000000000000001E-2"/>
    <d v="2021-07-04T00:00:00"/>
    <n v="7"/>
    <n v="4"/>
    <n v="2021"/>
    <x v="28"/>
    <x v="28"/>
    <x v="6"/>
    <m/>
    <n v="2.3793787177792467"/>
    <n v="2.4809791597750581"/>
    <n v="2.5415113520840395E-2"/>
    <n v="4.6268152651131373"/>
    <n v="1.549386701097482"/>
    <n v="2.4854744996772107"/>
    <s v="T"/>
    <n v="3"/>
  </r>
  <r>
    <s v="PU-KSS-49"/>
    <x v="3"/>
    <s v="I"/>
    <s v="IMM"/>
    <s v="G"/>
    <n v="63"/>
    <n v="59"/>
    <n v="3.4249999999999998"/>
    <n v="7.0999999999999994E-2"/>
    <n v="6.5000000000000002E-2"/>
    <s v="F23"/>
    <x v="0"/>
    <n v="23"/>
    <n v="0.16900000000000001"/>
    <n v="0.153"/>
    <s v="inverts: 0.005"/>
    <s v="F"/>
    <m/>
    <m/>
    <m/>
    <n v="5.0000000000000001E-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.0000000000000001E-3"/>
    <d v="2021-07-04T00:00:00"/>
    <n v="7"/>
    <n v="4"/>
    <n v="2021"/>
    <x v="28"/>
    <x v="28"/>
    <x v="6"/>
    <m/>
    <n v="1.9345238095238095"/>
    <n v="2.1168753726893264"/>
    <n v="2.1587108543630284E-2"/>
    <n v="4.6760391198044013"/>
    <n v="0.46715328467153333"/>
    <n v="0.61313868613138733"/>
    <s v="T"/>
    <n v="3"/>
  </r>
  <r>
    <s v="PU-KSS-50"/>
    <x v="3"/>
    <s v="I"/>
    <s v="IMM"/>
    <s v="G"/>
    <n v="61"/>
    <n v="58"/>
    <n v="3.3730000000000002"/>
    <n v="5.8999999999999997E-2"/>
    <n v="7.4999999999999997E-2"/>
    <s v="F23"/>
    <x v="0"/>
    <n v="23"/>
    <n v="0.151"/>
    <n v="0.13600000000000001"/>
    <s v="inverts: 0.004"/>
    <s v="F"/>
    <m/>
    <m/>
    <m/>
    <n v="4.0000000000000001E-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.0000000000000001E-3"/>
    <d v="2021-07-04T00:00:00"/>
    <n v="7"/>
    <n v="4"/>
    <n v="2021"/>
    <x v="28"/>
    <x v="28"/>
    <x v="6"/>
    <m/>
    <n v="2.2741055184960581"/>
    <n v="1.7803258901629451"/>
    <n v="1.821549861068231E-2"/>
    <n v="4.2014210688909488"/>
    <n v="0.44470797509635296"/>
    <n v="0.56329676845538046"/>
    <s v="T"/>
    <n v="3"/>
  </r>
  <r>
    <s v="PU-KSS-51"/>
    <x v="3"/>
    <s v="I"/>
    <s v="IMM"/>
    <s v="G"/>
    <n v="64"/>
    <n v="61"/>
    <n v="3.835"/>
    <n v="0.10299999999999999"/>
    <n v="1.6E-2"/>
    <s v="M22"/>
    <x v="2"/>
    <n v="22"/>
    <n v="0.221"/>
    <n v="0.19600000000000001"/>
    <s v="1 scud: 0.018"/>
    <s v="F"/>
    <m/>
    <m/>
    <m/>
    <m/>
    <m/>
    <m/>
    <m/>
    <m/>
    <m/>
    <m/>
    <m/>
    <m/>
    <m/>
    <m/>
    <n v="1"/>
    <n v="1.7999999999999999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.7999999999999999E-2"/>
    <d v="2021-08-04T00:00:00"/>
    <n v="8"/>
    <n v="4"/>
    <n v="2021"/>
    <x v="39"/>
    <x v="39"/>
    <x v="6"/>
    <m/>
    <n v="0.41895784236711187"/>
    <n v="2.759914255091104"/>
    <n v="2.7717976318622176E-2"/>
    <n v="5.3860950810662276"/>
    <n v="0.65189048239895686"/>
    <n v="1.1212516297262058"/>
    <s v="T"/>
    <n v="3"/>
  </r>
  <r>
    <s v="PU-KSS-52"/>
    <x v="3"/>
    <s v="S"/>
    <s v="IMM"/>
    <s v="G"/>
    <n v="60"/>
    <n v="57"/>
    <n v="3.3980000000000001"/>
    <n v="8.5999999999999993E-2"/>
    <n v="7.1999999999999995E-2"/>
    <s v="F23"/>
    <x v="0"/>
    <n v="23"/>
    <n v="0.17699999999999999"/>
    <n v="0.13900000000000001"/>
    <s v="2 scud: 0.024"/>
    <s v="F"/>
    <m/>
    <m/>
    <m/>
    <m/>
    <m/>
    <m/>
    <m/>
    <m/>
    <m/>
    <m/>
    <m/>
    <m/>
    <m/>
    <m/>
    <n v="2"/>
    <n v="2.4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.4E-2"/>
    <d v="2021-08-04T00:00:00"/>
    <n v="8"/>
    <n v="4"/>
    <n v="2021"/>
    <x v="39"/>
    <x v="39"/>
    <x v="6"/>
    <m/>
    <n v="2.1647624774503904"/>
    <n v="2.5966183574879222"/>
    <n v="2.6543209876543208E-2"/>
    <n v="4.2651119975452598"/>
    <n v="1.1183048852266031"/>
    <n v="1.8246027074749847"/>
    <s v="T"/>
    <n v="3"/>
  </r>
  <r>
    <s v="PU-KSS-53"/>
    <x v="3"/>
    <s v="I"/>
    <s v="IMM"/>
    <s v="G"/>
    <n v="61"/>
    <n v="56"/>
    <n v="3.1059999999999999"/>
    <n v="7.6999999999999999E-2"/>
    <n v="6.3E-2"/>
    <s v="F22"/>
    <x v="0"/>
    <n v="22"/>
    <n v="0.16400000000000001"/>
    <n v="0.156"/>
    <s v="2 mayfly: 0.001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1E-3"/>
    <m/>
    <m/>
    <m/>
    <m/>
    <m/>
    <m/>
    <m/>
    <m/>
    <m/>
    <m/>
    <m/>
    <m/>
    <m/>
    <m/>
    <m/>
    <m/>
    <n v="1E-3"/>
    <d v="2021-08-04T00:00:00"/>
    <n v="8"/>
    <n v="4"/>
    <n v="2021"/>
    <x v="39"/>
    <x v="39"/>
    <x v="6"/>
    <m/>
    <n v="2.0703253368386463"/>
    <n v="2.5420931000330143"/>
    <n v="2.596089008766015E-2"/>
    <n v="5.28813559322034"/>
    <n v="0.25756600128783025"/>
    <n v="0.289761751448809"/>
    <s v="T"/>
    <n v="3"/>
  </r>
  <r>
    <s v="PU-KSS-54"/>
    <x v="3"/>
    <s v="I"/>
    <s v="S"/>
    <s v="G"/>
    <n v="65"/>
    <n v="61"/>
    <n v="3.4990000000000001"/>
    <n v="8.2000000000000003E-2"/>
    <n v="1.7000000000000001E-2"/>
    <s v="M22"/>
    <x v="2"/>
    <n v="22"/>
    <n v="0.21299999999999999"/>
    <n v="0.183"/>
    <s v="inverts: 0.016"/>
    <s v="F"/>
    <m/>
    <m/>
    <m/>
    <n v="1.6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.6E-2"/>
    <d v="2021-08-04T00:00:00"/>
    <n v="8"/>
    <n v="4"/>
    <n v="2021"/>
    <x v="39"/>
    <x v="39"/>
    <x v="6"/>
    <m/>
    <n v="0.48822515795519816"/>
    <n v="2.3997658764998535"/>
    <n v="2.4117647058823528E-2"/>
    <n v="5.5186972255729794"/>
    <n v="0.85738782509288369"/>
    <n v="1.3146613318090883"/>
    <s v="T"/>
    <n v="2"/>
  </r>
  <r>
    <s v="PU-KSS-55"/>
    <x v="3"/>
    <s v="S"/>
    <s v="IMM"/>
    <s v="G"/>
    <n v="60"/>
    <n v="56"/>
    <n v="3.06"/>
    <n v="5.8999999999999997E-2"/>
    <n v="6.4000000000000001E-2"/>
    <s v="F23"/>
    <x v="0"/>
    <n v="23"/>
    <n v="0.126"/>
    <n v="0.11700000000000001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1-08-04T00:00:00"/>
    <n v="8"/>
    <n v="4"/>
    <n v="2021"/>
    <x v="39"/>
    <x v="39"/>
    <x v="6"/>
    <m/>
    <n v="2.1361815754339117"/>
    <n v="1.9660113295568142"/>
    <n v="2.0088525706503234E-2"/>
    <n v="3.9755351681957185"/>
    <n v="0.29411764705882337"/>
    <n v="0.29411764705882337"/>
    <s v="T"/>
    <n v="2"/>
  </r>
  <r>
    <s v="PU-KSS-56"/>
    <x v="3"/>
    <s v="I"/>
    <s v="IMM"/>
    <s v="G"/>
    <n v="61"/>
    <n v="57"/>
    <n v="2.8809999999999998"/>
    <n v="6.7000000000000004E-2"/>
    <n v="5.8999999999999997E-2"/>
    <s v="F23"/>
    <x v="0"/>
    <n v="23"/>
    <n v="0.114"/>
    <n v="0.109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1-08-04T00:00:00"/>
    <n v="8"/>
    <n v="4"/>
    <n v="2021"/>
    <x v="39"/>
    <x v="39"/>
    <x v="6"/>
    <m/>
    <n v="2.0907158043940468"/>
    <n v="2.3809523809523814"/>
    <n v="2.4319419237749551E-2"/>
    <n v="3.9321789321789327"/>
    <n v="0.17355085039916712"/>
    <n v="0.17355085039916712"/>
    <s v="T"/>
    <n v="2"/>
  </r>
  <r>
    <s v="PU-KSS-57"/>
    <x v="3"/>
    <s v="I"/>
    <s v="B"/>
    <s v="N"/>
    <n v="115"/>
    <n v="109"/>
    <n v="26.321000000000002"/>
    <n v="0.48699999999999999"/>
    <n v="0.21299999999999999"/>
    <s v="M30"/>
    <x v="2"/>
    <n v="30"/>
    <n v="1.446"/>
    <n v="1.42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1-06-05T00:00:00"/>
    <n v="6"/>
    <n v="5"/>
    <n v="2021"/>
    <x v="40"/>
    <x v="40"/>
    <x v="8"/>
    <m/>
    <n v="0.81584188754404774"/>
    <n v="1.8851126422543933"/>
    <n v="1.9007845127044218E-2"/>
    <n v="5.702582225613428"/>
    <n v="9.8780441472588507E-2"/>
    <n v="9.8780441472588507E-2"/>
    <s v="T"/>
    <n v="3"/>
  </r>
  <r>
    <s v="PU-KSS-58"/>
    <x v="3"/>
    <s v="I"/>
    <s v="S"/>
    <s v="G"/>
    <n v="67"/>
    <n v="64"/>
    <n v="4.875"/>
    <n v="0.17100000000000001"/>
    <n v="0.313"/>
    <s v="F30"/>
    <x v="0"/>
    <n v="30"/>
    <n v="0.25800000000000001"/>
    <n v="0.23699999999999999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1-06-05T00:00:00"/>
    <n v="6"/>
    <n v="5"/>
    <n v="2021"/>
    <x v="40"/>
    <x v="40"/>
    <x v="8"/>
    <m/>
    <n v="6.8610258658483119"/>
    <n v="3.6352040816326534"/>
    <n v="3.8943293099521749E-2"/>
    <n v="5.1099611901681756"/>
    <n v="0.43076923076923118"/>
    <n v="0.43076923076923118"/>
    <s v="T"/>
    <n v="3"/>
  </r>
  <r>
    <s v="PU-KSS-59"/>
    <x v="3"/>
    <s v="I"/>
    <s v="S"/>
    <s v="G"/>
    <n v="70"/>
    <n v="67"/>
    <n v="5.7030000000000003"/>
    <n v="0.111"/>
    <n v="7.5999999999999998E-2"/>
    <s v="M30"/>
    <x v="2"/>
    <n v="30"/>
    <n v="0.40100000000000002"/>
    <n v="0.37"/>
    <s v="5 chiro: 0.019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n v="1.9E-2"/>
    <m/>
    <m/>
    <m/>
    <m/>
    <m/>
    <m/>
    <m/>
    <m/>
    <m/>
    <m/>
    <m/>
    <m/>
    <m/>
    <m/>
    <m/>
    <m/>
    <m/>
    <m/>
    <m/>
    <m/>
    <m/>
    <m/>
    <m/>
    <m/>
    <n v="1.9E-2"/>
    <d v="2021-08-05T00:00:00"/>
    <n v="8"/>
    <n v="5"/>
    <n v="2021"/>
    <x v="41"/>
    <x v="41"/>
    <x v="8"/>
    <m/>
    <n v="1.3506308867958057"/>
    <n v="1.984978540772532"/>
    <n v="2.0123277737490931E-2"/>
    <n v="6.9379336208513029"/>
    <n v="0.54357355777660921"/>
    <n v="0.87673154480098248"/>
    <s v="T"/>
    <n v="3"/>
  </r>
  <r>
    <s v="PU-KSS-60"/>
    <x v="3"/>
    <s v="I"/>
    <s v="S"/>
    <s v="G"/>
    <n v="73"/>
    <n v="70"/>
    <n v="6.6379999999999999"/>
    <n v="8.6999999999999994E-2"/>
    <n v="0.127"/>
    <s v="M30"/>
    <x v="2"/>
    <n v="30"/>
    <n v="0.40799999999999997"/>
    <n v="0.378"/>
    <s v="10 inverts: 0.015"/>
    <s v="F"/>
    <m/>
    <m/>
    <n v="10"/>
    <n v="1.4999999999999999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.4999999999999999E-2"/>
    <d v="2021-08-05T00:00:00"/>
    <n v="8"/>
    <n v="5"/>
    <n v="2021"/>
    <x v="41"/>
    <x v="41"/>
    <x v="8"/>
    <m/>
    <n v="1.9505452311472893"/>
    <n v="1.328041520378568"/>
    <n v="1.3542963885429637E-2"/>
    <n v="6.0383386581469658"/>
    <n v="0.45194335643265998"/>
    <n v="0.67791503464899017"/>
    <s v="T"/>
    <n v="2"/>
  </r>
  <r>
    <s v="PU-KSS-61"/>
    <x v="3"/>
    <s v="I"/>
    <s v="S"/>
    <s v="G"/>
    <n v="70"/>
    <n v="67"/>
    <n v="5.5030000000000001"/>
    <n v="0.27200000000000002"/>
    <n v="0.57699999999999996"/>
    <s v="F30"/>
    <x v="0"/>
    <n v="30"/>
    <n v="0.28100000000000003"/>
    <n v="0.27400000000000002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1-08-05T00:00:00"/>
    <n v="8"/>
    <n v="5"/>
    <n v="2021"/>
    <x v="41"/>
    <x v="41"/>
    <x v="8"/>
    <m/>
    <n v="11.713357693869265"/>
    <n v="5.199770598355955"/>
    <n v="5.8444348947142247E-2"/>
    <n v="5.2400076496462038"/>
    <n v="0.12720334363074698"/>
    <n v="0.12720334363074698"/>
    <s v="T"/>
    <n v="3"/>
  </r>
  <r>
    <s v="PU-KSS-62"/>
    <x v="3"/>
    <s v="I"/>
    <s v="S"/>
    <s v="G"/>
    <n v="69"/>
    <n v="65"/>
    <n v="4.8769999999999998"/>
    <n v="0.11899999999999999"/>
    <n v="0.215"/>
    <s v="F30"/>
    <x v="0"/>
    <n v="30"/>
    <n v="0.371"/>
    <n v="0.25700000000000001"/>
    <s v="17 chiro: 0.098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7"/>
    <n v="9.8000000000000004E-2"/>
    <m/>
    <m/>
    <m/>
    <m/>
    <m/>
    <m/>
    <m/>
    <m/>
    <m/>
    <m/>
    <m/>
    <m/>
    <m/>
    <m/>
    <m/>
    <m/>
    <m/>
    <m/>
    <m/>
    <m/>
    <m/>
    <m/>
    <m/>
    <m/>
    <n v="9.8000000000000004E-2"/>
    <d v="2021-08-05T00:00:00"/>
    <n v="8"/>
    <n v="5"/>
    <n v="2021"/>
    <x v="41"/>
    <x v="41"/>
    <x v="8"/>
    <m/>
    <n v="4.6117546117546118"/>
    <n v="2.5010508617065992"/>
    <n v="2.6194144838212634E-2"/>
    <n v="5.562770562770563"/>
    <n v="2.3375025630510557"/>
    <n v="4.3469345909370514"/>
    <s v="T"/>
    <n v="3"/>
  </r>
  <r>
    <s v="PU-KSS-63"/>
    <x v="3"/>
    <s v="I"/>
    <s v="S"/>
    <s v="G"/>
    <n v="68"/>
    <n v="65"/>
    <n v="4.9610000000000003"/>
    <n v="0.14699999999999999"/>
    <n v="0.28399999999999997"/>
    <s v="F30"/>
    <x v="0"/>
    <n v="30"/>
    <n v="0.33500000000000002"/>
    <n v="0.30199999999999999"/>
    <s v="6 chiro: 0.02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"/>
    <n v="0.02"/>
    <m/>
    <m/>
    <m/>
    <m/>
    <m/>
    <m/>
    <m/>
    <m/>
    <m/>
    <m/>
    <m/>
    <m/>
    <m/>
    <m/>
    <m/>
    <m/>
    <m/>
    <m/>
    <m/>
    <m/>
    <m/>
    <m/>
    <m/>
    <m/>
    <n v="0.02"/>
    <d v="2021-08-05T00:00:00"/>
    <n v="8"/>
    <n v="5"/>
    <n v="2021"/>
    <x v="41"/>
    <x v="41"/>
    <x v="8"/>
    <m/>
    <n v="6.0722685482146659"/>
    <n v="3.0535936850851679"/>
    <n v="3.2450331125827812E-2"/>
    <n v="6.4820776990770543"/>
    <n v="0.66518847006651938"/>
    <n v="1.0683329973795612"/>
    <s v="T"/>
    <n v="3"/>
  </r>
  <r>
    <s v="PU-KSS-64"/>
    <x v="3"/>
    <s v="I"/>
    <s v="S"/>
    <s v="G"/>
    <n v="76"/>
    <n v="72"/>
    <n v="8.4540000000000006"/>
    <n v="0.33"/>
    <n v="1.0580000000000001"/>
    <s v="F30"/>
    <x v="0"/>
    <n v="30"/>
    <n v="0.46200000000000002"/>
    <n v="0.45400000000000001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9/5/2021"/>
    <s v="19"/>
    <s v="5"/>
    <s v="2021"/>
    <x v="30"/>
    <x v="30"/>
    <x v="9"/>
    <m/>
    <n v="14.305029745808545"/>
    <n v="4.0620384047267351"/>
    <n v="4.6702519105575997E-2"/>
    <n v="5.6749999999999998"/>
    <n v="9.4629761059853407E-2"/>
    <n v="9.4629761059853407E-2"/>
    <s v="T"/>
    <n v="3"/>
  </r>
  <r>
    <s v="PU-KSS-65"/>
    <x v="3"/>
    <s v="I"/>
    <s v="S"/>
    <s v="G"/>
    <n v="67"/>
    <n v="64"/>
    <n v="5.819"/>
    <n v="0.16700000000000001"/>
    <n v="1.0640000000000001"/>
    <s v="F30"/>
    <x v="0"/>
    <n v="30"/>
    <n v="0.39"/>
    <n v="0.32800000000000001"/>
    <s v="6 chiro: 0.032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"/>
    <n v="3.2000000000000001E-2"/>
    <m/>
    <m/>
    <m/>
    <m/>
    <m/>
    <m/>
    <m/>
    <m/>
    <m/>
    <m/>
    <m/>
    <m/>
    <m/>
    <m/>
    <m/>
    <m/>
    <m/>
    <m/>
    <m/>
    <m/>
    <m/>
    <m/>
    <m/>
    <m/>
    <n v="3.2000000000000001E-2"/>
    <s v="19/5/2021"/>
    <s v="19"/>
    <s v="5"/>
    <s v="2021"/>
    <x v="30"/>
    <x v="30"/>
    <x v="9"/>
    <m/>
    <n v="22.376445846477395"/>
    <n v="2.9547062986553434"/>
    <n v="3.6399302528334787E-2"/>
    <n v="5.9734110362411226"/>
    <n v="1.0654751675545626"/>
    <n v="1.6153978346794982"/>
    <s v="T"/>
    <n v="3"/>
  </r>
  <r>
    <s v="PU-KSS-66"/>
    <x v="3"/>
    <s v="I"/>
    <s v="S"/>
    <s v="G"/>
    <n v="76"/>
    <n v="72"/>
    <n v="7.899"/>
    <n v="0.13500000000000001"/>
    <n v="0.20799999999999999"/>
    <s v="M30"/>
    <x v="2"/>
    <n v="30"/>
    <n v="0.84299999999999997"/>
    <n v="0.58299999999999996"/>
    <s v="7 chiro: 0.026; 2 caddis: 0.036; ~20 inverts: 0.146"/>
    <s v="F"/>
    <m/>
    <m/>
    <n v="20"/>
    <n v="0.14599999999999999"/>
    <m/>
    <m/>
    <m/>
    <m/>
    <m/>
    <m/>
    <m/>
    <m/>
    <m/>
    <m/>
    <m/>
    <m/>
    <m/>
    <m/>
    <m/>
    <m/>
    <m/>
    <m/>
    <m/>
    <m/>
    <m/>
    <m/>
    <m/>
    <m/>
    <m/>
    <m/>
    <n v="7"/>
    <n v="2.5999999999999999E-2"/>
    <m/>
    <m/>
    <m/>
    <m/>
    <n v="2"/>
    <n v="3.5999999999999997E-2"/>
    <m/>
    <m/>
    <m/>
    <m/>
    <m/>
    <m/>
    <m/>
    <m/>
    <m/>
    <m/>
    <m/>
    <m/>
    <m/>
    <m/>
    <m/>
    <m/>
    <m/>
    <m/>
    <n v="0.20799999999999999"/>
    <s v="19/5/2021"/>
    <s v="19"/>
    <s v="5"/>
    <s v="2021"/>
    <x v="30"/>
    <x v="30"/>
    <x v="9"/>
    <m/>
    <n v="2.7044597581588872"/>
    <n v="1.7387944358578051"/>
    <n v="1.786659608258338E-2"/>
    <n v="7.9688354291962815"/>
    <n v="3.2915558931510316"/>
    <n v="5.9248006076718571"/>
    <s v="T"/>
    <n v="2"/>
  </r>
  <r>
    <s v="PU-KSS-67"/>
    <x v="3"/>
    <s v="I"/>
    <s v="S"/>
    <s v="G"/>
    <n v="71"/>
    <n v="67"/>
    <n v="6.7839999999999998"/>
    <n v="9.5000000000000001E-2"/>
    <n v="0.184"/>
    <s v="M30"/>
    <x v="2"/>
    <n v="30"/>
    <n v="0.53"/>
    <n v="0.39400000000000002"/>
    <s v="1 damsel: 0.048; ~15 inverts: 0.056"/>
    <s v="F"/>
    <m/>
    <m/>
    <n v="15"/>
    <n v="5.6000000000000001E-2"/>
    <m/>
    <m/>
    <m/>
    <m/>
    <m/>
    <m/>
    <m/>
    <m/>
    <m/>
    <m/>
    <m/>
    <m/>
    <m/>
    <m/>
    <m/>
    <m/>
    <m/>
    <m/>
    <m/>
    <m/>
    <m/>
    <m/>
    <n v="1"/>
    <n v="4.8000000000000001E-2"/>
    <m/>
    <m/>
    <m/>
    <m/>
    <m/>
    <m/>
    <m/>
    <m/>
    <m/>
    <m/>
    <m/>
    <m/>
    <m/>
    <m/>
    <m/>
    <m/>
    <m/>
    <m/>
    <m/>
    <m/>
    <m/>
    <m/>
    <m/>
    <m/>
    <m/>
    <m/>
    <m/>
    <m/>
    <n v="0.104"/>
    <s v="19/5/2021"/>
    <s v="19"/>
    <s v="5"/>
    <s v="2021"/>
    <x v="30"/>
    <x v="30"/>
    <x v="9"/>
    <m/>
    <n v="2.7878787878787881"/>
    <n v="1.4202421886679624"/>
    <n v="1.4604150653343582E-2"/>
    <n v="6.1658841940532092"/>
    <n v="2.0047169811320757"/>
    <n v="3.5377358490566038"/>
    <s v="T"/>
    <n v="2"/>
  </r>
  <r>
    <s v="PU-KSS-68"/>
    <x v="3"/>
    <s v="I"/>
    <s v="S"/>
    <s v="G"/>
    <n v="77"/>
    <n v="73"/>
    <n v="5.5830000000000002"/>
    <n v="0.14199999999999999"/>
    <n v="1.2230000000000001"/>
    <s v="F30"/>
    <x v="0"/>
    <n v="30"/>
    <n v="0.24399999999999999"/>
    <n v="0.21199999999999999"/>
    <s v="inverts: 0.015"/>
    <s v="F"/>
    <m/>
    <m/>
    <m/>
    <n v="1.4999999999999999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.4999999999999999E-2"/>
    <s v="20/5/2021"/>
    <s v="20"/>
    <s v="5"/>
    <s v="2021"/>
    <x v="31"/>
    <x v="31"/>
    <x v="9"/>
    <m/>
    <n v="28.050458715596331"/>
    <n v="2.6098143723580223"/>
    <n v="3.366524419155998E-2"/>
    <n v="3.9471234407000551"/>
    <n v="0.57316854737596268"/>
    <n v="0.84184130395844536"/>
    <s v="T"/>
    <n v="3"/>
  </r>
  <r>
    <s v="PU-KSS-69"/>
    <x v="3"/>
    <s v="I"/>
    <s v="S"/>
    <s v="G"/>
    <n v="73"/>
    <n v="70"/>
    <n v="7.3410000000000002"/>
    <n v="0.11899999999999999"/>
    <n v="0.23"/>
    <s v="M30"/>
    <x v="2"/>
    <n v="30"/>
    <n v="0.60699999999999998"/>
    <n v="0.40200000000000002"/>
    <s v="2 damsel: 0.041; ~10 inverts: 0.104; 2 mayfly: 0.011"/>
    <s v="F"/>
    <m/>
    <m/>
    <n v="10"/>
    <n v="0.104"/>
    <m/>
    <m/>
    <m/>
    <m/>
    <m/>
    <m/>
    <m/>
    <m/>
    <m/>
    <m/>
    <m/>
    <m/>
    <m/>
    <m/>
    <m/>
    <m/>
    <m/>
    <m/>
    <m/>
    <m/>
    <m/>
    <m/>
    <n v="2"/>
    <n v="4.1000000000000002E-2"/>
    <m/>
    <m/>
    <m/>
    <m/>
    <m/>
    <m/>
    <m/>
    <m/>
    <m/>
    <m/>
    <n v="2"/>
    <n v="1.0999999999999999E-2"/>
    <m/>
    <m/>
    <m/>
    <m/>
    <m/>
    <m/>
    <m/>
    <m/>
    <m/>
    <m/>
    <m/>
    <m/>
    <m/>
    <m/>
    <m/>
    <m/>
    <n v="0.156"/>
    <s v="20/5/2021"/>
    <s v="20"/>
    <s v="5"/>
    <s v="2021"/>
    <x v="31"/>
    <x v="31"/>
    <x v="9"/>
    <m/>
    <n v="3.2344255378990301"/>
    <n v="1.6477430074771531"/>
    <n v="1.7019450800915333E-2"/>
    <n v="5.793341980112408"/>
    <n v="2.7925350769649904"/>
    <n v="4.9175861599237161"/>
    <s v="T"/>
    <n v="3"/>
  </r>
  <r>
    <s v="PU-KSS-70"/>
    <x v="3"/>
    <s v="I"/>
    <s v="S"/>
    <s v="G"/>
    <n v="70"/>
    <n v="66"/>
    <n v="6.1929999999999996"/>
    <n v="0.222"/>
    <n v="1.0189999999999999"/>
    <s v="F30"/>
    <x v="0"/>
    <n v="30"/>
    <n v="0.49099999999999999"/>
    <n v="0.32800000000000001"/>
    <s v="~50 inverts: 0.099; 2 mayfly: 0.008"/>
    <s v="F"/>
    <m/>
    <m/>
    <n v="50"/>
    <n v="9.9000000000000005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8.0000000000000002E-3"/>
    <m/>
    <m/>
    <m/>
    <m/>
    <m/>
    <m/>
    <m/>
    <m/>
    <m/>
    <m/>
    <m/>
    <m/>
    <m/>
    <m/>
    <m/>
    <m/>
    <n v="0.107"/>
    <s v="20/5/2021"/>
    <s v="20"/>
    <s v="5"/>
    <s v="2021"/>
    <x v="31"/>
    <x v="31"/>
    <x v="9"/>
    <m/>
    <n v="19.694626981059141"/>
    <n v="3.717970189248033"/>
    <n v="4.4830371567043628E-2"/>
    <n v="5.5924978687127034"/>
    <n v="2.6320038753431292"/>
    <n v="4.3597610205070243"/>
    <s v="T"/>
    <n v="3"/>
  </r>
  <r>
    <s v="PU-KSS-71"/>
    <x v="3"/>
    <s v="I"/>
    <s v="S"/>
    <s v="G"/>
    <n v="79"/>
    <n v="75"/>
    <n v="8.9860000000000007"/>
    <n v="0.13"/>
    <n v="0.218"/>
    <s v="M30"/>
    <x v="2"/>
    <n v="30"/>
    <n v="0.57999999999999996"/>
    <n v="0.46800000000000003"/>
    <s v="~200 zoops: 0.087"/>
    <s v="F"/>
    <m/>
    <m/>
    <m/>
    <m/>
    <m/>
    <m/>
    <m/>
    <m/>
    <m/>
    <m/>
    <m/>
    <m/>
    <m/>
    <m/>
    <m/>
    <m/>
    <m/>
    <m/>
    <m/>
    <m/>
    <m/>
    <m/>
    <n v="200"/>
    <n v="8.6999999999999994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.6999999999999994E-2"/>
    <s v="20/5/2021"/>
    <s v="20"/>
    <s v="5"/>
    <s v="2021"/>
    <x v="31"/>
    <x v="31"/>
    <x v="9"/>
    <m/>
    <n v="2.4863138686131383"/>
    <n v="1.4679313459801266"/>
    <n v="1.5049780041676314E-2"/>
    <n v="5.4942474759333182"/>
    <n v="1.2463832628533267"/>
    <n v="2.2145559759626074"/>
    <s v="T"/>
    <n v="3"/>
  </r>
  <r>
    <s v="PU-KSS-72"/>
    <x v="3"/>
    <s v="I"/>
    <s v="S"/>
    <s v="G"/>
    <n v="77"/>
    <n v="73"/>
    <n v="8.0359999999999996"/>
    <n v="0.127"/>
    <n v="0.22800000000000001"/>
    <s v="M30"/>
    <x v="2"/>
    <n v="30"/>
    <n v="0.68700000000000006"/>
    <n v="0.47699999999999998"/>
    <s v="~50 chiro: 0.182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0"/>
    <n v="0.182"/>
    <m/>
    <m/>
    <m/>
    <m/>
    <m/>
    <m/>
    <m/>
    <m/>
    <m/>
    <m/>
    <m/>
    <m/>
    <m/>
    <m/>
    <m/>
    <m/>
    <m/>
    <m/>
    <m/>
    <m/>
    <m/>
    <m/>
    <m/>
    <m/>
    <n v="0.182"/>
    <s v="20/5/2021"/>
    <s v="20"/>
    <s v="5"/>
    <s v="2021"/>
    <x v="31"/>
    <x v="31"/>
    <x v="9"/>
    <m/>
    <n v="2.9200819672131151"/>
    <n v="1.6057655835124542"/>
    <n v="1.65343054289806E-2"/>
    <n v="6.310358513030824"/>
    <n v="2.6132404181184681"/>
    <n v="4.8780487804878057"/>
    <s v="T"/>
    <n v="3"/>
  </r>
  <r>
    <s v="PU-KSS-73"/>
    <x v="3"/>
    <s v="I"/>
    <s v="S"/>
    <s v="G"/>
    <n v="73"/>
    <n v="70"/>
    <n v="7.1219999999999999"/>
    <n v="0.20499999999999999"/>
    <n v="1.4219999999999999"/>
    <s v="F30"/>
    <x v="0"/>
    <n v="30"/>
    <n v="0.36099999999999999"/>
    <n v="0.318"/>
    <s v="1 caddis: 0.008; ~15 chiro: 0.018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5"/>
    <n v="1.7999999999999999E-2"/>
    <m/>
    <m/>
    <m/>
    <m/>
    <n v="1"/>
    <n v="8.0000000000000002E-3"/>
    <m/>
    <m/>
    <m/>
    <m/>
    <m/>
    <m/>
    <m/>
    <m/>
    <m/>
    <m/>
    <m/>
    <m/>
    <m/>
    <m/>
    <m/>
    <m/>
    <m/>
    <m/>
    <n v="2.5999999999999999E-2"/>
    <s v="20/5/2021"/>
    <s v="20"/>
    <s v="5"/>
    <s v="2021"/>
    <x v="31"/>
    <x v="31"/>
    <x v="9"/>
    <m/>
    <n v="24.94736842105263"/>
    <n v="2.9637125921642329"/>
    <n v="3.7306642402183801E-2"/>
    <n v="4.6737213403880071"/>
    <n v="0.60376298792473992"/>
    <n v="0.96882898062342004"/>
    <s v="T"/>
    <n v="3"/>
  </r>
  <r>
    <s v="PU-KSS-74"/>
    <x v="3"/>
    <s v="I"/>
    <s v="B"/>
    <s v="G"/>
    <n v="110"/>
    <n v="105"/>
    <n v="24.12"/>
    <n v="0.88200000000000001"/>
    <n v="2.2200000000000002"/>
    <s v="F30"/>
    <x v="0"/>
    <n v="30"/>
    <n v="1.7809999999999999"/>
    <n v="1.4930000000000001"/>
    <s v="1 caddis: 0.08; 1 odo: 0.106"/>
    <s v="F"/>
    <m/>
    <m/>
    <m/>
    <m/>
    <m/>
    <m/>
    <m/>
    <m/>
    <m/>
    <m/>
    <m/>
    <m/>
    <m/>
    <m/>
    <m/>
    <m/>
    <m/>
    <m/>
    <m/>
    <m/>
    <m/>
    <m/>
    <m/>
    <m/>
    <n v="1"/>
    <n v="0.106"/>
    <m/>
    <m/>
    <m/>
    <m/>
    <m/>
    <m/>
    <m/>
    <m/>
    <m/>
    <m/>
    <n v="1"/>
    <n v="0.08"/>
    <m/>
    <m/>
    <m/>
    <m/>
    <m/>
    <m/>
    <m/>
    <m/>
    <m/>
    <m/>
    <m/>
    <m/>
    <m/>
    <m/>
    <m/>
    <m/>
    <m/>
    <m/>
    <n v="0.186"/>
    <s v="20/5/2021"/>
    <s v="20"/>
    <s v="5"/>
    <s v="2021"/>
    <x v="31"/>
    <x v="31"/>
    <x v="9"/>
    <m/>
    <n v="10.136986301369863"/>
    <n v="3.7955073586367156"/>
    <n v="4.196403083071653E-2"/>
    <n v="6.5983117514473859"/>
    <n v="1.1940298507462679"/>
    <n v="1.965174129353233"/>
    <s v="T"/>
    <n v="3"/>
  </r>
  <r>
    <s v="PU-KSS-75"/>
    <x v="3"/>
    <s v="I"/>
    <s v="S"/>
    <s v="G"/>
    <n v="68"/>
    <n v="65"/>
    <n v="6.3639999999999999"/>
    <n v="0.24199999999999999"/>
    <n v="0.83899999999999997"/>
    <s v="F30"/>
    <x v="0"/>
    <n v="30"/>
    <n v="0.68799999999999994"/>
    <n v="0.46800000000000003"/>
    <s v="~30 chiro: 0.163; 3 mayfly: 0.011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"/>
    <n v="0.16300000000000001"/>
    <m/>
    <m/>
    <m/>
    <m/>
    <m/>
    <m/>
    <n v="3"/>
    <n v="1.0999999999999999E-2"/>
    <m/>
    <m/>
    <m/>
    <m/>
    <m/>
    <m/>
    <m/>
    <m/>
    <m/>
    <m/>
    <m/>
    <m/>
    <m/>
    <m/>
    <m/>
    <m/>
    <n v="0.17399999999999999"/>
    <s v="20/5/2021"/>
    <s v="20"/>
    <s v="5"/>
    <s v="2021"/>
    <x v="31"/>
    <x v="31"/>
    <x v="9"/>
    <m/>
    <n v="15.185520361990948"/>
    <n v="3.9529565501470105"/>
    <n v="4.5807306454665915E-2"/>
    <n v="7.9375848032564447"/>
    <n v="3.4569453174104323"/>
    <n v="6.1910747957259575"/>
    <s v="T"/>
    <n v="3"/>
  </r>
  <r>
    <s v="PU-KSS-76"/>
    <x v="3"/>
    <s v="I"/>
    <s v="S"/>
    <s v="G"/>
    <n v="71"/>
    <n v="67"/>
    <n v="6.41"/>
    <n v="0.20499999999999999"/>
    <n v="1.1739999999999999"/>
    <s v="F30"/>
    <x v="0"/>
    <n v="30"/>
    <n v="0.48599999999999999"/>
    <n v="0.31"/>
    <s v="~40 chiro: 0.128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0"/>
    <n v="0.128"/>
    <m/>
    <m/>
    <m/>
    <m/>
    <m/>
    <m/>
    <m/>
    <m/>
    <m/>
    <m/>
    <m/>
    <m/>
    <m/>
    <m/>
    <m/>
    <m/>
    <m/>
    <m/>
    <m/>
    <m/>
    <m/>
    <m/>
    <m/>
    <m/>
    <n v="0.128"/>
    <s v="20/5/2021"/>
    <s v="20"/>
    <s v="5"/>
    <s v="2021"/>
    <x v="31"/>
    <x v="31"/>
    <x v="9"/>
    <m/>
    <n v="22.421695951107711"/>
    <n v="3.3037872683319902"/>
    <n v="4.0747366328761671E-2"/>
    <n v="5.0819672131147531"/>
    <n v="2.7457098283931352"/>
    <n v="4.742589703588143"/>
    <s v="T"/>
    <n v="3"/>
  </r>
  <r>
    <s v="PU-KSS-77"/>
    <x v="3"/>
    <s v="I"/>
    <s v="S"/>
    <s v="G"/>
    <n v="83"/>
    <n v="79"/>
    <n v="9.9740000000000002"/>
    <n v="0.1"/>
    <n v="0.39500000000000002"/>
    <s v="M30"/>
    <x v="2"/>
    <n v="30"/>
    <n v="0.42499999999999999"/>
    <n v="0.34399999999999997"/>
    <s v="~30 chaob: 0.055"/>
    <s v="F"/>
    <m/>
    <m/>
    <m/>
    <m/>
    <m/>
    <m/>
    <m/>
    <m/>
    <m/>
    <m/>
    <m/>
    <m/>
    <m/>
    <m/>
    <m/>
    <m/>
    <m/>
    <m/>
    <m/>
    <m/>
    <m/>
    <m/>
    <m/>
    <m/>
    <m/>
    <m/>
    <m/>
    <m/>
    <n v="30"/>
    <n v="5.5E-2"/>
    <m/>
    <m/>
    <m/>
    <m/>
    <m/>
    <m/>
    <m/>
    <m/>
    <m/>
    <m/>
    <m/>
    <m/>
    <m/>
    <m/>
    <m/>
    <m/>
    <m/>
    <m/>
    <m/>
    <m/>
    <m/>
    <m/>
    <m/>
    <m/>
    <m/>
    <m/>
    <n v="5.5E-2"/>
    <d v="2021-07-06T00:00:00"/>
    <n v="7"/>
    <n v="6"/>
    <n v="2021"/>
    <x v="32"/>
    <x v="32"/>
    <x v="10"/>
    <m/>
    <n v="4.1236037164630961"/>
    <n v="1.0127607859023697"/>
    <n v="1.0549636037556704E-2"/>
    <n v="3.5721703011422634"/>
    <n v="0.81211148987367177"/>
    <n v="1.3635452175656708"/>
    <s v="T"/>
    <n v="3"/>
  </r>
  <r>
    <s v="PU-KSS-78"/>
    <x v="3"/>
    <s v="I"/>
    <s v="S"/>
    <s v="G"/>
    <n v="83"/>
    <n v="79"/>
    <n v="10.916"/>
    <n v="0.14099999999999999"/>
    <n v="0.30299999999999999"/>
    <s v="M30"/>
    <x v="2"/>
    <n v="30"/>
    <n v="0.54500000000000004"/>
    <n v="0.42899999999999999"/>
    <s v="~10 inverts: 0.093"/>
    <s v="F"/>
    <m/>
    <m/>
    <n v="10"/>
    <n v="9.2999999999999999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9.2999999999999999E-2"/>
    <d v="2021-08-06T00:00:00"/>
    <n v="8"/>
    <n v="6"/>
    <n v="2021"/>
    <x v="42"/>
    <x v="42"/>
    <x v="10"/>
    <m/>
    <n v="2.8549891642325451"/>
    <n v="1.308584686774942"/>
    <n v="1.3464476699770817E-2"/>
    <n v="4.0907790597883089"/>
    <n v="1.062660315133749"/>
    <n v="1.914620740197875"/>
    <s v="T"/>
    <n v="1"/>
  </r>
  <r>
    <s v="PU-KSS-79"/>
    <x v="3"/>
    <s v="I"/>
    <s v="S"/>
    <s v="G"/>
    <n v="81"/>
    <n v="77"/>
    <n v="10.263999999999999"/>
    <n v="0.156"/>
    <n v="0.182"/>
    <s v="M30"/>
    <x v="2"/>
    <n v="30"/>
    <n v="0.503"/>
    <n v="0.49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1-08-06T00:00:00"/>
    <n v="8"/>
    <n v="6"/>
    <n v="2021"/>
    <x v="42"/>
    <x v="42"/>
    <x v="10"/>
    <m/>
    <n v="1.8051973814719302"/>
    <n v="1.5433320142461417"/>
    <n v="1.5716300624622207E-2"/>
    <n v="5.013300593411091"/>
    <n v="0.12665627435697596"/>
    <n v="0.12665627435697596"/>
    <s v="T"/>
    <n v="2"/>
  </r>
  <r>
    <s v="PU-KSS-80"/>
    <x v="3"/>
    <s v="I"/>
    <s v="S"/>
    <s v="G"/>
    <n v="83"/>
    <n v="78"/>
    <n v="9.6609999999999996"/>
    <n v="0.14000000000000001"/>
    <n v="7.2999999999999995E-2"/>
    <s v="M30"/>
    <x v="2"/>
    <n v="30"/>
    <n v="0.51900000000000002"/>
    <n v="0.46800000000000003"/>
    <s v="~10 inverts: 0.024"/>
    <s v="F"/>
    <m/>
    <m/>
    <n v="10"/>
    <n v="2.4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.4E-2"/>
    <s v="23/6/2021"/>
    <s v="23"/>
    <s v="6"/>
    <s v="2021"/>
    <x v="33"/>
    <x v="33"/>
    <x v="11"/>
    <s v="SC taken"/>
    <n v="0.76136837713808925"/>
    <n v="1.4704337779644998"/>
    <n v="1.4817950889077057E-2"/>
    <n v="5.090829979332101"/>
    <n v="0.52789566297484725"/>
    <n v="0.77631715143359892"/>
    <s v="T"/>
    <n v="2"/>
  </r>
  <r>
    <s v="PU-KSS-81"/>
    <x v="3"/>
    <s v="I"/>
    <s v="I"/>
    <s v="G"/>
    <n v="94"/>
    <n v="89"/>
    <n v="15.752000000000001"/>
    <n v="0.36499999999999999"/>
    <n v="1.9410000000000001"/>
    <s v="F30"/>
    <x v="0"/>
    <n v="30"/>
    <n v="0.84799999999999998"/>
    <n v="0.82499999999999996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4/6/2021"/>
    <s v="24"/>
    <s v="6"/>
    <s v="2021"/>
    <x v="34"/>
    <x v="34"/>
    <x v="11"/>
    <m/>
    <n v="14.054014915646947"/>
    <n v="2.3721323194904791"/>
    <n v="2.7145619515097426E-2"/>
    <n v="5.5268975681650696"/>
    <n v="0.14601320467242268"/>
    <n v="0.14601320467242268"/>
    <s v="T"/>
    <n v="2"/>
  </r>
  <r>
    <s v="PU-KSS-82"/>
    <x v="3"/>
    <s v="I"/>
    <s v="I"/>
    <s v="G"/>
    <n v="88"/>
    <n v="83"/>
    <n v="13.566000000000001"/>
    <n v="0.254"/>
    <n v="0.66400000000000003"/>
    <s v="F30"/>
    <x v="0"/>
    <n v="30"/>
    <n v="1.111"/>
    <n v="0.96499999999999997"/>
    <s v="~25 zoops: 0.066"/>
    <s v="F"/>
    <m/>
    <m/>
    <m/>
    <m/>
    <m/>
    <m/>
    <m/>
    <m/>
    <m/>
    <m/>
    <m/>
    <m/>
    <m/>
    <m/>
    <m/>
    <m/>
    <m/>
    <m/>
    <m/>
    <m/>
    <m/>
    <m/>
    <n v="25"/>
    <n v="6.6000000000000003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.6000000000000003E-2"/>
    <s v="24/6/2021"/>
    <s v="24"/>
    <s v="6"/>
    <s v="2021"/>
    <x v="34"/>
    <x v="34"/>
    <x v="11"/>
    <s v="SC kept"/>
    <n v="5.1464889164470629"/>
    <n v="1.9080528846153844"/>
    <n v="2.008222643896268E-2"/>
    <n v="7.6581223712403768"/>
    <n v="1.0762199616688781"/>
    <n v="1.5627303553000147"/>
    <s v="T"/>
    <n v="2"/>
  </r>
  <r>
    <s v="PU-KSS-83"/>
    <x v="3"/>
    <s v="I"/>
    <s v="I"/>
    <s v="G"/>
    <n v="100"/>
    <n v="95"/>
    <n v="20.733000000000001"/>
    <n v="0.378"/>
    <n v="3.3000000000000002E-2"/>
    <s v="M40"/>
    <x v="2"/>
    <n v="40"/>
    <n v="2.4260000000000002"/>
    <n v="1.4670000000000001"/>
    <s v="3 pump YOY: 0.799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0.79900000000000004"/>
    <m/>
    <m/>
    <m/>
    <m/>
    <n v="0.79900000000000004"/>
    <d v="2021-08-07T00:00:00"/>
    <n v="8"/>
    <n v="7"/>
    <n v="2021"/>
    <x v="35"/>
    <x v="35"/>
    <x v="12"/>
    <s v="SC kept"/>
    <n v="0.15942028985507248"/>
    <n v="1.8570375829034635"/>
    <n v="1.8600531443755536E-2"/>
    <n v="7.6144503270009336"/>
    <n v="4.6254762938310909"/>
    <n v="8.479236000578787"/>
    <s v="T"/>
    <n v="2"/>
  </r>
  <r>
    <s v="PU-KSS-84"/>
    <x v="3"/>
    <s v="I"/>
    <s v="I"/>
    <s v="G"/>
    <n v="102"/>
    <n v="97"/>
    <n v="21.998999999999999"/>
    <n v="0.307"/>
    <n v="6.0999999999999999E-2"/>
    <s v="M40"/>
    <x v="2"/>
    <n v="40"/>
    <n v="3.411"/>
    <n v="1.4550000000000001"/>
    <s v="6 pump YOY: 1.824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"/>
    <n v="1.8240000000000001"/>
    <m/>
    <m/>
    <m/>
    <m/>
    <n v="1.8240000000000001"/>
    <d v="2021-08-07T00:00:00"/>
    <n v="8"/>
    <n v="7"/>
    <n v="2021"/>
    <x v="35"/>
    <x v="35"/>
    <x v="12"/>
    <s v="SC kept"/>
    <n v="0.27805634059622575"/>
    <n v="1.4152683016780381"/>
    <n v="1.4192593962368822E-2"/>
    <n v="7.0823598130841132"/>
    <n v="8.8913132415109786"/>
    <n v="17.182599209054956"/>
    <s v="T"/>
    <n v="3"/>
  </r>
  <r>
    <s v="PU-KSS-85"/>
    <x v="3"/>
    <s v="I"/>
    <s v="I"/>
    <s v="G"/>
    <n v="98"/>
    <n v="93"/>
    <n v="21.863"/>
    <n v="0.26100000000000001"/>
    <n v="5.8999999999999997E-2"/>
    <s v="M40"/>
    <x v="2"/>
    <n v="40"/>
    <n v="2.1070000000000002"/>
    <n v="1.0589999999999999"/>
    <s v="2 pump YOY: 0.976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0.97599999999999998"/>
    <m/>
    <m/>
    <m/>
    <m/>
    <n v="0.97599999999999998"/>
    <d v="2021-08-07T00:00:00"/>
    <n v="8"/>
    <n v="7"/>
    <n v="2021"/>
    <x v="35"/>
    <x v="35"/>
    <x v="12"/>
    <s v="SC kept"/>
    <n v="0.27059255182535313"/>
    <n v="1.2082214609758355"/>
    <n v="1.211530427517059E-2"/>
    <n v="5.0903672370697945"/>
    <n v="4.7934867127109735"/>
    <n v="9.2576499108082153"/>
    <s v="T"/>
    <n v="3"/>
  </r>
  <r>
    <s v="PU-KSS-86"/>
    <x v="3"/>
    <s v="I"/>
    <s v="I"/>
    <s v="G"/>
    <n v="97"/>
    <n v="92"/>
    <n v="18.148"/>
    <n v="0.23899999999999999"/>
    <n v="0.442"/>
    <s v="F40"/>
    <x v="0"/>
    <n v="40"/>
    <n v="1.286"/>
    <n v="1.2709999999999999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1-08-07T00:00:00"/>
    <n v="8"/>
    <n v="7"/>
    <n v="2021"/>
    <x v="35"/>
    <x v="35"/>
    <x v="12"/>
    <m/>
    <n v="2.4963289280469896"/>
    <n v="1.3345245407337094"/>
    <n v="1.3682944981965994E-2"/>
    <n v="7.5309592937133383"/>
    <n v="8.2653735948865575E-2"/>
    <n v="8.2653735948865575E-2"/>
    <s v="T"/>
    <n v="2"/>
  </r>
  <r>
    <s v="PU-KSS-87"/>
    <x v="3"/>
    <s v="I"/>
    <s v="I"/>
    <s v="G"/>
    <n v="100"/>
    <n v="95"/>
    <n v="20.562999999999999"/>
    <n v="0.308"/>
    <n v="8.6999999999999994E-2"/>
    <s v="M40"/>
    <x v="2"/>
    <n v="40"/>
    <n v="2.8969999999999998"/>
    <n v="0.997"/>
    <s v="4 PU: 1.855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1.855"/>
    <m/>
    <m/>
    <m/>
    <m/>
    <n v="1.855"/>
    <s v="16/7/2021"/>
    <s v="16"/>
    <s v="7"/>
    <s v="2021"/>
    <x v="43"/>
    <x v="43"/>
    <x v="14"/>
    <m/>
    <n v="0.42488767337370575"/>
    <n v="1.5206121945198718"/>
    <n v="1.5271717572391909E-2"/>
    <n v="5.0955739548195851"/>
    <n v="9.239896902202986"/>
    <n v="18.260954140932746"/>
    <s v="T"/>
    <n v="3"/>
  </r>
  <r>
    <s v="PU-KSS-88"/>
    <x v="3"/>
    <s v="I"/>
    <s v="I"/>
    <s v="G"/>
    <n v="95"/>
    <n v="90"/>
    <n v="16.884"/>
    <n v="0.23400000000000001"/>
    <n v="1.8029999999999999"/>
    <s v="F30"/>
    <x v="0"/>
    <n v="30"/>
    <n v="1.014"/>
    <n v="0.997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6/7/2021"/>
    <s v="16"/>
    <s v="7"/>
    <s v="2021"/>
    <x v="43"/>
    <x v="43"/>
    <x v="14"/>
    <m/>
    <n v="11.955440620648499"/>
    <n v="1.4054054054054057"/>
    <n v="1.5760759749444336E-2"/>
    <n v="6.2755712217536352"/>
    <n v="0.10068704098554852"/>
    <n v="0.10068704098554852"/>
    <s v="T"/>
    <n v="2"/>
  </r>
  <r>
    <s v="PU-KSS-89"/>
    <x v="3"/>
    <s v="I"/>
    <s v="I"/>
    <s v="G"/>
    <n v="99"/>
    <n v="94"/>
    <n v="20.556999999999999"/>
    <n v="0.29899999999999999"/>
    <n v="0.54600000000000004"/>
    <s v="F30"/>
    <x v="0"/>
    <n v="30"/>
    <n v="1.9339999999999999"/>
    <n v="1.5429999999999999"/>
    <s v="~20 snails: 0.352"/>
    <s v="F"/>
    <m/>
    <m/>
    <m/>
    <m/>
    <m/>
    <m/>
    <m/>
    <m/>
    <m/>
    <m/>
    <m/>
    <m/>
    <m/>
    <m/>
    <m/>
    <m/>
    <m/>
    <m/>
    <n v="20"/>
    <n v="0.35199999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35199999999999998"/>
    <s v="16/7/2021"/>
    <s v="16"/>
    <s v="7"/>
    <s v="2021"/>
    <x v="43"/>
    <x v="43"/>
    <x v="14"/>
    <m/>
    <n v="2.7284993253710463"/>
    <n v="1.4759601145226577"/>
    <n v="1.5168425324675324E-2"/>
    <n v="8.1150731040286104"/>
    <n v="1.9020285061049766"/>
    <n v="3.6143406139028071"/>
    <s v="T"/>
    <n v="3"/>
  </r>
  <r>
    <s v="PU-KSS-90"/>
    <x v="3"/>
    <s v="I"/>
    <s v="B"/>
    <s v="N"/>
    <n v="111"/>
    <n v="105"/>
    <n v="22.468"/>
    <n v="0.29099999999999998"/>
    <n v="2.9000000000000001E-2"/>
    <s v="M40"/>
    <x v="2"/>
    <n v="40"/>
    <n v="1.03"/>
    <n v="1.0249999999999999"/>
    <s v="NA (missed)"/>
    <s v="N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1-01-08T00:00:00"/>
    <n v="1"/>
    <n v="8"/>
    <n v="2021"/>
    <x v="17"/>
    <x v="17"/>
    <x v="13"/>
    <m/>
    <n v="0.12923927091225099"/>
    <n v="1.3121702664923118"/>
    <n v="1.3138883872132924E-2"/>
    <n v="4.7801147227533454"/>
    <n v="2.2253872173758748E-2"/>
    <n v="2.2253872173758748E-2"/>
    <s v="T"/>
    <n v="1"/>
  </r>
  <r>
    <s v="PU-KSS-91"/>
    <x v="3"/>
    <s v="I"/>
    <s v="I"/>
    <s v="G"/>
    <n v="108"/>
    <n v="103"/>
    <n v="23.565999999999999"/>
    <n v="0.28499999999999998"/>
    <n v="0.04"/>
    <s v="M40"/>
    <x v="2"/>
    <n v="40"/>
    <n v="1.45"/>
    <n v="1.429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1-01-08T00:00:00"/>
    <n v="1"/>
    <n v="8"/>
    <n v="2021"/>
    <x v="17"/>
    <x v="17"/>
    <x v="13"/>
    <m/>
    <n v="0.17002465357476834"/>
    <n v="1.2241742193204759"/>
    <n v="1.2262811410868723E-2"/>
    <n v="6.4552559064010486"/>
    <n v="8.9111431723669296E-2"/>
    <n v="8.9111431723669296E-2"/>
    <s v="T"/>
    <n v="3"/>
  </r>
  <r>
    <s v="PU-KSS-92"/>
    <x v="3"/>
    <s v="I"/>
    <s v="I"/>
    <s v="G"/>
    <n v="104"/>
    <n v="99"/>
    <n v="20.353999999999999"/>
    <n v="0.19600000000000001"/>
    <n v="5.1999999999999998E-2"/>
    <s v="M40"/>
    <x v="2"/>
    <n v="40"/>
    <n v="0.85099999999999998"/>
    <n v="0.83499999999999996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1-01-08T00:00:00"/>
    <n v="1"/>
    <n v="8"/>
    <n v="2021"/>
    <x v="17"/>
    <x v="17"/>
    <x v="13"/>
    <m/>
    <n v="0.2561324007486947"/>
    <n v="0.97231868240896924"/>
    <n v="9.7483338306973057E-3"/>
    <n v="4.277883088272965"/>
    <n v="7.8608627296845895E-2"/>
    <n v="7.8608627296845895E-2"/>
    <s v="T"/>
    <n v="3"/>
  </r>
  <r>
    <s v="PU-KSS-93"/>
    <x v="3"/>
    <s v="I"/>
    <s v="I"/>
    <s v="G"/>
    <n v="104"/>
    <n v="98"/>
    <n v="21.302"/>
    <n v="0.24299999999999999"/>
    <n v="4.2000000000000003E-2"/>
    <s v="M40"/>
    <x v="2"/>
    <n v="40"/>
    <n v="1.175"/>
    <n v="1.08"/>
    <s v="INVERTS: 0.037"/>
    <s v="F"/>
    <m/>
    <m/>
    <m/>
    <n v="3.6999999999999998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.6999999999999998E-2"/>
    <d v="2021-01-08T00:00:00"/>
    <n v="1"/>
    <n v="8"/>
    <n v="2021"/>
    <x v="17"/>
    <x v="17"/>
    <x v="13"/>
    <m/>
    <n v="0.1975540921919097"/>
    <n v="1.1539009449641484"/>
    <n v="1.1562068801446447E-2"/>
    <n v="5.3407180298684604"/>
    <n v="0.44596751478734381"/>
    <n v="0.61966012580978302"/>
    <s v="T"/>
    <n v="3"/>
  </r>
  <r>
    <s v="PU-KSS-94"/>
    <x v="3"/>
    <s v="I"/>
    <s v="B"/>
    <s v="N"/>
    <n v="112"/>
    <n v="106"/>
    <n v="25.58"/>
    <n v="0.32600000000000001"/>
    <n v="0.14399999999999999"/>
    <s v="M30"/>
    <x v="2"/>
    <n v="30"/>
    <n v="1.367"/>
    <n v="1.26"/>
    <s v="1 pumpkinseed: 0.062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6.2E-2"/>
    <m/>
    <m/>
    <m/>
    <m/>
    <n v="6.2E-2"/>
    <d v="2021-01-08T00:00:00"/>
    <n v="1"/>
    <n v="8"/>
    <n v="2021"/>
    <x v="17"/>
    <x v="17"/>
    <x v="13"/>
    <m/>
    <n v="0.56612674948891328"/>
    <n v="1.2908846123386397"/>
    <n v="1.2982875348466746E-2"/>
    <n v="5.1809210526315796"/>
    <n v="0.41829554339327601"/>
    <n v="0.66067240031274432"/>
    <s v="T"/>
    <n v="3"/>
  </r>
  <r>
    <s v="PU-KSS-95"/>
    <x v="3"/>
    <s v="I"/>
    <s v="I"/>
    <s v="G"/>
    <n v="103"/>
    <n v="96"/>
    <n v="20.265999999999998"/>
    <n v="0.21299999999999999"/>
    <n v="0.23100000000000001"/>
    <s v="F30"/>
    <x v="0"/>
    <n v="30"/>
    <n v="1.3160000000000001"/>
    <n v="1.298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1-01-08T00:00:00"/>
    <n v="1"/>
    <n v="8"/>
    <n v="2021"/>
    <x v="17"/>
    <x v="17"/>
    <x v="13"/>
    <m/>
    <n v="1.152982281008236"/>
    <n v="1.0621852091956316"/>
    <n v="1.0745636161840381E-2"/>
    <n v="6.8431041754533961"/>
    <n v="8.8818711141813958E-2"/>
    <n v="8.8818711141813958E-2"/>
    <s v="T"/>
    <n v="3"/>
  </r>
  <r>
    <s v="PU-KSS-96"/>
    <x v="3"/>
    <s v="I"/>
    <s v="I"/>
    <s v="G"/>
    <n v="106"/>
    <n v="101"/>
    <n v="22.02"/>
    <n v="0.245"/>
    <n v="0.64100000000000001"/>
    <s v="F30"/>
    <x v="0"/>
    <n v="30"/>
    <n v="1.1719999999999999"/>
    <n v="1.159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1-01-08T00:00:00"/>
    <n v="1"/>
    <n v="8"/>
    <n v="2021"/>
    <x v="17"/>
    <x v="17"/>
    <x v="13"/>
    <m/>
    <n v="2.9982693297160767"/>
    <n v="1.1251435132032148"/>
    <n v="1.1592694236774864E-2"/>
    <n v="5.5558218685585539"/>
    <n v="5.9037238873750682E-2"/>
    <n v="5.9037238873750682E-2"/>
    <s v="T"/>
    <n v="2"/>
  </r>
  <r>
    <s v="PU-KSS-97"/>
    <x v="3"/>
    <s v="I"/>
    <s v="I"/>
    <s v="G"/>
    <n v="104"/>
    <n v="99"/>
    <n v="19.808"/>
    <n v="0.20899999999999999"/>
    <n v="0.35199999999999998"/>
    <s v="F30"/>
    <x v="0"/>
    <n v="30"/>
    <n v="0.98899999999999999"/>
    <n v="0.97599999999999998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1-01-08T00:00:00"/>
    <n v="1"/>
    <n v="8"/>
    <n v="2021"/>
    <x v="17"/>
    <x v="17"/>
    <x v="13"/>
    <m/>
    <n v="1.8092105263157896"/>
    <n v="1.0663809378029492"/>
    <n v="1.085883514313919E-2"/>
    <n v="5.182667799490229"/>
    <n v="6.5630048465266613E-2"/>
    <n v="6.5630048465266613E-2"/>
    <s v="T"/>
    <n v="2"/>
  </r>
  <r>
    <s v="PU-KSS-98"/>
    <x v="3"/>
    <s v="I"/>
    <s v="I"/>
    <s v="G"/>
    <n v="95"/>
    <n v="89"/>
    <n v="13.87"/>
    <n v="0.14499999999999999"/>
    <n v="0.03"/>
    <s v="M40"/>
    <x v="2"/>
    <n v="40"/>
    <n v="0.81399999999999995"/>
    <n v="0.79800000000000004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1-01-08T00:00:00"/>
    <n v="1"/>
    <n v="8"/>
    <n v="2021"/>
    <x v="17"/>
    <x v="17"/>
    <x v="13"/>
    <m/>
    <n v="0.2167630057803468"/>
    <n v="1.0564663023679417"/>
    <n v="1.058780576852866E-2"/>
    <n v="6.1046511627906979"/>
    <n v="0.11535688536409448"/>
    <n v="0.11535688536409448"/>
    <s v="T"/>
    <n v="3"/>
  </r>
  <r>
    <s v="PU-KSS-99"/>
    <x v="3"/>
    <s v="I"/>
    <s v="I"/>
    <s v="G"/>
    <n v="104"/>
    <n v="98"/>
    <n v="20.257999999999999"/>
    <n v="0.33300000000000002"/>
    <n v="0.68"/>
    <s v="F30"/>
    <x v="0"/>
    <n v="30"/>
    <n v="2.028"/>
    <n v="1.284"/>
    <s v="2 PU: 0.62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0.62"/>
    <m/>
    <m/>
    <m/>
    <m/>
    <n v="0.62"/>
    <d v="2021-01-08T00:00:00"/>
    <n v="1"/>
    <n v="8"/>
    <n v="2021"/>
    <x v="17"/>
    <x v="17"/>
    <x v="13"/>
    <m/>
    <n v="3.4732863418122388"/>
    <n v="1.6712672521957339"/>
    <n v="1.7303195635229932E-2"/>
    <n v="6.7671550542848111"/>
    <n v="3.6726231612202587"/>
    <n v="6.7331424622371401"/>
    <s v="T"/>
    <n v="3"/>
  </r>
  <r>
    <s v="PU-KSS-100"/>
    <x v="3"/>
    <s v="I"/>
    <s v="I"/>
    <s v="G"/>
    <n v="106"/>
    <n v="100"/>
    <n v="24.538"/>
    <n v="0.32300000000000001"/>
    <n v="4.1000000000000002E-2"/>
    <s v="M40"/>
    <x v="2"/>
    <n v="40"/>
    <n v="2.8050000000000002"/>
    <n v="1.3480000000000001"/>
    <s v="2 PU: 1.229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1.2290000000000001"/>
    <m/>
    <m/>
    <m/>
    <m/>
    <n v="1.2290000000000001"/>
    <d v="2021-01-08T00:00:00"/>
    <n v="1"/>
    <n v="8"/>
    <n v="2021"/>
    <x v="17"/>
    <x v="17"/>
    <x v="13"/>
    <m/>
    <n v="0.16736743274686697"/>
    <n v="1.3338839562254801"/>
    <n v="1.3361462728551337E-2"/>
    <n v="5.8128503665373001"/>
    <n v="5.9377292362865761"/>
    <n v="10.946287390985409"/>
    <s v="T"/>
    <n v="2"/>
  </r>
  <r>
    <s v="PU-PP-1"/>
    <x v="4"/>
    <s v="B"/>
    <s v="B"/>
    <s v="N"/>
    <n v="201"/>
    <n v="192"/>
    <n v="181.53"/>
    <n v="2.5619999999999998"/>
    <n v="1.026"/>
    <s v="F22"/>
    <x v="0"/>
    <n v="22"/>
    <n v="6.6950000000000003"/>
    <n v="6.6130000000000004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8/12/2020"/>
    <s v="18"/>
    <s v="12"/>
    <s v="2020"/>
    <x v="0"/>
    <x v="0"/>
    <x v="0"/>
    <s v="NA"/>
    <n v="0.56840845632229764"/>
    <n v="1.4315408341155962"/>
    <n v="1.4397949893785618"/>
    <n v="3.6429240345948326"/>
    <n v="4.5171596981215145E-2"/>
    <m/>
    <m/>
    <m/>
  </r>
  <r>
    <s v="PU-PP-2"/>
    <x v="4"/>
    <s v="I"/>
    <s v="B"/>
    <s v="N"/>
    <n v="132"/>
    <n v="126"/>
    <n v="42.06"/>
    <n v="0.57899999999999996"/>
    <n v="6.8000000000000005E-2"/>
    <s v="M22"/>
    <x v="2"/>
    <n v="22"/>
    <n v="1.853"/>
    <n v="1.68"/>
    <s v="Inverts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8/12/2020"/>
    <s v="18"/>
    <s v="12"/>
    <s v="2020"/>
    <x v="0"/>
    <x v="0"/>
    <x v="0"/>
    <s v="NA"/>
    <n v="0.16193560678224422"/>
    <n v="1.3958197729080781"/>
    <n v="1.3981117040542823"/>
    <n v="3.9942938659058487"/>
    <n v="0.41131716595340001"/>
    <m/>
    <m/>
    <m/>
  </r>
  <r>
    <s v="PU-PP-3"/>
    <x v="4"/>
    <s v="I"/>
    <s v="B"/>
    <s v="N"/>
    <n v="144"/>
    <n v="138"/>
    <n v="53.354999999999997"/>
    <n v="0.79700000000000004"/>
    <n v="0.72899999999999998"/>
    <s v="F22"/>
    <x v="0"/>
    <n v="22"/>
    <n v="2.7280000000000002"/>
    <n v="2.4780000000000002"/>
    <s v="Caddisfly, odonate larvae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8/12/2020"/>
    <s v="18"/>
    <s v="12"/>
    <s v="2020"/>
    <x v="0"/>
    <x v="0"/>
    <x v="0"/>
    <s v="NA"/>
    <n v="1.3852468361646335"/>
    <n v="1.5164199550972262"/>
    <n v="1.5377491365837659"/>
    <n v="4.6443632274388538"/>
    <n v="0.46855964764314501"/>
    <m/>
    <m/>
    <m/>
  </r>
  <r>
    <s v="PU-PP-4"/>
    <x v="4"/>
    <s v="I"/>
    <s v="B"/>
    <s v="N"/>
    <n v="126"/>
    <n v="120"/>
    <n v="39.960999999999999"/>
    <n v="0.54"/>
    <n v="5.2999999999999999E-2"/>
    <s v="M22"/>
    <x v="2"/>
    <n v="22"/>
    <n v="1.87"/>
    <n v="1.518"/>
    <s v="Worm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8/12/2020"/>
    <s v="18"/>
    <s v="12"/>
    <s v="2020"/>
    <x v="0"/>
    <x v="0"/>
    <x v="0"/>
    <s v="Heart parasite"/>
    <n v="0.13280545254084394"/>
    <n v="1.3698282641231831"/>
    <n v="1.3716724243040033"/>
    <n v="3.7987037361427398"/>
    <n v="0.88085883736643256"/>
    <m/>
    <m/>
    <m/>
  </r>
  <r>
    <s v="PU-PP-5"/>
    <x v="4"/>
    <s v="B"/>
    <s v="B"/>
    <s v="N"/>
    <n v="153"/>
    <n v="144"/>
    <n v="69.599000000000004"/>
    <n v="0.84499999999999997"/>
    <n v="0.47899999999999998"/>
    <s v="F22"/>
    <x v="0"/>
    <n v="22"/>
    <n v="3.03"/>
    <n v="2.5489999999999999"/>
    <s v="Worm, inverts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8/12/2020"/>
    <s v="18"/>
    <s v="12"/>
    <s v="2020"/>
    <x v="0"/>
    <x v="0"/>
    <x v="0"/>
    <s v="Gut not kept"/>
    <n v="0.69299768518518512"/>
    <n v="1.2290194025074903"/>
    <n v="1.2376418894177956"/>
    <n v="3.6624089426572222"/>
    <n v="0.69110188364775338"/>
    <m/>
    <m/>
    <m/>
  </r>
  <r>
    <s v="PU-PP-6"/>
    <x v="4"/>
    <s v="I"/>
    <s v="I"/>
    <s v="G"/>
    <n v="92"/>
    <n v="85"/>
    <n v="12.739000000000001"/>
    <n v="0.219"/>
    <n v="0.156"/>
    <s v="F22"/>
    <x v="0"/>
    <n v="22"/>
    <n v="0.53900000000000003"/>
    <n v="0.52800000000000002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8/12/2020"/>
    <s v="18"/>
    <s v="12"/>
    <s v="2020"/>
    <x v="0"/>
    <x v="0"/>
    <x v="0"/>
    <s v="NA"/>
    <n v="1.2397679408726059"/>
    <n v="1.7492012779552715"/>
    <n v="1.7712714331931414"/>
    <n v="4.1447523353481435"/>
    <n v="8.634900698641973E-2"/>
    <m/>
    <m/>
    <m/>
  </r>
  <r>
    <s v="PU-PP-7"/>
    <x v="4"/>
    <s v="I"/>
    <s v="I"/>
    <s v="G"/>
    <n v="87"/>
    <n v="82"/>
    <n v="11.138999999999999"/>
    <n v="0.186"/>
    <n v="0.183"/>
    <s v="F22"/>
    <x v="0"/>
    <n v="22"/>
    <n v="0.41699999999999998"/>
    <n v="0.40699999999999997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8/12/2020"/>
    <s v="18"/>
    <s v="12"/>
    <s v="2020"/>
    <x v="0"/>
    <x v="0"/>
    <x v="0"/>
    <s v="NA"/>
    <n v="1.6703176341730561"/>
    <n v="1.6981648863325118"/>
    <n v="1.7270194986072425"/>
    <n v="3.6538288894873863"/>
    <n v="8.9774665589370764E-2"/>
    <m/>
    <m/>
    <m/>
  </r>
  <r>
    <s v="PU-PP-8"/>
    <x v="4"/>
    <s v="I"/>
    <s v="I"/>
    <s v="G"/>
    <n v="91"/>
    <n v="86"/>
    <n v="13.618"/>
    <n v="0.23599999999999999"/>
    <n v="0.20300000000000001"/>
    <s v="F22"/>
    <x v="0"/>
    <n v="22"/>
    <n v="0.61499999999999999"/>
    <n v="0.47099999999999997"/>
    <s v="Inverts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8/12/2020"/>
    <s v="18"/>
    <s v="12"/>
    <s v="2020"/>
    <x v="0"/>
    <x v="0"/>
    <x v="0"/>
    <s v="NA"/>
    <n v="1.5132314573238912"/>
    <n v="1.7635629950680016"/>
    <n v="1.7907276728128081"/>
    <n v="3.4586576589807607"/>
    <n v="1.0574239976501689"/>
    <m/>
    <m/>
    <m/>
  </r>
  <r>
    <s v="PU-PP-9"/>
    <x v="4"/>
    <s v="I"/>
    <s v="I"/>
    <s v="G"/>
    <n v="94"/>
    <n v="89"/>
    <n v="13.477"/>
    <n v="0.22"/>
    <n v="1.9E-2"/>
    <s v="M22"/>
    <x v="2"/>
    <n v="22"/>
    <n v="0.60499999999999998"/>
    <n v="0.55900000000000005"/>
    <s v="Inverts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8/12/2020"/>
    <s v="18"/>
    <s v="12"/>
    <s v="2020"/>
    <x v="0"/>
    <x v="0"/>
    <x v="0"/>
    <s v="NA"/>
    <n v="0.14117996730569177"/>
    <n v="1.6595006411707021"/>
    <n v="1.6618824595860404"/>
    <n v="4.1478073755286786"/>
    <n v="0.34132225272686745"/>
    <m/>
    <m/>
    <m/>
  </r>
  <r>
    <s v="PU-PP-10"/>
    <x v="4"/>
    <s v="I"/>
    <s v="I"/>
    <s v="G"/>
    <n v="96"/>
    <n v="90"/>
    <n v="13.984"/>
    <n v="0.22900000000000001"/>
    <n v="0.02"/>
    <s v="M22"/>
    <x v="2"/>
    <n v="22"/>
    <n v="0.52500000000000002"/>
    <n v="0.50600000000000001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8/12/2020"/>
    <s v="18"/>
    <s v="12"/>
    <s v="2020"/>
    <x v="0"/>
    <x v="0"/>
    <x v="0"/>
    <s v="NA"/>
    <n v="0.14322543683758235"/>
    <n v="1.6648491457651762"/>
    <n v="1.6672733891518017"/>
    <n v="3.6184210526315792"/>
    <n v="0.13586956521739144"/>
    <m/>
    <m/>
    <m/>
  </r>
  <r>
    <s v="PU-PP-11"/>
    <x v="4"/>
    <s v="I"/>
    <s v="B"/>
    <s v="N"/>
    <n v="129"/>
    <n v="123"/>
    <n v="38.223999999999997"/>
    <n v="0.76300000000000001"/>
    <n v="0.51400000000000001"/>
    <s v="F22"/>
    <x v="0"/>
    <n v="22"/>
    <n v="1.571"/>
    <n v="1.5369999999999999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8/12/2020"/>
    <s v="18"/>
    <s v="12"/>
    <s v="2020"/>
    <x v="0"/>
    <x v="0"/>
    <x v="0"/>
    <s v="NA"/>
    <n v="1.3630336780694778"/>
    <n v="2.0367849229865729"/>
    <n v="2.0651203074674536"/>
    <n v="4.021033905399749"/>
    <n v="8.894935119296786E-2"/>
    <m/>
    <m/>
    <m/>
  </r>
  <r>
    <s v="PU-PP-12"/>
    <x v="4"/>
    <s v="I"/>
    <s v="I"/>
    <s v="G"/>
    <n v="90"/>
    <n v="86"/>
    <n v="11.832000000000001"/>
    <n v="0.248"/>
    <n v="2.1000000000000001E-2"/>
    <s v="M22"/>
    <x v="2"/>
    <n v="22"/>
    <n v="0.74099999999999999"/>
    <n v="0.623"/>
    <s v="Chironomids, inverts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8/12/2020"/>
    <s v="18"/>
    <s v="12"/>
    <s v="2020"/>
    <x v="0"/>
    <x v="0"/>
    <x v="0"/>
    <s v="NA"/>
    <n v="0.17780035560071122"/>
    <n v="2.1408839779005522"/>
    <n v="2.1447721179624666"/>
    <n v="5.2653820148749153"/>
    <n v="0.99729546991210261"/>
    <m/>
    <m/>
    <m/>
  </r>
  <r>
    <s v="PU-PP-13"/>
    <x v="4"/>
    <s v="I"/>
    <s v="I"/>
    <s v="G"/>
    <n v="94"/>
    <n v="89"/>
    <n v="13.984"/>
    <n v="0.26300000000000001"/>
    <n v="2.1999999999999999E-2"/>
    <s v="M22"/>
    <x v="2"/>
    <n v="22"/>
    <n v="0.504"/>
    <n v="0.44700000000000001"/>
    <s v="Inverts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8/12/2020"/>
    <s v="18"/>
    <s v="12"/>
    <s v="2020"/>
    <x v="0"/>
    <x v="0"/>
    <x v="0"/>
    <s v="NA"/>
    <n v="0.15757054863200112"/>
    <n v="1.9167699147292474"/>
    <n v="1.9198481640995695"/>
    <n v="3.1965102974828374"/>
    <n v="0.40760869565217389"/>
    <m/>
    <m/>
    <m/>
  </r>
  <r>
    <s v="PU-PP-14"/>
    <x v="4"/>
    <s v="I"/>
    <s v="B"/>
    <s v="N"/>
    <n v="130"/>
    <n v="123"/>
    <n v="44.478000000000002"/>
    <n v="0.72199999999999998"/>
    <n v="0.61699999999999999"/>
    <s v="F22"/>
    <x v="0"/>
    <n v="22"/>
    <n v="2.169"/>
    <n v="2.0390000000000001"/>
    <s v="Inverts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8/12/2020"/>
    <s v="18"/>
    <s v="12"/>
    <s v="2020"/>
    <x v="0"/>
    <x v="0"/>
    <x v="0"/>
    <s v="NA"/>
    <n v="1.4067166731264675"/>
    <n v="1.650059420422342"/>
    <n v="1.6736595655903008"/>
    <n v="4.5842888619092586"/>
    <n v="0.29227932910652432"/>
    <m/>
    <m/>
    <m/>
  </r>
  <r>
    <s v="PU-PP-15"/>
    <x v="4"/>
    <s v="I"/>
    <s v="S"/>
    <s v="G"/>
    <n v="73"/>
    <n v="68"/>
    <n v="6.1890000000000001"/>
    <n v="0.11600000000000001"/>
    <n v="0.04"/>
    <s v="M22"/>
    <x v="2"/>
    <n v="22"/>
    <n v="0.30399999999999999"/>
    <n v="0.28699999999999998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8/12/2020"/>
    <s v="18"/>
    <s v="12"/>
    <s v="2020"/>
    <x v="0"/>
    <x v="0"/>
    <x v="0"/>
    <s v="Gonads very small"/>
    <n v="0.65051227841925519"/>
    <n v="1.9100938580602669"/>
    <n v="1.9227581634344439"/>
    <n v="4.6372596542252378"/>
    <n v="0.27468088544191333"/>
    <m/>
    <m/>
    <m/>
  </r>
  <r>
    <s v="PU-PP-16"/>
    <x v="4"/>
    <s v="I"/>
    <s v="I"/>
    <s v="G"/>
    <n v="96"/>
    <n v="89"/>
    <n v="13.691000000000001"/>
    <n v="0.217"/>
    <n v="0.19500000000000001"/>
    <s v="F22"/>
    <x v="0"/>
    <n v="22"/>
    <n v="0.58099999999999996"/>
    <n v="0.53800000000000003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8/12/2020"/>
    <s v="18"/>
    <s v="12"/>
    <s v="2020"/>
    <x v="0"/>
    <x v="0"/>
    <x v="0"/>
    <s v="NA"/>
    <n v="1.444872554831061"/>
    <n v="1.6105091286922963"/>
    <n v="1.6341591987348445"/>
    <n v="3.92958878095099"/>
    <n v="0.31407493974143547"/>
    <m/>
    <m/>
    <m/>
  </r>
  <r>
    <s v="PU-PP-17"/>
    <x v="4"/>
    <s v="I"/>
    <s v="I"/>
    <s v="G"/>
    <n v="106"/>
    <n v="95"/>
    <n v="18.916"/>
    <n v="0.313"/>
    <n v="2.1000000000000001E-2"/>
    <s v="M22"/>
    <x v="2"/>
    <n v="22"/>
    <n v="0.92400000000000004"/>
    <n v="0.80400000000000005"/>
    <s v="Odonate larvae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8/12/2020"/>
    <s v="18"/>
    <s v="12"/>
    <s v="2020"/>
    <x v="0"/>
    <x v="0"/>
    <x v="0"/>
    <s v="NA"/>
    <n v="0.11114051336332365"/>
    <n v="1.682524324033758"/>
    <n v="1.6844257883973737"/>
    <n v="4.2503700570945231"/>
    <n v="0.63438359061112282"/>
    <m/>
    <m/>
    <m/>
  </r>
  <r>
    <s v="PU-PP-18"/>
    <x v="4"/>
    <s v="I"/>
    <s v="I"/>
    <s v="G"/>
    <n v="87"/>
    <n v="82"/>
    <n v="8.2100000000000009"/>
    <n v="0.11700000000000001"/>
    <n v="0.01"/>
    <s v="M22"/>
    <x v="2"/>
    <n v="22"/>
    <n v="0.41499999999999998"/>
    <n v="0.35299999999999998"/>
    <s v="Inverts (orange)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6/01/2021"/>
    <s v="16"/>
    <s v="01"/>
    <s v="2021"/>
    <x v="4"/>
    <x v="4"/>
    <x v="1"/>
    <s v="Trapped"/>
    <n v="0.12195121951219511"/>
    <n v="1.4456938094649698"/>
    <n v="1.4474823704070272"/>
    <n v="4.2996345919610226"/>
    <n v="0.75517661388550539"/>
    <m/>
    <s v="T"/>
    <m/>
  </r>
  <r>
    <s v="PU-PP-19"/>
    <x v="4"/>
    <s v="I"/>
    <s v="B"/>
    <s v="G"/>
    <n v="110"/>
    <n v="105"/>
    <n v="22.722000000000001"/>
    <n v="0.47799999999999998"/>
    <n v="0.40200000000000002"/>
    <s v="F22"/>
    <x v="0"/>
    <n v="22"/>
    <n v="1.121"/>
    <n v="1.087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6/01/2021"/>
    <s v="16"/>
    <s v="01"/>
    <s v="2021"/>
    <x v="4"/>
    <x v="4"/>
    <x v="1"/>
    <s v="Angled"/>
    <n v="1.8010752688172045"/>
    <n v="2.1488940837978783"/>
    <n v="2.1884442816591889"/>
    <n v="4.7839098670891644"/>
    <n v="0.14963471525393904"/>
    <m/>
    <s v="A"/>
    <m/>
  </r>
  <r>
    <s v="PU-PP-20"/>
    <x v="4"/>
    <s v="I"/>
    <s v="B"/>
    <s v="N"/>
    <n v="127"/>
    <n v="121"/>
    <n v="35.207000000000001"/>
    <n v="0.58199999999999996"/>
    <n v="0.498"/>
    <s v="F22"/>
    <x v="0"/>
    <n v="22"/>
    <n v="1.4490000000000001"/>
    <n v="1.41"/>
    <s v="Chironomids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6/01/2021"/>
    <s v="16"/>
    <s v="01"/>
    <s v="2021"/>
    <x v="4"/>
    <x v="4"/>
    <x v="1"/>
    <s v="Angled"/>
    <n v="1.4347863666484197"/>
    <n v="1.6808664259927795"/>
    <n v="1.7053945556304388"/>
    <n v="4.0048853921095233"/>
    <n v="0.1107734257392"/>
    <m/>
    <s v="A"/>
    <m/>
  </r>
  <r>
    <s v="PU-PP-21"/>
    <x v="4"/>
    <s v="I"/>
    <s v="S"/>
    <s v="G"/>
    <n v="80"/>
    <n v="75"/>
    <n v="7.601"/>
    <n v="0.183"/>
    <n v="0.154"/>
    <s v="F22"/>
    <x v="0"/>
    <n v="22"/>
    <n v="0.30099999999999999"/>
    <n v="0.28499999999999998"/>
    <s v="Inverts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6/01/2021"/>
    <s v="16"/>
    <s v="01"/>
    <s v="2021"/>
    <x v="4"/>
    <x v="4"/>
    <x v="1"/>
    <s v="Angled"/>
    <n v="2.0679468242245198"/>
    <n v="2.4669722297115126"/>
    <n v="2.5192731277533036"/>
    <n v="3.7495066438626496"/>
    <n v="0.2104986186028156"/>
    <m/>
    <s v="A"/>
    <m/>
  </r>
  <r>
    <s v="PU-PP-22"/>
    <x v="4"/>
    <s v="I"/>
    <s v="S"/>
    <s v="G"/>
    <n v="83"/>
    <n v="79"/>
    <n v="8.4220000000000006"/>
    <n v="0.30099999999999999"/>
    <n v="1.2E-2"/>
    <s v="M22"/>
    <x v="2"/>
    <n v="22"/>
    <n v="0.46500000000000002"/>
    <n v="0.42899999999999999"/>
    <s v="Chironomids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6/01/2021"/>
    <s v="16"/>
    <s v="01"/>
    <s v="2021"/>
    <x v="4"/>
    <x v="4"/>
    <x v="1"/>
    <s v="Angled, heavily parasitized"/>
    <n v="0.1426872770511296"/>
    <n v="3.7064400935845336"/>
    <n v="3.7119250215809592"/>
    <n v="5.0938019472809311"/>
    <n v="0.42745191165993862"/>
    <m/>
    <s v="A"/>
    <m/>
  </r>
  <r>
    <s v="PU-PP-23"/>
    <x v="4"/>
    <s v="I"/>
    <s v="B"/>
    <s v="G"/>
    <n v="110"/>
    <n v="104"/>
    <n v="20.286999999999999"/>
    <n v="0.41699999999999998"/>
    <n v="0.34"/>
    <s v="F22"/>
    <x v="0"/>
    <n v="22"/>
    <m/>
    <n v="1.242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6/01/2021"/>
    <s v="16"/>
    <s v="01"/>
    <s v="2021"/>
    <x v="4"/>
    <x v="4"/>
    <x v="1"/>
    <s v="Angled, heavily parasitized"/>
    <n v="1.7045169699704217"/>
    <n v="2.0986411675893306"/>
    <n v="2.1351766513056836"/>
    <n v="6.1221471878542912"/>
    <m/>
    <m/>
    <s v="A"/>
    <m/>
  </r>
  <r>
    <s v="PU-PP-24"/>
    <x v="4"/>
    <s v="I"/>
    <s v="I"/>
    <s v="G"/>
    <n v="96"/>
    <n v="91"/>
    <n v="14.311"/>
    <n v="0.29199999999999998"/>
    <n v="2.7E-2"/>
    <s v="M22"/>
    <x v="2"/>
    <n v="22"/>
    <n v="0.55600000000000005"/>
    <n v="0.54100000000000004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6/01/2021"/>
    <s v="16"/>
    <s v="01"/>
    <s v="2021"/>
    <x v="4"/>
    <x v="4"/>
    <x v="1"/>
    <s v="Angled, heavily parasitized"/>
    <n v="0.18902268272192663"/>
    <n v="2.0828875098081174"/>
    <n v="2.0869068038879357"/>
    <n v="3.7803088533296068"/>
    <n v="0.1048144783732794"/>
    <m/>
    <s v="Angled"/>
    <m/>
  </r>
  <r>
    <s v="PU-PP-25"/>
    <x v="4"/>
    <s v="I"/>
    <s v="I"/>
    <s v="G"/>
    <n v="104"/>
    <n v="99"/>
    <n v="20.332999999999998"/>
    <n v="0.45100000000000001"/>
    <n v="0.03"/>
    <s v="M22"/>
    <x v="2"/>
    <n v="22"/>
    <n v="1.1459999999999999"/>
    <n v="1.071"/>
    <s v="Chironomids, 1 Caddisfly larva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6/01/2021"/>
    <s v="16"/>
    <s v="01"/>
    <s v="2021"/>
    <x v="4"/>
    <x v="4"/>
    <x v="1"/>
    <s v="Angled, heavily parasitized"/>
    <n v="0.1477614145692755"/>
    <n v="2.2683834624283272"/>
    <n v="2.2718114043925048"/>
    <n v="5.2672994639256387"/>
    <n v="0.3688585058771453"/>
    <m/>
    <s v="A"/>
    <m/>
  </r>
  <r>
    <s v="PU-PP-26"/>
    <x v="4"/>
    <s v="I"/>
    <s v="I"/>
    <s v="G"/>
    <n v="101"/>
    <n v="95"/>
    <n v="16.57"/>
    <n v="0.32900000000000001"/>
    <n v="2.1000000000000001E-2"/>
    <s v="M22"/>
    <x v="2"/>
    <n v="22"/>
    <n v="1.329"/>
    <n v="0.88800000000000001"/>
    <s v="1 Pumpkinseed YOY, chironomids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6/01/2021"/>
    <s v="16"/>
    <s v="01"/>
    <s v="2021"/>
    <x v="4"/>
    <x v="4"/>
    <x v="1"/>
    <s v="Angled, heavily parasitized"/>
    <n v="0.12689588494773099"/>
    <n v="2.0257373314451081"/>
    <n v="2.028360049321825"/>
    <n v="5.3590826795413395"/>
    <n v="2.661436330718165"/>
    <m/>
    <s v="A"/>
    <m/>
  </r>
  <r>
    <s v="PU-PP-27"/>
    <x v="4"/>
    <s v="I"/>
    <s v="S"/>
    <s v="G"/>
    <n v="78"/>
    <n v="74"/>
    <n v="6.8810000000000002"/>
    <n v="0.20200000000000001"/>
    <n v="1.0999999999999999E-2"/>
    <s v="M22"/>
    <x v="2"/>
    <n v="22"/>
    <n v="0.33"/>
    <n v="0.29299999999999998"/>
    <s v="1 Odonate, chironomids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6/01/2021"/>
    <s v="16"/>
    <s v="01"/>
    <s v="2021"/>
    <x v="4"/>
    <x v="4"/>
    <x v="1"/>
    <s v="Angled, heavily parasitized"/>
    <n v="0.16011644832605532"/>
    <n v="3.0244048510256025"/>
    <n v="3.0293941211757649"/>
    <n v="4.2581020200552242"/>
    <n v="0.53771254178171823"/>
    <m/>
    <s v="A"/>
    <m/>
  </r>
  <r>
    <s v="PU-PP-28"/>
    <x v="4"/>
    <s v="I"/>
    <s v="B"/>
    <s v="N"/>
    <n v="148"/>
    <n v="141"/>
    <n v="61.792000000000002"/>
    <n v="0.89300000000000002"/>
    <n v="0.871"/>
    <s v="F22"/>
    <x v="0"/>
    <n v="22"/>
    <n v="2.415"/>
    <n v="2.3290000000000002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6/01/2021"/>
    <s v="16"/>
    <s v="01"/>
    <s v="2021"/>
    <x v="4"/>
    <x v="4"/>
    <x v="1"/>
    <s v="Angled, heavily parasitized"/>
    <n v="1.4297204576418641"/>
    <n v="1.4663623376410122"/>
    <n v="1.4876391017525157"/>
    <n v="3.7690963231486276"/>
    <n v="0.13917659243915045"/>
    <m/>
    <s v="A"/>
    <m/>
  </r>
  <r>
    <s v="PU-PP-29"/>
    <x v="4"/>
    <s v="I"/>
    <s v="S"/>
    <s v="G"/>
    <n v="78"/>
    <n v="74"/>
    <n v="7.548"/>
    <n v="0.17699999999999999"/>
    <n v="1.4E-2"/>
    <s v="M22"/>
    <x v="2"/>
    <n v="22"/>
    <n v="0.376"/>
    <n v="0.34499999999999997"/>
    <s v="1 Damselfly larva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6/01/2021"/>
    <s v="16"/>
    <s v="01"/>
    <s v="2021"/>
    <x v="4"/>
    <x v="4"/>
    <x v="1"/>
    <s v="Angled, heavily parasitized"/>
    <n v="0.18582426333952748"/>
    <n v="2.4013024013024009"/>
    <n v="2.4058719586788091"/>
    <n v="4.5707472178060415"/>
    <n v="0.41070482246952872"/>
    <m/>
    <s v="A"/>
    <m/>
  </r>
  <r>
    <s v="PU-PP-30"/>
    <x v="4"/>
    <s v="I"/>
    <s v="S"/>
    <s v="G"/>
    <n v="82"/>
    <n v="75"/>
    <n v="8.4760000000000009"/>
    <n v="0.18"/>
    <n v="1.7999999999999999E-2"/>
    <s v="M22"/>
    <x v="2"/>
    <n v="22"/>
    <n v="0.33500000000000002"/>
    <n v="0.32300000000000001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6/01/2021"/>
    <s v="16"/>
    <s v="01"/>
    <s v="2021"/>
    <x v="4"/>
    <x v="4"/>
    <x v="1"/>
    <s v="Angled, heavily parasitized"/>
    <n v="0.2128162686214235"/>
    <n v="2.1697203471552551"/>
    <n v="2.1744382701135536"/>
    <n v="3.8107597923548839"/>
    <n v="0.1415762151958472"/>
    <m/>
    <s v="A"/>
    <m/>
  </r>
  <r>
    <s v="PU-PP-31"/>
    <x v="4"/>
    <s v="I"/>
    <s v="I"/>
    <s v="G"/>
    <n v="107"/>
    <n v="102"/>
    <n v="19.765000000000001"/>
    <n v="0.41799999999999998"/>
    <n v="0.27200000000000002"/>
    <s v="F22"/>
    <x v="0"/>
    <n v="22"/>
    <n v="1.484"/>
    <n v="1.4259999999999999"/>
    <s v="White goo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6/01/2021"/>
    <s v="16"/>
    <s v="01"/>
    <s v="2021"/>
    <x v="4"/>
    <x v="4"/>
    <x v="1"/>
    <s v="Angled, heavily parasitized"/>
    <n v="1.3953726978915508"/>
    <n v="2.1605416860495161"/>
    <n v="2.1913499344692"/>
    <n v="7.2147735896787246"/>
    <n v="0.29344801416645611"/>
    <m/>
    <s v="A"/>
    <m/>
  </r>
  <r>
    <s v="PU-PP-32"/>
    <x v="4"/>
    <s v="I"/>
    <s v="S"/>
    <s v="G"/>
    <n v="82"/>
    <n v="77"/>
    <n v="7.6020000000000003"/>
    <n v="0.104"/>
    <n v="1.7000000000000001E-2"/>
    <s v="M22"/>
    <x v="2"/>
    <n v="22"/>
    <n v="0.47099999999999997"/>
    <n v="0.44800000000000001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6/01/2021"/>
    <s v="16"/>
    <s v="01"/>
    <s v="2021"/>
    <x v="4"/>
    <x v="4"/>
    <x v="1"/>
    <s v="Angled, heavily parasitized"/>
    <n v="0.22412656558998023"/>
    <n v="1.3870365430781542"/>
    <n v="1.3901884774762732"/>
    <n v="5.8931860036832413"/>
    <n v="0.30255196001052309"/>
    <m/>
    <s v="A"/>
    <m/>
  </r>
  <r>
    <s v="PU-PP-33"/>
    <x v="4"/>
    <s v="I"/>
    <s v="I"/>
    <s v="G"/>
    <n v="96"/>
    <n v="91"/>
    <n v="12.577999999999999"/>
    <n v="0.22800000000000001"/>
    <n v="2.1999999999999999E-2"/>
    <s v="M22"/>
    <x v="2"/>
    <n v="22"/>
    <n v="0.54"/>
    <n v="0.50800000000000001"/>
    <s v="Chironomids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6/01/2021"/>
    <s v="16"/>
    <s v="01"/>
    <s v="2021"/>
    <x v="4"/>
    <x v="4"/>
    <x v="1"/>
    <s v="Angled, heavily parasitized"/>
    <n v="0.17521503663587129"/>
    <n v="1.8461538461538463"/>
    <n v="1.8494484101232969"/>
    <n v="4.038797901097154"/>
    <n v="0.25441246621084457"/>
    <m/>
    <s v="A"/>
    <m/>
  </r>
  <r>
    <s v="PU-PP-34"/>
    <x v="4"/>
    <s v="I"/>
    <s v="I"/>
    <s v="G"/>
    <n v="93"/>
    <n v="87"/>
    <n v="12.227"/>
    <n v="0.249"/>
    <n v="2.9000000000000001E-2"/>
    <s v="M22"/>
    <x v="2"/>
    <n v="22"/>
    <n v="0.81499999999999995"/>
    <n v="0.69199999999999995"/>
    <s v="1 Odonate larva, chironomids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6/01/2021"/>
    <s v="16"/>
    <s v="01"/>
    <s v="2021"/>
    <x v="4"/>
    <x v="4"/>
    <x v="1"/>
    <s v="Angled, heavily parasitized"/>
    <n v="0.23774389244138383"/>
    <n v="2.0788111537819334"/>
    <n v="2.083856389656038"/>
    <n v="5.6596057904637274"/>
    <n v="1.0059703933916742"/>
    <m/>
    <s v="A"/>
    <m/>
  </r>
  <r>
    <s v="PU-PP-35"/>
    <x v="4"/>
    <s v="I"/>
    <s v="I"/>
    <s v="G"/>
    <n v="85"/>
    <n v="81"/>
    <n v="9.6370000000000005"/>
    <n v="0.193"/>
    <n v="1.6E-2"/>
    <s v="M22"/>
    <x v="2"/>
    <n v="22"/>
    <n v="0.434"/>
    <n v="0.375"/>
    <s v="Chironomids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6/01/2021"/>
    <s v="16"/>
    <s v="01"/>
    <s v="2021"/>
    <x v="4"/>
    <x v="4"/>
    <x v="1"/>
    <s v="Angled, heavily parasitized"/>
    <n v="0.16630287911859473"/>
    <n v="2.0436255823803471"/>
    <n v="2.0470937632583794"/>
    <n v="3.8912524644598943"/>
    <n v="0.61222372107502332"/>
    <m/>
    <s v="A"/>
    <m/>
  </r>
  <r>
    <s v="PU-PP-36"/>
    <x v="4"/>
    <s v="I"/>
    <s v="B"/>
    <s v="N"/>
    <n v="113"/>
    <n v="107"/>
    <n v="23.742000000000001"/>
    <n v="0.45500000000000002"/>
    <n v="4.5999999999999999E-2"/>
    <s v="M22"/>
    <x v="2"/>
    <n v="22"/>
    <n v="1.0029999999999999"/>
    <n v="0.93100000000000005"/>
    <s v="1 caddisfly: 0.05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0.05"/>
    <m/>
    <m/>
    <m/>
    <m/>
    <m/>
    <m/>
    <m/>
    <m/>
    <m/>
    <m/>
    <m/>
    <m/>
    <m/>
    <m/>
    <m/>
    <m/>
    <m/>
    <m/>
    <n v="0.05"/>
    <d v="2021-05-02T00:00:00"/>
    <n v="5"/>
    <n v="2"/>
    <n v="2021"/>
    <x v="5"/>
    <x v="5"/>
    <x v="2"/>
    <s v="Angled, some parasites"/>
    <n v="0.19412559081701553"/>
    <n v="1.9538798471250052"/>
    <n v="1.9577470848930765"/>
    <n v="3.921320865975908"/>
    <n v="0.30326004548900615"/>
    <n v="0.51385729930081647"/>
    <s v="A"/>
    <n v="2"/>
  </r>
  <r>
    <s v="PU-PP-37"/>
    <x v="4"/>
    <s v="I"/>
    <s v="I"/>
    <s v="G"/>
    <n v="86"/>
    <n v="81"/>
    <n v="9.5660000000000007"/>
    <n v="0.19500000000000001"/>
    <n v="0.125"/>
    <s v="F22"/>
    <x v="0"/>
    <n v="22"/>
    <n v="0.48"/>
    <n v="0.36699999999999999"/>
    <s v="bait: 0.089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.8999999999999996E-2"/>
    <d v="2021-05-02T00:00:00"/>
    <n v="5"/>
    <n v="2"/>
    <n v="2021"/>
    <x v="5"/>
    <x v="5"/>
    <x v="2"/>
    <s v="Angled, no parasites"/>
    <n v="1.3240122868340218"/>
    <n v="2.0808878454807385"/>
    <n v="2.109020116807268"/>
    <n v="3.8365042860129623"/>
    <n v="1.1812669872464978"/>
    <n v="2.1116454108300227"/>
    <s v="A"/>
    <n v="1"/>
  </r>
  <r>
    <s v="PU-PP-38"/>
    <x v="4"/>
    <s v="I"/>
    <s v="S"/>
    <s v="G"/>
    <n v="72"/>
    <n v="69"/>
    <n v="5.202"/>
    <n v="9.7000000000000003E-2"/>
    <n v="0.01"/>
    <s v="M22"/>
    <x v="2"/>
    <n v="22"/>
    <n v="0.27500000000000002"/>
    <n v="0.25"/>
    <s v="3 chironomids: 0.003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3.0000000000000001E-3"/>
    <m/>
    <m/>
    <m/>
    <m/>
    <m/>
    <m/>
    <m/>
    <m/>
    <m/>
    <m/>
    <m/>
    <m/>
    <m/>
    <m/>
    <m/>
    <m/>
    <m/>
    <m/>
    <m/>
    <m/>
    <m/>
    <m/>
    <m/>
    <m/>
    <n v="3.0000000000000001E-3"/>
    <d v="2021-05-02T00:00:00"/>
    <n v="5"/>
    <n v="2"/>
    <n v="2021"/>
    <x v="5"/>
    <x v="5"/>
    <x v="2"/>
    <s v="Angled, heavily parasitized"/>
    <n v="0.19260400616332821"/>
    <n v="1.9000979431929483"/>
    <n v="1.9038272816486752"/>
    <n v="4.805843906189927"/>
    <n v="0.48058439061899311"/>
    <n v="0.53825451749327224"/>
    <s v="A"/>
    <n v="3"/>
  </r>
  <r>
    <s v="PU-PP-39"/>
    <x v="4"/>
    <s v="I"/>
    <s v="I"/>
    <s v="G"/>
    <n v="89"/>
    <n v="85"/>
    <n v="10.445"/>
    <n v="0.153"/>
    <n v="1.0999999999999999E-2"/>
    <s v="M22"/>
    <x v="2"/>
    <n v="22"/>
    <n v="0.42099999999999999"/>
    <n v="0.40699999999999997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d v="2021-05-02T00:00:00"/>
    <n v="5"/>
    <n v="2"/>
    <n v="2021"/>
    <x v="5"/>
    <x v="5"/>
    <x v="2"/>
    <s v="Angled, heavily parasitized"/>
    <n v="0.10542457350967989"/>
    <n v="1.4865915273999224"/>
    <n v="1.4881820834549169"/>
    <n v="3.8966012446146476"/>
    <n v="0.13403542364767843"/>
    <n v="0.13403542364767843"/>
    <s v="A"/>
    <n v="3"/>
  </r>
  <r>
    <s v="PU-PP-40"/>
    <x v="4"/>
    <s v="I"/>
    <s v="I"/>
    <s v="G"/>
    <n v="100"/>
    <n v="95"/>
    <n v="16.885999999999999"/>
    <n v="0.33600000000000002"/>
    <n v="0.22800000000000001"/>
    <s v="F22"/>
    <x v="0"/>
    <n v="22"/>
    <n v="0.747"/>
    <n v="0.72599999999999998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d v="2021-05-02T00:00:00"/>
    <n v="5"/>
    <n v="2"/>
    <n v="2021"/>
    <x v="5"/>
    <x v="5"/>
    <x v="2"/>
    <s v="Angled, some parasites"/>
    <n v="1.3687117300996521"/>
    <n v="2.0302114803625377"/>
    <n v="2.0585712535228526"/>
    <n v="4.2994196375695841"/>
    <n v="0.12436337794622776"/>
    <n v="0.12436337794622776"/>
    <s v="A"/>
    <n v="2"/>
  </r>
  <r>
    <s v="PU-PP-41"/>
    <x v="4"/>
    <s v="I"/>
    <s v="I"/>
    <s v="G"/>
    <n v="85"/>
    <n v="81"/>
    <n v="9.5190000000000001"/>
    <n v="0.34799999999999998"/>
    <n v="2.5000000000000001E-2"/>
    <s v="M22"/>
    <x v="2"/>
    <n v="22"/>
    <n v="0.41599999999999998"/>
    <n v="0.39500000000000002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d v="2021-05-02T00:00:00"/>
    <n v="5"/>
    <n v="2"/>
    <n v="2021"/>
    <x v="5"/>
    <x v="5"/>
    <x v="2"/>
    <s v="Angled, heavily parasitized"/>
    <n v="0.26332420476090168"/>
    <n v="3.7945698397121363"/>
    <n v="3.8049420511699106"/>
    <n v="4.1495955457506044"/>
    <n v="0.22061140876142413"/>
    <n v="0.22061140876142413"/>
    <s v="A"/>
    <n v="3"/>
  </r>
  <r>
    <s v="PU-PP-42"/>
    <x v="4"/>
    <s v="I"/>
    <s v="B"/>
    <s v="N"/>
    <n v="121"/>
    <n v="115"/>
    <n v="29.242000000000001"/>
    <n v="0.61099999999999999"/>
    <n v="0.44500000000000001"/>
    <s v="F22"/>
    <x v="0"/>
    <n v="22"/>
    <n v="2.1429999999999998"/>
    <n v="1.766"/>
    <s v="2 odonate: 0.266"/>
    <s v="F"/>
    <m/>
    <m/>
    <m/>
    <m/>
    <m/>
    <m/>
    <m/>
    <m/>
    <m/>
    <m/>
    <m/>
    <m/>
    <m/>
    <m/>
    <m/>
    <m/>
    <m/>
    <m/>
    <m/>
    <m/>
    <m/>
    <m/>
    <m/>
    <m/>
    <n v="2"/>
    <n v="0.26600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26600000000000001"/>
    <d v="2021-05-02T00:00:00"/>
    <n v="5"/>
    <n v="2"/>
    <n v="2021"/>
    <x v="5"/>
    <x v="5"/>
    <x v="2"/>
    <s v="Angled, heavily parasitized, gonads: one overdeveloped, one underdeveloped"/>
    <n v="1.545299857624058"/>
    <n v="2.1340505046977052"/>
    <n v="2.1677428510608103"/>
    <n v="6.0392586006429108"/>
    <n v="1.2892415019492502"/>
    <n v="2.198892004650844"/>
    <s v="A"/>
    <n v="3"/>
  </r>
  <r>
    <s v="PU-PP-43"/>
    <x v="4"/>
    <s v="I"/>
    <s v="I"/>
    <s v="G"/>
    <n v="86"/>
    <n v="82"/>
    <n v="9.2840000000000007"/>
    <n v="0.20499999999999999"/>
    <n v="1.7000000000000001E-2"/>
    <s v="M22"/>
    <x v="2"/>
    <n v="22"/>
    <n v="0.39"/>
    <n v="0.33300000000000002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d v="2021-06-02T00:00:00"/>
    <n v="5"/>
    <n v="2"/>
    <n v="2021"/>
    <x v="5"/>
    <x v="5"/>
    <x v="2"/>
    <s v="Angled, some parasites"/>
    <n v="0.18344663861012192"/>
    <n v="2.2579579248815946"/>
    <n v="2.2621937762083424"/>
    <n v="3.5868160275743217"/>
    <n v="0.61395950021542434"/>
    <n v="0.61395950021542434"/>
    <s v="A"/>
    <n v="2"/>
  </r>
  <r>
    <s v="PU-PP-44"/>
    <x v="4"/>
    <s v="I"/>
    <s v="I"/>
    <s v="G"/>
    <n v="90"/>
    <n v="86"/>
    <n v="9.843"/>
    <n v="0.12"/>
    <n v="1.4E-2"/>
    <s v="M22"/>
    <x v="2"/>
    <n v="22"/>
    <n v="0.38200000000000001"/>
    <n v="0.36599999999999999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d v="2021-06-02T00:00:00"/>
    <n v="5"/>
    <n v="2"/>
    <n v="2021"/>
    <x v="5"/>
    <x v="5"/>
    <x v="2"/>
    <s v="Angled, heavily parasitized"/>
    <n v="0.14243564960830196"/>
    <n v="1.2341869793273679"/>
    <n v="1.2359666289010194"/>
    <n v="3.7183785431270953"/>
    <n v="0.16255206745910813"/>
    <n v="0.16255206745910813"/>
    <s v="A"/>
    <n v="3"/>
  </r>
  <r>
    <s v="PU-PP-45"/>
    <x v="4"/>
    <s v="I"/>
    <s v="I"/>
    <s v="G"/>
    <n v="87"/>
    <n v="82"/>
    <n v="10.141"/>
    <n v="0.17299999999999999"/>
    <n v="1.9E-2"/>
    <s v="M22"/>
    <x v="2"/>
    <n v="22"/>
    <n v="0.41499999999999998"/>
    <n v="0.33700000000000002"/>
    <s v="Inverts: 0.048"/>
    <s v="F"/>
    <m/>
    <m/>
    <m/>
    <n v="4.8000000000000001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.8000000000000001E-2"/>
    <d v="2021-06-02T00:00:00"/>
    <n v="5"/>
    <n v="2"/>
    <n v="2021"/>
    <x v="5"/>
    <x v="5"/>
    <x v="2"/>
    <s v="Angled, heavily parasitized"/>
    <n v="0.18770993874728314"/>
    <n v="1.735553772070626"/>
    <n v="1.7388682279626093"/>
    <n v="3.3231436741938665"/>
    <n v="0.76915491568878769"/>
    <n v="1.2424810176511187"/>
    <s v="A"/>
    <n v="3"/>
  </r>
  <r>
    <s v="PU-PP-46"/>
    <x v="4"/>
    <s v="I"/>
    <s v="I"/>
    <s v="G"/>
    <n v="96"/>
    <n v="91"/>
    <n v="12.842000000000001"/>
    <n v="0.23"/>
    <n v="2.1000000000000001E-2"/>
    <s v="M22"/>
    <x v="2"/>
    <n v="22"/>
    <n v="0.497"/>
    <n v="0.498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d v="2021-07-02T00:00:00"/>
    <n v="5"/>
    <n v="2"/>
    <n v="2021"/>
    <x v="5"/>
    <x v="5"/>
    <x v="2"/>
    <s v="Angled, heavily parasitized"/>
    <n v="0.16379377583651822"/>
    <n v="1.8236600063431654"/>
    <n v="1.8267016122627278"/>
    <n v="3.8779006385298236"/>
    <m/>
    <m/>
    <s v="A"/>
    <n v="3"/>
  </r>
  <r>
    <s v="PU-PP-47"/>
    <x v="4"/>
    <s v="I"/>
    <s v="I"/>
    <s v="G"/>
    <n v="89"/>
    <n v="85"/>
    <n v="11.677"/>
    <n v="0.22700000000000001"/>
    <n v="0.16400000000000001"/>
    <s v="F22"/>
    <x v="0"/>
    <n v="22"/>
    <n v="0.47"/>
    <n v="0.42699999999999999"/>
    <s v="2 damselfly larvae: 0.017"/>
    <s v="F"/>
    <m/>
    <m/>
    <m/>
    <m/>
    <m/>
    <m/>
    <m/>
    <m/>
    <m/>
    <m/>
    <m/>
    <m/>
    <m/>
    <m/>
    <m/>
    <m/>
    <m/>
    <m/>
    <m/>
    <m/>
    <m/>
    <m/>
    <m/>
    <m/>
    <m/>
    <m/>
    <n v="2"/>
    <n v="1.7000000000000001E-2"/>
    <m/>
    <m/>
    <m/>
    <m/>
    <m/>
    <m/>
    <m/>
    <m/>
    <m/>
    <m/>
    <m/>
    <m/>
    <m/>
    <m/>
    <m/>
    <m/>
    <m/>
    <m/>
    <m/>
    <m/>
    <m/>
    <m/>
    <m/>
    <m/>
    <m/>
    <m/>
    <m/>
    <m/>
    <n v="1.7000000000000001E-2"/>
    <d v="2021-07-02T00:00:00"/>
    <n v="5"/>
    <n v="2"/>
    <n v="2021"/>
    <x v="5"/>
    <x v="5"/>
    <x v="2"/>
    <s v="Angled, heavily parasitized"/>
    <n v="1.4244766785373058"/>
    <n v="1.982532751091703"/>
    <n v="2.0113414850256959"/>
    <n v="3.6567611544060976"/>
    <n v="0.36824526847649208"/>
    <n v="0.51383060717650064"/>
    <s v="A"/>
    <n v="3"/>
  </r>
  <r>
    <s v="PU-PP-48"/>
    <x v="4"/>
    <s v="I"/>
    <s v="S"/>
    <s v="G"/>
    <n v="84"/>
    <n v="79"/>
    <n v="8.3209999999999997"/>
    <n v="0.17599999999999999"/>
    <n v="0.13"/>
    <s v="F22"/>
    <x v="0"/>
    <n v="22"/>
    <n v="0.26400000000000001"/>
    <n v="0.24299999999999999"/>
    <s v="1 chironomid: 0.004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4.0000000000000001E-3"/>
    <m/>
    <m/>
    <m/>
    <m/>
    <m/>
    <m/>
    <m/>
    <m/>
    <m/>
    <m/>
    <m/>
    <m/>
    <m/>
    <m/>
    <m/>
    <m/>
    <m/>
    <m/>
    <m/>
    <m/>
    <m/>
    <m/>
    <m/>
    <m/>
    <n v="4.0000000000000001E-3"/>
    <d v="2021-07-02T00:00:00"/>
    <n v="5"/>
    <n v="2"/>
    <n v="2021"/>
    <x v="5"/>
    <x v="5"/>
    <x v="2"/>
    <s v="Angled, heavily parasitized"/>
    <n v="1.5871078012452695"/>
    <n v="2.1608348680171883"/>
    <n v="2.1958827199001876"/>
    <n v="2.920322076673477"/>
    <n v="0.25237351279894266"/>
    <n v="0.3004446580939793"/>
    <s v="A"/>
    <n v="3"/>
  </r>
  <r>
    <s v="PU-PP-49"/>
    <x v="4"/>
    <s v="I"/>
    <s v="S"/>
    <s v="G"/>
    <n v="82"/>
    <n v="77"/>
    <n v="7.9329999999999998"/>
    <n v="0.191"/>
    <n v="1.2999999999999999E-2"/>
    <s v="M22"/>
    <x v="2"/>
    <n v="22"/>
    <n v="0.38800000000000001"/>
    <n v="0.28100000000000003"/>
    <s v="1 Inverts: 0.075, bait?"/>
    <s v="F"/>
    <m/>
    <m/>
    <n v="1"/>
    <n v="7.4999999999999997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.4999999999999997E-2"/>
    <d v="2021-07-02T00:00:00"/>
    <n v="5"/>
    <n v="2"/>
    <n v="2021"/>
    <x v="5"/>
    <x v="5"/>
    <x v="2"/>
    <s v="Angled, heavily parasitized"/>
    <n v="0.16414141414141414"/>
    <n v="2.4670627744768794"/>
    <n v="2.4712123172467333"/>
    <n v="3.5421656372116481"/>
    <n v="1.3487961679062144"/>
    <n v="2.2942140426068325"/>
    <s v="A"/>
    <n v="3"/>
  </r>
  <r>
    <s v="PU-PP-50"/>
    <x v="4"/>
    <s v="I"/>
    <s v="S"/>
    <s v="G"/>
    <n v="71"/>
    <n v="67"/>
    <n v="5.1319999999999997"/>
    <n v="0.151"/>
    <n v="8.7999999999999995E-2"/>
    <s v="F22"/>
    <x v="0"/>
    <n v="22"/>
    <n v="0.23"/>
    <n v="0.19500000000000001"/>
    <s v="10 chiro: 0.02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0"/>
    <n v="0.02"/>
    <m/>
    <m/>
    <m/>
    <m/>
    <m/>
    <m/>
    <m/>
    <m/>
    <m/>
    <m/>
    <m/>
    <m/>
    <m/>
    <m/>
    <m/>
    <m/>
    <m/>
    <m/>
    <m/>
    <m/>
    <m/>
    <m/>
    <m/>
    <m/>
    <n v="0.02"/>
    <s v="20/2/2021"/>
    <s v="20"/>
    <s v="2"/>
    <s v="2021"/>
    <x v="44"/>
    <x v="44"/>
    <x v="3"/>
    <s v="Trapped, some parasites"/>
    <n v="1.7446471054718478"/>
    <n v="3.0315197751455534"/>
    <n v="3.0860412834661766"/>
    <n v="3.7996882307092759"/>
    <n v="0.68199532346063929"/>
    <n v="1.0717069368667187"/>
    <s v="T"/>
    <n v="2"/>
  </r>
  <r>
    <s v="PU-PP-51"/>
    <x v="4"/>
    <s v="I"/>
    <s v="S"/>
    <s v="G"/>
    <n v="75"/>
    <n v="71"/>
    <n v="5.2649999999999997"/>
    <n v="8.5000000000000006E-2"/>
    <n v="0.01"/>
    <s v="M22"/>
    <x v="2"/>
    <n v="22"/>
    <n v="0.255"/>
    <n v="0.22500000000000001"/>
    <s v="7 chiro: 0.019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"/>
    <n v="1.9E-2"/>
    <m/>
    <m/>
    <m/>
    <m/>
    <m/>
    <m/>
    <m/>
    <m/>
    <m/>
    <m/>
    <m/>
    <m/>
    <m/>
    <m/>
    <m/>
    <m/>
    <m/>
    <m/>
    <m/>
    <m/>
    <m/>
    <m/>
    <m/>
    <m/>
    <n v="1.9E-2"/>
    <s v="20/2/2021"/>
    <s v="20"/>
    <s v="2"/>
    <s v="2021"/>
    <x v="44"/>
    <x v="44"/>
    <x v="3"/>
    <s v="Trapped, heavily parasitized"/>
    <n v="0.19029495718363465"/>
    <n v="1.6409266409266412"/>
    <n v="1.6441005802707933"/>
    <n v="4.2735042735042734"/>
    <n v="0.56980056980056981"/>
    <n v="0.93067426400759745"/>
    <s v="T"/>
    <n v="3"/>
  </r>
  <r>
    <s v="PU-PP-52"/>
    <x v="4"/>
    <s v="S"/>
    <s v="IMM"/>
    <s v="N"/>
    <n v="59"/>
    <n v="56"/>
    <n v="2.9849999999999999"/>
    <n v="0.12"/>
    <n v="5.0000000000000001E-3"/>
    <s v="M22"/>
    <x v="2"/>
    <n v="22"/>
    <n v="0.16200000000000001"/>
    <n v="0.158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20/2/2021"/>
    <s v="20"/>
    <s v="2"/>
    <s v="2021"/>
    <x v="44"/>
    <x v="44"/>
    <x v="3"/>
    <s v="Trapped, heavily parasitized"/>
    <n v="0.16778523489932887"/>
    <n v="4.1884816753926701"/>
    <n v="4.1958041958041958"/>
    <n v="5.2931323283082081"/>
    <n v="0.13400335008375222"/>
    <n v="0.13400335008375222"/>
    <s v="T"/>
    <n v="3"/>
  </r>
  <r>
    <s v="PU-PP-53"/>
    <x v="4"/>
    <s v="I"/>
    <s v="IMM"/>
    <s v="G"/>
    <n v="62"/>
    <n v="59"/>
    <n v="3.4420000000000002"/>
    <n v="0.10299999999999999"/>
    <n v="7.0000000000000001E-3"/>
    <s v="M22"/>
    <x v="2"/>
    <n v="22"/>
    <n v="0.15"/>
    <n v="0.125"/>
    <s v="4 chiro: 0.013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1.2999999999999999E-2"/>
    <m/>
    <m/>
    <m/>
    <m/>
    <m/>
    <m/>
    <m/>
    <m/>
    <m/>
    <m/>
    <m/>
    <m/>
    <m/>
    <m/>
    <m/>
    <m/>
    <m/>
    <m/>
    <m/>
    <m/>
    <m/>
    <m/>
    <m/>
    <m/>
    <n v="1.2999999999999999E-2"/>
    <s v="20/2/2021"/>
    <s v="20"/>
    <s v="2"/>
    <s v="2021"/>
    <x v="44"/>
    <x v="44"/>
    <x v="3"/>
    <s v="Trapped, heavily parasitized"/>
    <n v="0.20378457059679767"/>
    <n v="3.0847559149445942"/>
    <n v="3.091236494597839"/>
    <n v="3.6316095293434048"/>
    <n v="0.72632190586868073"/>
    <n v="1.1040092969203947"/>
    <s v="T"/>
    <n v="3"/>
  </r>
  <r>
    <s v="PU-PP-54"/>
    <x v="4"/>
    <s v="S"/>
    <s v="IMM"/>
    <s v="G"/>
    <n v="60"/>
    <n v="56"/>
    <n v="3.1040000000000001"/>
    <n v="6.5000000000000002E-2"/>
    <n v="1.0999999999999999E-2"/>
    <s v="M22"/>
    <x v="2"/>
    <n v="22"/>
    <n v="0.14799999999999999"/>
    <n v="0.10100000000000001"/>
    <s v="10 chiro: 0.02; 1 odo: 0.005"/>
    <s v="F"/>
    <m/>
    <m/>
    <m/>
    <m/>
    <m/>
    <m/>
    <m/>
    <m/>
    <m/>
    <m/>
    <m/>
    <m/>
    <m/>
    <m/>
    <m/>
    <m/>
    <m/>
    <m/>
    <m/>
    <m/>
    <m/>
    <m/>
    <m/>
    <m/>
    <n v="1"/>
    <n v="5.0000000000000001E-3"/>
    <m/>
    <m/>
    <m/>
    <m/>
    <n v="10"/>
    <n v="0.02"/>
    <m/>
    <m/>
    <m/>
    <m/>
    <m/>
    <m/>
    <m/>
    <m/>
    <m/>
    <m/>
    <m/>
    <m/>
    <m/>
    <m/>
    <m/>
    <m/>
    <m/>
    <m/>
    <m/>
    <m/>
    <m/>
    <m/>
    <m/>
    <m/>
    <n v="2.5000000000000001E-2"/>
    <s v="20/2/2021"/>
    <s v="20"/>
    <s v="2"/>
    <s v="2021"/>
    <x v="44"/>
    <x v="44"/>
    <x v="3"/>
    <s v="Trapped, heavily parasitized"/>
    <n v="0.35564177174264466"/>
    <n v="2.1388614675880224"/>
    <n v="2.1466314398943198"/>
    <n v="3.2538659793814437"/>
    <n v="1.5141752577319583"/>
    <n v="2.3195876288659787"/>
    <s v="T"/>
    <n v="3"/>
  </r>
  <r>
    <s v="PU-PP-55"/>
    <x v="4"/>
    <s v="I"/>
    <s v="IMM"/>
    <s v="G"/>
    <n v="64"/>
    <n v="60"/>
    <n v="3.9340000000000002"/>
    <n v="8.5999999999999993E-2"/>
    <n v="6.2E-2"/>
    <s v="F22"/>
    <x v="0"/>
    <n v="22"/>
    <n v="0.13800000000000001"/>
    <n v="0.13300000000000001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20/2/2021"/>
    <s v="20"/>
    <s v="2"/>
    <s v="2021"/>
    <x v="44"/>
    <x v="44"/>
    <x v="3"/>
    <s v="Trapped, heavily parasitized, 1 UNDEV gonad"/>
    <n v="1.6012396694214874"/>
    <n v="2.2349272349272349"/>
    <n v="2.2715266772319063"/>
    <n v="3.3807829181494666"/>
    <n v="0.12709710218607026"/>
    <n v="0.12709710218607026"/>
    <s v="T"/>
    <n v="3"/>
  </r>
  <r>
    <s v="PU-PP-56"/>
    <x v="4"/>
    <s v="I"/>
    <s v="IMM"/>
    <s v="G"/>
    <n v="64"/>
    <n v="60"/>
    <n v="3.851"/>
    <n v="0.107"/>
    <n v="5.1999999999999998E-2"/>
    <s v="F22"/>
    <x v="0"/>
    <n v="22"/>
    <n v="0.192"/>
    <n v="0.16"/>
    <s v="3 damsel: 0.018"/>
    <s v="F"/>
    <m/>
    <m/>
    <m/>
    <m/>
    <m/>
    <m/>
    <m/>
    <m/>
    <m/>
    <m/>
    <m/>
    <m/>
    <m/>
    <m/>
    <m/>
    <m/>
    <m/>
    <m/>
    <m/>
    <m/>
    <m/>
    <m/>
    <m/>
    <m/>
    <m/>
    <m/>
    <n v="3"/>
    <n v="1.7999999999999999E-2"/>
    <m/>
    <m/>
    <m/>
    <m/>
    <m/>
    <m/>
    <m/>
    <m/>
    <m/>
    <m/>
    <m/>
    <m/>
    <m/>
    <m/>
    <m/>
    <m/>
    <m/>
    <m/>
    <m/>
    <m/>
    <m/>
    <m/>
    <m/>
    <m/>
    <m/>
    <m/>
    <m/>
    <m/>
    <n v="1.7999999999999999E-2"/>
    <s v="20/2/2021"/>
    <s v="20"/>
    <s v="2"/>
    <s v="2021"/>
    <x v="44"/>
    <x v="44"/>
    <x v="3"/>
    <s v="Trapped, some parasites"/>
    <n v="1.368781258225849"/>
    <n v="2.857905982905983"/>
    <n v="2.8981581798483211"/>
    <n v="4.154764996104908"/>
    <n v="0.83095299922098154"/>
    <n v="1.2983640612827838"/>
    <s v="T"/>
    <n v="2"/>
  </r>
  <r>
    <s v="PU-PP-57"/>
    <x v="4"/>
    <s v="I"/>
    <s v="S"/>
    <s v="G"/>
    <n v="81"/>
    <n v="76"/>
    <n v="7.51"/>
    <n v="0.16900000000000001"/>
    <n v="1.4E-2"/>
    <s v="M22"/>
    <x v="2"/>
    <n v="22"/>
    <n v="0.33100000000000002"/>
    <n v="0.28699999999999998"/>
    <s v="9 chiro: 0.03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9"/>
    <n v="0.03"/>
    <m/>
    <m/>
    <m/>
    <m/>
    <m/>
    <m/>
    <m/>
    <m/>
    <m/>
    <m/>
    <m/>
    <m/>
    <m/>
    <m/>
    <m/>
    <m/>
    <m/>
    <m/>
    <m/>
    <m/>
    <m/>
    <m/>
    <m/>
    <m/>
    <n v="0.03"/>
    <s v="20/2/2021"/>
    <s v="20"/>
    <s v="2"/>
    <s v="2021"/>
    <x v="44"/>
    <x v="44"/>
    <x v="3"/>
    <s v="Trapped, heavily parasitized"/>
    <n v="0.18676627534685167"/>
    <n v="2.3021386732052855"/>
    <n v="2.3065374641736045"/>
    <n v="3.8215712383488678"/>
    <n v="0.58588548601864232"/>
    <n v="0.98535286284953449"/>
    <s v="T"/>
    <n v="3"/>
  </r>
  <r>
    <s v="PU-PP-58"/>
    <x v="4"/>
    <s v="I"/>
    <s v="IMM"/>
    <s v="G"/>
    <n v="62"/>
    <n v="58"/>
    <n v="3.415"/>
    <n v="6.7000000000000004E-2"/>
    <n v="8.9999999999999993E-3"/>
    <s v="M22"/>
    <x v="2"/>
    <n v="22"/>
    <n v="0.14799999999999999"/>
    <n v="0.128"/>
    <s v="5 chiro: 0.006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n v="6.0000000000000001E-3"/>
    <m/>
    <m/>
    <m/>
    <m/>
    <m/>
    <m/>
    <m/>
    <m/>
    <m/>
    <m/>
    <m/>
    <m/>
    <m/>
    <m/>
    <m/>
    <m/>
    <m/>
    <m/>
    <m/>
    <m/>
    <m/>
    <m/>
    <m/>
    <m/>
    <n v="6.0000000000000001E-3"/>
    <s v="20/2/2021"/>
    <s v="20"/>
    <s v="2"/>
    <s v="2021"/>
    <x v="44"/>
    <x v="44"/>
    <x v="3"/>
    <s v="Trapped, heavily parasitized"/>
    <n v="0.2642395772166764"/>
    <n v="2.001194743130227"/>
    <n v="2.0065887990416296"/>
    <n v="3.7481698389458273"/>
    <n v="0.58565153733528519"/>
    <n v="0.76134699853587084"/>
    <s v="T"/>
    <n v="3"/>
  </r>
  <r>
    <s v="PU-PP-59"/>
    <x v="4"/>
    <s v="S"/>
    <s v="IMM"/>
    <s v="N"/>
    <n v="53"/>
    <n v="50"/>
    <n v="2.1469999999999998"/>
    <n v="6.3E-2"/>
    <s v="&lt;0.001"/>
    <s v="M10"/>
    <x v="2"/>
    <n v="10"/>
    <n v="0.1"/>
    <n v="9.6000000000000002E-2"/>
    <s v="2 chiro: 0.001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1E-3"/>
    <m/>
    <m/>
    <m/>
    <m/>
    <m/>
    <m/>
    <m/>
    <m/>
    <m/>
    <m/>
    <m/>
    <m/>
    <m/>
    <m/>
    <m/>
    <m/>
    <m/>
    <m/>
    <m/>
    <m/>
    <m/>
    <m/>
    <m/>
    <m/>
    <n v="1E-3"/>
    <s v="20/2/2021"/>
    <s v="20"/>
    <s v="2"/>
    <s v="2021"/>
    <x v="44"/>
    <x v="44"/>
    <x v="3"/>
    <s v="Trapped, heavily parasitized, gonads not kept"/>
    <m/>
    <n v="3.0230326295585419"/>
    <m/>
    <n v="4.4713553795994416"/>
    <n v="0.18630647414997689"/>
    <n v="0.23288309268747107"/>
    <s v="T"/>
    <n v="3"/>
  </r>
  <r>
    <s v="PU-PP-60"/>
    <x v="4"/>
    <s v="S"/>
    <s v="IMM"/>
    <s v="N"/>
    <n v="34"/>
    <n v="32"/>
    <n v="0.48699999999999999"/>
    <n v="1.0999999999999999E-2"/>
    <n v="2E-3"/>
    <s v="F10"/>
    <x v="0"/>
    <n v="10"/>
    <n v="2.1000000000000001E-2"/>
    <n v="1.4E-2"/>
    <s v="6 chiro: 0.002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"/>
    <n v="2E-3"/>
    <m/>
    <m/>
    <m/>
    <m/>
    <m/>
    <m/>
    <m/>
    <m/>
    <m/>
    <m/>
    <m/>
    <m/>
    <m/>
    <m/>
    <m/>
    <m/>
    <m/>
    <m/>
    <m/>
    <m/>
    <m/>
    <m/>
    <m/>
    <m/>
    <n v="2E-3"/>
    <s v="20/2/2021"/>
    <s v="20"/>
    <s v="2"/>
    <s v="2021"/>
    <x v="44"/>
    <x v="44"/>
    <x v="3"/>
    <s v="Trapped, some parasites"/>
    <n v="0.41237113402061859"/>
    <n v="2.3109243697478994"/>
    <n v="2.3206751054852321"/>
    <n v="2.8747433264887068"/>
    <n v="1.4373716632443534"/>
    <n v="1.8480492813141687"/>
    <s v="T"/>
    <n v="2"/>
  </r>
  <r>
    <s v="PU-PP-61"/>
    <x v="4"/>
    <s v="S"/>
    <s v="IMM"/>
    <s v="N"/>
    <n v="30"/>
    <n v="29"/>
    <n v="0.41499999999999998"/>
    <n v="1.6E-2"/>
    <s v="&lt;0.001"/>
    <s v="M10"/>
    <x v="2"/>
    <n v="10"/>
    <n v="1.7000000000000001E-2"/>
    <n v="1.2E-2"/>
    <s v="~4 zoops: &lt;0.001"/>
    <s v="F"/>
    <m/>
    <m/>
    <m/>
    <m/>
    <m/>
    <m/>
    <m/>
    <m/>
    <m/>
    <m/>
    <m/>
    <m/>
    <m/>
    <m/>
    <m/>
    <m/>
    <m/>
    <m/>
    <m/>
    <m/>
    <m/>
    <m/>
    <n v="4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20/2/2021"/>
    <s v="20"/>
    <s v="2"/>
    <s v="2021"/>
    <x v="44"/>
    <x v="44"/>
    <x v="3"/>
    <s v="Trapped, heavily parasitized, gonads not kept"/>
    <m/>
    <n v="4.0100250626566423"/>
    <m/>
    <n v="2.8915662650602409"/>
    <n v="1.2048192771084341"/>
    <n v="1.2048192771084341"/>
    <s v="T"/>
    <n v="3"/>
  </r>
  <r>
    <s v="PU-PP-62"/>
    <x v="4"/>
    <s v="S"/>
    <s v="IMM"/>
    <s v="N"/>
    <n v="33"/>
    <n v="31"/>
    <n v="0.48499999999999999"/>
    <n v="1.2E-2"/>
    <n v="1E-3"/>
    <s v="M10"/>
    <x v="2"/>
    <n v="10"/>
    <n v="0.02"/>
    <n v="1.6E-2"/>
    <s v="~2 zoops: &lt;0.001"/>
    <s v="F"/>
    <m/>
    <m/>
    <m/>
    <m/>
    <m/>
    <m/>
    <m/>
    <m/>
    <m/>
    <m/>
    <m/>
    <m/>
    <m/>
    <m/>
    <m/>
    <m/>
    <m/>
    <m/>
    <m/>
    <m/>
    <m/>
    <m/>
    <n v="2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20/2/2021"/>
    <s v="20"/>
    <s v="2"/>
    <s v="2021"/>
    <x v="44"/>
    <x v="44"/>
    <x v="3"/>
    <s v="Trapped, some parasites, gonads not kept"/>
    <n v="0.20661157024793389"/>
    <n v="2.5369978858350954"/>
    <n v="2.5423728813559325"/>
    <n v="3.2989690721649487"/>
    <n v="0.82474226804123718"/>
    <n v="0.82474226804123718"/>
    <s v="T"/>
    <n v="2"/>
  </r>
  <r>
    <s v="PU-PP-63"/>
    <x v="4"/>
    <s v="I"/>
    <s v="S"/>
    <s v="G"/>
    <n v="72"/>
    <n v="68"/>
    <n v="5.851"/>
    <n v="0.13300000000000001"/>
    <n v="8.2000000000000003E-2"/>
    <s v="F22"/>
    <x v="0"/>
    <n v="22"/>
    <n v="0.27"/>
    <n v="0.19900000000000001"/>
    <s v="6 damsel: 0.045"/>
    <s v="F"/>
    <m/>
    <m/>
    <m/>
    <m/>
    <m/>
    <m/>
    <m/>
    <m/>
    <m/>
    <m/>
    <m/>
    <m/>
    <m/>
    <m/>
    <m/>
    <m/>
    <m/>
    <m/>
    <m/>
    <m/>
    <m/>
    <m/>
    <m/>
    <m/>
    <m/>
    <m/>
    <n v="6"/>
    <n v="4.4999999999999998E-2"/>
    <m/>
    <m/>
    <m/>
    <m/>
    <m/>
    <m/>
    <m/>
    <m/>
    <m/>
    <m/>
    <m/>
    <m/>
    <m/>
    <m/>
    <m/>
    <m/>
    <m/>
    <m/>
    <m/>
    <m/>
    <m/>
    <m/>
    <m/>
    <m/>
    <m/>
    <m/>
    <m/>
    <m/>
    <n v="4.4999999999999998E-2"/>
    <s v="21/02/2021"/>
    <s v="21"/>
    <s v="2"/>
    <s v="2021"/>
    <x v="23"/>
    <x v="23"/>
    <x v="3"/>
    <s v="Trapped, heavily parasitized"/>
    <n v="1.4213901889408911"/>
    <n v="2.3259881077299758"/>
    <n v="2.3598296664300924"/>
    <n v="3.4011280123055889"/>
    <n v="1.2134677832849086"/>
    <n v="1.9825670825499915"/>
    <s v="T"/>
    <n v="3"/>
  </r>
  <r>
    <s v="PU-PP-64"/>
    <x v="4"/>
    <s v="I"/>
    <s v="S"/>
    <s v="G"/>
    <n v="74"/>
    <n v="70"/>
    <n v="5.67"/>
    <n v="0.17799999999999999"/>
    <n v="9.4E-2"/>
    <s v="F22"/>
    <x v="0"/>
    <n v="22"/>
    <n v="0.29499999999999998"/>
    <n v="0.24099999999999999"/>
    <s v="9 chiro: 0.039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9"/>
    <n v="3.9E-2"/>
    <m/>
    <m/>
    <m/>
    <m/>
    <m/>
    <m/>
    <m/>
    <m/>
    <m/>
    <m/>
    <m/>
    <m/>
    <m/>
    <m/>
    <m/>
    <m/>
    <m/>
    <m/>
    <m/>
    <m/>
    <m/>
    <m/>
    <m/>
    <m/>
    <n v="3.9E-2"/>
    <s v="21/2/21"/>
    <s v="21"/>
    <s v="2"/>
    <s v="2021"/>
    <x v="23"/>
    <x v="23"/>
    <x v="3"/>
    <s v="Trapped, heavily parasitized"/>
    <n v="1.6857962697274034"/>
    <n v="3.2410779315367808"/>
    <n v="3.2975175991107815"/>
    <n v="4.250440917107583"/>
    <n v="0.95238095238095233"/>
    <n v="1.64021164021164"/>
    <s v="T"/>
    <n v="3"/>
  </r>
  <r>
    <s v="PU-PP-65"/>
    <x v="4"/>
    <s v="I"/>
    <s v="S"/>
    <s v="G"/>
    <n v="75"/>
    <n v="70"/>
    <n v="7.5609999999999999"/>
    <n v="0.15"/>
    <n v="0.124"/>
    <s v="F22"/>
    <x v="0"/>
    <n v="22"/>
    <n v="0.28799999999999998"/>
    <n v="0.27100000000000002"/>
    <s v="1 chiro: &lt;0.001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0"/>
    <m/>
    <m/>
    <m/>
    <m/>
    <m/>
    <m/>
    <m/>
    <m/>
    <m/>
    <m/>
    <m/>
    <m/>
    <m/>
    <m/>
    <m/>
    <m/>
    <m/>
    <m/>
    <m/>
    <m/>
    <m/>
    <m/>
    <m/>
    <m/>
    <n v="0"/>
    <s v="21/2/21"/>
    <s v="21"/>
    <s v="2"/>
    <s v="2021"/>
    <x v="23"/>
    <x v="23"/>
    <x v="3"/>
    <s v="Trapped, heavily parasitized"/>
    <n v="1.6673389807718166"/>
    <n v="2.0240183510997167"/>
    <n v="2.0584602717167559"/>
    <n v="3.5841819865097211"/>
    <n v="0.2248379843935982"/>
    <n v="0.2248379843935982"/>
    <s v="T"/>
    <n v="3"/>
  </r>
  <r>
    <s v="PU-PP-66"/>
    <x v="4"/>
    <s v="S"/>
    <s v="IMM"/>
    <s v="G"/>
    <n v="60"/>
    <n v="56"/>
    <n v="2.9740000000000002"/>
    <n v="5.6000000000000001E-2"/>
    <n v="4.2000000000000003E-2"/>
    <s v="F22"/>
    <x v="0"/>
    <n v="22"/>
    <n v="0.13"/>
    <n v="0.11700000000000001"/>
    <s v="3 inverts: 0.004"/>
    <s v="F"/>
    <m/>
    <m/>
    <n v="3"/>
    <n v="4.0000000000000001E-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.0000000000000001E-3"/>
    <s v="21/2/21"/>
    <s v="21"/>
    <s v="2"/>
    <s v="2021"/>
    <x v="23"/>
    <x v="23"/>
    <x v="3"/>
    <s v="Trapped, some parasites"/>
    <n v="1.4324693042291952"/>
    <n v="1.9191226867717615"/>
    <n v="1.9471488178025034"/>
    <n v="3.9340954942837931"/>
    <n v="0.43712172158708795"/>
    <n v="0.57162071284465354"/>
    <s v="T"/>
    <n v="2"/>
  </r>
  <r>
    <s v="PU-PP-67"/>
    <x v="4"/>
    <s v="I"/>
    <s v="S"/>
    <s v="G"/>
    <n v="84"/>
    <n v="79"/>
    <n v="8.2520000000000007"/>
    <n v="0.186"/>
    <n v="2.3E-2"/>
    <s v="M22"/>
    <x v="2"/>
    <n v="22"/>
    <n v="0.34399999999999997"/>
    <n v="0.28499999999999998"/>
    <s v="9 chiro: 0.023, 1 damsel: 0.007"/>
    <s v="F"/>
    <m/>
    <m/>
    <m/>
    <m/>
    <m/>
    <m/>
    <m/>
    <m/>
    <m/>
    <m/>
    <m/>
    <m/>
    <m/>
    <m/>
    <m/>
    <m/>
    <m/>
    <m/>
    <m/>
    <m/>
    <m/>
    <m/>
    <m/>
    <m/>
    <m/>
    <m/>
    <n v="1"/>
    <n v="7.0000000000000001E-3"/>
    <m/>
    <m/>
    <n v="9"/>
    <n v="2.3E-2"/>
    <m/>
    <m/>
    <m/>
    <m/>
    <m/>
    <m/>
    <m/>
    <m/>
    <m/>
    <m/>
    <m/>
    <m/>
    <m/>
    <m/>
    <m/>
    <m/>
    <m/>
    <m/>
    <m/>
    <m/>
    <m/>
    <m/>
    <m/>
    <m/>
    <n v="0.03"/>
    <s v="21/2/21"/>
    <s v="21"/>
    <s v="2"/>
    <s v="2021"/>
    <x v="23"/>
    <x v="23"/>
    <x v="3"/>
    <s v="Trapped, heavily parasitized"/>
    <n v="0.279499331632033"/>
    <n v="2.3059757004711132"/>
    <n v="2.3125699365908239"/>
    <n v="3.4537081919534653"/>
    <n v="0.71497818710615602"/>
    <n v="1.0785264178380998"/>
    <s v="T"/>
    <n v="3"/>
  </r>
  <r>
    <s v="PU-PP-68"/>
    <x v="4"/>
    <s v="I"/>
    <s v="S"/>
    <s v="G"/>
    <n v="71"/>
    <n v="64"/>
    <n v="5.3"/>
    <n v="0.14699999999999999"/>
    <n v="7.5999999999999998E-2"/>
    <s v="F22"/>
    <x v="0"/>
    <n v="22"/>
    <n v="0.20100000000000001"/>
    <n v="0.19500000000000001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21/2/21"/>
    <s v="21"/>
    <s v="2"/>
    <s v="2021"/>
    <x v="23"/>
    <x v="23"/>
    <x v="3"/>
    <s v="Trapped, heavily parasitized"/>
    <n v="1.454823889739663"/>
    <n v="2.8527071608771588"/>
    <n v="2.8954106755958242"/>
    <n v="3.6792452830188687"/>
    <n v="0.11320754716981143"/>
    <n v="0.11320754716981143"/>
    <s v="T"/>
    <n v="3"/>
  </r>
  <r>
    <s v="PU-PP-69"/>
    <x v="4"/>
    <s v="I"/>
    <s v="S"/>
    <s v="G"/>
    <n v="80"/>
    <n v="75"/>
    <n v="8.077"/>
    <n v="0.151"/>
    <n v="1.2E-2"/>
    <s v="M22"/>
    <x v="2"/>
    <n v="22"/>
    <n v="0.28899999999999998"/>
    <n v="0.28000000000000003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21/2/21"/>
    <s v="21"/>
    <s v="2"/>
    <s v="2021"/>
    <x v="23"/>
    <x v="23"/>
    <x v="3"/>
    <s v="Trapped, heavily parasitized"/>
    <n v="0.14879107253564788"/>
    <n v="1.9051223820338126"/>
    <n v="1.9080111195350011"/>
    <n v="3.4666336511080851"/>
    <n v="0.11142751021418786"/>
    <n v="0.11142751021418786"/>
    <s v="T"/>
    <n v="3"/>
  </r>
  <r>
    <s v="PU-PP-70"/>
    <x v="4"/>
    <s v="I"/>
    <s v="S"/>
    <s v="G"/>
    <n v="71"/>
    <n v="65"/>
    <n v="4.7969999999999997"/>
    <n v="0.10299999999999999"/>
    <n v="8.5000000000000006E-2"/>
    <s v="F22"/>
    <x v="0"/>
    <n v="22"/>
    <n v="0.214"/>
    <n v="0.188"/>
    <s v="4 chiro: 0.011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1.0999999999999999E-2"/>
    <m/>
    <m/>
    <m/>
    <m/>
    <m/>
    <m/>
    <m/>
    <m/>
    <m/>
    <m/>
    <m/>
    <m/>
    <m/>
    <m/>
    <m/>
    <m/>
    <m/>
    <m/>
    <m/>
    <m/>
    <m/>
    <m/>
    <m/>
    <m/>
    <n v="1.0999999999999999E-2"/>
    <s v="21/2/21"/>
    <s v="21"/>
    <s v="2"/>
    <s v="2021"/>
    <x v="23"/>
    <x v="23"/>
    <x v="3"/>
    <s v="Trapped, some parasites"/>
    <n v="1.8039049235993212"/>
    <n v="2.1942905837239026"/>
    <n v="2.2347580820134518"/>
    <n v="3.9191161142380659"/>
    <n v="0.54200542005420049"/>
    <n v="0.77131540546174671"/>
    <s v="T"/>
    <n v="2"/>
  </r>
  <r>
    <s v="PU-PP-71"/>
    <x v="4"/>
    <s v="I"/>
    <s v="S"/>
    <s v="G"/>
    <n v="76"/>
    <n v="71"/>
    <n v="6.7050000000000001"/>
    <n v="0.29699999999999999"/>
    <n v="1.9E-2"/>
    <s v="M22"/>
    <x v="2"/>
    <n v="22"/>
    <n v="0.25900000000000001"/>
    <n v="0.22900000000000001"/>
    <s v="goo: 0.006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21/2/21"/>
    <s v="21"/>
    <s v="2"/>
    <s v="2021"/>
    <x v="23"/>
    <x v="23"/>
    <x v="3"/>
    <s v="Trapped, heavily parasitized"/>
    <n v="0.28417588991923426"/>
    <n v="4.6348314606741567"/>
    <n v="4.6486148066990136"/>
    <n v="3.4153616703952276"/>
    <n v="0.44742729306487694"/>
    <n v="0.44742729306487694"/>
    <s v="T"/>
    <n v="3"/>
  </r>
  <r>
    <s v="PU-PP-72"/>
    <x v="4"/>
    <s v="I"/>
    <s v="IMM"/>
    <s v="G"/>
    <n v="61"/>
    <n v="57"/>
    <n v="3.1819999999999999"/>
    <n v="6.3E-2"/>
    <n v="6.0000000000000001E-3"/>
    <s v="M22"/>
    <x v="2"/>
    <n v="22"/>
    <n v="0.11799999999999999"/>
    <n v="0.105"/>
    <s v="2 chiro: 0.004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4.0000000000000001E-3"/>
    <m/>
    <m/>
    <m/>
    <m/>
    <m/>
    <m/>
    <m/>
    <m/>
    <m/>
    <m/>
    <m/>
    <m/>
    <m/>
    <m/>
    <m/>
    <m/>
    <m/>
    <m/>
    <m/>
    <m/>
    <m/>
    <m/>
    <m/>
    <m/>
    <n v="4.0000000000000001E-3"/>
    <s v="21/2/21"/>
    <s v="21"/>
    <s v="2"/>
    <s v="2021"/>
    <x v="23"/>
    <x v="23"/>
    <x v="3"/>
    <s v="Trapped, some parasites"/>
    <n v="0.18891687657430731"/>
    <n v="2.0198781660788714"/>
    <n v="2.0237712817218116"/>
    <n v="3.2998114393463229"/>
    <n v="0.4085480829666876"/>
    <n v="0.53425518541797612"/>
    <s v="T"/>
    <n v="2"/>
  </r>
  <r>
    <s v="PU-PP-73"/>
    <x v="4"/>
    <s v="I"/>
    <s v="S"/>
    <s v="G"/>
    <n v="77"/>
    <n v="68"/>
    <n v="6.9379999999999997"/>
    <n v="0.156"/>
    <n v="1.2E-2"/>
    <s v="M22"/>
    <x v="2"/>
    <n v="22"/>
    <n v="0.311"/>
    <n v="0.30299999999999999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d v="2021-05-03T00:00:00"/>
    <n v="5"/>
    <n v="3"/>
    <n v="2021"/>
    <x v="7"/>
    <x v="7"/>
    <x v="4"/>
    <m/>
    <n v="0.17326017903551832"/>
    <n v="2.30020642878207"/>
    <n v="2.3042836041358936"/>
    <n v="4.3672528106082442"/>
    <n v="0.11530700490054782"/>
    <n v="0.11530700490054782"/>
    <s v="T"/>
    <n v="4"/>
  </r>
  <r>
    <s v="PU-PP-74"/>
    <x v="4"/>
    <s v="I"/>
    <s v="S"/>
    <s v="G"/>
    <n v="83"/>
    <n v="80"/>
    <n v="8.43"/>
    <n v="0.154"/>
    <n v="1.7000000000000001E-2"/>
    <s v="M22"/>
    <x v="2"/>
    <n v="22"/>
    <n v="0.33600000000000002"/>
    <n v="0.32700000000000001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d v="2021-05-03T00:00:00"/>
    <n v="5"/>
    <n v="3"/>
    <n v="2021"/>
    <x v="7"/>
    <x v="7"/>
    <x v="4"/>
    <s v="Damaged tail"/>
    <n v="0.20206822774277905"/>
    <n v="1.8608023199613342"/>
    <n v="1.8646325220971058"/>
    <n v="3.8790035587188618"/>
    <n v="0.10676156583629903"/>
    <n v="0.10676156583629903"/>
    <s v="T"/>
    <n v="3"/>
  </r>
  <r>
    <s v="PU-PP-75"/>
    <x v="4"/>
    <s v="I"/>
    <s v="S"/>
    <s v="G"/>
    <n v="76"/>
    <n v="70"/>
    <n v="6.4850000000000003"/>
    <n v="0.156"/>
    <n v="1.2999999999999999E-2"/>
    <s v="M22"/>
    <x v="2"/>
    <n v="22"/>
    <n v="0.32600000000000001"/>
    <n v="0.29599999999999999"/>
    <s v="3 chiro: 0.012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1.2E-2"/>
    <m/>
    <m/>
    <m/>
    <m/>
    <m/>
    <m/>
    <m/>
    <m/>
    <m/>
    <m/>
    <m/>
    <m/>
    <m/>
    <m/>
    <m/>
    <m/>
    <m/>
    <m/>
    <m/>
    <m/>
    <m/>
    <m/>
    <m/>
    <m/>
    <n v="1.2E-2"/>
    <d v="2021-05-03T00:00:00"/>
    <n v="5"/>
    <n v="3"/>
    <n v="2021"/>
    <x v="7"/>
    <x v="7"/>
    <x v="4"/>
    <m/>
    <n v="0.20086526576019778"/>
    <n v="2.4648443671986096"/>
    <n v="2.4699176694110192"/>
    <n v="4.5643793369313794"/>
    <n v="0.46260601387818079"/>
    <n v="0.64764841942945295"/>
    <s v="T"/>
    <n v="3"/>
  </r>
  <r>
    <s v="PU-PP-76"/>
    <x v="4"/>
    <s v="I"/>
    <s v="S"/>
    <s v="G"/>
    <n v="80"/>
    <n v="76"/>
    <n v="7.5720000000000001"/>
    <n v="0.126"/>
    <n v="1.2999999999999999E-2"/>
    <s v="M22"/>
    <x v="2"/>
    <n v="22"/>
    <n v="0.34300000000000003"/>
    <n v="0.30399999999999999"/>
    <s v="5 chiro: 0.019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n v="1.9E-2"/>
    <m/>
    <m/>
    <m/>
    <m/>
    <m/>
    <m/>
    <m/>
    <m/>
    <m/>
    <m/>
    <m/>
    <m/>
    <m/>
    <m/>
    <m/>
    <m/>
    <m/>
    <m/>
    <m/>
    <m/>
    <m/>
    <m/>
    <m/>
    <m/>
    <n v="1.9E-2"/>
    <d v="2021-05-03T00:00:00"/>
    <n v="5"/>
    <n v="3"/>
    <n v="2021"/>
    <x v="7"/>
    <x v="7"/>
    <x v="4"/>
    <m/>
    <n v="0.17198042069056751"/>
    <n v="1.6921837228041903"/>
    <n v="1.6951432799677115"/>
    <n v="4.0147913365029053"/>
    <n v="0.51505546751188636"/>
    <n v="0.76597992604331799"/>
    <s v="T"/>
    <n v="3"/>
  </r>
  <r>
    <s v="PU-PP-77"/>
    <x v="4"/>
    <s v="I"/>
    <s v="S"/>
    <s v="G"/>
    <n v="77"/>
    <n v="73"/>
    <n v="6.3689999999999998"/>
    <n v="0.14299999999999999"/>
    <n v="1.2E-2"/>
    <s v="M22"/>
    <x v="2"/>
    <n v="22"/>
    <n v="0.29899999999999999"/>
    <n v="0.26700000000000002"/>
    <s v="3 chiro: 0.014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1.4E-2"/>
    <m/>
    <m/>
    <m/>
    <m/>
    <m/>
    <m/>
    <m/>
    <m/>
    <m/>
    <m/>
    <m/>
    <m/>
    <m/>
    <m/>
    <m/>
    <m/>
    <m/>
    <m/>
    <m/>
    <m/>
    <m/>
    <m/>
    <m/>
    <m/>
    <n v="1.4E-2"/>
    <d v="2021-05-03T00:00:00"/>
    <n v="5"/>
    <n v="3"/>
    <n v="2021"/>
    <x v="7"/>
    <x v="7"/>
    <x v="4"/>
    <m/>
    <n v="0.18876828692779613"/>
    <n v="2.2968197879858652"/>
    <n v="2.3012552301255229"/>
    <n v="4.1921808761186998"/>
    <n v="0.50243366305542436"/>
    <n v="0.72224839064217261"/>
    <s v="T"/>
    <n v="3"/>
  </r>
  <r>
    <s v="PU-PP-78"/>
    <x v="4"/>
    <s v="I"/>
    <s v="S"/>
    <s v="G"/>
    <n v="81"/>
    <n v="77"/>
    <n v="7.7690000000000001"/>
    <n v="0.314"/>
    <n v="1.6E-2"/>
    <s v="M22"/>
    <x v="2"/>
    <n v="22"/>
    <n v="0.35199999999999998"/>
    <n v="0.34300000000000003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d v="2021-05-03T00:00:00"/>
    <n v="5"/>
    <n v="3"/>
    <n v="2021"/>
    <x v="7"/>
    <x v="7"/>
    <x v="4"/>
    <m/>
    <n v="0.20637172707339094"/>
    <n v="4.2119382964453393"/>
    <n v="4.2209974458932651"/>
    <n v="4.4149826232462352"/>
    <n v="0.11584502509975482"/>
    <n v="0.11584502509975482"/>
    <s v="T"/>
    <n v="3"/>
  </r>
  <r>
    <s v="PU-PP-79"/>
    <x v="4"/>
    <s v="I"/>
    <s v="S"/>
    <s v="G"/>
    <n v="71"/>
    <n v="68"/>
    <n v="5.218"/>
    <n v="0.16200000000000001"/>
    <n v="1.4999999999999999E-2"/>
    <s v="M22"/>
    <x v="2"/>
    <n v="22"/>
    <n v="0.188"/>
    <n v="0.185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d v="2021-05-03T00:00:00"/>
    <n v="5"/>
    <n v="3"/>
    <n v="2021"/>
    <x v="7"/>
    <x v="7"/>
    <x v="4"/>
    <m/>
    <n v="0.2882952142994426"/>
    <n v="3.2041139240506324"/>
    <n v="3.2136480856972822"/>
    <n v="3.5454197010348789"/>
    <n v="5.7493292449214313E-2"/>
    <n v="5.7493292449214313E-2"/>
    <s v="T"/>
    <n v="4"/>
  </r>
  <r>
    <s v="PU-PP-80"/>
    <x v="4"/>
    <s v="I"/>
    <s v="S"/>
    <s v="G"/>
    <n v="72"/>
    <n v="67"/>
    <n v="5.593"/>
    <n v="0.159"/>
    <n v="9.2999999999999999E-2"/>
    <s v="F22"/>
    <x v="0"/>
    <n v="22"/>
    <n v="0.247"/>
    <n v="0.216"/>
    <s v="3 chiro: 0.009; 1 odo: 0.003"/>
    <s v="F"/>
    <m/>
    <m/>
    <m/>
    <m/>
    <m/>
    <m/>
    <m/>
    <m/>
    <m/>
    <m/>
    <m/>
    <m/>
    <m/>
    <m/>
    <m/>
    <m/>
    <m/>
    <m/>
    <m/>
    <m/>
    <m/>
    <m/>
    <m/>
    <m/>
    <n v="1"/>
    <n v="3.0000000000000001E-3"/>
    <m/>
    <m/>
    <m/>
    <m/>
    <n v="3"/>
    <n v="8.9999999999999993E-3"/>
    <m/>
    <m/>
    <m/>
    <m/>
    <m/>
    <m/>
    <m/>
    <m/>
    <m/>
    <m/>
    <m/>
    <m/>
    <m/>
    <m/>
    <m/>
    <m/>
    <m/>
    <m/>
    <m/>
    <m/>
    <m/>
    <m/>
    <m/>
    <m/>
    <n v="1.2E-2"/>
    <d v="2021-05-03T00:00:00"/>
    <n v="5"/>
    <n v="3"/>
    <n v="2021"/>
    <x v="7"/>
    <x v="7"/>
    <x v="4"/>
    <s v="Damaged tail"/>
    <n v="1.6909090909090909"/>
    <n v="2.9260213470739789"/>
    <n v="2.9769706047556634"/>
    <n v="3.8619703200429107"/>
    <n v="0.55426425889504738"/>
    <n v="0.76881816556409799"/>
    <s v="T"/>
    <n v="3"/>
  </r>
  <r>
    <s v="PU-PP-81"/>
    <x v="4"/>
    <s v="I"/>
    <s v="S"/>
    <s v="G"/>
    <n v="73"/>
    <m/>
    <n v="6.1159999999999997"/>
    <n v="0.16800000000000001"/>
    <n v="1.2999999999999999E-2"/>
    <s v="M22"/>
    <x v="2"/>
    <n v="22"/>
    <n v="0.29799999999999999"/>
    <n v="0.245"/>
    <s v="4 chiro: 0.022; 1 odo: 0.008"/>
    <s v="F"/>
    <m/>
    <m/>
    <m/>
    <m/>
    <m/>
    <m/>
    <m/>
    <m/>
    <m/>
    <m/>
    <m/>
    <m/>
    <m/>
    <m/>
    <m/>
    <m/>
    <m/>
    <m/>
    <m/>
    <m/>
    <m/>
    <m/>
    <m/>
    <m/>
    <n v="1"/>
    <n v="8.0000000000000002E-3"/>
    <m/>
    <m/>
    <m/>
    <m/>
    <n v="4"/>
    <n v="2.1999999999999999E-2"/>
    <m/>
    <m/>
    <m/>
    <m/>
    <m/>
    <m/>
    <m/>
    <m/>
    <m/>
    <m/>
    <m/>
    <m/>
    <m/>
    <m/>
    <m/>
    <m/>
    <m/>
    <m/>
    <m/>
    <m/>
    <m/>
    <m/>
    <m/>
    <m/>
    <n v="0.03"/>
    <d v="2021-05-03T00:00:00"/>
    <n v="5"/>
    <n v="3"/>
    <n v="2021"/>
    <x v="7"/>
    <x v="7"/>
    <x v="4"/>
    <m/>
    <n v="0.2130099950843847"/>
    <n v="2.8244788164088774"/>
    <n v="2.8306655433866892"/>
    <n v="4.0058862001308047"/>
    <n v="0.86657946370176586"/>
    <n v="1.3570961412688032"/>
    <s v="T"/>
    <n v="3"/>
  </r>
  <r>
    <s v="PU-PP-82"/>
    <x v="4"/>
    <s v="I"/>
    <s v="S"/>
    <s v="G"/>
    <n v="75"/>
    <n v="71"/>
    <n v="5.843"/>
    <n v="0.123"/>
    <n v="0.115"/>
    <s v="F22"/>
    <x v="0"/>
    <n v="22"/>
    <n v="0.22900000000000001"/>
    <n v="0.222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d v="2021-05-03T00:00:00"/>
    <n v="5"/>
    <n v="3"/>
    <n v="2021"/>
    <x v="7"/>
    <x v="7"/>
    <x v="4"/>
    <m/>
    <n v="2.0076815642458103"/>
    <n v="2.1503496503496504"/>
    <n v="2.1944692239072259"/>
    <n v="3.799418107136745"/>
    <n v="0.11980147184665421"/>
    <n v="0.11980147184665421"/>
    <s v="T"/>
    <n v="4"/>
  </r>
  <r>
    <s v="PU-PP-84"/>
    <x v="4"/>
    <s v="I"/>
    <s v="S"/>
    <s v="G"/>
    <n v="69"/>
    <n v="66"/>
    <n v="5.0960000000000001"/>
    <n v="8.6999999999999994E-2"/>
    <n v="7.9000000000000001E-2"/>
    <s v="F22"/>
    <x v="0"/>
    <n v="22"/>
    <n v="0.214"/>
    <n v="0.17799999999999999"/>
    <s v="2 chiro: 0.012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1.2E-2"/>
    <m/>
    <m/>
    <m/>
    <m/>
    <m/>
    <m/>
    <m/>
    <m/>
    <m/>
    <m/>
    <m/>
    <m/>
    <m/>
    <m/>
    <m/>
    <m/>
    <m/>
    <m/>
    <m/>
    <m/>
    <m/>
    <m/>
    <m/>
    <m/>
    <n v="1.2E-2"/>
    <d v="2021-05-03T00:00:00"/>
    <n v="5"/>
    <n v="3"/>
    <n v="2021"/>
    <x v="7"/>
    <x v="7"/>
    <x v="4"/>
    <m/>
    <n v="1.5746462029101054"/>
    <n v="1.7368736274705527"/>
    <n v="1.7647058823529409"/>
    <n v="3.4929356357927785"/>
    <n v="0.70643642072213508"/>
    <n v="0.9419152276295133"/>
    <s v="T"/>
    <n v="3"/>
  </r>
  <r>
    <s v="PU-PP-85"/>
    <x v="4"/>
    <s v="I"/>
    <s v="S"/>
    <s v="G"/>
    <n v="65"/>
    <n v="62"/>
    <n v="4.3239999999999998"/>
    <n v="9.2999999999999999E-2"/>
    <n v="1.0999999999999999E-2"/>
    <s v="M22"/>
    <x v="2"/>
    <n v="22"/>
    <n v="0.23"/>
    <m/>
    <s v="2 chiro: 0.007; 1 odo: 0.01"/>
    <s v="F"/>
    <m/>
    <m/>
    <m/>
    <m/>
    <m/>
    <m/>
    <m/>
    <m/>
    <m/>
    <m/>
    <m/>
    <m/>
    <m/>
    <m/>
    <m/>
    <m/>
    <m/>
    <m/>
    <m/>
    <m/>
    <m/>
    <m/>
    <m/>
    <m/>
    <n v="1"/>
    <n v="0.01"/>
    <m/>
    <m/>
    <m/>
    <m/>
    <n v="2"/>
    <n v="7.0000000000000001E-3"/>
    <m/>
    <m/>
    <m/>
    <m/>
    <m/>
    <m/>
    <m/>
    <m/>
    <m/>
    <m/>
    <m/>
    <m/>
    <m/>
    <m/>
    <m/>
    <m/>
    <m/>
    <m/>
    <m/>
    <m/>
    <m/>
    <m/>
    <m/>
    <m/>
    <n v="1.7000000000000001E-2"/>
    <d v="2021-05-03T00:00:00"/>
    <n v="5"/>
    <n v="3"/>
    <n v="2021"/>
    <x v="7"/>
    <x v="7"/>
    <x v="4"/>
    <m/>
    <n v="0.25504289357755622"/>
    <n v="2.1980619238950601"/>
    <n v="2.203791469194313"/>
    <m/>
    <m/>
    <m/>
    <s v="T"/>
    <n v="3"/>
  </r>
  <r>
    <s v="PU-PP-83"/>
    <x v="4"/>
    <s v="I"/>
    <s v="S"/>
    <s v="G"/>
    <n v="70"/>
    <n v="66"/>
    <n v="4.7489999999999997"/>
    <n v="0.13"/>
    <n v="1.0999999999999999E-2"/>
    <s v="M22"/>
    <x v="2"/>
    <n v="22"/>
    <n v="0.17499999999999999"/>
    <n v="0.159"/>
    <s v="1 chiro: 0.002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s v="chiro"/>
    <m/>
    <m/>
    <m/>
    <m/>
    <m/>
    <m/>
    <m/>
    <m/>
    <m/>
    <m/>
    <m/>
    <m/>
    <m/>
    <m/>
    <m/>
    <m/>
    <m/>
    <m/>
    <m/>
    <m/>
    <m/>
    <m/>
    <m/>
    <m/>
    <n v="2E-3"/>
    <d v="2021-05-03T00:00:00"/>
    <n v="5"/>
    <n v="3"/>
    <n v="2021"/>
    <x v="7"/>
    <x v="7"/>
    <x v="4"/>
    <m/>
    <n v="0.23216547066272691"/>
    <n v="2.8144620047629361"/>
    <n v="2.8211805555555558"/>
    <n v="3.3480732785849656"/>
    <n v="0.33691303432301511"/>
    <n v="0.37902716361339206"/>
    <s v="T"/>
    <n v="3"/>
  </r>
  <r>
    <s v="PU-PP-86"/>
    <x v="4"/>
    <s v="I"/>
    <s v="S"/>
    <s v="G"/>
    <n v="65"/>
    <n v="63"/>
    <n v="3.944"/>
    <n v="0.10100000000000001"/>
    <n v="5.3999999999999999E-2"/>
    <s v="F22"/>
    <x v="0"/>
    <n v="22"/>
    <n v="0.14499999999999999"/>
    <n v="0.14000000000000001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d v="2021-05-03T00:00:00"/>
    <n v="5"/>
    <n v="3"/>
    <n v="2021"/>
    <x v="7"/>
    <x v="7"/>
    <x v="4"/>
    <m/>
    <n v="1.3881748071979434"/>
    <n v="2.6281550871714807"/>
    <n v="2.6656109791501716"/>
    <n v="3.5496957403651122"/>
    <n v="0.12677484787018198"/>
    <n v="0.12677484787018198"/>
    <s v="T"/>
    <n v="2"/>
  </r>
  <r>
    <s v="PU-PP-87"/>
    <x v="4"/>
    <s v="I"/>
    <s v="IMM"/>
    <s v="G"/>
    <n v="62"/>
    <n v="59"/>
    <n v="3.5"/>
    <n v="8.8999999999999996E-2"/>
    <n v="4.3999999999999997E-2"/>
    <s v="F22"/>
    <x v="0"/>
    <n v="22"/>
    <n v="0.11600000000000001"/>
    <n v="0.112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d v="2021-05-03T00:00:00"/>
    <n v="5"/>
    <n v="3"/>
    <n v="2021"/>
    <x v="7"/>
    <x v="7"/>
    <x v="4"/>
    <m/>
    <n v="1.2731481481481481"/>
    <n v="2.6092055115801815"/>
    <n v="2.6433026433026434"/>
    <n v="3.2"/>
    <n v="0.11428571428571438"/>
    <n v="0.11428571428571438"/>
    <s v="T"/>
    <n v="2"/>
  </r>
  <r>
    <s v="PU-PP-88"/>
    <x v="4"/>
    <s v="S"/>
    <s v="IMM"/>
    <s v="N"/>
    <n v="58"/>
    <n v="54"/>
    <n v="2.5750000000000002"/>
    <n v="5.8999999999999997E-2"/>
    <n v="0.04"/>
    <s v="F22"/>
    <x v="0"/>
    <n v="22"/>
    <n v="8.5000000000000006E-2"/>
    <n v="7.9000000000000001E-2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d v="2021-05-03T00:00:00"/>
    <n v="5"/>
    <n v="3"/>
    <n v="2021"/>
    <x v="7"/>
    <x v="7"/>
    <x v="4"/>
    <m/>
    <n v="1.5779092702169626"/>
    <n v="2.3449920508744038"/>
    <n v="2.3828756058158316"/>
    <n v="3.0679611650485437"/>
    <n v="0.23300970873786428"/>
    <n v="0.23300970873786428"/>
    <s v="T"/>
    <n v="3"/>
  </r>
  <r>
    <s v="PU-PP-89"/>
    <x v="4"/>
    <s v="S"/>
    <s v="IMM"/>
    <s v="N"/>
    <n v="57"/>
    <n v="54"/>
    <n v="2.82"/>
    <n v="8.7999999999999995E-2"/>
    <n v="5.0000000000000001E-3"/>
    <s v="M20"/>
    <x v="2"/>
    <n v="20"/>
    <n v="0.113"/>
    <n v="0.105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d v="2021-05-03T00:00:00"/>
    <n v="5"/>
    <n v="3"/>
    <n v="2021"/>
    <x v="7"/>
    <x v="7"/>
    <x v="4"/>
    <m/>
    <n v="0.17761989342806395"/>
    <n v="3.2210834553440701"/>
    <n v="3.2269893656032269"/>
    <n v="3.7234042553191489"/>
    <n v="0.28368794326241165"/>
    <n v="0.28368794326241165"/>
    <s v="T"/>
    <n v="3"/>
  </r>
  <r>
    <s v="PU-PP-90"/>
    <x v="4"/>
    <s v="I"/>
    <s v="I"/>
    <s v="G"/>
    <n v="88"/>
    <n v="83"/>
    <n v="11.516"/>
    <n v="0.30199999999999999"/>
    <n v="3.5000000000000003E-2"/>
    <s v="M22"/>
    <x v="2"/>
    <n v="22"/>
    <n v="0.84699999999999998"/>
    <n v="0.70199999999999996"/>
    <s v="1 fish: 0.117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0.11700000000000001"/>
    <m/>
    <m/>
    <n v="0.11700000000000001"/>
    <s v="18/3/2021"/>
    <s v="18"/>
    <s v="3"/>
    <s v="2021"/>
    <x v="26"/>
    <x v="26"/>
    <x v="5"/>
    <m/>
    <n v="0.30485149377231952"/>
    <n v="2.6930622436240412"/>
    <n v="2.701493872439395E-2"/>
    <n v="6.491584982430183"/>
    <n v="1.2591177492184789"/>
    <n v="2.2750955192775271"/>
    <s v="T"/>
    <n v="3"/>
  </r>
  <r>
    <s v="PU-PP-91"/>
    <x v="4"/>
    <s v="I"/>
    <s v="S"/>
    <s v="G"/>
    <n v="68"/>
    <n v="63"/>
    <n v="4.1929999999999996"/>
    <n v="0.11799999999999999"/>
    <n v="6.9000000000000006E-2"/>
    <s v="F22"/>
    <x v="0"/>
    <n v="22"/>
    <n v="0.17100000000000001"/>
    <n v="0.16600000000000001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18/3/2021"/>
    <s v="18"/>
    <s v="3"/>
    <s v="2021"/>
    <x v="26"/>
    <x v="26"/>
    <x v="5"/>
    <m/>
    <n v="1.6731328806983514"/>
    <n v="2.8957055214723928"/>
    <n v="2.9455816275586622E-2"/>
    <n v="4.1221753166128643"/>
    <n v="0.11924636298592906"/>
    <n v="0.11924636298592906"/>
    <s v="T"/>
    <n v="3"/>
  </r>
  <r>
    <s v="PU-PP-92"/>
    <x v="4"/>
    <s v="I"/>
    <s v="I"/>
    <s v="G"/>
    <n v="105"/>
    <n v="100"/>
    <n v="19.23"/>
    <n v="0.318"/>
    <n v="4.2999999999999997E-2"/>
    <s v="M22"/>
    <x v="2"/>
    <n v="22"/>
    <n v="0.97799999999999998"/>
    <n v="0.96199999999999997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18/3/2021"/>
    <s v="18"/>
    <s v="3"/>
    <s v="2021"/>
    <x v="26"/>
    <x v="26"/>
    <x v="5"/>
    <m/>
    <n v="0.22411007452962942"/>
    <n v="1.6814720812182742"/>
    <n v="1.6853039376755526E-2"/>
    <n v="5.2660389752572794"/>
    <n v="8.3203328133125407E-2"/>
    <n v="8.3203328133125407E-2"/>
    <s v="T"/>
    <n v="2"/>
  </r>
  <r>
    <s v="PU-PP-93"/>
    <x v="4"/>
    <s v="I"/>
    <s v="I"/>
    <s v="G"/>
    <n v="92"/>
    <n v="86"/>
    <n v="11.992000000000001"/>
    <n v="0.24199999999999999"/>
    <n v="2.7E-2"/>
    <s v="M22"/>
    <x v="2"/>
    <n v="22"/>
    <n v="0.64900000000000002"/>
    <n v="0.59499999999999997"/>
    <s v="7 chiro: 0.026; inverts: 0.01"/>
    <s v="F"/>
    <m/>
    <m/>
    <m/>
    <n v="0.01"/>
    <m/>
    <m/>
    <m/>
    <m/>
    <m/>
    <m/>
    <m/>
    <m/>
    <m/>
    <m/>
    <m/>
    <m/>
    <m/>
    <m/>
    <m/>
    <m/>
    <m/>
    <m/>
    <m/>
    <m/>
    <m/>
    <m/>
    <m/>
    <m/>
    <m/>
    <m/>
    <n v="7"/>
    <n v="2.5999999999999999E-2"/>
    <m/>
    <m/>
    <m/>
    <m/>
    <m/>
    <m/>
    <m/>
    <m/>
    <m/>
    <m/>
    <m/>
    <m/>
    <m/>
    <m/>
    <m/>
    <m/>
    <m/>
    <m/>
    <m/>
    <m/>
    <m/>
    <m/>
    <m/>
    <m/>
    <n v="2.7E-2"/>
    <s v="18/3/2021"/>
    <s v="18"/>
    <s v="3"/>
    <s v="2021"/>
    <x v="26"/>
    <x v="26"/>
    <x v="5"/>
    <m/>
    <n v="0.22565816966151273"/>
    <n v="2.0595744680851062"/>
    <n v="2.0643180073360058E-2"/>
    <n v="5.2206721066947441"/>
    <n v="0.4503002001334227"/>
    <n v="0.67545030020013375"/>
    <s v="T"/>
    <n v="3"/>
  </r>
  <r>
    <s v="PU-PP-94"/>
    <x v="4"/>
    <s v="I"/>
    <s v="I"/>
    <s v="G"/>
    <n v="85"/>
    <n v="80"/>
    <n v="8.6509999999999998"/>
    <n v="0.21299999999999999"/>
    <n v="2.3E-2"/>
    <s v="M22"/>
    <x v="2"/>
    <n v="22"/>
    <n v="0.51500000000000001"/>
    <n v="0.44600000000000001"/>
    <s v="11 chiro: 0.034; inverts: 0.013"/>
    <s v="F"/>
    <m/>
    <m/>
    <m/>
    <n v="1.2999999999999999E-2"/>
    <m/>
    <m/>
    <m/>
    <m/>
    <m/>
    <m/>
    <m/>
    <m/>
    <m/>
    <m/>
    <m/>
    <m/>
    <m/>
    <m/>
    <m/>
    <m/>
    <m/>
    <m/>
    <m/>
    <m/>
    <m/>
    <m/>
    <m/>
    <m/>
    <m/>
    <m/>
    <n v="11"/>
    <n v="3.4000000000000002E-2"/>
    <m/>
    <m/>
    <m/>
    <m/>
    <m/>
    <m/>
    <m/>
    <m/>
    <m/>
    <m/>
    <m/>
    <m/>
    <m/>
    <m/>
    <m/>
    <m/>
    <m/>
    <m/>
    <m/>
    <m/>
    <m/>
    <m/>
    <m/>
    <m/>
    <n v="4.7E-2"/>
    <s v="18/3/2021"/>
    <s v="18"/>
    <s v="3"/>
    <s v="2021"/>
    <x v="26"/>
    <x v="26"/>
    <x v="5"/>
    <m/>
    <n v="0.26657394529439038"/>
    <n v="2.5242948566010899"/>
    <n v="2.5311942959001778E-2"/>
    <n v="5.4357099329677023"/>
    <n v="0.79759565368165541"/>
    <n v="1.3408854467691598"/>
    <s v="T"/>
    <n v="3"/>
  </r>
  <r>
    <s v="PU-PP-95"/>
    <x v="4"/>
    <s v="I"/>
    <s v="I"/>
    <s v="G"/>
    <n v="90"/>
    <n v="84"/>
    <n v="10.723000000000001"/>
    <n v="0.22800000000000001"/>
    <n v="0.17399999999999999"/>
    <s v="F22"/>
    <x v="0"/>
    <n v="22"/>
    <n v="0.66600000000000004"/>
    <n v="0.51900000000000002"/>
    <s v="13 chiro: 0.051; 2 giant chiro: 0.063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3"/>
    <n v="5.0999999999999997E-2"/>
    <n v="2"/>
    <n v="6.3E-2"/>
    <m/>
    <m/>
    <m/>
    <m/>
    <m/>
    <m/>
    <m/>
    <m/>
    <m/>
    <m/>
    <m/>
    <m/>
    <m/>
    <m/>
    <m/>
    <m/>
    <m/>
    <m/>
    <m/>
    <m/>
    <m/>
    <m/>
    <n v="0.114"/>
    <s v="18/3/2021"/>
    <s v="18"/>
    <s v="3"/>
    <s v="2021"/>
    <x v="26"/>
    <x v="26"/>
    <x v="5"/>
    <m/>
    <n v="1.6494454450658829"/>
    <n v="2.1724630776560265"/>
    <n v="2.2090882666408292E-2"/>
    <n v="5.0862406899255186"/>
    <n v="1.3708850135223354"/>
    <n v="2.4340203301314931"/>
    <s v="T"/>
    <n v="3"/>
  </r>
  <r>
    <s v="PU-PP-96"/>
    <x v="4"/>
    <s v="I"/>
    <s v="I"/>
    <s v="G"/>
    <n v="91"/>
    <n v="86"/>
    <n v="11.068"/>
    <n v="0.22800000000000001"/>
    <n v="1.4999999999999999E-2"/>
    <s v="M22"/>
    <x v="2"/>
    <n v="22"/>
    <n v="0.875"/>
    <n v="0.60799999999999998"/>
    <s v="24 chiro: 0.134; 1 giant chiro: 0.023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4"/>
    <n v="0.13400000000000001"/>
    <n v="1"/>
    <n v="2.3E-2"/>
    <m/>
    <m/>
    <m/>
    <m/>
    <m/>
    <m/>
    <m/>
    <m/>
    <m/>
    <m/>
    <m/>
    <m/>
    <m/>
    <m/>
    <m/>
    <m/>
    <m/>
    <m/>
    <m/>
    <m/>
    <m/>
    <m/>
    <n v="0.157"/>
    <s v="18/3/2021"/>
    <s v="18"/>
    <s v="3"/>
    <s v="2021"/>
    <x v="26"/>
    <x v="26"/>
    <x v="5"/>
    <m/>
    <n v="0.13570976205555055"/>
    <n v="2.103321033210332"/>
    <n v="2.1062355658198615E-2"/>
    <n v="5.8126195028680696"/>
    <n v="2.4123599566317315"/>
    <n v="3.8308637513552588"/>
    <s v="T"/>
    <n v="2"/>
  </r>
  <r>
    <s v="PU-PP-97"/>
    <x v="4"/>
    <s v="I"/>
    <s v="I"/>
    <s v="G"/>
    <n v="90"/>
    <n v="85"/>
    <n v="11.105"/>
    <n v="0.25600000000000001"/>
    <n v="0.02"/>
    <s v="M22"/>
    <x v="2"/>
    <n v="22"/>
    <n v="0.623"/>
    <n v="0.57499999999999996"/>
    <s v="2 chiro: 0.013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1.2999999999999999E-2"/>
    <m/>
    <m/>
    <m/>
    <m/>
    <m/>
    <m/>
    <m/>
    <m/>
    <m/>
    <m/>
    <m/>
    <m/>
    <m/>
    <m/>
    <m/>
    <m/>
    <m/>
    <m/>
    <m/>
    <m/>
    <m/>
    <m/>
    <m/>
    <m/>
    <n v="1.2999999999999999E-2"/>
    <s v="18/3/2021"/>
    <s v="18"/>
    <s v="3"/>
    <s v="2021"/>
    <x v="26"/>
    <x v="26"/>
    <x v="5"/>
    <m/>
    <n v="0.18042399639152007"/>
    <n v="2.3596644852060096"/>
    <n v="2.3640225320897591E-2"/>
    <n v="5.4605887939221258"/>
    <n v="0.43223773075191391"/>
    <n v="0.54930211616389057"/>
    <s v="T"/>
    <n v="3"/>
  </r>
  <r>
    <s v="PU-PP-98"/>
    <x v="4"/>
    <s v="I"/>
    <s v="I"/>
    <s v="G"/>
    <n v="88"/>
    <n v="82"/>
    <n v="9.5109999999999992"/>
    <n v="0.32"/>
    <n v="2.1000000000000001E-2"/>
    <s v="M22"/>
    <x v="2"/>
    <n v="22"/>
    <n v="0.52800000000000002"/>
    <n v="0.44700000000000001"/>
    <s v="9 chiro: 0.042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9"/>
    <n v="4.2000000000000003E-2"/>
    <m/>
    <m/>
    <m/>
    <m/>
    <m/>
    <m/>
    <m/>
    <m/>
    <m/>
    <m/>
    <m/>
    <m/>
    <m/>
    <m/>
    <m/>
    <m/>
    <m/>
    <m/>
    <m/>
    <m/>
    <m/>
    <m/>
    <m/>
    <m/>
    <n v="4.2000000000000003E-2"/>
    <s v="18/3/2021"/>
    <s v="18"/>
    <s v="3"/>
    <s v="2021"/>
    <x v="26"/>
    <x v="26"/>
    <x v="5"/>
    <m/>
    <n v="0.22128556375131722"/>
    <n v="3.4816668480034818"/>
    <n v="3.4896401308615058E-2"/>
    <n v="4.9315975286849074"/>
    <n v="0.85164546314793421"/>
    <n v="1.2932394070024187"/>
    <s v="T"/>
    <n v="2"/>
  </r>
  <r>
    <s v="PU-PP-99"/>
    <x v="4"/>
    <s v="I"/>
    <s v="I"/>
    <s v="G"/>
    <n v="87"/>
    <n v="82"/>
    <n v="9.1110000000000007"/>
    <n v="0.161"/>
    <n v="1.4999999999999999E-2"/>
    <s v="M22"/>
    <x v="2"/>
    <n v="22"/>
    <n v="0.58799999999999997"/>
    <n v="0.51"/>
    <s v="9 chiro: 0.043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9"/>
    <n v="4.2999999999999997E-2"/>
    <m/>
    <m/>
    <m/>
    <m/>
    <m/>
    <m/>
    <m/>
    <m/>
    <m/>
    <m/>
    <m/>
    <m/>
    <m/>
    <m/>
    <m/>
    <m/>
    <m/>
    <m/>
    <m/>
    <m/>
    <m/>
    <m/>
    <m/>
    <m/>
    <n v="4.2999999999999997E-2"/>
    <s v="18/3/2021"/>
    <s v="18"/>
    <s v="3"/>
    <s v="2021"/>
    <x v="26"/>
    <x v="26"/>
    <x v="5"/>
    <m/>
    <n v="0.16490765171503957"/>
    <n v="1.7988826815642456"/>
    <n v="1.8019026301063234E-2"/>
    <n v="5.9295430763864658"/>
    <n v="0.85610800131708864"/>
    <n v="1.3280649764021506"/>
    <s v="T"/>
    <n v="3"/>
  </r>
  <r>
    <s v="PU-PP-100"/>
    <x v="4"/>
    <s v="I"/>
    <s v="S"/>
    <s v="G"/>
    <n v="77"/>
    <n v="73"/>
    <n v="6.5810000000000004"/>
    <n v="0.14499999999999999"/>
    <n v="0.106"/>
    <s v="F22"/>
    <x v="0"/>
    <n v="22"/>
    <n v="0.30499999999999999"/>
    <n v="0.29299999999999998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18/3/2021"/>
    <s v="18"/>
    <s v="3"/>
    <s v="2021"/>
    <x v="26"/>
    <x v="26"/>
    <x v="5"/>
    <m/>
    <n v="1.6370656370656367"/>
    <n v="2.2529521441889369"/>
    <n v="2.290679304897314E-2"/>
    <n v="4.6596692111959284"/>
    <n v="0.18234310895000774"/>
    <n v="0.18234310895000774"/>
    <s v="T"/>
    <n v="3"/>
  </r>
  <r>
    <s v="PU-PP-101"/>
    <x v="4"/>
    <s v="I"/>
    <s v="S"/>
    <s v="G"/>
    <n v="70"/>
    <n v="66"/>
    <n v="4.8780000000000001"/>
    <n v="8.3000000000000004E-2"/>
    <n v="7.5999999999999998E-2"/>
    <s v="F22"/>
    <x v="0"/>
    <n v="22"/>
    <n v="0.158"/>
    <n v="0.153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18/3/2021"/>
    <s v="18"/>
    <s v="3"/>
    <s v="2021"/>
    <x v="26"/>
    <x v="26"/>
    <x v="5"/>
    <m/>
    <n v="1.5826738858808826"/>
    <n v="1.7309697601668406"/>
    <n v="1.758847213392668E-2"/>
    <n v="3.2380952380952377"/>
    <n v="0.10250102501025019"/>
    <n v="0.10250102501025019"/>
    <s v="T"/>
    <n v="3"/>
  </r>
  <r>
    <s v="PU-PP-102"/>
    <x v="4"/>
    <s v="I"/>
    <s v="S"/>
    <s v="G"/>
    <n v="80"/>
    <n v="76"/>
    <n v="6.7249999999999996"/>
    <n v="0.14199999999999999"/>
    <n v="1.4E-2"/>
    <s v="M22"/>
    <x v="2"/>
    <n v="22"/>
    <n v="0.31900000000000001"/>
    <n v="0.311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18/3/2021"/>
    <s v="18"/>
    <s v="3"/>
    <s v="2021"/>
    <x v="26"/>
    <x v="26"/>
    <x v="5"/>
    <m/>
    <n v="0.20861272537624798"/>
    <n v="2.1570712441136264"/>
    <n v="2.1616684426853404E-2"/>
    <n v="4.8487683193015281"/>
    <n v="0.11895910780669156"/>
    <n v="0.11895910780669156"/>
    <s v="T"/>
    <n v="3"/>
  </r>
  <r>
    <s v="PU-PP-103"/>
    <x v="4"/>
    <s v="I"/>
    <s v="S"/>
    <s v="G"/>
    <n v="72"/>
    <n v="67"/>
    <n v="5.4909999999999997"/>
    <n v="0.1"/>
    <n v="1.7000000000000001E-2"/>
    <s v="M22"/>
    <x v="2"/>
    <n v="22"/>
    <n v="0.32100000000000001"/>
    <n v="0.20699999999999999"/>
    <s v="6 chiro: 0.029; 2 giant chiro: 0.035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"/>
    <n v="2.9000000000000001E-2"/>
    <n v="2"/>
    <n v="3.5000000000000003E-2"/>
    <m/>
    <m/>
    <m/>
    <m/>
    <m/>
    <m/>
    <m/>
    <m/>
    <m/>
    <m/>
    <m/>
    <m/>
    <m/>
    <m/>
    <m/>
    <m/>
    <m/>
    <m/>
    <m/>
    <m/>
    <m/>
    <m/>
    <n v="6.4000000000000001E-2"/>
    <s v="18/3/2021"/>
    <s v="18"/>
    <s v="3"/>
    <s v="2021"/>
    <x v="26"/>
    <x v="26"/>
    <x v="5"/>
    <m/>
    <n v="0.31055900621118021"/>
    <n v="1.8549434242255611"/>
    <n v="1.8608113137327877E-2"/>
    <n v="3.917486752460257"/>
    <n v="2.0761245674740492"/>
    <n v="3.2416681843015849"/>
    <s v="T"/>
    <n v="3"/>
  </r>
  <r>
    <s v="PU-PP-104"/>
    <x v="4"/>
    <s v="I"/>
    <s v="S"/>
    <s v="G"/>
    <n v="83"/>
    <n v="78"/>
    <n v="9.7859999999999996"/>
    <n v="0.23799999999999999"/>
    <n v="0.14000000000000001"/>
    <s v="F22"/>
    <x v="0"/>
    <n v="22"/>
    <n v="0.74199999999999999"/>
    <n v="0.52800000000000002"/>
    <s v="1 fish: 0.15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0.15"/>
    <m/>
    <m/>
    <n v="0.15"/>
    <s v="18/3/2021"/>
    <s v="18"/>
    <s v="3"/>
    <s v="2021"/>
    <x v="26"/>
    <x v="26"/>
    <x v="5"/>
    <m/>
    <n v="1.4513788098693761"/>
    <n v="2.4926686217008798"/>
    <n v="2.5297619047619048E-2"/>
    <n v="5.7031756318859372"/>
    <n v="2.1867974657674227"/>
    <n v="3.7195994277539342"/>
    <s v="T"/>
    <n v="3"/>
  </r>
  <r>
    <s v="PU-PP-105"/>
    <x v="4"/>
    <s v="I"/>
    <s v="S"/>
    <s v="G"/>
    <n v="74"/>
    <n v="70"/>
    <n v="5.6740000000000004"/>
    <n v="0.11600000000000001"/>
    <n v="1.2999999999999999E-2"/>
    <s v="M22"/>
    <x v="2"/>
    <n v="22"/>
    <n v="0.35499999999999998"/>
    <n v="0.25700000000000001"/>
    <s v="10 chiro: 0.03; inverts: 0.012"/>
    <s v="F"/>
    <m/>
    <m/>
    <m/>
    <n v="1.2E-2"/>
    <m/>
    <m/>
    <m/>
    <m/>
    <m/>
    <m/>
    <m/>
    <m/>
    <m/>
    <m/>
    <m/>
    <m/>
    <m/>
    <m/>
    <m/>
    <m/>
    <m/>
    <m/>
    <m/>
    <m/>
    <m/>
    <m/>
    <m/>
    <m/>
    <m/>
    <m/>
    <n v="10"/>
    <n v="0.03"/>
    <m/>
    <m/>
    <m/>
    <m/>
    <m/>
    <m/>
    <m/>
    <m/>
    <m/>
    <m/>
    <m/>
    <m/>
    <m/>
    <m/>
    <m/>
    <m/>
    <m/>
    <m/>
    <m/>
    <m/>
    <m/>
    <m/>
    <m/>
    <m/>
    <n v="4.2000000000000003E-2"/>
    <s v="18/3/2021"/>
    <s v="18"/>
    <s v="3"/>
    <s v="2021"/>
    <x v="26"/>
    <x v="26"/>
    <x v="5"/>
    <m/>
    <n v="0.2296414061119943"/>
    <n v="2.0870816840590138"/>
    <n v="2.0919747520288547E-2"/>
    <n v="4.7443234262506921"/>
    <n v="1.7271765949947122"/>
    <n v="2.4673951357067319"/>
    <s v="T"/>
    <n v="2"/>
  </r>
  <r>
    <s v="PU-PP-106"/>
    <x v="4"/>
    <s v="I"/>
    <s v="S"/>
    <s v="G"/>
    <n v="73"/>
    <n v="70"/>
    <n v="5.6109999999999998"/>
    <n v="0.109"/>
    <n v="9.8000000000000004E-2"/>
    <s v="F22"/>
    <x v="0"/>
    <n v="22"/>
    <n v="0.22800000000000001"/>
    <n v="0.218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18/3/2021"/>
    <s v="18"/>
    <s v="3"/>
    <s v="2021"/>
    <x v="26"/>
    <x v="26"/>
    <x v="5"/>
    <m/>
    <n v="1.7776165427172137"/>
    <n v="1.9810977826245004"/>
    <n v="2.0170244263508514E-2"/>
    <n v="4.042277025774152"/>
    <n v="0.17822135091784011"/>
    <n v="0.17822135091784011"/>
    <s v="T"/>
    <n v="2"/>
  </r>
  <r>
    <s v="PU-PP-107"/>
    <x v="4"/>
    <s v="I"/>
    <s v="S"/>
    <s v="G"/>
    <n v="69"/>
    <n v="63"/>
    <n v="5.093"/>
    <n v="0.11"/>
    <n v="9.1999999999999998E-2"/>
    <s v="F22"/>
    <x v="0"/>
    <n v="22"/>
    <n v="0.22600000000000001"/>
    <n v="0.183"/>
    <s v="4 chiro: 0.028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2.8000000000000001E-2"/>
    <m/>
    <m/>
    <m/>
    <m/>
    <m/>
    <m/>
    <m/>
    <m/>
    <m/>
    <m/>
    <m/>
    <m/>
    <m/>
    <m/>
    <m/>
    <m/>
    <m/>
    <m/>
    <m/>
    <m/>
    <m/>
    <m/>
    <m/>
    <m/>
    <n v="2.8000000000000001E-2"/>
    <s v="18/3/2021"/>
    <s v="18"/>
    <s v="3"/>
    <s v="2021"/>
    <x v="26"/>
    <x v="26"/>
    <x v="5"/>
    <m/>
    <n v="1.8396320735852827"/>
    <n v="2.2075055187637971"/>
    <n v="2.2490288284604375E-2"/>
    <n v="3.7270875763747449"/>
    <n v="0.84429609267622252"/>
    <n v="1.3940702925584136"/>
    <s v="T"/>
    <n v="3"/>
  </r>
  <r>
    <s v="PU-PP-108"/>
    <x v="4"/>
    <s v="I"/>
    <s v="S"/>
    <s v="G"/>
    <n v="71"/>
    <n v="66"/>
    <n v="5.0819999999999999"/>
    <n v="0.123"/>
    <n v="8.9999999999999993E-3"/>
    <s v="M22"/>
    <x v="2"/>
    <n v="22"/>
    <n v="0.23300000000000001"/>
    <n v="0.22900000000000001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18/3/2021"/>
    <s v="18"/>
    <s v="3"/>
    <s v="2021"/>
    <x v="26"/>
    <x v="26"/>
    <x v="5"/>
    <m/>
    <n v="0.17740981667652278"/>
    <n v="2.4803387779794317"/>
    <n v="2.4848484848484852E-2"/>
    <n v="4.7187306820523389"/>
    <n v="7.8709169618260605E-2"/>
    <n v="7.8709169618260605E-2"/>
    <s v="T"/>
    <n v="3"/>
  </r>
  <r>
    <s v="PU-PP-109"/>
    <x v="4"/>
    <s v="I"/>
    <s v="S"/>
    <s v="G"/>
    <n v="65"/>
    <n v="61"/>
    <n v="4.0750000000000002"/>
    <n v="0.11700000000000001"/>
    <n v="0.01"/>
    <s v="M22"/>
    <x v="2"/>
    <n v="22"/>
    <n v="0.17100000000000001"/>
    <n v="0.11600000000000001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18/3/2021"/>
    <s v="18"/>
    <s v="3"/>
    <s v="2021"/>
    <x v="26"/>
    <x v="26"/>
    <x v="5"/>
    <m/>
    <n v="0.24600246002460022"/>
    <n v="2.9560384032339568"/>
    <n v="2.9635258358662611E-2"/>
    <n v="2.9300328365748927"/>
    <n v="1.3496932515337425"/>
    <n v="1.3496932515337425"/>
    <s v="T"/>
    <n v="3"/>
  </r>
  <r>
    <s v="PU-PP-110"/>
    <x v="4"/>
    <s v="I"/>
    <s v="S"/>
    <s v="G"/>
    <n v="65"/>
    <n v="62"/>
    <n v="4.1319999999999997"/>
    <n v="0.11899999999999999"/>
    <n v="5.5E-2"/>
    <s v="F22"/>
    <x v="0"/>
    <n v="22"/>
    <n v="0.16400000000000001"/>
    <n v="0.157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18/3/2021"/>
    <s v="18"/>
    <s v="3"/>
    <s v="2021"/>
    <x v="26"/>
    <x v="26"/>
    <x v="5"/>
    <m/>
    <n v="1.3490311503556536"/>
    <n v="2.9653625716421628"/>
    <n v="3.0065689742294087E-2"/>
    <n v="3.9496855345911954"/>
    <n v="0.16940948693126831"/>
    <n v="0.16940948693126831"/>
    <s v="T"/>
    <n v="2"/>
  </r>
  <r>
    <s v="PU-PP-111"/>
    <x v="4"/>
    <s v="I"/>
    <s v="IMM"/>
    <s v="G"/>
    <n v="63"/>
    <n v="59"/>
    <n v="3.5449999999999999"/>
    <n v="0.1"/>
    <n v="0"/>
    <s v="M10"/>
    <x v="2"/>
    <n v="10"/>
    <n v="0.186"/>
    <n v="0.16900000000000001"/>
    <s v="2 chiro: 0.002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2E-3"/>
    <m/>
    <m/>
    <m/>
    <m/>
    <m/>
    <m/>
    <m/>
    <m/>
    <m/>
    <m/>
    <m/>
    <m/>
    <m/>
    <m/>
    <m/>
    <m/>
    <m/>
    <m/>
    <m/>
    <m/>
    <m/>
    <m/>
    <m/>
    <m/>
    <n v="2E-3"/>
    <s v="18/3/2021"/>
    <s v="18"/>
    <s v="3"/>
    <s v="2021"/>
    <x v="26"/>
    <x v="26"/>
    <x v="5"/>
    <m/>
    <n v="0"/>
    <n v="2.9027576197387521"/>
    <n v="2.9027576197387522E-2"/>
    <n v="5.0059241706161144"/>
    <n v="0.47954866008462588"/>
    <n v="0.53596614950634669"/>
    <s v="T"/>
    <n v="2"/>
  </r>
  <r>
    <s v="PU-PP-112"/>
    <x v="4"/>
    <s v="I"/>
    <s v="IMM"/>
    <s v="G"/>
    <n v="64"/>
    <n v="60"/>
    <n v="3.5449999999999999"/>
    <n v="9.7000000000000003E-2"/>
    <n v="5.6000000000000001E-2"/>
    <s v="F22"/>
    <x v="0"/>
    <n v="22"/>
    <n v="0.16700000000000001"/>
    <n v="0.121"/>
    <s v="7 chiro: 0.03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"/>
    <n v="0.03"/>
    <m/>
    <m/>
    <m/>
    <m/>
    <m/>
    <m/>
    <m/>
    <m/>
    <m/>
    <m/>
    <m/>
    <m/>
    <m/>
    <m/>
    <m/>
    <m/>
    <m/>
    <m/>
    <m/>
    <m/>
    <m/>
    <m/>
    <m/>
    <m/>
    <n v="0.03"/>
    <s v="18/3/2021"/>
    <s v="18"/>
    <s v="3"/>
    <s v="2021"/>
    <x v="26"/>
    <x v="26"/>
    <x v="5"/>
    <m/>
    <n v="1.6050444253367726"/>
    <n v="2.8132250580046403"/>
    <n v="2.8596698113207548E-2"/>
    <n v="3.5338785046728973"/>
    <n v="1.2976022566995773"/>
    <n v="2.1438645980253885"/>
    <s v="T"/>
    <n v="2"/>
  </r>
  <r>
    <s v="PU-PP-113"/>
    <x v="4"/>
    <s v="S"/>
    <s v="IMM"/>
    <s v="G"/>
    <n v="60"/>
    <n v="57"/>
    <n v="3.1549999999999998"/>
    <n v="7.0999999999999994E-2"/>
    <n v="1.2E-2"/>
    <s v="M22"/>
    <x v="2"/>
    <n v="22"/>
    <n v="0.105"/>
    <n v="9.8000000000000004E-2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18/3/2021"/>
    <s v="18"/>
    <s v="3"/>
    <s v="2021"/>
    <x v="26"/>
    <x v="26"/>
    <x v="5"/>
    <m/>
    <n v="0.38180082723512571"/>
    <n v="2.3022049286640729"/>
    <n v="2.3111979166666668E-2"/>
    <n v="3.2057572783774946"/>
    <n v="0.22187004754358142"/>
    <n v="0.22187004754358142"/>
    <s v="T"/>
    <n v="2"/>
  </r>
  <r>
    <s v="PU-PP-114"/>
    <x v="4"/>
    <s v="I"/>
    <s v="IMM"/>
    <s v="G"/>
    <n v="64"/>
    <n v="60"/>
    <n v="3.69"/>
    <n v="8.7999999999999995E-2"/>
    <n v="8.0000000000000002E-3"/>
    <s v="M22"/>
    <x v="2"/>
    <n v="22"/>
    <n v="0.218"/>
    <n v="0.16"/>
    <s v="2 chiro: 0.007; 1 odo: 0.029"/>
    <s v="F"/>
    <m/>
    <m/>
    <m/>
    <m/>
    <m/>
    <m/>
    <m/>
    <m/>
    <m/>
    <m/>
    <m/>
    <m/>
    <m/>
    <m/>
    <m/>
    <m/>
    <m/>
    <m/>
    <m/>
    <m/>
    <m/>
    <m/>
    <m/>
    <m/>
    <n v="1"/>
    <n v="2.9000000000000001E-2"/>
    <m/>
    <m/>
    <m/>
    <m/>
    <n v="2"/>
    <n v="7.0000000000000001E-3"/>
    <m/>
    <m/>
    <m/>
    <m/>
    <m/>
    <m/>
    <m/>
    <m/>
    <m/>
    <m/>
    <m/>
    <m/>
    <m/>
    <m/>
    <m/>
    <m/>
    <m/>
    <m/>
    <m/>
    <m/>
    <m/>
    <m/>
    <m/>
    <m/>
    <n v="3.5999999999999997E-2"/>
    <s v="18/3/2021"/>
    <s v="18"/>
    <s v="3"/>
    <s v="2021"/>
    <x v="26"/>
    <x v="26"/>
    <x v="5"/>
    <m/>
    <n v="0.21727322107550245"/>
    <n v="2.4430871737923376"/>
    <n v="2.4485253199777405E-2"/>
    <n v="4.5325779036827196"/>
    <n v="1.5718157181571817"/>
    <n v="2.5474254742547426"/>
    <s v="T"/>
    <n v="3"/>
  </r>
  <r>
    <s v="PU-PP-115"/>
    <x v="4"/>
    <s v="S"/>
    <s v="IMM"/>
    <s v="G"/>
    <n v="60"/>
    <n v="56"/>
    <n v="2.8759999999999999"/>
    <n v="6.9000000000000006E-2"/>
    <n v="3.5999999999999997E-2"/>
    <s v="F22"/>
    <x v="0"/>
    <n v="22"/>
    <n v="0.129"/>
    <n v="0.112"/>
    <s v="2 chiro: 0.007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7.0000000000000001E-3"/>
    <m/>
    <m/>
    <m/>
    <m/>
    <m/>
    <m/>
    <m/>
    <m/>
    <m/>
    <m/>
    <m/>
    <m/>
    <m/>
    <m/>
    <m/>
    <m/>
    <m/>
    <m/>
    <m/>
    <m/>
    <m/>
    <m/>
    <m/>
    <m/>
    <n v="7.0000000000000001E-3"/>
    <s v="18/3/2021"/>
    <s v="18"/>
    <s v="3"/>
    <s v="2021"/>
    <x v="26"/>
    <x v="26"/>
    <x v="5"/>
    <m/>
    <n v="1.267605633802817"/>
    <n v="2.4581403633772712"/>
    <n v="2.4900757849151935E-2"/>
    <n v="4.0520984081041975"/>
    <n v="0.59109874826147435"/>
    <n v="0.83449235048678716"/>
    <s v="T"/>
    <n v="3"/>
  </r>
  <r>
    <s v="PU-PP-116"/>
    <x v="4"/>
    <s v="S"/>
    <s v="IMM"/>
    <s v="N"/>
    <n v="59"/>
    <n v="54"/>
    <n v="2.9660000000000002"/>
    <m/>
    <m/>
    <m/>
    <x v="1"/>
    <m/>
    <m/>
    <m/>
    <m/>
    <s v="N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8/3/2021"/>
    <s v="18"/>
    <s v="3"/>
    <s v="2021"/>
    <x v="26"/>
    <x v="26"/>
    <x v="5"/>
    <s v="Frozen whole"/>
    <m/>
    <m/>
    <m/>
    <m/>
    <m/>
    <m/>
    <s v="T"/>
    <n v="3"/>
  </r>
  <r>
    <s v="PU-PP-117"/>
    <x v="4"/>
    <s v="I"/>
    <s v="I"/>
    <s v="G"/>
    <n v="109"/>
    <n v="103"/>
    <n v="20.297000000000001"/>
    <n v="0.33300000000000002"/>
    <n v="6.7000000000000004E-2"/>
    <s v="M22"/>
    <x v="2"/>
    <n v="22"/>
    <n v="1.173"/>
    <n v="1.091"/>
    <s v="1 mayfly: 0.012; 1 pupa: 0.041"/>
    <s v="F"/>
    <m/>
    <m/>
    <n v="1"/>
    <n v="4.1000000000000002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.2E-2"/>
    <m/>
    <m/>
    <m/>
    <m/>
    <m/>
    <m/>
    <m/>
    <m/>
    <m/>
    <m/>
    <m/>
    <m/>
    <m/>
    <m/>
    <m/>
    <m/>
    <n v="5.2999999999999999E-2"/>
    <s v="15/4/2021"/>
    <s v="15"/>
    <s v="4"/>
    <s v="2021"/>
    <x v="45"/>
    <x v="45"/>
    <x v="7"/>
    <m/>
    <n v="0.33119130004943154"/>
    <n v="1.6680024043277901"/>
    <n v="1.6736191385636024E-2"/>
    <n v="5.6805165052587734"/>
    <n v="0.40400059122037768"/>
    <n v="0.66512292457013389"/>
    <s v="T"/>
    <n v="3"/>
  </r>
  <r>
    <s v="PU-PP-118"/>
    <x v="4"/>
    <s v="I"/>
    <s v="I"/>
    <s v="G"/>
    <n v="87"/>
    <n v="83"/>
    <n v="10.239000000000001"/>
    <n v="0.3"/>
    <n v="3.4000000000000002E-2"/>
    <s v="M22"/>
    <x v="2"/>
    <n v="22"/>
    <n v="0.64100000000000001"/>
    <n v="0.623"/>
    <s v="1 invert: 0.007"/>
    <s v="F"/>
    <m/>
    <m/>
    <n v="1"/>
    <n v="7.0000000000000001E-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.0000000000000001E-3"/>
    <s v="15/4/2021"/>
    <s v="15"/>
    <s v="4"/>
    <s v="2021"/>
    <x v="45"/>
    <x v="45"/>
    <x v="7"/>
    <m/>
    <n v="0.33317001469867713"/>
    <n v="3.0184123151222453"/>
    <n v="3.0287733467945482E-2"/>
    <n v="6.4787853577371033"/>
    <n v="0.17579841781423983"/>
    <n v="0.24416446918644413"/>
    <s v="T"/>
    <n v="3"/>
  </r>
  <r>
    <s v="PU-PP-119"/>
    <x v="4"/>
    <s v="I"/>
    <s v="I"/>
    <s v="G"/>
    <n v="101"/>
    <n v="96"/>
    <n v="16.774999999999999"/>
    <n v="0.247"/>
    <n v="6.2E-2"/>
    <s v="M22"/>
    <x v="2"/>
    <n v="22"/>
    <n v="0.98699999999999999"/>
    <n v="0.96899999999999997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5/4/2021"/>
    <s v="15"/>
    <s v="4"/>
    <s v="2021"/>
    <x v="45"/>
    <x v="45"/>
    <x v="7"/>
    <m/>
    <n v="0.3709687069945552"/>
    <n v="1.4944336882865441"/>
    <n v="1.5000607312036927E-2"/>
    <n v="6.130583322788814"/>
    <n v="0.10730253353204183"/>
    <n v="0.10730253353204183"/>
    <s v="T"/>
    <n v="3"/>
  </r>
  <r>
    <s v="PU-PP-120"/>
    <x v="4"/>
    <s v="I"/>
    <s v="I"/>
    <s v="G"/>
    <n v="105"/>
    <n v="101"/>
    <n v="22.081"/>
    <n v="0.49299999999999999"/>
    <n v="7.1999999999999995E-2"/>
    <s v="M22"/>
    <x v="2"/>
    <n v="22"/>
    <n v="1.349"/>
    <n v="1.1060000000000001"/>
    <s v="~40 chiro: 0.165; 2 mussel: 0.004"/>
    <s v="F"/>
    <m/>
    <m/>
    <m/>
    <m/>
    <m/>
    <m/>
    <m/>
    <m/>
    <m/>
    <m/>
    <m/>
    <m/>
    <m/>
    <m/>
    <m/>
    <m/>
    <n v="2"/>
    <n v="4.0000000000000001E-3"/>
    <m/>
    <m/>
    <m/>
    <m/>
    <m/>
    <m/>
    <m/>
    <m/>
    <m/>
    <m/>
    <m/>
    <m/>
    <n v="40"/>
    <n v="0.16500000000000001"/>
    <m/>
    <m/>
    <m/>
    <m/>
    <m/>
    <m/>
    <m/>
    <m/>
    <m/>
    <m/>
    <m/>
    <m/>
    <m/>
    <m/>
    <m/>
    <m/>
    <m/>
    <m/>
    <m/>
    <m/>
    <m/>
    <m/>
    <m/>
    <m/>
    <n v="0.16900000000000001"/>
    <s v="15/4/2021"/>
    <s v="15"/>
    <s v="4"/>
    <s v="2021"/>
    <x v="45"/>
    <x v="45"/>
    <x v="7"/>
    <m/>
    <n v="0.32713889772365845"/>
    <n v="2.2836761163609411"/>
    <n v="2.291318088864101E-2"/>
    <n v="5.2729439809296794"/>
    <n v="1.1004936370635383"/>
    <n v="1.8658575245686333"/>
    <s v="T"/>
    <n v="3"/>
  </r>
  <r>
    <s v="PU-PP-121"/>
    <x v="4"/>
    <s v="I"/>
    <s v="S"/>
    <s v="G"/>
    <n v="71"/>
    <n v="65"/>
    <n v="6.1529999999999996"/>
    <n v="0.308"/>
    <n v="0.13"/>
    <s v="F23"/>
    <x v="0"/>
    <n v="23"/>
    <n v="0.54700000000000004"/>
    <n v="0.41799999999999998"/>
    <s v="~50 chiro: 0.085; 1 damsel: 0.019"/>
    <s v="F"/>
    <m/>
    <m/>
    <m/>
    <m/>
    <m/>
    <m/>
    <m/>
    <m/>
    <m/>
    <m/>
    <m/>
    <m/>
    <m/>
    <m/>
    <m/>
    <m/>
    <m/>
    <m/>
    <m/>
    <m/>
    <m/>
    <m/>
    <m/>
    <m/>
    <m/>
    <m/>
    <n v="1"/>
    <n v="1.9E-2"/>
    <m/>
    <m/>
    <n v="50"/>
    <n v="8.5000000000000006E-2"/>
    <m/>
    <m/>
    <m/>
    <m/>
    <m/>
    <m/>
    <m/>
    <m/>
    <m/>
    <m/>
    <m/>
    <m/>
    <m/>
    <m/>
    <m/>
    <m/>
    <m/>
    <m/>
    <m/>
    <m/>
    <m/>
    <m/>
    <m/>
    <m/>
    <n v="0.10400000000000001"/>
    <s v="15/4/2021"/>
    <s v="15"/>
    <s v="4"/>
    <s v="2021"/>
    <x v="45"/>
    <x v="45"/>
    <x v="7"/>
    <m/>
    <n v="2.158392827494604"/>
    <n v="5.2694610778443121"/>
    <n v="5.3893263342082241E-2"/>
    <n v="7.2885789014821274"/>
    <n v="2.0965382740126777"/>
    <n v="3.7867706809686346"/>
    <s v="T"/>
    <n v="2"/>
  </r>
  <r>
    <s v="PU-PP-122"/>
    <x v="4"/>
    <s v="I"/>
    <s v="I"/>
    <s v="G"/>
    <n v="85"/>
    <n v="80"/>
    <n v="8.6069999999999993"/>
    <n v="0.189"/>
    <n v="0.16200000000000001"/>
    <s v="F22"/>
    <x v="0"/>
    <n v="22"/>
    <n v="0.36"/>
    <n v="0.35199999999999998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5/4/2021"/>
    <s v="15"/>
    <s v="4"/>
    <s v="2021"/>
    <x v="45"/>
    <x v="45"/>
    <x v="7"/>
    <m/>
    <n v="1.9182948490230909"/>
    <n v="2.2451888809693519"/>
    <n v="2.2892441860465122E-2"/>
    <n v="4.2640823743185949"/>
    <n v="9.2947600790054707E-2"/>
    <n v="9.2947600790054707E-2"/>
    <s v="T"/>
    <n v="3"/>
  </r>
  <r>
    <s v="PU-PP-123"/>
    <x v="4"/>
    <s v="I"/>
    <s v="S"/>
    <s v="G"/>
    <n v="83"/>
    <n v="79"/>
    <n v="9.8049999999999997"/>
    <n v="0.28699999999999998"/>
    <n v="0.23699999999999999"/>
    <s v="F23"/>
    <x v="0"/>
    <n v="23"/>
    <n v="0.503"/>
    <n v="0.38100000000000001"/>
    <s v="14 damsel: 0.082"/>
    <s v="F"/>
    <m/>
    <m/>
    <m/>
    <m/>
    <m/>
    <m/>
    <m/>
    <m/>
    <m/>
    <m/>
    <m/>
    <m/>
    <m/>
    <m/>
    <m/>
    <m/>
    <m/>
    <m/>
    <m/>
    <m/>
    <m/>
    <m/>
    <m/>
    <m/>
    <m/>
    <m/>
    <n v="14"/>
    <n v="8.2000000000000003E-2"/>
    <m/>
    <m/>
    <m/>
    <m/>
    <m/>
    <m/>
    <m/>
    <m/>
    <m/>
    <m/>
    <m/>
    <m/>
    <m/>
    <m/>
    <m/>
    <m/>
    <m/>
    <m/>
    <m/>
    <m/>
    <m/>
    <m/>
    <m/>
    <m/>
    <m/>
    <m/>
    <m/>
    <m/>
    <n v="8.2000000000000003E-2"/>
    <s v="15/4/2021"/>
    <s v="15"/>
    <s v="4"/>
    <s v="2021"/>
    <x v="45"/>
    <x v="45"/>
    <x v="7"/>
    <m/>
    <n v="2.4770066889632107"/>
    <n v="3.0153393570077749"/>
    <n v="3.0923391875875447E-2"/>
    <n v="4.0428692699490663"/>
    <n v="1.2442631310555838"/>
    <n v="2.0805711371749109"/>
    <s v="T"/>
    <n v="3"/>
  </r>
  <r>
    <s v="PU-PP-124"/>
    <x v="4"/>
    <s v="I"/>
    <s v="I"/>
    <s v="G"/>
    <n v="102"/>
    <n v="95"/>
    <n v="17.774000000000001"/>
    <n v="0.36399999999999999"/>
    <n v="7.3999999999999996E-2"/>
    <s v="M22"/>
    <x v="2"/>
    <n v="22"/>
    <n v="0.98"/>
    <n v="0.96199999999999997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5/4/2021"/>
    <s v="15"/>
    <s v="4"/>
    <s v="2021"/>
    <x v="45"/>
    <x v="45"/>
    <x v="7"/>
    <m/>
    <n v="0.41807909604519777"/>
    <n v="2.0907524411257894"/>
    <n v="2.0996769727734194E-2"/>
    <n v="5.7221032595764925"/>
    <n v="0.10127152019804217"/>
    <n v="0.10127152019804217"/>
    <s v="T"/>
    <n v="3"/>
  </r>
  <r>
    <s v="PU-PP-125"/>
    <x v="4"/>
    <s v="I"/>
    <s v="I"/>
    <s v="G"/>
    <n v="87"/>
    <n v="83"/>
    <n v="10.148"/>
    <n v="0.311"/>
    <n v="4.2000000000000003E-2"/>
    <s v="M22"/>
    <x v="2"/>
    <n v="22"/>
    <n v="0.47199999999999998"/>
    <n v="0.46400000000000002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5/4/2021"/>
    <s v="15"/>
    <s v="4"/>
    <s v="2021"/>
    <x v="45"/>
    <x v="45"/>
    <x v="7"/>
    <m/>
    <n v="0.41559469622006728"/>
    <n v="3.1615329876995024"/>
    <n v="3.1750893312914752E-2"/>
    <n v="4.791408508880628"/>
    <n v="7.8833267638943161E-2"/>
    <n v="7.8833267638943161E-2"/>
    <s v="T"/>
    <n v="3"/>
  </r>
  <r>
    <s v="PU-PP-126"/>
    <x v="4"/>
    <s v="I"/>
    <s v="S"/>
    <s v="G"/>
    <n v="75"/>
    <n v="72"/>
    <n v="6.859"/>
    <n v="0.16500000000000001"/>
    <n v="3.1E-2"/>
    <s v="M22"/>
    <x v="2"/>
    <n v="22"/>
    <n v="0.42099999999999999"/>
    <n v="0.32500000000000001"/>
    <s v="~30 chiro: 0.063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"/>
    <n v="6.3E-2"/>
    <m/>
    <m/>
    <m/>
    <m/>
    <m/>
    <m/>
    <m/>
    <m/>
    <m/>
    <m/>
    <m/>
    <m/>
    <m/>
    <m/>
    <m/>
    <m/>
    <m/>
    <m/>
    <m/>
    <m/>
    <m/>
    <m/>
    <m/>
    <m/>
    <n v="6.3E-2"/>
    <s v="15/4/2021"/>
    <s v="15"/>
    <s v="4"/>
    <s v="2021"/>
    <x v="45"/>
    <x v="45"/>
    <x v="7"/>
    <m/>
    <n v="0.45401288810779145"/>
    <n v="2.4648939348670451"/>
    <n v="2.4763619990995047E-2"/>
    <n v="4.9739822467095198"/>
    <n v="1.3996209359965006"/>
    <n v="2.3181221752442043"/>
    <s v="T"/>
    <n v="2"/>
  </r>
  <r>
    <s v="PU-PP-127"/>
    <x v="4"/>
    <s v="I"/>
    <s v="S"/>
    <s v="G"/>
    <n v="76"/>
    <n v="70"/>
    <n v="7.4589999999999996"/>
    <n v="0.187"/>
    <n v="0.14399999999999999"/>
    <s v="F23"/>
    <x v="0"/>
    <n v="23"/>
    <n v="0.33600000000000002"/>
    <n v="0.33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5/4/2021"/>
    <s v="15"/>
    <s v="4"/>
    <s v="2021"/>
    <x v="45"/>
    <x v="45"/>
    <x v="7"/>
    <m/>
    <n v="1.9685577580314422"/>
    <n v="2.5715071507150715"/>
    <n v="2.623456790123457E-2"/>
    <n v="4.6289802216299627"/>
    <n v="8.0439737230191793E-2"/>
    <n v="8.0439737230191793E-2"/>
    <s v="T"/>
    <n v="2"/>
  </r>
  <r>
    <s v="PU-PP-128"/>
    <x v="4"/>
    <s v="I"/>
    <s v="S"/>
    <s v="G"/>
    <n v="70"/>
    <n v="66"/>
    <n v="5.3819999999999997"/>
    <n v="0.186"/>
    <n v="0.112"/>
    <s v="F23"/>
    <x v="0"/>
    <n v="23"/>
    <n v="0.255"/>
    <n v="0.23300000000000001"/>
    <s v="3 inverts: 0.008"/>
    <s v="F"/>
    <m/>
    <m/>
    <n v="3"/>
    <n v="8.0000000000000002E-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.0000000000000002E-3"/>
    <s v="15/4/2021"/>
    <s v="15"/>
    <s v="4"/>
    <s v="2021"/>
    <x v="45"/>
    <x v="45"/>
    <x v="7"/>
    <m/>
    <n v="2.1252371916508541"/>
    <n v="3.5796766743648964"/>
    <n v="3.6585365853658541E-2"/>
    <n v="4.5251505146630411"/>
    <n v="0.40876997398736514"/>
    <n v="0.55741360089186165"/>
    <s v="T"/>
    <n v="3"/>
  </r>
  <r>
    <s v="PU-PP-129"/>
    <x v="4"/>
    <s v="I"/>
    <s v="IMM"/>
    <s v="G"/>
    <n v="64"/>
    <n v="60"/>
    <n v="4"/>
    <n v="9.6000000000000002E-2"/>
    <n v="7.3999999999999996E-2"/>
    <s v="F23"/>
    <x v="0"/>
    <n v="23"/>
    <n v="0.23300000000000001"/>
    <n v="0.188"/>
    <s v="5 chiro: 0.013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n v="1.2999999999999999E-2"/>
    <m/>
    <m/>
    <m/>
    <m/>
    <m/>
    <m/>
    <m/>
    <m/>
    <m/>
    <m/>
    <m/>
    <m/>
    <m/>
    <m/>
    <m/>
    <m/>
    <m/>
    <m/>
    <m/>
    <m/>
    <m/>
    <m/>
    <m/>
    <m/>
    <n v="1.2999999999999999E-2"/>
    <s v="15/4/2021"/>
    <s v="15"/>
    <s v="4"/>
    <s v="2021"/>
    <x v="45"/>
    <x v="45"/>
    <x v="7"/>
    <m/>
    <n v="1.8848700967906264"/>
    <n v="2.459016393442623"/>
    <n v="2.5065274151436032E-2"/>
    <n v="4.931794333683106"/>
    <n v="1.1250000000000002"/>
    <n v="1.4500000000000002"/>
    <s v="T"/>
    <n v="2"/>
  </r>
  <r>
    <s v="PU-PP-130"/>
    <x v="4"/>
    <s v="I"/>
    <s v="IMM"/>
    <s v="G"/>
    <n v="63"/>
    <n v="60"/>
    <n v="4.0060000000000002"/>
    <n v="0.112"/>
    <n v="8.4000000000000005E-2"/>
    <s v="F23"/>
    <x v="0"/>
    <n v="23"/>
    <n v="0.28899999999999998"/>
    <n v="0.192"/>
    <s v="15 chiro: 0.053; 2 scud: 0.011"/>
    <s v="F"/>
    <m/>
    <m/>
    <m/>
    <m/>
    <m/>
    <m/>
    <m/>
    <m/>
    <m/>
    <m/>
    <m/>
    <m/>
    <m/>
    <m/>
    <n v="2"/>
    <n v="1.0999999999999999E-2"/>
    <m/>
    <m/>
    <m/>
    <m/>
    <m/>
    <m/>
    <m/>
    <m/>
    <m/>
    <m/>
    <m/>
    <m/>
    <m/>
    <m/>
    <n v="15"/>
    <n v="5.2999999999999999E-2"/>
    <m/>
    <m/>
    <m/>
    <m/>
    <m/>
    <m/>
    <m/>
    <m/>
    <m/>
    <m/>
    <m/>
    <m/>
    <m/>
    <m/>
    <m/>
    <m/>
    <m/>
    <m/>
    <m/>
    <m/>
    <m/>
    <m/>
    <m/>
    <m/>
    <n v="6.4000000000000001E-2"/>
    <s v="15/4/2021"/>
    <s v="15"/>
    <s v="4"/>
    <s v="2021"/>
    <x v="45"/>
    <x v="45"/>
    <x v="7"/>
    <m/>
    <n v="2.1417644059153496"/>
    <n v="2.8762198253723676"/>
    <n v="2.9396325459317585E-2"/>
    <n v="5.0340849501835345"/>
    <n v="2.4213679480778825"/>
    <n v="4.0189715426859705"/>
    <s v="T"/>
    <n v="3"/>
  </r>
  <r>
    <s v="PU-PP-131"/>
    <x v="4"/>
    <s v="I"/>
    <s v="S"/>
    <s v="G"/>
    <n v="65"/>
    <n v="60"/>
    <n v="3.8090000000000002"/>
    <n v="7.0999999999999994E-2"/>
    <n v="7.2999999999999995E-2"/>
    <s v="F23"/>
    <x v="0"/>
    <n v="23"/>
    <n v="0.18099999999999999"/>
    <n v="0.15"/>
    <s v="zoops: 0.008"/>
    <s v="F"/>
    <m/>
    <m/>
    <m/>
    <m/>
    <m/>
    <m/>
    <m/>
    <m/>
    <m/>
    <m/>
    <m/>
    <m/>
    <m/>
    <m/>
    <m/>
    <m/>
    <m/>
    <m/>
    <m/>
    <m/>
    <m/>
    <m/>
    <m/>
    <n v="8.0000000000000002E-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.0000000000000002E-3"/>
    <s v="15/4/2021"/>
    <s v="15"/>
    <s v="4"/>
    <s v="2021"/>
    <x v="45"/>
    <x v="45"/>
    <x v="7"/>
    <m/>
    <n v="1.9539614561027836"/>
    <n v="1.8994114499732477"/>
    <n v="1.937244201909959E-2"/>
    <n v="4.0994807324405569"/>
    <n v="0.81386190601207653"/>
    <n v="1.0238907849829351"/>
    <s v="T"/>
    <n v="2"/>
  </r>
  <r>
    <s v="PU-PP-132"/>
    <x v="4"/>
    <s v="I"/>
    <s v="B"/>
    <s v="N"/>
    <n v="146"/>
    <n v="139"/>
    <n v="61.750999999999998"/>
    <n v="1.627"/>
    <n v="1.1120000000000001"/>
    <s v="F30"/>
    <x v="0"/>
    <n v="30"/>
    <n v="6.1459999999999999"/>
    <n v="4.5190000000000001"/>
    <s v="2 fish: 0.699; 2 worms: 0.46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0.69899999999999995"/>
    <m/>
    <m/>
    <m/>
    <m/>
    <m/>
    <m/>
    <m/>
    <m/>
    <n v="2"/>
    <n v="0.69899999999999995"/>
    <m/>
    <m/>
    <n v="1.159"/>
    <d v="2021-05-05T00:00:00"/>
    <n v="5"/>
    <n v="5"/>
    <n v="2021"/>
    <x v="46"/>
    <x v="46"/>
    <x v="8"/>
    <m/>
    <n v="1.8338033278912913"/>
    <n v="2.7060741134987696"/>
    <n v="2.7570663593845322E-2"/>
    <n v="7.8959323455409569"/>
    <n v="2.6347751453417758"/>
    <n v="4.5116678272416637"/>
    <s v="T"/>
    <n v="2"/>
  </r>
  <r>
    <s v="PU-PP-133"/>
    <x v="4"/>
    <s v="I"/>
    <s v="B"/>
    <s v="N"/>
    <n v="124"/>
    <n v="119"/>
    <n v="38.53"/>
    <n v="1.1080000000000001"/>
    <n v="0.877"/>
    <s v="F30"/>
    <x v="0"/>
    <n v="30"/>
    <n v="3.032"/>
    <n v="2.391"/>
    <s v="2 caddis: 0.276; 1 snail: 0.04"/>
    <s v="F"/>
    <m/>
    <m/>
    <m/>
    <m/>
    <m/>
    <m/>
    <m/>
    <m/>
    <m/>
    <m/>
    <m/>
    <m/>
    <m/>
    <m/>
    <m/>
    <m/>
    <m/>
    <m/>
    <n v="1"/>
    <n v="0.04"/>
    <m/>
    <m/>
    <m/>
    <m/>
    <m/>
    <m/>
    <m/>
    <m/>
    <m/>
    <m/>
    <m/>
    <m/>
    <m/>
    <m/>
    <m/>
    <m/>
    <n v="2"/>
    <n v="0.27600000000000002"/>
    <m/>
    <m/>
    <m/>
    <m/>
    <m/>
    <m/>
    <m/>
    <m/>
    <m/>
    <m/>
    <m/>
    <m/>
    <m/>
    <m/>
    <m/>
    <m/>
    <m/>
    <m/>
    <n v="0.316"/>
    <d v="2021-05-05T00:00:00"/>
    <n v="5"/>
    <n v="5"/>
    <n v="2021"/>
    <x v="46"/>
    <x v="46"/>
    <x v="8"/>
    <m/>
    <n v="2.3291636788569305"/>
    <n v="2.9608251830474055"/>
    <n v="3.0318785059515668E-2"/>
    <n v="6.6161210880212513"/>
    <n v="1.6636387230729304"/>
    <n v="2.4837788736049831"/>
    <s v="T"/>
    <n v="2"/>
  </r>
  <r>
    <s v="PU-PP-134"/>
    <x v="4"/>
    <s v="I"/>
    <s v="B"/>
    <s v="N"/>
    <n v="136"/>
    <n v="130"/>
    <n v="45.906999999999996"/>
    <n v="1.8149999999999999"/>
    <n v="1.409"/>
    <s v="F30"/>
    <x v="0"/>
    <n v="30"/>
    <n v="3.0609999999999999"/>
    <n v="2.78"/>
    <s v="inverts: 0.215"/>
    <s v="F"/>
    <m/>
    <m/>
    <m/>
    <n v="0.2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215"/>
    <d v="2021-05-05T00:00:00"/>
    <n v="5"/>
    <n v="5"/>
    <n v="2021"/>
    <x v="46"/>
    <x v="46"/>
    <x v="8"/>
    <m/>
    <n v="3.1664344464919774"/>
    <n v="4.1163929964619435"/>
    <n v="4.2522784246655579E-2"/>
    <n v="6.4460778630556268"/>
    <n v="0.61210708606530628"/>
    <n v="1.0804452480013944"/>
    <s v="T"/>
    <n v="2"/>
  </r>
  <r>
    <s v="PU-PP-135"/>
    <x v="4"/>
    <s v="I"/>
    <s v="B"/>
    <s v="N"/>
    <n v="134"/>
    <n v="128"/>
    <n v="39.892000000000003"/>
    <n v="0.84099999999999997"/>
    <n v="0.85899999999999999"/>
    <s v="F30"/>
    <x v="0"/>
    <n v="30"/>
    <n v="2.1230000000000002"/>
    <n v="2.0169999999999999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1-05-05T00:00:00"/>
    <n v="5"/>
    <n v="5"/>
    <n v="2021"/>
    <x v="46"/>
    <x v="46"/>
    <x v="8"/>
    <m/>
    <n v="2.2007019701278407"/>
    <n v="2.1535940180789224"/>
    <n v="2.2020318391286132E-2"/>
    <n v="5.3254125412541251"/>
    <n v="0.26571743708011708"/>
    <n v="0.26571743708011708"/>
    <s v="T"/>
    <n v="3"/>
  </r>
  <r>
    <s v="PU-PP-136"/>
    <x v="4"/>
    <s v="I"/>
    <s v="B"/>
    <s v="N"/>
    <n v="114"/>
    <n v="108"/>
    <n v="27.562000000000001"/>
    <n v="0.51400000000000001"/>
    <n v="0.19400000000000001"/>
    <s v="M30"/>
    <x v="2"/>
    <n v="30"/>
    <n v="3.335"/>
    <n v="1.6890000000000001"/>
    <s v="2 fish: 1.209; 1 earwig: 0.089"/>
    <s v="F"/>
    <m/>
    <m/>
    <m/>
    <m/>
    <n v="1"/>
    <n v="8.8999999999999996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1.2090000000000001"/>
    <m/>
    <m/>
    <n v="1.298"/>
    <d v="2021-05-05T00:00:00"/>
    <n v="5"/>
    <n v="5"/>
    <n v="2021"/>
    <x v="46"/>
    <x v="46"/>
    <x v="8"/>
    <m/>
    <n v="0.70885705933937448"/>
    <n v="1.9003253475303163"/>
    <n v="1.9140537722499441E-2"/>
    <n v="6.5280408147489659"/>
    <n v="5.9719904215949491"/>
    <n v="10.681372904723894"/>
    <s v="T"/>
    <n v="3"/>
  </r>
  <r>
    <s v="PU-PP-137"/>
    <x v="4"/>
    <s v="I"/>
    <s v="I"/>
    <s v="G"/>
    <n v="93"/>
    <n v="89"/>
    <n v="12.808"/>
    <n v="0.32700000000000001"/>
    <n v="0.309"/>
    <s v="F30"/>
    <x v="0"/>
    <n v="30"/>
    <n v="0.68300000000000005"/>
    <m/>
    <s v="1 odo: 0.023"/>
    <s v="F"/>
    <m/>
    <m/>
    <m/>
    <m/>
    <m/>
    <m/>
    <m/>
    <m/>
    <m/>
    <m/>
    <m/>
    <m/>
    <m/>
    <m/>
    <m/>
    <m/>
    <m/>
    <m/>
    <m/>
    <m/>
    <m/>
    <m/>
    <m/>
    <m/>
    <n v="1"/>
    <n v="2.3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.3E-2"/>
    <d v="2021-05-05T00:00:00"/>
    <n v="5"/>
    <n v="5"/>
    <n v="2021"/>
    <x v="46"/>
    <x v="46"/>
    <x v="8"/>
    <m/>
    <n v="2.4721977758220657"/>
    <n v="2.6199823732072751"/>
    <n v="2.6864935918501479E-2"/>
    <n v="0"/>
    <n v="5.3326046221111811"/>
    <n v="5.5121798875702694"/>
    <s v="T"/>
    <n v="2"/>
  </r>
  <r>
    <s v="PU-PP-138"/>
    <x v="4"/>
    <s v="I"/>
    <s v="S"/>
    <s v="G"/>
    <n v="81"/>
    <n v="75"/>
    <n v="8.5039999999999996"/>
    <n v="0.20699999999999999"/>
    <n v="0.125"/>
    <s v="M30"/>
    <x v="2"/>
    <n v="30"/>
    <n v="0.69299999999999995"/>
    <n v="0.39800000000000002"/>
    <s v="8 chiro: 0.068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"/>
    <n v="6.8000000000000005E-2"/>
    <m/>
    <m/>
    <m/>
    <m/>
    <m/>
    <m/>
    <m/>
    <m/>
    <m/>
    <m/>
    <m/>
    <m/>
    <m/>
    <m/>
    <m/>
    <m/>
    <m/>
    <m/>
    <m/>
    <m/>
    <m/>
    <m/>
    <m/>
    <m/>
    <n v="6.8000000000000005E-2"/>
    <d v="2021-05-05T00:00:00"/>
    <n v="5"/>
    <n v="5"/>
    <n v="2021"/>
    <x v="46"/>
    <x v="46"/>
    <x v="8"/>
    <m/>
    <n v="1.491824800095477"/>
    <n v="2.4948776666264916"/>
    <n v="2.5330396475770928E-2"/>
    <n v="4.9099432519121642"/>
    <n v="3.4689557855126991"/>
    <n v="4.2685794920037621"/>
    <s v="T"/>
    <n v="2"/>
  </r>
  <r>
    <s v="PU-PP-139"/>
    <x v="4"/>
    <s v="I"/>
    <s v="S"/>
    <s v="G"/>
    <n v="80"/>
    <n v="75"/>
    <n v="9.1989999999999998"/>
    <n v="0.19800000000000001"/>
    <n v="5.3999999999999999E-2"/>
    <s v="M30"/>
    <x v="2"/>
    <n v="30"/>
    <n v="0.68899999999999995"/>
    <n v="0.51"/>
    <s v="13 chiro: 0.146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3"/>
    <n v="0.14599999999999999"/>
    <m/>
    <m/>
    <m/>
    <m/>
    <m/>
    <m/>
    <m/>
    <m/>
    <m/>
    <m/>
    <m/>
    <m/>
    <m/>
    <m/>
    <m/>
    <m/>
    <m/>
    <m/>
    <m/>
    <m/>
    <m/>
    <m/>
    <m/>
    <m/>
    <n v="0.14599999999999999"/>
    <d v="2021-05-05T00:00:00"/>
    <n v="5"/>
    <n v="5"/>
    <n v="2021"/>
    <x v="46"/>
    <x v="46"/>
    <x v="8"/>
    <m/>
    <n v="0.59048660470202297"/>
    <n v="2.1997555827130322"/>
    <n v="2.2130323013300552E-2"/>
    <n v="5.8694901599723792"/>
    <n v="1.9458636808348726"/>
    <n v="3.5329927165996295"/>
    <s v="T"/>
    <n v="3"/>
  </r>
  <r>
    <s v="PU-PP-140"/>
    <x v="4"/>
    <s v="I"/>
    <s v="I"/>
    <s v="G"/>
    <n v="87"/>
    <n v="83"/>
    <n v="10.349"/>
    <n v="0.27500000000000002"/>
    <n v="6.4000000000000001E-2"/>
    <s v="M30"/>
    <x v="2"/>
    <n v="30"/>
    <n v="0.70199999999999996"/>
    <n v="0.623"/>
    <s v="8 chiro: 0.052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"/>
    <n v="5.1999999999999998E-2"/>
    <m/>
    <m/>
    <m/>
    <m/>
    <m/>
    <m/>
    <m/>
    <m/>
    <m/>
    <m/>
    <m/>
    <m/>
    <m/>
    <m/>
    <m/>
    <m/>
    <m/>
    <m/>
    <m/>
    <m/>
    <m/>
    <m/>
    <m/>
    <m/>
    <n v="5.1999999999999998E-2"/>
    <d v="2021-05-05T00:00:00"/>
    <n v="5"/>
    <n v="5"/>
    <n v="2021"/>
    <x v="46"/>
    <x v="46"/>
    <x v="8"/>
    <m/>
    <n v="0.6222654350996597"/>
    <n v="2.7297994838197344"/>
    <n v="2.7472527472527476E-2"/>
    <n v="6.4055110014394403"/>
    <n v="0.7633587786259538"/>
    <n v="1.265822784810126"/>
    <s v="T"/>
    <n v="3"/>
  </r>
  <r>
    <s v="PU-PP-141"/>
    <x v="4"/>
    <s v="I"/>
    <s v="S"/>
    <s v="G"/>
    <n v="81"/>
    <n v="76"/>
    <n v="9.4640000000000004"/>
    <n v="0.33"/>
    <n v="0.25900000000000001"/>
    <s v="F30"/>
    <x v="0"/>
    <n v="30"/>
    <n v="0.65600000000000003"/>
    <n v="0.55400000000000005"/>
    <s v="6 chiro: 0.014; inverts: 0.054"/>
    <s v="F"/>
    <m/>
    <m/>
    <m/>
    <n v="5.3999999999999999E-2"/>
    <m/>
    <m/>
    <m/>
    <m/>
    <m/>
    <m/>
    <m/>
    <m/>
    <m/>
    <m/>
    <m/>
    <m/>
    <m/>
    <m/>
    <m/>
    <m/>
    <m/>
    <m/>
    <m/>
    <m/>
    <m/>
    <m/>
    <m/>
    <m/>
    <m/>
    <m/>
    <n v="6"/>
    <n v="1.4E-2"/>
    <m/>
    <m/>
    <m/>
    <m/>
    <m/>
    <m/>
    <m/>
    <m/>
    <m/>
    <m/>
    <m/>
    <m/>
    <m/>
    <m/>
    <m/>
    <m/>
    <m/>
    <m/>
    <m/>
    <m/>
    <m/>
    <m/>
    <m/>
    <m/>
    <n v="6.8000000000000005E-2"/>
    <d v="2021-05-05T00:00:00"/>
    <n v="5"/>
    <n v="5"/>
    <n v="2021"/>
    <x v="46"/>
    <x v="46"/>
    <x v="8"/>
    <m/>
    <n v="2.8136882129277567"/>
    <n v="3.6128749726297351"/>
    <n v="3.71830985915493E-2"/>
    <n v="6.2177328843995516"/>
    <n v="1.0777683854606928"/>
    <n v="1.7962806424344884"/>
    <s v="T"/>
    <n v="3"/>
  </r>
  <r>
    <s v="PU-PP-142"/>
    <x v="4"/>
    <s v="I"/>
    <s v="S"/>
    <s v="G"/>
    <n v="79"/>
    <n v="76"/>
    <n v="7.3760000000000003"/>
    <n v="0.192"/>
    <n v="8.2000000000000003E-2"/>
    <s v="M30"/>
    <x v="2"/>
    <n v="30"/>
    <n v="0.36499999999999999"/>
    <n v="0.36099999999999999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1-05-05T00:00:00"/>
    <n v="5"/>
    <n v="5"/>
    <n v="2021"/>
    <x v="46"/>
    <x v="46"/>
    <x v="8"/>
    <m/>
    <n v="1.1242116808335618"/>
    <n v="2.6726057906458798"/>
    <n v="2.7034638130104195E-2"/>
    <n v="5.1461154668567346"/>
    <n v="5.4229934924078134E-2"/>
    <n v="5.4229934924078134E-2"/>
    <s v="T"/>
    <n v="2"/>
  </r>
  <r>
    <s v="PU-PP-143"/>
    <x v="4"/>
    <s v="I"/>
    <s v="I"/>
    <s v="G"/>
    <n v="88"/>
    <n v="84"/>
    <n v="13.343"/>
    <n v="0.29899999999999999"/>
    <n v="0.23799999999999999"/>
    <s v="M30"/>
    <x v="2"/>
    <n v="30"/>
    <n v="1.0900000000000001"/>
    <n v="0.97599999999999998"/>
    <s v="20 chiro: 0.064; 1 snail: 0.003"/>
    <s v="F"/>
    <m/>
    <m/>
    <m/>
    <m/>
    <m/>
    <m/>
    <m/>
    <m/>
    <m/>
    <m/>
    <m/>
    <m/>
    <m/>
    <m/>
    <m/>
    <m/>
    <m/>
    <m/>
    <n v="1"/>
    <n v="3.0000000000000001E-3"/>
    <m/>
    <m/>
    <m/>
    <m/>
    <m/>
    <m/>
    <m/>
    <m/>
    <m/>
    <m/>
    <n v="20"/>
    <n v="6.4000000000000001E-2"/>
    <m/>
    <m/>
    <m/>
    <m/>
    <m/>
    <m/>
    <m/>
    <m/>
    <m/>
    <m/>
    <m/>
    <m/>
    <m/>
    <m/>
    <m/>
    <m/>
    <m/>
    <m/>
    <m/>
    <m/>
    <m/>
    <m/>
    <m/>
    <m/>
    <n v="6.7000000000000004E-2"/>
    <d v="2021-05-05T00:00:00"/>
    <n v="5"/>
    <n v="5"/>
    <n v="2021"/>
    <x v="46"/>
    <x v="46"/>
    <x v="8"/>
    <s v="nematode worm"/>
    <n v="1.8161007249141548"/>
    <n v="2.2922416436675865"/>
    <n v="2.3348430423239103E-2"/>
    <n v="7.8919705668310813"/>
    <n v="0.85438057408378998"/>
    <n v="1.3565165255189995"/>
    <s v="T"/>
    <n v="3"/>
  </r>
  <r>
    <s v="PU-PP-144"/>
    <x v="4"/>
    <s v="I"/>
    <s v="S"/>
    <s v="G"/>
    <n v="80"/>
    <n v="76"/>
    <n v="8.5990000000000002"/>
    <n v="0.255"/>
    <n v="0.28799999999999998"/>
    <s v="F30"/>
    <x v="0"/>
    <n v="30"/>
    <n v="0.40600000000000003"/>
    <n v="0.39200000000000002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1-05-05T00:00:00"/>
    <n v="5"/>
    <n v="5"/>
    <n v="2021"/>
    <x v="46"/>
    <x v="46"/>
    <x v="8"/>
    <m/>
    <n v="3.4652869690771264"/>
    <n v="3.0560882070949189"/>
    <n v="3.1653426017874881E-2"/>
    <n v="4.7764103813817469"/>
    <n v="0.16280962902663115"/>
    <n v="0.16280962902663115"/>
    <s v="T"/>
    <m/>
  </r>
  <r>
    <s v="PU-PP-145"/>
    <x v="4"/>
    <s v="I"/>
    <s v="S"/>
    <s v="G"/>
    <n v="81"/>
    <n v="76"/>
    <n v="8.4760000000000009"/>
    <n v="0.18"/>
    <n v="8.2000000000000003E-2"/>
    <s v="M30"/>
    <x v="2"/>
    <n v="30"/>
    <n v="0.49"/>
    <n v="0.41499999999999998"/>
    <s v="inverts: 0.054"/>
    <s v="F"/>
    <m/>
    <m/>
    <m/>
    <n v="5.3999999999999999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.3999999999999999E-2"/>
    <d v="2021-05-05T00:00:00"/>
    <n v="5"/>
    <n v="5"/>
    <n v="2021"/>
    <x v="46"/>
    <x v="46"/>
    <x v="8"/>
    <m/>
    <n v="0.97688825351441511"/>
    <n v="2.1697203471552551"/>
    <n v="2.1913805697589481E-2"/>
    <n v="5.1482446346607107"/>
    <n v="0.88485134497404438"/>
    <n v="1.5219443133553561"/>
    <s v="T"/>
    <n v="2"/>
  </r>
  <r>
    <s v="PU-PP-146"/>
    <x v="4"/>
    <s v="I"/>
    <s v="S"/>
    <s v="G"/>
    <n v="66"/>
    <n v="63"/>
    <n v="4.6529999999999996"/>
    <n v="8.8999999999999996E-2"/>
    <n v="5.8000000000000003E-2"/>
    <s v="M30"/>
    <x v="2"/>
    <n v="30"/>
    <n v="0.27300000000000002"/>
    <n v="0.26300000000000001"/>
    <s v="1 chiro: 0.003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3.0000000000000001E-3"/>
    <m/>
    <m/>
    <m/>
    <m/>
    <m/>
    <m/>
    <m/>
    <m/>
    <m/>
    <m/>
    <m/>
    <m/>
    <m/>
    <m/>
    <m/>
    <m/>
    <m/>
    <m/>
    <m/>
    <m/>
    <m/>
    <m/>
    <m/>
    <m/>
    <n v="3.0000000000000001E-3"/>
    <d v="2021-05-05T00:00:00"/>
    <n v="5"/>
    <n v="5"/>
    <n v="2021"/>
    <x v="46"/>
    <x v="46"/>
    <x v="8"/>
    <m/>
    <n v="1.262241566920566"/>
    <n v="1.9500438212094657"/>
    <n v="1.9751442521083004E-2"/>
    <n v="5.9908883826879276"/>
    <n v="0.21491510853213"/>
    <n v="0.27938964109176895"/>
    <s v="T"/>
    <n v="2"/>
  </r>
  <r>
    <s v="PU-PP-147"/>
    <x v="4"/>
    <s v="I"/>
    <s v="S"/>
    <s v="G"/>
    <n v="69"/>
    <n v="65"/>
    <n v="5.5250000000000004"/>
    <n v="0.11600000000000001"/>
    <n v="2.8000000000000001E-2"/>
    <s v="M30"/>
    <x v="2"/>
    <n v="30"/>
    <n v="0.30399999999999999"/>
    <n v="0.29899999999999999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1-05-05T00:00:00"/>
    <n v="5"/>
    <n v="5"/>
    <n v="2021"/>
    <x v="46"/>
    <x v="46"/>
    <x v="8"/>
    <m/>
    <n v="0.50936874658904852"/>
    <n v="2.1445738583841747"/>
    <n v="2.1557331351049987E-2"/>
    <n v="5.7213930348258701"/>
    <n v="9.0497737556561167E-2"/>
    <n v="9.0497737556561167E-2"/>
    <s v="T"/>
    <n v="2"/>
  </r>
  <r>
    <s v="PU-PP-148"/>
    <x v="4"/>
    <s v="I"/>
    <s v="S"/>
    <s v="G"/>
    <n v="73"/>
    <n v="68"/>
    <n v="6.2789999999999999"/>
    <n v="0.216"/>
    <n v="0.161"/>
    <s v="F30"/>
    <x v="0"/>
    <n v="30"/>
    <n v="0.34399999999999997"/>
    <n v="0.33300000000000002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1-05-05T00:00:00"/>
    <n v="5"/>
    <n v="5"/>
    <n v="2021"/>
    <x v="46"/>
    <x v="46"/>
    <x v="8"/>
    <m/>
    <n v="2.6315789473684208"/>
    <n v="3.5625927758535383"/>
    <n v="3.6597763470010168E-2"/>
    <n v="5.600403632694249"/>
    <n v="0.17518713170887013"/>
    <n v="0.17518713170887013"/>
    <s v="T"/>
    <n v="3"/>
  </r>
  <r>
    <s v="PU-PP-150"/>
    <x v="4"/>
    <s v="I"/>
    <s v="B"/>
    <s v="N"/>
    <n v="146"/>
    <n v="140"/>
    <n v="68.997"/>
    <n v="0.81399999999999995"/>
    <n v="1.0609999999999999"/>
    <s v="M30"/>
    <x v="2"/>
    <n v="30"/>
    <n v="3.5190000000000001"/>
    <n v="3.2789999999999999"/>
    <s v="veg: 0.064; 1 odo: 0.015; 2 mussels: 0.047"/>
    <s v="F"/>
    <m/>
    <m/>
    <m/>
    <m/>
    <m/>
    <m/>
    <m/>
    <m/>
    <m/>
    <m/>
    <m/>
    <m/>
    <m/>
    <m/>
    <m/>
    <m/>
    <n v="2"/>
    <n v="4.7E-2"/>
    <m/>
    <m/>
    <m/>
    <m/>
    <m/>
    <m/>
    <n v="1"/>
    <n v="1.4999999999999999E-2"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6.4000000000000001E-2"/>
    <n v="0.126"/>
    <s v="18/5/2021"/>
    <s v="18"/>
    <s v="5"/>
    <s v="2021"/>
    <x v="13"/>
    <x v="13"/>
    <x v="9"/>
    <m/>
    <n v="1.5617640131888832"/>
    <n v="1.1938459733364619"/>
    <n v="1.2127171419206814E-2"/>
    <n v="4.9895005934447179"/>
    <n v="0.34784121048741284"/>
    <n v="0.53045784599330437"/>
    <s v="T"/>
    <n v="3"/>
  </r>
  <r>
    <s v="PU-PP-149"/>
    <x v="4"/>
    <s v="I"/>
    <s v="B"/>
    <s v="N"/>
    <n v="126"/>
    <n v="120"/>
    <n v="39.484000000000002"/>
    <n v="0.55000000000000004"/>
    <n v="0.40400000000000003"/>
    <s v="M30"/>
    <x v="2"/>
    <n v="30"/>
    <n v="3.903"/>
    <n v="1.5720000000000001"/>
    <s v="2 dace: 1.928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1.9279999999999999"/>
    <m/>
    <m/>
    <m/>
    <m/>
    <m/>
    <m/>
    <n v="1.9279999999999999"/>
    <s v="18/5/2021"/>
    <s v="18"/>
    <s v="5"/>
    <s v="2021"/>
    <x v="13"/>
    <x v="13"/>
    <x v="9"/>
    <m/>
    <n v="1.0337768679631525"/>
    <n v="1.4126470437150047"/>
    <n v="1.4274591227614847E-2"/>
    <n v="4.1464443975522265"/>
    <n v="5.9036571775909232"/>
    <n v="10.786647756053085"/>
    <s v="T"/>
    <n v="3"/>
  </r>
  <r>
    <s v="PU-PP-152"/>
    <x v="4"/>
    <s v="I"/>
    <s v="S"/>
    <s v="G"/>
    <n v="81"/>
    <n v="77"/>
    <n v="8.9939999999999998"/>
    <n v="0.14399999999999999"/>
    <n v="0.18099999999999999"/>
    <s v="M30"/>
    <x v="2"/>
    <n v="30"/>
    <n v="0.41299999999999998"/>
    <n v="0.31900000000000001"/>
    <s v="4 inverts: 0.036"/>
    <s v="F"/>
    <m/>
    <m/>
    <n v="4"/>
    <n v="3.5999999999999997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.5999999999999997E-2"/>
    <s v="18/5/2021"/>
    <s v="18"/>
    <s v="5"/>
    <s v="2021"/>
    <x v="13"/>
    <x v="13"/>
    <x v="9"/>
    <m/>
    <n v="2.0537841824577328"/>
    <n v="1.6271186440677967"/>
    <n v="1.6610912446648977E-2"/>
    <n v="3.6772334293948132"/>
    <n v="1.0451412052479427"/>
    <n v="1.4454080498109849"/>
    <s v="T"/>
    <n v="3"/>
  </r>
  <r>
    <s v="PU-PP-153"/>
    <x v="4"/>
    <s v="I"/>
    <s v="I"/>
    <s v="G"/>
    <n v="96"/>
    <n v="91"/>
    <n v="17.521000000000001"/>
    <n v="0.28699999999999998"/>
    <n v="0.36899999999999999"/>
    <s v="M30"/>
    <x v="2"/>
    <n v="30"/>
    <n v="1.415"/>
    <n v="1.2829999999999999"/>
    <s v="11 chiro: 0.057; 1 snail: 0.008; 1 ant: 0.007 "/>
    <s v="F"/>
    <m/>
    <m/>
    <m/>
    <m/>
    <n v="1"/>
    <n v="7.0000000000000001E-3"/>
    <m/>
    <m/>
    <m/>
    <m/>
    <m/>
    <m/>
    <m/>
    <m/>
    <m/>
    <m/>
    <m/>
    <m/>
    <n v="1"/>
    <n v="8.0000000000000002E-3"/>
    <m/>
    <m/>
    <m/>
    <m/>
    <m/>
    <m/>
    <m/>
    <m/>
    <m/>
    <m/>
    <n v="11"/>
    <n v="5.7000000000000002E-2"/>
    <m/>
    <m/>
    <m/>
    <m/>
    <m/>
    <m/>
    <m/>
    <m/>
    <m/>
    <m/>
    <m/>
    <m/>
    <m/>
    <m/>
    <m/>
    <m/>
    <m/>
    <m/>
    <m/>
    <m/>
    <m/>
    <m/>
    <m/>
    <m/>
    <n v="7.1999999999999995E-2"/>
    <s v="18/5/2021"/>
    <s v="18"/>
    <s v="5"/>
    <s v="2021"/>
    <x v="13"/>
    <x v="13"/>
    <x v="9"/>
    <m/>
    <n v="2.1513526119402981"/>
    <n v="1.6653127538586512"/>
    <n v="1.7017491847020453E-2"/>
    <n v="7.9012193619903925"/>
    <n v="0.75338165629815712"/>
    <n v="1.1643171051880608"/>
    <s v="T"/>
    <n v="3"/>
  </r>
  <r>
    <s v="PU-PP-154"/>
    <x v="4"/>
    <s v="I"/>
    <s v="I"/>
    <s v="G"/>
    <n v="85"/>
    <n v="81"/>
    <n v="11.147"/>
    <n v="0.28000000000000003"/>
    <n v="0.52"/>
    <s v="F30"/>
    <x v="0"/>
    <n v="30"/>
    <n v="0.65100000000000002"/>
    <n v="0.47599999999999998"/>
    <s v="15 chiro: 0.068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5"/>
    <n v="6.8000000000000005E-2"/>
    <m/>
    <m/>
    <m/>
    <m/>
    <m/>
    <m/>
    <m/>
    <m/>
    <m/>
    <m/>
    <m/>
    <m/>
    <m/>
    <m/>
    <m/>
    <m/>
    <m/>
    <m/>
    <m/>
    <m/>
    <m/>
    <m/>
    <m/>
    <m/>
    <n v="6.8000000000000005E-2"/>
    <s v="18/5/2021"/>
    <s v="18"/>
    <s v="5"/>
    <s v="2021"/>
    <x v="13"/>
    <x v="13"/>
    <x v="9"/>
    <m/>
    <n v="4.8931965747623973"/>
    <n v="2.5766080795067636"/>
    <n v="2.7060983860056054E-2"/>
    <n v="4.4606878455627399"/>
    <n v="1.5699291289136095"/>
    <n v="2.1799587332914689"/>
    <s v="T"/>
    <n v="3"/>
  </r>
  <r>
    <s v="PU-PP-155"/>
    <x v="4"/>
    <s v="I"/>
    <s v="S"/>
    <s v="G"/>
    <n v="76"/>
    <n v="71"/>
    <n v="7.3230000000000004"/>
    <n v="0.188"/>
    <n v="0.36"/>
    <s v="F30"/>
    <x v="0"/>
    <n v="30"/>
    <n v="0.38"/>
    <n v="0.34599999999999997"/>
    <s v="~4 inverts: 0.01"/>
    <s v="F"/>
    <m/>
    <m/>
    <n v="4"/>
    <n v="0.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01"/>
    <s v="18/5/2021"/>
    <s v="18"/>
    <s v="5"/>
    <s v="2021"/>
    <x v="13"/>
    <x v="13"/>
    <x v="9"/>
    <m/>
    <n v="5.1701852649719946"/>
    <n v="2.6348983882270494"/>
    <n v="2.7749077490774907E-2"/>
    <n v="4.9591514977784144"/>
    <n v="0.46429059128772399"/>
    <n v="0.60084664754881922"/>
    <s v="T"/>
    <n v="3"/>
  </r>
  <r>
    <s v="PU-PP-156"/>
    <x v="4"/>
    <s v="I"/>
    <s v="I"/>
    <s v="G"/>
    <n v="103"/>
    <n v="98"/>
    <n v="21.411000000000001"/>
    <n v="0.49099999999999999"/>
    <n v="0.73499999999999999"/>
    <s v="F30"/>
    <x v="0"/>
    <n v="30"/>
    <n v="1.048"/>
    <n v="0.97599999999999998"/>
    <s v="6 chiro: 0.016; 2 inverts: 0.071"/>
    <s v="F"/>
    <m/>
    <m/>
    <n v="2"/>
    <n v="7.0999999999999994E-2"/>
    <m/>
    <m/>
    <m/>
    <m/>
    <m/>
    <m/>
    <m/>
    <m/>
    <m/>
    <m/>
    <m/>
    <m/>
    <m/>
    <m/>
    <m/>
    <m/>
    <m/>
    <m/>
    <m/>
    <m/>
    <m/>
    <m/>
    <m/>
    <m/>
    <m/>
    <m/>
    <n v="6"/>
    <n v="1.6E-2"/>
    <m/>
    <m/>
    <m/>
    <m/>
    <m/>
    <m/>
    <m/>
    <m/>
    <m/>
    <m/>
    <m/>
    <m/>
    <m/>
    <m/>
    <m/>
    <m/>
    <m/>
    <m/>
    <m/>
    <m/>
    <m/>
    <m/>
    <m/>
    <m/>
    <n v="8.6999999999999994E-2"/>
    <s v="18/5/2021"/>
    <s v="18"/>
    <s v="5"/>
    <s v="2021"/>
    <x v="13"/>
    <x v="13"/>
    <x v="9"/>
    <m/>
    <n v="3.554846198491004"/>
    <n v="2.347036328871893"/>
    <n v="2.4324993807282633E-2"/>
    <n v="4.7761194029850742"/>
    <n v="0.33627574611181194"/>
    <n v="0.74260893933025107"/>
    <s v="T"/>
    <n v="3"/>
  </r>
  <r>
    <s v="PU-PP-157"/>
    <x v="4"/>
    <s v="I"/>
    <s v="IMM"/>
    <s v="G"/>
    <n v="64"/>
    <n v="62"/>
    <n v="4.6100000000000003"/>
    <n v="9.7000000000000003E-2"/>
    <n v="0.23899999999999999"/>
    <s v="F30"/>
    <x v="0"/>
    <n v="30"/>
    <n v="0.22500000000000001"/>
    <n v="0.19800000000000001"/>
    <s v="1 invert: 0.011"/>
    <s v="F"/>
    <m/>
    <m/>
    <n v="1"/>
    <n v="1.0999999999999999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.0999999999999999E-2"/>
    <s v="18/5/2021"/>
    <s v="18"/>
    <s v="5"/>
    <s v="2021"/>
    <x v="13"/>
    <x v="13"/>
    <x v="9"/>
    <m/>
    <n v="5.4678563257835728"/>
    <n v="2.1493463328163083"/>
    <n v="2.2695367337388864E-2"/>
    <n v="4.4877606527651857"/>
    <n v="0.58568329718004331"/>
    <n v="0.82429501084598666"/>
    <s v="T"/>
    <n v="3"/>
  </r>
  <r>
    <s v="PU-PP-158"/>
    <x v="4"/>
    <s v="I"/>
    <s v="B"/>
    <s v="G"/>
    <n v="110"/>
    <n v="102"/>
    <n v="24.774999999999999"/>
    <n v="0.57799999999999996"/>
    <n v="0.97199999999999998"/>
    <s v="F30"/>
    <x v="0"/>
    <n v="30"/>
    <n v="1.496"/>
    <n v="1.3979999999999999"/>
    <s v="2 inverts: 0.037"/>
    <s v="F"/>
    <m/>
    <m/>
    <n v="2"/>
    <n v="3.6999999999999998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.6999999999999998E-2"/>
    <s v="18/5/2021"/>
    <s v="18"/>
    <s v="5"/>
    <s v="2021"/>
    <x v="13"/>
    <x v="13"/>
    <x v="9"/>
    <m/>
    <n v="4.0835188841742642"/>
    <n v="2.3887258751084843"/>
    <n v="2.4886975242195911E-2"/>
    <n v="5.9802369850707953"/>
    <n v="0.39556004036326975"/>
    <n v="0.54490413723511644"/>
    <s v="T"/>
    <n v="3"/>
  </r>
  <r>
    <s v="PU-PP-159"/>
    <x v="4"/>
    <s v="I"/>
    <s v="I"/>
    <s v="G"/>
    <n v="99"/>
    <n v="94"/>
    <n v="18.667999999999999"/>
    <n v="0.50700000000000001"/>
    <n v="0.64"/>
    <s v="F30"/>
    <x v="0"/>
    <n v="30"/>
    <n v="2.327"/>
    <n v="0.95899999999999996"/>
    <s v="1 fathead: 0.872; 1 stickleback: 0.222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0.222"/>
    <n v="1"/>
    <n v="0.872"/>
    <m/>
    <m/>
    <m/>
    <m/>
    <m/>
    <m/>
    <m/>
    <m/>
    <n v="1.0940000000000001"/>
    <s v="18/5/2021"/>
    <s v="18"/>
    <s v="5"/>
    <s v="2021"/>
    <x v="13"/>
    <x v="13"/>
    <x v="9"/>
    <m/>
    <n v="3.550033281562015"/>
    <n v="2.7916964924838945"/>
    <n v="2.8936704525997378E-2"/>
    <n v="5.4153255406855267"/>
    <n v="7.3280479965716721"/>
    <n v="13.188343689736445"/>
    <s v="T"/>
    <n v="3"/>
  </r>
  <r>
    <s v="PU-PP-160"/>
    <x v="4"/>
    <s v="I"/>
    <s v="S"/>
    <s v="G"/>
    <n v="71"/>
    <n v="67"/>
    <n v="6.4660000000000002"/>
    <n v="0.17"/>
    <n v="0.39600000000000002"/>
    <s v="F30"/>
    <x v="0"/>
    <n v="30"/>
    <n v="0.34699999999999998"/>
    <n v="0.29799999999999999"/>
    <s v="~20 zoops: 0.019; 3 rocks: 0.008"/>
    <s v="F"/>
    <n v="3"/>
    <n v="8.0000000000000002E-3"/>
    <m/>
    <m/>
    <m/>
    <m/>
    <m/>
    <m/>
    <m/>
    <m/>
    <m/>
    <m/>
    <m/>
    <m/>
    <m/>
    <m/>
    <m/>
    <m/>
    <m/>
    <m/>
    <m/>
    <m/>
    <n v="20"/>
    <n v="1.9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.7E-2"/>
    <s v="18/5/2021"/>
    <s v="18"/>
    <s v="5"/>
    <s v="2021"/>
    <x v="13"/>
    <x v="13"/>
    <x v="9"/>
    <m/>
    <n v="6.523887973640857"/>
    <n v="2.7001270648030493"/>
    <n v="2.8813559322033899E-2"/>
    <n v="4.8313878080415043"/>
    <n v="0.75781008351376411"/>
    <n v="1.1753789050417567"/>
    <s v="T"/>
    <n v="3"/>
  </r>
  <r>
    <s v="PU-PP-161"/>
    <x v="4"/>
    <s v="I"/>
    <s v="IMM"/>
    <s v="G"/>
    <n v="62"/>
    <n v="60"/>
    <n v="3.9129999999999998"/>
    <n v="6.2E-2"/>
    <n v="0.19"/>
    <s v="M30"/>
    <x v="2"/>
    <n v="30"/>
    <n v="0.214"/>
    <n v="0.191"/>
    <s v="4 chiro: 0.015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1.4999999999999999E-2"/>
    <m/>
    <m/>
    <m/>
    <m/>
    <m/>
    <m/>
    <m/>
    <m/>
    <m/>
    <m/>
    <m/>
    <m/>
    <m/>
    <m/>
    <m/>
    <m/>
    <m/>
    <m/>
    <m/>
    <m/>
    <m/>
    <m/>
    <m/>
    <m/>
    <n v="1.4999999999999999E-2"/>
    <s v="18/5/2021"/>
    <s v="18"/>
    <s v="5"/>
    <s v="2021"/>
    <x v="13"/>
    <x v="13"/>
    <x v="9"/>
    <m/>
    <n v="5.1034112275047008"/>
    <n v="1.6099714359906518"/>
    <n v="1.6935263589183285E-2"/>
    <n v="5.1316496507254161"/>
    <n v="0.58778430871454113"/>
    <n v="0.9711219013544593"/>
    <s v="T"/>
    <n v="3"/>
  </r>
  <r>
    <s v="PU-PP-162"/>
    <x v="4"/>
    <s v="I"/>
    <s v="IMM"/>
    <s v="G"/>
    <n v="64"/>
    <n v="61"/>
    <n v="4.7569999999999997"/>
    <n v="0.114"/>
    <n v="0.20799999999999999"/>
    <s v="F30"/>
    <x v="0"/>
    <n v="30"/>
    <n v="0.254"/>
    <n v="0.22700000000000001"/>
    <s v="9 chiro: 0.012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9"/>
    <n v="1.2E-2"/>
    <m/>
    <m/>
    <m/>
    <m/>
    <m/>
    <m/>
    <m/>
    <m/>
    <m/>
    <m/>
    <m/>
    <m/>
    <m/>
    <m/>
    <m/>
    <m/>
    <m/>
    <m/>
    <m/>
    <m/>
    <m/>
    <m/>
    <m/>
    <m/>
    <n v="1.2E-2"/>
    <s v="18/5/2021"/>
    <s v="18"/>
    <s v="5"/>
    <s v="2021"/>
    <x v="13"/>
    <x v="13"/>
    <x v="9"/>
    <m/>
    <n v="4.5724335018685425"/>
    <n v="2.4553090674133107"/>
    <n v="2.5704622322435179E-2"/>
    <n v="5.0110375275938202"/>
    <n v="0.56758461215051492"/>
    <n v="0.81984443977296606"/>
    <s v="T"/>
    <n v="3"/>
  </r>
  <r>
    <s v="PU-PP-163"/>
    <x v="4"/>
    <s v="S"/>
    <s v="IMM"/>
    <s v="N"/>
    <n v="58"/>
    <n v="54"/>
    <n v="3.5649999999999999"/>
    <n v="7.8E-2"/>
    <n v="0.112"/>
    <s v="M30"/>
    <x v="2"/>
    <n v="30"/>
    <n v="0.183"/>
    <n v="0.159"/>
    <s v="3 chiro: 0.015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1.4999999999999999E-2"/>
    <m/>
    <m/>
    <m/>
    <m/>
    <m/>
    <m/>
    <m/>
    <m/>
    <m/>
    <m/>
    <m/>
    <m/>
    <m/>
    <m/>
    <m/>
    <m/>
    <m/>
    <m/>
    <m/>
    <m/>
    <m/>
    <m/>
    <m/>
    <m/>
    <n v="1.4999999999999999E-2"/>
    <s v="18/5/2021"/>
    <s v="18"/>
    <s v="5"/>
    <s v="2021"/>
    <x v="13"/>
    <x v="13"/>
    <x v="9"/>
    <m/>
    <n v="3.2435563278308717"/>
    <n v="2.2368798394034988"/>
    <n v="2.311111111111111E-2"/>
    <n v="4.6682325308279502"/>
    <n v="0.67321178120617098"/>
    <n v="1.0939691444600279"/>
    <s v="T"/>
    <n v="3"/>
  </r>
  <r>
    <s v="PU-PP-164"/>
    <x v="4"/>
    <s v="I"/>
    <s v="S"/>
    <s v="G"/>
    <n v="83"/>
    <n v="79"/>
    <n v="10.318"/>
    <n v="0.13100000000000001"/>
    <n v="0.19800000000000001"/>
    <s v="M30"/>
    <x v="2"/>
    <n v="30"/>
    <n v="0.56699999999999995"/>
    <n v="0.51400000000000001"/>
    <s v="~10 inverts: 0.026"/>
    <s v="F"/>
    <m/>
    <m/>
    <n v="10"/>
    <n v="2.5999999999999999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.5999999999999999E-2"/>
    <s v="18/5/2021"/>
    <s v="18"/>
    <s v="5"/>
    <s v="2021"/>
    <x v="13"/>
    <x v="13"/>
    <x v="9"/>
    <m/>
    <n v="1.956521739130435"/>
    <n v="1.2859526847943459"/>
    <n v="1.3114425868455303E-2"/>
    <n v="5.2427580579355366"/>
    <n v="0.51366543903857276"/>
    <n v="0.76565225818957106"/>
    <s v="T"/>
    <n v="3"/>
  </r>
  <r>
    <s v="PU-PP-165"/>
    <x v="4"/>
    <s v="I"/>
    <s v="I"/>
    <s v="G"/>
    <n v="85"/>
    <n v="80"/>
    <n v="11.395"/>
    <n v="0.219"/>
    <n v="0.20499999999999999"/>
    <s v="M30"/>
    <x v="2"/>
    <n v="30"/>
    <n v="0.69299999999999995"/>
    <n v="0.57699999999999996"/>
    <s v="~25 chiro: 0.073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5"/>
    <n v="7.2999999999999995E-2"/>
    <m/>
    <m/>
    <m/>
    <m/>
    <m/>
    <m/>
    <m/>
    <m/>
    <m/>
    <m/>
    <m/>
    <m/>
    <m/>
    <m/>
    <m/>
    <m/>
    <m/>
    <m/>
    <m/>
    <m/>
    <m/>
    <m/>
    <m/>
    <m/>
    <n v="7.2999999999999995E-2"/>
    <s v="18/5/2021"/>
    <s v="18"/>
    <s v="5"/>
    <s v="2021"/>
    <x v="13"/>
    <x v="13"/>
    <x v="9"/>
    <m/>
    <n v="1.8319928507596068"/>
    <n v="1.9595561918396565"/>
    <n v="1.9961717254580257E-2"/>
    <n v="5.3337030874468478"/>
    <n v="1.0179903466432645"/>
    <n v="1.6586222027204918"/>
    <s v="T"/>
    <n v="3"/>
  </r>
  <r>
    <s v="PU-PP-166"/>
    <x v="4"/>
    <s v="I"/>
    <s v="S"/>
    <s v="G"/>
    <n v="80"/>
    <n v="75"/>
    <n v="9.4710000000000001"/>
    <n v="0.158"/>
    <n v="0.183"/>
    <s v="M30"/>
    <x v="2"/>
    <n v="30"/>
    <n v="0.57899999999999996"/>
    <n v="0.52100000000000002"/>
    <s v="1 wasp: 0.005; 2 inverts: 0.017"/>
    <s v="F"/>
    <m/>
    <m/>
    <n v="2"/>
    <n v="1.7000000000000001E-2"/>
    <n v="1"/>
    <n v="5.0000000000000001E-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.1999999999999999E-2"/>
    <s v="18/5/2021"/>
    <s v="18"/>
    <s v="5"/>
    <s v="2021"/>
    <x v="13"/>
    <x v="13"/>
    <x v="9"/>
    <m/>
    <n v="1.9702842377260981"/>
    <n v="1.6965532051970365"/>
    <n v="1.7305585980284775E-2"/>
    <n v="5.8212290502793298"/>
    <n v="0.61239573434695327"/>
    <n v="0.84468377151303908"/>
    <s v="T"/>
    <n v="3"/>
  </r>
  <r>
    <s v="PU-PP-167"/>
    <x v="4"/>
    <s v="I"/>
    <s v="B"/>
    <s v="N"/>
    <n v="148"/>
    <n v="142"/>
    <n v="69.778999999999996"/>
    <n v="1.8839999999999999"/>
    <n v="3.0739999999999998"/>
    <s v="F30"/>
    <x v="0"/>
    <n v="30"/>
    <n v="2.782"/>
    <n v="2.762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1-08-06T00:00:00"/>
    <n v="8"/>
    <n v="6"/>
    <n v="2021"/>
    <x v="42"/>
    <x v="42"/>
    <x v="10"/>
    <m/>
    <n v="4.608350198635784"/>
    <n v="2.7748729656086604"/>
    <n v="2.906465497292544E-2"/>
    <n v="4.1213423459719181"/>
    <n v="2.866191834219467E-2"/>
    <n v="2.866191834219467E-2"/>
    <s v="T"/>
    <n v="4"/>
  </r>
  <r>
    <s v="PU-PP-168"/>
    <x v="4"/>
    <s v="B"/>
    <s v="B"/>
    <s v="N"/>
    <n v="156"/>
    <n v="147"/>
    <n v="70.730999999999995"/>
    <n v="0.82599999999999996"/>
    <n v="0.63400000000000001"/>
    <s v="M30"/>
    <x v="2"/>
    <n v="30"/>
    <n v="4.5179999999999998"/>
    <n v="3.8330000000000002"/>
    <s v="1 cray: 0.59"/>
    <s v="F"/>
    <m/>
    <m/>
    <m/>
    <m/>
    <m/>
    <m/>
    <n v="1"/>
    <n v="0.5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59"/>
    <d v="2021-08-06T00:00:00"/>
    <n v="8"/>
    <n v="6"/>
    <n v="2021"/>
    <x v="42"/>
    <x v="42"/>
    <x v="10"/>
    <m/>
    <n v="0.90446096123942532"/>
    <n v="1.1816036048923539"/>
    <n v="1.1924181836554979E-2"/>
    <n v="5.7296182247600829"/>
    <n v="0.96845796044167287"/>
    <n v="1.8026042329388803"/>
    <s v="T"/>
    <n v="3"/>
  </r>
  <r>
    <s v="PU-PP-169"/>
    <x v="4"/>
    <s v="I"/>
    <s v="B"/>
    <s v="N"/>
    <n v="134"/>
    <n v="124"/>
    <n v="46.680999999999997"/>
    <n v="1.006"/>
    <n v="3.988"/>
    <s v="F30"/>
    <x v="0"/>
    <n v="30"/>
    <n v="1.8109999999999999"/>
    <n v="1.7749999999999999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1-08-06T00:00:00"/>
    <n v="8"/>
    <n v="6"/>
    <n v="2021"/>
    <x v="42"/>
    <x v="42"/>
    <x v="10"/>
    <m/>
    <n v="9.3411097838053081"/>
    <n v="2.2025177887246854"/>
    <n v="2.4132223474944228E-2"/>
    <n v="3.9527011980581657"/>
    <n v="7.7119170540476928E-2"/>
    <n v="7.7119170540476928E-2"/>
    <s v="T"/>
    <n v="3"/>
  </r>
  <r>
    <s v="PU-PP-170"/>
    <x v="4"/>
    <s v="I"/>
    <s v="B"/>
    <s v="N"/>
    <n v="115"/>
    <n v="107"/>
    <n v="28.588000000000001"/>
    <n v="0.60699999999999998"/>
    <n v="1.5349999999999999"/>
    <s v="F30"/>
    <x v="0"/>
    <n v="30"/>
    <n v="1.304"/>
    <n v="1.1479999999999999"/>
    <s v="2 cricket: 0.127"/>
    <s v="F"/>
    <m/>
    <m/>
    <m/>
    <m/>
    <n v="2"/>
    <n v="0.1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127"/>
    <d v="2021-08-06T00:00:00"/>
    <n v="8"/>
    <n v="6"/>
    <n v="2021"/>
    <x v="42"/>
    <x v="42"/>
    <x v="10"/>
    <m/>
    <n v="5.674047240601781"/>
    <n v="2.1693291876630569"/>
    <n v="2.29524313695833E-2"/>
    <n v="4.1836734693877542"/>
    <n v="0.54568350356793105"/>
    <n v="0.98992584301105402"/>
    <s v="T"/>
    <n v="2"/>
  </r>
  <r>
    <s v="PU-PP-171"/>
    <x v="4"/>
    <s v="I"/>
    <s v="I"/>
    <s v="G"/>
    <n v="108"/>
    <n v="103"/>
    <n v="23.125"/>
    <n v="0.222"/>
    <n v="8.5000000000000006E-2"/>
    <s v="F40"/>
    <x v="0"/>
    <n v="40"/>
    <n v="0.96599999999999997"/>
    <n v="0.94799999999999995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1-08-06T00:00:00"/>
    <n v="8"/>
    <n v="6"/>
    <n v="2021"/>
    <x v="42"/>
    <x v="42"/>
    <x v="10"/>
    <m/>
    <n v="0.36892361111111116"/>
    <n v="0.96930533117932161"/>
    <n v="9.7291611885353679E-3"/>
    <n v="4.2746990124904176"/>
    <n v="7.7837837837837917E-2"/>
    <n v="7.7837837837837917E-2"/>
    <s v="T"/>
    <n v="2"/>
  </r>
  <r>
    <s v="PU-PP-172"/>
    <x v="4"/>
    <s v="I"/>
    <s v="B"/>
    <s v="N"/>
    <n v="137"/>
    <n v="132"/>
    <n v="49.625"/>
    <n v="1.306"/>
    <n v="4.5910000000000002"/>
    <s v="F30"/>
    <x v="0"/>
    <n v="30"/>
    <n v="1.964"/>
    <n v="1.9419999999999999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1-08-06T00:00:00"/>
    <n v="8"/>
    <n v="6"/>
    <n v="2021"/>
    <x v="42"/>
    <x v="42"/>
    <x v="10"/>
    <m/>
    <n v="10.194519696229516"/>
    <n v="2.7028705064260432"/>
    <n v="2.9866447127698498E-2"/>
    <n v="4.0727303231759739"/>
    <n v="4.4332493702770814E-2"/>
    <n v="4.4332493702770814E-2"/>
    <s v="T"/>
    <n v="3"/>
  </r>
  <r>
    <s v="PU-PP-173"/>
    <x v="4"/>
    <s v="I"/>
    <s v="I"/>
    <s v="G"/>
    <n v="97"/>
    <n v="91"/>
    <n v="16.635000000000002"/>
    <n v="0.40300000000000002"/>
    <n v="1.1599999999999999"/>
    <s v="F30"/>
    <x v="0"/>
    <n v="30"/>
    <n v="0.60899999999999999"/>
    <n v="0.58299999999999996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1-08-06T00:00:00"/>
    <n v="8"/>
    <n v="6"/>
    <n v="2021"/>
    <x v="42"/>
    <x v="42"/>
    <x v="10"/>
    <m/>
    <n v="7.4959612277867516"/>
    <n v="2.4827501232134055"/>
    <n v="2.6738322717622078E-2"/>
    <n v="3.6319461749314721"/>
    <n v="0.15629696423204101"/>
    <n v="0.15629696423204101"/>
    <s v="T"/>
    <n v="3"/>
  </r>
  <r>
    <s v="PU-PP-174"/>
    <x v="4"/>
    <s v="I"/>
    <s v="I"/>
    <s v="G"/>
    <n v="92"/>
    <n v="88"/>
    <n v="14.39"/>
    <n v="0.32"/>
    <n v="1.4890000000000001"/>
    <s v="F30"/>
    <x v="0"/>
    <n v="30"/>
    <n v="0.502"/>
    <n v="0.48699999999999999"/>
    <s v="1 boatman: 0.006"/>
    <s v="F"/>
    <m/>
    <m/>
    <m/>
    <m/>
    <m/>
    <m/>
    <m/>
    <m/>
    <n v="1"/>
    <n v="6.0000000000000001E-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.0000000000000001E-3"/>
    <d v="2021-08-06T00:00:00"/>
    <n v="8"/>
    <n v="6"/>
    <n v="2021"/>
    <x v="42"/>
    <x v="42"/>
    <x v="10"/>
    <m/>
    <n v="11.541740950313931"/>
    <n v="2.2743425728500357"/>
    <n v="2.5435180033383676E-2"/>
    <n v="3.5028411134287563"/>
    <n v="0.10423905489923566"/>
    <n v="0.14593467685892988"/>
    <s v="T"/>
    <n v="3"/>
  </r>
  <r>
    <s v="PU-PP-175"/>
    <x v="4"/>
    <s v="I"/>
    <s v="S"/>
    <s v="G"/>
    <n v="79"/>
    <n v="75"/>
    <n v="8.4740000000000002"/>
    <n v="0.156"/>
    <n v="1.091"/>
    <s v="F30"/>
    <x v="0"/>
    <n v="30"/>
    <n v="0.28599999999999998"/>
    <n v="0.27400000000000002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1-08-06T00:00:00"/>
    <n v="8"/>
    <n v="6"/>
    <n v="2021"/>
    <x v="42"/>
    <x v="42"/>
    <x v="10"/>
    <m/>
    <n v="14.77719084383042"/>
    <n v="1.8754508295263286"/>
    <n v="2.1585720215857203E-2"/>
    <n v="3.3414634146341471"/>
    <n v="0.1416096294548024"/>
    <n v="0.1416096294548024"/>
    <s v="T"/>
    <n v="2"/>
  </r>
  <r>
    <s v="PU-PP-176"/>
    <x v="4"/>
    <s v="I"/>
    <s v="S"/>
    <s v="G"/>
    <n v="84"/>
    <n v="78"/>
    <n v="10.51"/>
    <n v="0.33200000000000002"/>
    <n v="0.73099999999999998"/>
    <s v="F30"/>
    <x v="0"/>
    <n v="30"/>
    <n v="0.45400000000000001"/>
    <n v="0.39600000000000002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1-08-06T00:00:00"/>
    <n v="8"/>
    <n v="6"/>
    <n v="2021"/>
    <x v="42"/>
    <x v="42"/>
    <x v="10"/>
    <m/>
    <n v="7.4752019633909397"/>
    <n v="3.2619375122813916"/>
    <n v="3.5143431777283796E-2"/>
    <n v="3.9153648408147128"/>
    <n v="0.55185537583254041"/>
    <n v="0.55185537583254041"/>
    <s v="T"/>
    <n v="2"/>
  </r>
  <r>
    <s v="PU-PP-177"/>
    <x v="4"/>
    <s v="I"/>
    <s v="S"/>
    <s v="G"/>
    <n v="80"/>
    <n v="76"/>
    <n v="9.3070000000000004"/>
    <n v="0.115"/>
    <n v="3.3000000000000002E-2"/>
    <s v="M30"/>
    <x v="2"/>
    <n v="30"/>
    <n v="0.54300000000000004"/>
    <n v="0.33800000000000002"/>
    <s v="1 caddis: 0.077; 3 chiro: 0.056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5.6000000000000001E-2"/>
    <m/>
    <m/>
    <m/>
    <m/>
    <n v="1"/>
    <n v="7.6999999999999999E-2"/>
    <m/>
    <m/>
    <m/>
    <m/>
    <m/>
    <m/>
    <m/>
    <m/>
    <m/>
    <m/>
    <m/>
    <m/>
    <m/>
    <m/>
    <m/>
    <m/>
    <m/>
    <m/>
    <n v="0.13300000000000001"/>
    <d v="2021-08-06T00:00:00"/>
    <n v="8"/>
    <n v="6"/>
    <n v="2021"/>
    <x v="42"/>
    <x v="42"/>
    <x v="10"/>
    <m/>
    <n v="0.35583351304722882"/>
    <n v="1.2510879025239339"/>
    <n v="1.2555955890381046E-2"/>
    <n v="3.7685360686810125"/>
    <n v="2.2026431718061676"/>
    <n v="3.6316750832706566"/>
    <s v="T"/>
    <n v="2"/>
  </r>
  <r>
    <s v="PU-PP-178"/>
    <x v="4"/>
    <s v="I"/>
    <s v="S"/>
    <s v="G"/>
    <n v="77"/>
    <n v="73"/>
    <n v="7.806"/>
    <n v="0.17499999999999999"/>
    <n v="0.54800000000000004"/>
    <s v="F30"/>
    <x v="0"/>
    <n v="30"/>
    <n v="0.26700000000000002"/>
    <n v="0.22600000000000001"/>
    <s v="~2 chiro: 0.03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0.03"/>
    <m/>
    <m/>
    <m/>
    <m/>
    <m/>
    <m/>
    <m/>
    <m/>
    <m/>
    <m/>
    <m/>
    <m/>
    <m/>
    <m/>
    <m/>
    <m/>
    <m/>
    <m/>
    <m/>
    <m/>
    <m/>
    <m/>
    <m/>
    <m/>
    <n v="0.03"/>
    <d v="2021-08-06T00:00:00"/>
    <n v="8"/>
    <n v="6"/>
    <n v="2021"/>
    <x v="42"/>
    <x v="42"/>
    <x v="10"/>
    <m/>
    <n v="7.5502893359052079"/>
    <n v="2.2932774210457341"/>
    <n v="2.4707045037413524E-2"/>
    <n v="2.9815303430079156"/>
    <n v="0.52523699718165529"/>
    <n v="0.90955675121701263"/>
    <s v="T"/>
    <n v="3"/>
  </r>
  <r>
    <s v="PU-PP-179"/>
    <x v="4"/>
    <s v="I"/>
    <s v="S"/>
    <s v="G"/>
    <n v="75"/>
    <n v="71"/>
    <n v="6.6379999999999999"/>
    <n v="0.11799999999999999"/>
    <n v="0.58299999999999996"/>
    <s v="F30"/>
    <x v="0"/>
    <n v="30"/>
    <n v="0.186"/>
    <n v="0.182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1-08-06T00:00:00"/>
    <n v="8"/>
    <n v="6"/>
    <n v="2021"/>
    <x v="42"/>
    <x v="42"/>
    <x v="10"/>
    <m/>
    <n v="9.6284062758051192"/>
    <n v="1.8098159509202454"/>
    <n v="1.9875357924877886E-2"/>
    <n v="2.8190830235439903"/>
    <n v="6.0259114191021444E-2"/>
    <n v="6.0259114191021444E-2"/>
    <s v="T"/>
    <n v="3"/>
  </r>
  <r>
    <s v="PU-PP-180"/>
    <x v="4"/>
    <s v="I"/>
    <s v="S"/>
    <s v="G"/>
    <n v="75"/>
    <n v="71"/>
    <n v="7.0519999999999996"/>
    <n v="8.5999999999999993E-2"/>
    <n v="6.9000000000000006E-2"/>
    <s v="M30"/>
    <x v="2"/>
    <n v="30"/>
    <n v="0.34"/>
    <n v="0.22900000000000001"/>
    <s v="~5 inverts: 0.067"/>
    <s v="F"/>
    <m/>
    <m/>
    <n v="5"/>
    <n v="6.7000000000000004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.7000000000000004E-2"/>
    <d v="2021-08-06T00:00:00"/>
    <n v="8"/>
    <n v="6"/>
    <n v="2021"/>
    <x v="42"/>
    <x v="42"/>
    <x v="10"/>
    <m/>
    <n v="0.98811399112129472"/>
    <n v="1.2345679012345681"/>
    <n v="1.2469189502682327E-2"/>
    <n v="3.3562948849479706"/>
    <n v="1.5740215541690301"/>
    <n v="2.5241066364152016"/>
    <s v="T"/>
    <n v="1"/>
  </r>
  <r>
    <s v="PU-PP-181"/>
    <x v="4"/>
    <s v="I"/>
    <s v="S"/>
    <s v="G"/>
    <n v="69"/>
    <n v="65"/>
    <n v="5.92"/>
    <n v="0.156"/>
    <n v="0.44"/>
    <s v="F30"/>
    <x v="0"/>
    <n v="30"/>
    <n v="0.34"/>
    <n v="0.30499999999999999"/>
    <s v="~10 chiro: 0.024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0"/>
    <n v="2.4E-2"/>
    <m/>
    <m/>
    <m/>
    <m/>
    <m/>
    <m/>
    <m/>
    <m/>
    <m/>
    <m/>
    <m/>
    <m/>
    <m/>
    <m/>
    <m/>
    <m/>
    <m/>
    <m/>
    <m/>
    <m/>
    <m/>
    <m/>
    <m/>
    <m/>
    <n v="2.4E-2"/>
    <d v="2021-08-06T00:00:00"/>
    <n v="8"/>
    <n v="6"/>
    <n v="2021"/>
    <x v="42"/>
    <x v="42"/>
    <x v="10"/>
    <m/>
    <n v="8.0291970802919721"/>
    <n v="2.7064538514920193"/>
    <n v="2.9301277235161533E-2"/>
    <n v="5.4318788958147817"/>
    <n v="0.59121621621621678"/>
    <n v="0.99662162162162216"/>
    <s v="T"/>
    <n v="2"/>
  </r>
  <r>
    <s v="PU-PP-182"/>
    <x v="4"/>
    <s v="I"/>
    <s v="IMM"/>
    <s v="G"/>
    <n v="62"/>
    <n v="59"/>
    <n v="4.0640000000000001"/>
    <n v="8.3000000000000004E-2"/>
    <n v="0.30199999999999999"/>
    <s v="F30"/>
    <x v="0"/>
    <n v="30"/>
    <n v="0.16900000000000001"/>
    <n v="0.16500000000000001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1-08-06T00:00:00"/>
    <n v="8"/>
    <n v="6"/>
    <n v="2021"/>
    <x v="42"/>
    <x v="42"/>
    <x v="10"/>
    <m/>
    <n v="8.0276448697501319"/>
    <n v="2.084903290630495"/>
    <n v="2.2560478390867087E-2"/>
    <n v="4.2318543216209283"/>
    <n v="9.842519685039379E-2"/>
    <n v="9.842519685039379E-2"/>
    <s v="T"/>
    <n v="3"/>
  </r>
  <r>
    <s v="PU-PP-183"/>
    <x v="4"/>
    <s v="B"/>
    <s v="B"/>
    <s v="N"/>
    <n v="165"/>
    <n v="156"/>
    <n v="94.989000000000004"/>
    <n v="0.96499999999999997"/>
    <n v="1.091"/>
    <s v="F40"/>
    <x v="0"/>
    <n v="40"/>
    <n v="10.848000000000001"/>
    <n v="4.1580000000000004"/>
    <s v="4 redbelly dace: 6.143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6.1429999999999998"/>
    <m/>
    <m/>
    <m/>
    <m/>
    <m/>
    <m/>
    <n v="6.1429999999999998"/>
    <s v="22/6/2021"/>
    <s v="22"/>
    <s v="6"/>
    <s v="2021"/>
    <x v="15"/>
    <x v="15"/>
    <x v="11"/>
    <s v="SC taken"/>
    <n v="1.1618990819825767"/>
    <n v="1.0263337020335233"/>
    <n v="1.0383824906115157E-2"/>
    <n v="4.5777322720216667"/>
    <n v="7.0429207592458081"/>
    <n v="13.509985366726674"/>
    <s v="T"/>
    <n v="3"/>
  </r>
  <r>
    <s v="PU-PP-184"/>
    <x v="4"/>
    <s v="I"/>
    <s v="I"/>
    <s v="G"/>
    <n v="96"/>
    <n v="90"/>
    <n v="15.426"/>
    <n v="0.112"/>
    <n v="0.158"/>
    <s v="M30"/>
    <x v="2"/>
    <n v="30"/>
    <n v="1.585"/>
    <n v="0.44800000000000001"/>
    <s v="1 redbelly dace: 1.077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.077"/>
    <m/>
    <m/>
    <m/>
    <m/>
    <m/>
    <m/>
    <n v="1.077"/>
    <s v="22/6/2021"/>
    <s v="22"/>
    <s v="6"/>
    <s v="2021"/>
    <x v="15"/>
    <x v="15"/>
    <x v="11"/>
    <m/>
    <n v="1.0348441184176054"/>
    <n v="0.73135692830090115"/>
    <n v="7.3898126154658223E-3"/>
    <n v="2.9910535451996263"/>
    <n v="7.370672889926098"/>
    <n v="14.352392065344224"/>
    <s v="T"/>
    <n v="3"/>
  </r>
  <r>
    <s v="PU-PP-185"/>
    <x v="4"/>
    <s v="I"/>
    <s v="B"/>
    <s v="N"/>
    <n v="112"/>
    <n v="107"/>
    <n v="29.222999999999999"/>
    <n v="0.71399999999999997"/>
    <n v="2.1480000000000001"/>
    <s v="F30"/>
    <x v="0"/>
    <n v="30"/>
    <n v="4.2960000000000003"/>
    <n v="1.7190000000000001"/>
    <s v="2 redbelly dace: 2.22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2.2200000000000002"/>
    <m/>
    <m/>
    <m/>
    <m/>
    <m/>
    <m/>
    <n v="2.2200000000000002"/>
    <s v="22/6/2021"/>
    <s v="22"/>
    <s v="6"/>
    <s v="2021"/>
    <x v="15"/>
    <x v="15"/>
    <x v="11"/>
    <s v="SC taken"/>
    <n v="7.9335180055401677"/>
    <n v="2.5044722719141319"/>
    <n v="2.7085467167406393E-2"/>
    <n v="6.2500000000000018"/>
    <n v="8.8183964685350578"/>
    <n v="16.415152448413924"/>
    <s v="T"/>
    <n v="3"/>
  </r>
  <r>
    <s v="PU-PP-186"/>
    <x v="4"/>
    <s v="I"/>
    <s v="I"/>
    <s v="G"/>
    <n v="89"/>
    <n v="83"/>
    <n v="11.680999999999999"/>
    <n v="0.23899999999999999"/>
    <n v="0.92400000000000004"/>
    <s v="F30"/>
    <x v="0"/>
    <n v="30"/>
    <n v="0.308"/>
    <n v="0.29899999999999999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2/6/2021"/>
    <s v="22"/>
    <s v="6"/>
    <s v="2021"/>
    <x v="15"/>
    <x v="15"/>
    <x v="11"/>
    <m/>
    <n v="8.5897555080412769"/>
    <n v="2.0887956650935151"/>
    <n v="2.2722951131393804E-2"/>
    <n v="2.6269548409769814"/>
    <n v="7.7048197928259635E-2"/>
    <n v="7.7048197928259635E-2"/>
    <s v="T"/>
    <n v="3"/>
  </r>
  <r>
    <s v="PU-PP-187"/>
    <x v="4"/>
    <s v="I"/>
    <s v="I"/>
    <s v="G"/>
    <n v="98"/>
    <n v="93"/>
    <n v="18.616"/>
    <n v="0.23300000000000001"/>
    <n v="0.13700000000000001"/>
    <s v="M30"/>
    <x v="2"/>
    <n v="30"/>
    <n v="2.2759999999999998"/>
    <n v="0.82799999999999996"/>
    <s v="1 redbelly dace: 1.243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.2430000000000001"/>
    <m/>
    <m/>
    <m/>
    <m/>
    <m/>
    <m/>
    <n v="1.2430000000000001"/>
    <s v="22/6/2021"/>
    <s v="22"/>
    <s v="6"/>
    <s v="2021"/>
    <x v="15"/>
    <x v="15"/>
    <x v="11"/>
    <s v="SC taken"/>
    <n v="0.74138210942150562"/>
    <n v="1.2674753848664528"/>
    <n v="1.2769922174723228E-2"/>
    <n v="4.6548234765010115"/>
    <n v="7.7782552642887834"/>
    <n v="14.455307262569834"/>
    <s v="T"/>
    <n v="3"/>
  </r>
  <r>
    <s v="PU-PP-188"/>
    <x v="4"/>
    <s v="I"/>
    <s v="B"/>
    <s v="N"/>
    <n v="125"/>
    <n v="118"/>
    <n v="44.491999999999997"/>
    <n v="1.0900000000000001"/>
    <n v="1.9850000000000001"/>
    <s v="F30"/>
    <x v="0"/>
    <n v="30"/>
    <n v="7.1760000000000002"/>
    <n v="2.11"/>
    <s v="3 redbelly dace: 3.438; 1 fathead: 1.136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.1359999999999999"/>
    <n v="3"/>
    <n v="3.4380000000000002"/>
    <m/>
    <m/>
    <m/>
    <m/>
    <m/>
    <m/>
    <n v="4.5739999999999998"/>
    <s v="22/6/2021"/>
    <s v="22"/>
    <s v="6"/>
    <s v="2021"/>
    <x v="15"/>
    <x v="15"/>
    <x v="11"/>
    <s v="SC taken"/>
    <n v="4.6698190886206987"/>
    <n v="2.511405004377679"/>
    <n v="2.6317695632228317E-2"/>
    <n v="4.9785286206408381"/>
    <n v="11.386316641193925"/>
    <n v="21.666816506338222"/>
    <s v="T"/>
    <n v="3"/>
  </r>
  <r>
    <s v="PU-PP-189"/>
    <x v="4"/>
    <s v="I"/>
    <s v="S"/>
    <s v="G"/>
    <n v="84"/>
    <n v="79"/>
    <n v="10.073"/>
    <n v="0.114"/>
    <n v="0.14099999999999999"/>
    <s v="M30"/>
    <x v="2"/>
    <n v="30"/>
    <n v="0.28399999999999997"/>
    <n v="0.27700000000000002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2/6/2021"/>
    <s v="22"/>
    <s v="6"/>
    <s v="2021"/>
    <x v="15"/>
    <x v="15"/>
    <x v="11"/>
    <m/>
    <n v="1.4196536447845347"/>
    <n v="1.1446932422934031"/>
    <n v="1.1611326135669181E-2"/>
    <n v="2.8276847692935889"/>
    <n v="6.9492703266156558E-2"/>
    <n v="6.9492703266156558E-2"/>
    <s v="T"/>
    <n v="3"/>
  </r>
  <r>
    <s v="PU-PP-190"/>
    <x v="4"/>
    <s v="I"/>
    <s v="I"/>
    <s v="G"/>
    <n v="108"/>
    <n v="103"/>
    <n v="25.398"/>
    <n v="0.27500000000000002"/>
    <n v="0.186"/>
    <s v="M30"/>
    <x v="2"/>
    <n v="30"/>
    <n v="3.4790000000000001"/>
    <n v="0.90100000000000002"/>
    <s v="1 pump: 1.314; 1 fathead: 0.826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0.82599999999999996"/>
    <m/>
    <m/>
    <n v="1"/>
    <n v="1.3140000000000001"/>
    <m/>
    <m/>
    <m/>
    <m/>
    <n v="2.14"/>
    <s v="22/6/2021"/>
    <s v="22"/>
    <s v="6"/>
    <s v="2021"/>
    <x v="15"/>
    <x v="15"/>
    <x v="11"/>
    <s v="SC taken"/>
    <n v="0.73774393146120898"/>
    <n v="1.0946144966763522"/>
    <n v="1.1027790030877813E-2"/>
    <n v="3.6780013879250522"/>
    <n v="10.150405543743602"/>
    <n v="18.576265847704544"/>
    <s v="T"/>
    <n v="2"/>
  </r>
  <r>
    <s v="PU-PP-191"/>
    <x v="4"/>
    <s v="I"/>
    <s v="I"/>
    <s v="G"/>
    <n v="86"/>
    <n v="81"/>
    <n v="12.141999999999999"/>
    <n v="0.11899999999999999"/>
    <n v="0.13300000000000001"/>
    <s v="M30"/>
    <x v="2"/>
    <n v="30"/>
    <n v="0.33800000000000002"/>
    <n v="0.32600000000000001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2/6/2021"/>
    <s v="22"/>
    <s v="6"/>
    <s v="2021"/>
    <x v="15"/>
    <x v="15"/>
    <x v="11"/>
    <m/>
    <n v="1.1075027063036056"/>
    <n v="0.98976960825085247"/>
    <n v="1.0008410428931875E-2"/>
    <n v="2.7589708869329725"/>
    <n v="9.8830505682754172E-2"/>
    <n v="9.8830505682754172E-2"/>
    <s v="T"/>
    <n v="2"/>
  </r>
  <r>
    <s v="PU-PP-192"/>
    <x v="4"/>
    <s v="I"/>
    <s v="I"/>
    <s v="G"/>
    <n v="86"/>
    <n v="80"/>
    <n v="12.196"/>
    <n v="0.17100000000000001"/>
    <n v="5.5E-2"/>
    <s v="M30"/>
    <x v="2"/>
    <n v="30"/>
    <n v="0.46100000000000002"/>
    <n v="0.41899999999999998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2/6/2021"/>
    <s v="22"/>
    <s v="6"/>
    <s v="2021"/>
    <x v="15"/>
    <x v="15"/>
    <x v="11"/>
    <m/>
    <n v="0.45301046042335885"/>
    <n v="1.4220374220374221"/>
    <n v="1.4285714285714285E-2"/>
    <n v="3.5577821176870175"/>
    <n v="0.34437520498524138"/>
    <n v="0.34437520498524138"/>
    <s v="T"/>
    <n v="3"/>
  </r>
  <r>
    <s v="PU-PP-193"/>
    <x v="4"/>
    <s v="I"/>
    <s v="I"/>
    <s v="G"/>
    <n v="89"/>
    <n v="84"/>
    <n v="12.776"/>
    <n v="0.14799999999999999"/>
    <n v="0.115"/>
    <s v="M30"/>
    <x v="2"/>
    <n v="30"/>
    <n v="0.92900000000000005"/>
    <n v="0.40699999999999997"/>
    <s v="1 redbelly: 0.356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0.35599999999999998"/>
    <m/>
    <m/>
    <m/>
    <m/>
    <m/>
    <m/>
    <n v="0.35599999999999998"/>
    <s v="22/6/2021"/>
    <s v="22"/>
    <s v="6"/>
    <s v="2021"/>
    <x v="15"/>
    <x v="15"/>
    <x v="11"/>
    <s v="SC taken"/>
    <n v="0.90830108206302829"/>
    <n v="1.1719987329743426"/>
    <n v="1.1827699192839446E-2"/>
    <n v="3.2904842752041392"/>
    <n v="4.085785848465874"/>
    <n v="6.8722604884157796"/>
    <s v="T"/>
    <n v="3"/>
  </r>
  <r>
    <s v="PU-PP-194"/>
    <x v="4"/>
    <s v="I"/>
    <s v="S"/>
    <s v="G"/>
    <n v="84"/>
    <n v="79"/>
    <n v="10.503"/>
    <n v="0.14000000000000001"/>
    <n v="3.2000000000000001E-2"/>
    <s v="M40"/>
    <x v="2"/>
    <n v="40"/>
    <n v="0.42599999999999999"/>
    <n v="0.40200000000000002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2/6/2021"/>
    <s v="22"/>
    <s v="6"/>
    <s v="2021"/>
    <x v="15"/>
    <x v="15"/>
    <x v="11"/>
    <m/>
    <n v="0.30560595931620665"/>
    <n v="1.3509601466756731"/>
    <n v="1.3551447100958283E-2"/>
    <n v="3.9798039798039793"/>
    <n v="0.22850614110254178"/>
    <n v="0.22850614110254178"/>
    <s v="T"/>
    <n v="3"/>
  </r>
  <r>
    <s v="PU-PP-195"/>
    <x v="4"/>
    <s v="I"/>
    <s v="B"/>
    <s v="N"/>
    <n v="119"/>
    <n v="113"/>
    <n v="37.561999999999998"/>
    <n v="0.44"/>
    <n v="0.32100000000000001"/>
    <s v="M30"/>
    <x v="2"/>
    <n v="30"/>
    <n v="5.7460000000000004"/>
    <n v="1.637"/>
    <s v="3 redbelly dace: 3.705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3.7050000000000001"/>
    <m/>
    <m/>
    <m/>
    <m/>
    <m/>
    <m/>
    <n v="3.7050000000000001"/>
    <d v="2021-07-07T00:00:00"/>
    <n v="7"/>
    <n v="7"/>
    <n v="2021"/>
    <x v="16"/>
    <x v="16"/>
    <x v="12"/>
    <s v="SC taken"/>
    <n v="0.8619532235976477"/>
    <n v="1.1852809654652228"/>
    <n v="1.1956196842477106E-2"/>
    <n v="4.5567153792623527"/>
    <n v="10.939247111442416"/>
    <n v="20.80293914062084"/>
    <s v="T"/>
    <n v="3"/>
  </r>
  <r>
    <s v="PU-PP-196"/>
    <x v="4"/>
    <s v="I"/>
    <s v="B"/>
    <s v="N"/>
    <n v="130"/>
    <n v="123"/>
    <n v="39.997999999999998"/>
    <n v="0.38100000000000001"/>
    <n v="0.371"/>
    <s v="M30"/>
    <x v="2"/>
    <n v="30"/>
    <n v="3.9769999999999999"/>
    <n v="1.34"/>
    <s v="1 fathead: 0.887; 2 redbelly dace: 1.5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0.88700000000000001"/>
    <n v="2"/>
    <n v="1.5"/>
    <m/>
    <m/>
    <m/>
    <m/>
    <m/>
    <m/>
    <n v="2.387"/>
    <d v="2021-07-07T00:00:00"/>
    <n v="7"/>
    <n v="7"/>
    <n v="2021"/>
    <x v="16"/>
    <x v="16"/>
    <x v="12"/>
    <s v="SC taken"/>
    <n v="0.936230347995054"/>
    <n v="0.96170835752328543"/>
    <n v="9.7079957193089757E-3"/>
    <n v="3.4662941693827936"/>
    <n v="6.5928296414820728"/>
    <n v="12.560628031401569"/>
    <s v="T"/>
    <n v="3"/>
  </r>
  <r>
    <s v="PU-PP-197"/>
    <x v="4"/>
    <s v="I"/>
    <s v="B"/>
    <s v="N"/>
    <n v="127"/>
    <n v="122"/>
    <n v="40.445999999999998"/>
    <n v="0.71"/>
    <n v="0.22700000000000001"/>
    <s v="M30"/>
    <x v="2"/>
    <n v="30"/>
    <n v="4.7539999999999996"/>
    <n v="1.5840000000000001"/>
    <s v="2 junebug: 0.686; 2 redbelly dace: 2.208"/>
    <s v="F"/>
    <m/>
    <m/>
    <n v="2"/>
    <n v="0.68600000000000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2.2080000000000002"/>
    <m/>
    <m/>
    <m/>
    <m/>
    <m/>
    <m/>
    <n v="2.8940000000000001"/>
    <d v="2021-07-07T00:00:00"/>
    <n v="7"/>
    <n v="7"/>
    <n v="2021"/>
    <x v="16"/>
    <x v="16"/>
    <x v="12"/>
    <m/>
    <n v="0.56440985603819094"/>
    <n v="1.7867928326957925"/>
    <n v="1.7970588979726136E-2"/>
    <n v="4.0759610930986572"/>
    <n v="7.8376106413489577"/>
    <n v="14.992829946100974"/>
    <s v="T"/>
    <n v="2"/>
  </r>
  <r>
    <s v="PU-PP-198"/>
    <x v="4"/>
    <s v="I"/>
    <s v="I"/>
    <s v="G"/>
    <n v="92"/>
    <n v="88"/>
    <n v="13.031000000000001"/>
    <n v="0.16"/>
    <n v="4.2000000000000003E-2"/>
    <s v="M30"/>
    <x v="2"/>
    <n v="30"/>
    <n v="0.48499999999999999"/>
    <n v="0.43"/>
    <s v="10 zoops: 0.01"/>
    <s v="F"/>
    <m/>
    <m/>
    <m/>
    <m/>
    <m/>
    <m/>
    <m/>
    <m/>
    <m/>
    <m/>
    <m/>
    <m/>
    <m/>
    <m/>
    <m/>
    <m/>
    <m/>
    <m/>
    <m/>
    <m/>
    <m/>
    <m/>
    <n v="10"/>
    <n v="0.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01"/>
    <d v="2021-07-07T00:00:00"/>
    <n v="7"/>
    <n v="7"/>
    <n v="2021"/>
    <x v="16"/>
    <x v="16"/>
    <x v="12"/>
    <m/>
    <n v="0.32335052736931247"/>
    <n v="1.2431046538730479"/>
    <n v="1.2471743705666848E-2"/>
    <n v="3.4124275851122925"/>
    <n v="0.42207044739467414"/>
    <n v="0.49881052873916032"/>
    <s v="T"/>
    <n v="3"/>
  </r>
  <r>
    <s v="PU-PP-199"/>
    <x v="4"/>
    <s v="I"/>
    <s v="I"/>
    <s v="G"/>
    <n v="105"/>
    <n v="100"/>
    <n v="23.462"/>
    <n v="0.24099999999999999"/>
    <n v="8.7999999999999995E-2"/>
    <s v="M30"/>
    <x v="2"/>
    <n v="30"/>
    <n v="3.242"/>
    <n v="1.1559999999999999"/>
    <s v="2 fathead: 1.911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1.911"/>
    <m/>
    <m/>
    <m/>
    <m/>
    <m/>
    <m/>
    <m/>
    <m/>
    <n v="1.911"/>
    <d v="2021-07-07T00:00:00"/>
    <n v="7"/>
    <n v="7"/>
    <n v="2021"/>
    <x v="16"/>
    <x v="16"/>
    <x v="12"/>
    <m/>
    <n v="0.37648669461795159"/>
    <n v="1.0378536669394083"/>
    <n v="1.0418017550685169E-2"/>
    <n v="5.1824621178158337"/>
    <n v="8.8909726366038715"/>
    <n v="17.036058307049696"/>
    <s v="T"/>
    <n v="3"/>
  </r>
  <r>
    <s v="PU-PP-200"/>
    <x v="4"/>
    <s v="I"/>
    <s v="I"/>
    <s v="G"/>
    <n v="96"/>
    <n v="91"/>
    <n v="14.773"/>
    <n v="0.16300000000000001"/>
    <n v="7.3999999999999996E-2"/>
    <s v="M30"/>
    <x v="2"/>
    <n v="30"/>
    <n v="1.8879999999999999"/>
    <n v="0.63800000000000001"/>
    <s v="1 redbelly dace: 1.181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.181"/>
    <m/>
    <m/>
    <m/>
    <m/>
    <m/>
    <m/>
    <n v="1.181"/>
    <d v="2021-07-07T00:00:00"/>
    <n v="7"/>
    <n v="7"/>
    <n v="2021"/>
    <x v="16"/>
    <x v="16"/>
    <x v="12"/>
    <m/>
    <n v="0.50343560786448049"/>
    <n v="1.1156741957563312"/>
    <n v="1.1213538800220144E-2"/>
    <n v="4.5136186770428015"/>
    <n v="8.46138225140459"/>
    <n v="16.455696202531648"/>
    <s v="T"/>
    <n v="3"/>
  </r>
  <r>
    <s v="PU-PP-201"/>
    <x v="4"/>
    <s v="I"/>
    <s v="S"/>
    <s v="G"/>
    <n v="77"/>
    <n v="74"/>
    <n v="8.6999999999999993"/>
    <n v="0.126"/>
    <n v="4.2999999999999997E-2"/>
    <s v="M30"/>
    <x v="2"/>
    <n v="30"/>
    <n v="0.42899999999999999"/>
    <n v="0.34399999999999997"/>
    <s v="10 inverts: 0.06"/>
    <s v="F"/>
    <m/>
    <m/>
    <n v="10"/>
    <n v="0.0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06"/>
    <d v="2021-07-07T00:00:00"/>
    <n v="7"/>
    <n v="7"/>
    <n v="2021"/>
    <x v="16"/>
    <x v="16"/>
    <x v="12"/>
    <s v="SC kept"/>
    <n v="0.49670786646644327"/>
    <n v="1.4695591322603219"/>
    <n v="1.4769663579885123E-2"/>
    <n v="4.1168022977501195"/>
    <n v="0.97701149425287392"/>
    <n v="1.666666666666667"/>
    <s v="T"/>
    <n v="2"/>
  </r>
  <r>
    <s v="PU-PP-202"/>
    <x v="4"/>
    <s v="I"/>
    <s v="I"/>
    <s v="G"/>
    <n v="85"/>
    <n v="80"/>
    <n v="9.5609999999999999"/>
    <n v="0.13200000000000001"/>
    <n v="3.6999999999999998E-2"/>
    <s v="M40"/>
    <x v="2"/>
    <n v="40"/>
    <n v="0.41499999999999998"/>
    <n v="0.35599999999999998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1-07-07T00:00:00"/>
    <n v="7"/>
    <n v="7"/>
    <n v="2021"/>
    <x v="16"/>
    <x v="16"/>
    <x v="12"/>
    <m/>
    <n v="0.38849223015539691"/>
    <n v="1.3999363665287943"/>
    <n v="1.4054514480408861E-2"/>
    <n v="3.8674633351439431"/>
    <n v="0.61709026252484045"/>
    <n v="0.61709026252484045"/>
    <s v="T"/>
    <n v="3"/>
  </r>
  <r>
    <s v="PU-PP-203"/>
    <x v="4"/>
    <s v="I"/>
    <s v="S"/>
    <s v="G"/>
    <n v="75"/>
    <n v="71"/>
    <n v="7.5030000000000001"/>
    <n v="0.105"/>
    <n v="2.1999999999999999E-2"/>
    <s v="M40"/>
    <x v="2"/>
    <n v="40"/>
    <n v="0.35199999999999998"/>
    <n v="0.32"/>
    <s v="2 snail: 0.011"/>
    <s v="F"/>
    <m/>
    <m/>
    <m/>
    <m/>
    <m/>
    <m/>
    <m/>
    <m/>
    <m/>
    <m/>
    <m/>
    <m/>
    <m/>
    <m/>
    <m/>
    <m/>
    <m/>
    <m/>
    <n v="2"/>
    <n v="1.0999999999999999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.0999999999999999E-2"/>
    <d v="2021-07-07T00:00:00"/>
    <n v="7"/>
    <n v="7"/>
    <n v="2021"/>
    <x v="16"/>
    <x v="16"/>
    <x v="12"/>
    <m/>
    <n v="0.29407833177382703"/>
    <n v="1.4193025141930251"/>
    <n v="1.4235357917570499E-2"/>
    <n v="4.4549631073367673"/>
    <n v="0.42649606823937058"/>
    <n v="0.57310409169665422"/>
    <s v="T"/>
    <n v="3"/>
  </r>
  <r>
    <s v="PU-PP-204"/>
    <x v="4"/>
    <s v="I"/>
    <s v="I"/>
    <s v="G"/>
    <n v="97"/>
    <n v="92"/>
    <n v="18.006"/>
    <n v="0.26500000000000001"/>
    <n v="7.0999999999999994E-2"/>
    <s v="M40"/>
    <x v="2"/>
    <n v="40"/>
    <n v="2.4239999999999999"/>
    <n v="0.74299999999999999"/>
    <s v="2 fathead: 1.558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1.5580000000000001"/>
    <m/>
    <m/>
    <m/>
    <m/>
    <m/>
    <m/>
    <m/>
    <m/>
    <n v="1.5580000000000001"/>
    <d v="2021-07-07T00:00:00"/>
    <n v="7"/>
    <n v="7"/>
    <n v="2021"/>
    <x v="16"/>
    <x v="16"/>
    <x v="12"/>
    <m/>
    <n v="0.39587398940618901"/>
    <n v="1.4937151231610395"/>
    <n v="1.4997170345217886E-2"/>
    <n v="4.3040027805132359"/>
    <n v="9.335776963234478"/>
    <n v="17.988448295012773"/>
    <s v="T"/>
    <n v="3"/>
  </r>
  <r>
    <s v="PU-PP-205"/>
    <x v="4"/>
    <s v="I"/>
    <s v="I"/>
    <s v="G"/>
    <n v="97"/>
    <n v="91"/>
    <n v="14.802"/>
    <n v="0.23400000000000001"/>
    <n v="3.5000000000000003E-2"/>
    <s v="M40"/>
    <x v="2"/>
    <n v="40"/>
    <n v="1.2270000000000001"/>
    <n v="0.70299999999999996"/>
    <s v="3 odo: 0.485"/>
    <s v="F"/>
    <m/>
    <m/>
    <m/>
    <m/>
    <m/>
    <m/>
    <m/>
    <m/>
    <m/>
    <m/>
    <m/>
    <m/>
    <m/>
    <m/>
    <m/>
    <m/>
    <m/>
    <m/>
    <m/>
    <m/>
    <m/>
    <m/>
    <m/>
    <m/>
    <n v="3"/>
    <n v="0.48499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48499999999999999"/>
    <d v="2021-07-07T00:00:00"/>
    <n v="7"/>
    <n v="7"/>
    <n v="2021"/>
    <x v="16"/>
    <x v="16"/>
    <x v="12"/>
    <s v="SC kept"/>
    <n v="0.23701496580212639"/>
    <n v="1.6062602965403627"/>
    <n v="1.6101286726759791E-2"/>
    <n v="4.9861692318604156"/>
    <n v="3.5400621537630057"/>
    <n v="6.8166463991352524"/>
    <s v="T"/>
    <n v="3"/>
  </r>
  <r>
    <s v="PU-PP-206"/>
    <x v="4"/>
    <s v="I"/>
    <s v="S"/>
    <s v="G"/>
    <n v="82"/>
    <n v="78"/>
    <n v="10.766999999999999"/>
    <n v="0.192"/>
    <n v="0.06"/>
    <s v="M30-40"/>
    <x v="2"/>
    <s v="30-40"/>
    <n v="0.52200000000000002"/>
    <n v="0.46"/>
    <s v="NA (missed)"/>
    <s v="N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1-07-07T00:00:00"/>
    <n v="7"/>
    <n v="7"/>
    <n v="2021"/>
    <x v="16"/>
    <x v="16"/>
    <x v="12"/>
    <m/>
    <n v="0.56038105912020175"/>
    <n v="1.815602836879433"/>
    <n v="1.8259629101283884E-2"/>
    <n v="4.4629863199767161"/>
    <n v="0.57583356552428722"/>
    <n v="0.57583356552428722"/>
    <s v="T"/>
    <n v="3"/>
  </r>
  <r>
    <s v="PU-PP-207"/>
    <x v="4"/>
    <s v="I"/>
    <s v="S"/>
    <s v="G"/>
    <n v="72"/>
    <n v="68"/>
    <n v="6.5259999999999998"/>
    <n v="8.8999999999999996E-2"/>
    <n v="1.7000000000000001E-2"/>
    <s v="M40"/>
    <x v="2"/>
    <n v="40"/>
    <n v="0.28299999999999997"/>
    <n v="0.247"/>
    <s v="1 invert: 0.019"/>
    <s v="F"/>
    <m/>
    <m/>
    <n v="1"/>
    <n v="1.9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.9E-2"/>
    <s v="16/7/2021"/>
    <s v="16"/>
    <s v="7"/>
    <s v="2021"/>
    <x v="43"/>
    <x v="43"/>
    <x v="14"/>
    <m/>
    <n v="0.26117683207866033"/>
    <n v="1.3826316607115117"/>
    <n v="1.3862928348909658E-2"/>
    <n v="3.9337474120082816"/>
    <n v="0.55163959546429631"/>
    <n v="0.84278271529267512"/>
    <s v="T"/>
    <n v="3"/>
  </r>
  <r>
    <s v="PU-PP-208"/>
    <x v="4"/>
    <s v="I"/>
    <s v="B"/>
    <s v="N"/>
    <n v="111"/>
    <n v="106"/>
    <n v="26.744"/>
    <n v="0.45800000000000002"/>
    <n v="0.71499999999999997"/>
    <s v="F30"/>
    <x v="0"/>
    <n v="30"/>
    <n v="2.3959999999999999"/>
    <n v="1.2"/>
    <s v="1 red belly dace: 1.08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.08"/>
    <m/>
    <m/>
    <m/>
    <m/>
    <m/>
    <m/>
    <n v="1.08"/>
    <s v="16/7/2021"/>
    <s v="16"/>
    <s v="7"/>
    <s v="2021"/>
    <x v="43"/>
    <x v="43"/>
    <x v="14"/>
    <m/>
    <n v="2.7469361097237694"/>
    <n v="1.7423723655177661"/>
    <n v="1.7910914708067733E-2"/>
    <n v="4.6977763858440342"/>
    <n v="4.472031109781633"/>
    <n v="8.5103200717918028"/>
    <s v="T"/>
    <n v="3"/>
  </r>
  <r>
    <s v="PU-PP-209"/>
    <x v="4"/>
    <s v="I"/>
    <s v="I"/>
    <s v="G"/>
    <n v="105"/>
    <n v="100"/>
    <n v="21.074000000000002"/>
    <n v="0.40799999999999997"/>
    <n v="0.83"/>
    <s v="F30"/>
    <x v="0"/>
    <n v="30"/>
    <n v="1.929"/>
    <n v="1.0680000000000001"/>
    <s v="1 red belly dace: 0.733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0.73299999999999998"/>
    <m/>
    <m/>
    <m/>
    <m/>
    <m/>
    <m/>
    <n v="0.73299999999999998"/>
    <s v="16/7/2021"/>
    <s v="16"/>
    <s v="7"/>
    <s v="2021"/>
    <x v="43"/>
    <x v="43"/>
    <x v="14"/>
    <m/>
    <n v="4.0999802410590789"/>
    <n v="1.9742572341043259"/>
    <n v="2.0568663036902596E-2"/>
    <n v="5.3383984804558633"/>
    <n v="4.0856031128404666"/>
    <n v="7.5638227199392603"/>
    <s v="T"/>
    <n v="3"/>
  </r>
  <r>
    <s v="PU-PP-210"/>
    <x v="4"/>
    <s v="I"/>
    <s v="B"/>
    <s v="N"/>
    <n v="117"/>
    <n v="111"/>
    <n v="29.356999999999999"/>
    <n v="0.64100000000000001"/>
    <n v="0.10299999999999999"/>
    <s v="M40"/>
    <x v="2"/>
    <n v="40"/>
    <n v="3.3290000000000002"/>
    <n v="1.429"/>
    <s v="2 fathead: 1.721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1.7210000000000001"/>
    <m/>
    <m/>
    <m/>
    <m/>
    <m/>
    <m/>
    <m/>
    <m/>
    <n v="1.7210000000000001"/>
    <s v="16/7/2021"/>
    <s v="16"/>
    <s v="7"/>
    <s v="2021"/>
    <x v="43"/>
    <x v="43"/>
    <x v="14"/>
    <m/>
    <n v="0.35208860326792918"/>
    <n v="2.2322050424850257"/>
    <n v="2.2402404501450389E-2"/>
    <n v="5.1167287310226293"/>
    <n v="6.4720509588854451"/>
    <n v="12.334366590591683"/>
    <s v="T"/>
    <n v="3"/>
  </r>
  <r>
    <s v="PU-PP-211"/>
    <x v="4"/>
    <s v="I"/>
    <s v="I"/>
    <s v="G"/>
    <n v="103"/>
    <n v="97"/>
    <n v="21.884"/>
    <n v="0.28000000000000003"/>
    <n v="0.22700000000000001"/>
    <s v="F40"/>
    <x v="0"/>
    <n v="40"/>
    <n v="0.99399999999999999"/>
    <n v="0.92"/>
    <s v="1 invert: 0.042"/>
    <s v="F"/>
    <m/>
    <m/>
    <n v="1"/>
    <n v="4.2000000000000003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.2000000000000003E-2"/>
    <s v="16/7/2021"/>
    <s v="16"/>
    <s v="7"/>
    <s v="2021"/>
    <x v="43"/>
    <x v="43"/>
    <x v="14"/>
    <m/>
    <n v="1.0481599482846193"/>
    <n v="1.2960562858729867"/>
    <n v="1.3098189643074335E-2"/>
    <n v="4.3884754817782863"/>
    <n v="0.33814659111679746"/>
    <n v="0.53006762931822315"/>
    <s v="T"/>
    <n v="3"/>
  </r>
  <r>
    <s v="PU-PP-212"/>
    <x v="4"/>
    <s v="I"/>
    <s v="S"/>
    <s v="G"/>
    <n v="80"/>
    <n v="75"/>
    <n v="8.5449999999999999"/>
    <n v="0.16600000000000001"/>
    <n v="0.10199999999999999"/>
    <s v="F40"/>
    <x v="0"/>
    <n v="40"/>
    <n v="0.51200000000000001"/>
    <n v="0.41799999999999998"/>
    <s v="~5 inverts: 0.079"/>
    <s v="F"/>
    <m/>
    <m/>
    <n v="5"/>
    <n v="7.9000000000000001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.9000000000000001E-2"/>
    <s v="16/7/2021"/>
    <s v="16"/>
    <s v="7"/>
    <s v="2021"/>
    <x v="43"/>
    <x v="43"/>
    <x v="14"/>
    <m/>
    <n v="1.2081013857633542"/>
    <n v="1.9811433345267933"/>
    <n v="2.005557569167573E-2"/>
    <n v="5.1433493293958401"/>
    <n v="1.1000585137507319"/>
    <n v="2.0245757753071976"/>
    <s v="T"/>
    <n v="3"/>
  </r>
  <r>
    <s v="PU-PP-213"/>
    <x v="4"/>
    <s v="I"/>
    <s v="S"/>
    <s v="G"/>
    <n v="75"/>
    <n v="70"/>
    <n v="6.9530000000000003"/>
    <n v="8.5000000000000006E-2"/>
    <n v="0.16300000000000001"/>
    <s v="F30"/>
    <x v="0"/>
    <n v="30"/>
    <n v="0.22700000000000001"/>
    <n v="0.19500000000000001"/>
    <s v="~2 inverts: 0.013"/>
    <s v="F"/>
    <m/>
    <m/>
    <n v="2"/>
    <n v="1.2999999999999999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.2999999999999999E-2"/>
    <s v="16/7/2021"/>
    <s v="16"/>
    <s v="7"/>
    <s v="2021"/>
    <x v="43"/>
    <x v="43"/>
    <x v="14"/>
    <s v="Gonad parasites"/>
    <n v="2.4005891016200298"/>
    <n v="1.2376237623762376"/>
    <n v="1.2677106636838182E-2"/>
    <n v="2.8854690736904409"/>
    <n v="0.46023299295268233"/>
    <n v="0.64720264633970948"/>
    <s v="T"/>
    <n v="3"/>
  </r>
  <r>
    <s v="PU-PP-214"/>
    <x v="4"/>
    <s v="I"/>
    <s v="S"/>
    <s v="G"/>
    <n v="73"/>
    <n v="68"/>
    <n v="6.0750000000000002"/>
    <n v="7.5999999999999998E-2"/>
    <n v="6.6000000000000003E-2"/>
    <s v="F40"/>
    <x v="0"/>
    <n v="40"/>
    <n v="0.245"/>
    <n v="0.22700000000000001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6/7/2021"/>
    <s v="16"/>
    <s v="7"/>
    <s v="2021"/>
    <x v="43"/>
    <x v="43"/>
    <x v="14"/>
    <m/>
    <n v="1.0983524712930604"/>
    <n v="1.2668778129688278"/>
    <n v="1.2809708410584862E-2"/>
    <n v="3.8816689466484271"/>
    <n v="0.29629629629629611"/>
    <n v="0.29629629629629611"/>
    <s v="T"/>
    <n v="3"/>
  </r>
  <r>
    <s v="PU-PP-215"/>
    <x v="4"/>
    <s v="B"/>
    <s v="B"/>
    <s v="N"/>
    <n v="162"/>
    <n v="154"/>
    <n v="79.481999999999999"/>
    <n v="1.022"/>
    <n v="1.5580000000000001"/>
    <s v="F30"/>
    <x v="0"/>
    <n v="30"/>
    <n v="2.7970000000000002"/>
    <n v="2.7530000000000001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6/7/2021"/>
    <s v="16"/>
    <s v="7"/>
    <s v="2021"/>
    <x v="43"/>
    <x v="43"/>
    <x v="14"/>
    <m/>
    <n v="1.9993840151942923"/>
    <n v="1.3025745602854959"/>
    <n v="1.3289641361733117E-2"/>
    <n v="3.5879524039150774"/>
    <n v="5.5358445937445003E-2"/>
    <n v="5.5358445937445003E-2"/>
    <s v="T"/>
    <n v="3"/>
  </r>
  <r>
    <s v="PU-PP-216"/>
    <x v="4"/>
    <s v="I"/>
    <s v="I"/>
    <s v="G"/>
    <n v="85"/>
    <n v="80"/>
    <n v="10.91"/>
    <n v="0.218"/>
    <n v="0.17299999999999999"/>
    <s v="F30"/>
    <x v="0"/>
    <n v="30"/>
    <n v="0.47899999999999998"/>
    <n v="0.42799999999999999"/>
    <s v="1 mayfly: 0.021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2.1000000000000001E-2"/>
    <m/>
    <m/>
    <m/>
    <m/>
    <m/>
    <m/>
    <m/>
    <m/>
    <m/>
    <m/>
    <m/>
    <m/>
    <m/>
    <m/>
    <m/>
    <m/>
    <n v="2.1000000000000001E-2"/>
    <d v="2021-01-08T00:00:00"/>
    <n v="1"/>
    <n v="8"/>
    <n v="2021"/>
    <x v="17"/>
    <x v="17"/>
    <x v="13"/>
    <m/>
    <n v="1.6112508149389959"/>
    <n v="2.0389075944631503"/>
    <n v="2.072440346040498E-2"/>
    <n v="4.0831902308719714"/>
    <n v="0.46746104491292384"/>
    <n v="0.65994500458295136"/>
    <s v="T"/>
    <n v="3"/>
  </r>
  <r>
    <s v="PU-PP-217"/>
    <x v="4"/>
    <s v="I"/>
    <s v="S"/>
    <s v="G"/>
    <n v="78"/>
    <n v="75"/>
    <n v="7.7930000000000001"/>
    <n v="0.121"/>
    <n v="0.01"/>
    <s v="F40"/>
    <x v="0"/>
    <n v="40"/>
    <n v="0.45800000000000002"/>
    <n v="0.38400000000000001"/>
    <s v="caterpillar: 0.054"/>
    <s v="F"/>
    <m/>
    <m/>
    <m/>
    <m/>
    <n v="1"/>
    <n v="5.3999999999999999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.3999999999999999E-2"/>
    <d v="2021-01-08T00:00:00"/>
    <n v="1"/>
    <n v="8"/>
    <n v="2021"/>
    <x v="17"/>
    <x v="17"/>
    <x v="13"/>
    <m/>
    <n v="0.12848515996402415"/>
    <n v="1.5771637122002085"/>
    <n v="1.5792221352127381E-2"/>
    <n v="5.1828856795788907"/>
    <n v="0.94957012703708465"/>
    <n v="1.6424996791992816"/>
    <s v="T"/>
    <n v="2"/>
  </r>
  <r>
    <s v="PU-PP-218"/>
    <x v="4"/>
    <s v="I"/>
    <s v="S"/>
    <s v="G"/>
    <n v="82"/>
    <n v="78"/>
    <n v="9.3179999999999996"/>
    <n v="0.223"/>
    <n v="3.2000000000000001E-2"/>
    <s v="M40"/>
    <x v="2"/>
    <n v="40"/>
    <n v="0.52400000000000002"/>
    <n v="0.44400000000000001"/>
    <s v="6 chiro: 0.061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"/>
    <n v="6.0999999999999999E-2"/>
    <m/>
    <m/>
    <m/>
    <m/>
    <m/>
    <m/>
    <m/>
    <m/>
    <m/>
    <m/>
    <m/>
    <m/>
    <m/>
    <m/>
    <m/>
    <m/>
    <m/>
    <m/>
    <m/>
    <m/>
    <m/>
    <m/>
    <m/>
    <m/>
    <n v="6.0999999999999999E-2"/>
    <d v="2021-01-08T00:00:00"/>
    <n v="1"/>
    <n v="8"/>
    <n v="2021"/>
    <x v="17"/>
    <x v="17"/>
    <x v="13"/>
    <m/>
    <n v="0.34460478139134182"/>
    <n v="2.4518966465090712"/>
    <n v="2.4605539004744569E-2"/>
    <n v="5.0033806626098718"/>
    <n v="0.85855333762610031"/>
    <n v="1.5132002575660015"/>
    <s v="T"/>
    <n v="3"/>
  </r>
  <r>
    <s v="PU-PP-219"/>
    <x v="4"/>
    <s v="I"/>
    <s v="I"/>
    <s v="G"/>
    <n v="103"/>
    <n v="97"/>
    <n v="20.375"/>
    <n v="0.28100000000000003"/>
    <n v="0.2"/>
    <s v="F40"/>
    <x v="0"/>
    <n v="40"/>
    <n v="1.67"/>
    <n v="0.76600000000000001"/>
    <s v="1 RBD: 0.826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0.82599999999999996"/>
    <m/>
    <m/>
    <m/>
    <m/>
    <m/>
    <m/>
    <n v="0.82599999999999996"/>
    <d v="2021-01-08T00:00:00"/>
    <n v="1"/>
    <n v="8"/>
    <n v="2021"/>
    <x v="17"/>
    <x v="17"/>
    <x v="13"/>
    <m/>
    <n v="0.99132589838909546"/>
    <n v="1.398427391261073"/>
    <n v="1.4124861767367046E-2"/>
    <n v="3.9063695241980723"/>
    <n v="4.4368098159509195"/>
    <n v="8.4907975460122707"/>
    <s v="T"/>
    <n v="3"/>
  </r>
  <r>
    <s v="PU-PP-220"/>
    <x v="4"/>
    <s v="I"/>
    <s v="S"/>
    <s v="G"/>
    <n v="77"/>
    <n v="72"/>
    <n v="8.02"/>
    <n v="0.13600000000000001"/>
    <n v="1.4E-2"/>
    <s v="M40"/>
    <x v="2"/>
    <n v="40"/>
    <n v="0.56299999999999994"/>
    <n v="0.47399999999999998"/>
    <s v="inverts: 0.067"/>
    <s v="F"/>
    <m/>
    <m/>
    <n v="1"/>
    <n v="6.7000000000000004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.7000000000000004E-2"/>
    <d v="2021-01-08T00:00:00"/>
    <n v="1"/>
    <n v="8"/>
    <n v="2021"/>
    <x v="17"/>
    <x v="17"/>
    <x v="13"/>
    <m/>
    <n v="0.17486884836372721"/>
    <n v="1.7250126839167939"/>
    <n v="1.728081321473952E-2"/>
    <n v="6.281473628412404"/>
    <n v="1.1097256857855358"/>
    <n v="1.9451371571072316"/>
    <s v="T"/>
    <n v="3"/>
  </r>
  <r>
    <s v="PU-PP-221"/>
    <x v="4"/>
    <s v="I"/>
    <s v="B"/>
    <s v="N"/>
    <n v="130"/>
    <n v="123"/>
    <n v="45.168999999999997"/>
    <n v="0.51400000000000001"/>
    <n v="0.498"/>
    <s v="M40"/>
    <x v="2"/>
    <n v="40"/>
    <n v="6.508"/>
    <n v="1.8720000000000001"/>
    <s v="1 fathead: 2.467; 1 RBD: 1.579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2.4670000000000001"/>
    <n v="1"/>
    <n v="1.579"/>
    <m/>
    <m/>
    <m/>
    <m/>
    <m/>
    <m/>
    <n v="4.0460000000000003"/>
    <d v="2021-01-08T00:00:00"/>
    <n v="1"/>
    <n v="8"/>
    <n v="2021"/>
    <x v="17"/>
    <x v="17"/>
    <x v="13"/>
    <m/>
    <n v="1.1148172192250005"/>
    <n v="1.1510469152390552"/>
    <n v="1.1640283533754559E-2"/>
    <n v="4.3236251934314165"/>
    <n v="10.263676415240543"/>
    <n v="19.221147247005693"/>
    <s v="T"/>
    <n v="3"/>
  </r>
  <r>
    <s v="PU-PP-222"/>
    <x v="4"/>
    <s v="I"/>
    <s v="S"/>
    <s v="G"/>
    <n v="83"/>
    <n v="79"/>
    <n v="10.679"/>
    <n v="0.27"/>
    <n v="4.5999999999999999E-2"/>
    <s v="M30"/>
    <x v="2"/>
    <n v="30"/>
    <n v="0.48299999999999998"/>
    <n v="0.372"/>
    <s v="6 inverts: 0.059"/>
    <s v="F"/>
    <m/>
    <m/>
    <n v="6"/>
    <n v="5.8999999999999997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.8999999999999997E-2"/>
    <d v="2021-01-08T00:00:00"/>
    <n v="1"/>
    <n v="8"/>
    <n v="2021"/>
    <x v="17"/>
    <x v="17"/>
    <x v="13"/>
    <m/>
    <n v="0.43261544249036016"/>
    <n v="2.5939091171101931"/>
    <n v="2.6054231400173693E-2"/>
    <n v="3.6091976326768216"/>
    <n v="1.0394231669631988"/>
    <n v="1.5919093548085024"/>
    <s v="T"/>
    <n v="3"/>
  </r>
  <r>
    <s v="PU-PP-223"/>
    <x v="4"/>
    <s v="I"/>
    <s v="S"/>
    <s v="G"/>
    <n v="79"/>
    <n v="74"/>
    <n v="8.6980000000000004"/>
    <n v="0.14099999999999999"/>
    <n v="3.2000000000000001E-2"/>
    <s v="M40"/>
    <x v="2"/>
    <n v="40"/>
    <n v="0.42"/>
    <n v="0.38"/>
    <s v="4 chiro: 0.022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2.1999999999999999E-2"/>
    <m/>
    <m/>
    <m/>
    <m/>
    <m/>
    <m/>
    <m/>
    <m/>
    <m/>
    <m/>
    <m/>
    <m/>
    <m/>
    <m/>
    <m/>
    <m/>
    <m/>
    <m/>
    <m/>
    <m/>
    <m/>
    <m/>
    <m/>
    <m/>
    <n v="2.1999999999999999E-2"/>
    <d v="2021-01-08T00:00:00"/>
    <n v="1"/>
    <n v="8"/>
    <n v="2021"/>
    <x v="17"/>
    <x v="17"/>
    <x v="13"/>
    <m/>
    <n v="0.36925917378259865"/>
    <n v="1.6477737524833467"/>
    <n v="1.6539589442815247E-2"/>
    <n v="4.5684058667949028"/>
    <n v="0.45987583352494799"/>
    <n v="0.71280754196366958"/>
    <s v="T"/>
    <n v="3"/>
  </r>
  <r>
    <s v="PU-PP-224"/>
    <x v="4"/>
    <s v="I"/>
    <s v="S"/>
    <s v="G"/>
    <n v="73"/>
    <n v="67"/>
    <n v="6.47"/>
    <n v="9.1999999999999998E-2"/>
    <n v="8.9999999999999993E-3"/>
    <s v="M40"/>
    <x v="2"/>
    <n v="40"/>
    <n v="0.32400000000000001"/>
    <n v="0.27500000000000002"/>
    <s v="~25 zoops: 0.014"/>
    <s v="F"/>
    <m/>
    <m/>
    <m/>
    <m/>
    <m/>
    <m/>
    <m/>
    <m/>
    <m/>
    <m/>
    <m/>
    <m/>
    <m/>
    <m/>
    <m/>
    <m/>
    <m/>
    <m/>
    <m/>
    <m/>
    <m/>
    <m/>
    <n v="25"/>
    <n v="1.4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.4E-2"/>
    <d v="2021-01-08T00:00:00"/>
    <n v="1"/>
    <n v="8"/>
    <n v="2021"/>
    <x v="17"/>
    <x v="17"/>
    <x v="13"/>
    <m/>
    <n v="0.13929732239591394"/>
    <n v="1.4424584509250549"/>
    <n v="1.444496781284346E-2"/>
    <n v="4.4390637610976595"/>
    <n v="0.75734157650695499"/>
    <n v="0.97372488408037083"/>
    <s v="T"/>
    <n v="3"/>
  </r>
  <r>
    <s v="PU-PP-225"/>
    <x v="4"/>
    <s v="I"/>
    <s v="S"/>
    <s v="G"/>
    <n v="80"/>
    <n v="76"/>
    <n v="8.968"/>
    <n v="0.127"/>
    <n v="3.5999999999999997E-2"/>
    <s v="M30"/>
    <x v="2"/>
    <n v="30"/>
    <n v="0.38"/>
    <n v="0.35299999999999998"/>
    <s v="1 damsel: 0.009"/>
    <s v="F"/>
    <m/>
    <m/>
    <m/>
    <m/>
    <m/>
    <m/>
    <m/>
    <m/>
    <m/>
    <m/>
    <m/>
    <m/>
    <m/>
    <m/>
    <m/>
    <m/>
    <m/>
    <m/>
    <m/>
    <m/>
    <m/>
    <m/>
    <m/>
    <m/>
    <m/>
    <m/>
    <n v="1"/>
    <n v="8.9999999999999993E-3"/>
    <m/>
    <m/>
    <m/>
    <m/>
    <m/>
    <m/>
    <m/>
    <m/>
    <m/>
    <m/>
    <m/>
    <m/>
    <m/>
    <m/>
    <m/>
    <m/>
    <m/>
    <m/>
    <m/>
    <m/>
    <m/>
    <m/>
    <m/>
    <m/>
    <m/>
    <m/>
    <m/>
    <m/>
    <n v="8.9999999999999993E-3"/>
    <d v="2021-01-08T00:00:00"/>
    <n v="1"/>
    <n v="8"/>
    <n v="2021"/>
    <x v="17"/>
    <x v="17"/>
    <x v="13"/>
    <m/>
    <n v="0.40304523063143743"/>
    <n v="1.4364890849451422"/>
    <n v="1.4423622941510506E-2"/>
    <n v="4.097504352872896"/>
    <n v="0.3010704727921501"/>
    <n v="0.40142729705620006"/>
    <s v="T"/>
    <n v="3"/>
  </r>
  <r>
    <s v="PU-PP-226"/>
    <x v="4"/>
    <s v="I"/>
    <s v="S"/>
    <s v="G"/>
    <n v="81"/>
    <n v="72"/>
    <n v="8.6969999999999992"/>
    <n v="0.123"/>
    <n v="0.03"/>
    <s v="M40"/>
    <x v="2"/>
    <n v="40"/>
    <n v="0.36099999999999999"/>
    <n v="0.27"/>
    <s v="9 chiro: 0.038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9"/>
    <n v="3.7999999999999999E-2"/>
    <m/>
    <m/>
    <m/>
    <m/>
    <m/>
    <m/>
    <m/>
    <m/>
    <m/>
    <m/>
    <m/>
    <m/>
    <m/>
    <m/>
    <m/>
    <m/>
    <m/>
    <m/>
    <m/>
    <m/>
    <m/>
    <m/>
    <m/>
    <m/>
    <n v="3.7999999999999999E-2"/>
    <d v="2021-01-08T00:00:00"/>
    <n v="1"/>
    <n v="8"/>
    <n v="2021"/>
    <x v="17"/>
    <x v="17"/>
    <x v="13"/>
    <m/>
    <n v="0.3461405330564209"/>
    <n v="1.4345696291112666"/>
    <n v="1.4396067415730336E-2"/>
    <n v="3.2039871840512641"/>
    <n v="1.0463378176382658"/>
    <n v="1.483270093135564"/>
    <s v="T"/>
    <n v="3"/>
  </r>
  <r>
    <s v="PU-PP-227"/>
    <x v="4"/>
    <s v="I"/>
    <s v="S"/>
    <s v="G"/>
    <n v="79"/>
    <n v="72"/>
    <n v="8.3040000000000003"/>
    <n v="0.16500000000000001"/>
    <n v="1.6E-2"/>
    <s v="M40"/>
    <x v="2"/>
    <n v="40"/>
    <n v="0.42"/>
    <n v="0.30599999999999999"/>
    <s v="17 chiro: 0.066; 1 mayfly: 0.008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7"/>
    <n v="6.6000000000000003E-2"/>
    <m/>
    <m/>
    <m/>
    <m/>
    <m/>
    <m/>
    <n v="1"/>
    <n v="8.0000000000000002E-3"/>
    <m/>
    <m/>
    <m/>
    <m/>
    <m/>
    <m/>
    <m/>
    <m/>
    <m/>
    <m/>
    <m/>
    <m/>
    <m/>
    <m/>
    <m/>
    <m/>
    <n v="7.400000000000001E-2"/>
    <d v="2021-01-08T00:00:00"/>
    <n v="1"/>
    <n v="8"/>
    <n v="2021"/>
    <x v="17"/>
    <x v="17"/>
    <x v="13"/>
    <m/>
    <n v="0.19305019305019305"/>
    <n v="2.0272760781422776"/>
    <n v="2.031269235504124E-2"/>
    <n v="3.8259564891222806"/>
    <n v="1.3728323699421963"/>
    <n v="2.2639691714836223"/>
    <s v="T"/>
    <n v="3"/>
  </r>
  <r>
    <m/>
    <x v="5"/>
    <m/>
    <m/>
    <m/>
    <m/>
    <m/>
    <m/>
    <m/>
    <m/>
    <m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7"/>
    <x v="47"/>
    <x v="15"/>
    <m/>
    <m/>
    <m/>
    <m/>
    <m/>
    <m/>
    <m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64">
  <r>
    <x v="0"/>
    <x v="0"/>
    <s v="I"/>
    <s v="I"/>
    <x v="0"/>
    <n v="99"/>
    <n v="94"/>
    <n v="18.614000000000001"/>
    <n v="0.36199999999999999"/>
    <n v="0.19400000000000001"/>
    <s v="F22"/>
    <x v="0"/>
    <n v="22"/>
    <n v="0.88300000000000001"/>
    <n v="0.79400000000000004"/>
    <s v="Odonate larvae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8/12/2020"/>
    <s v="18"/>
    <s v="12"/>
    <s v="2020"/>
    <x v="0"/>
    <n v="353"/>
    <x v="0"/>
    <s v="NA"/>
    <n v="1.0532030401737242"/>
    <n v="1.9833442910365984"/>
    <n v="2.0046516779266805"/>
    <n v="4.4556677890011231"/>
    <n v="0.47813473729450934"/>
    <m/>
    <m/>
    <m/>
    <m/>
    <m/>
    <m/>
    <m/>
    <m/>
    <m/>
    <m/>
    <m/>
    <m/>
  </r>
  <r>
    <x v="1"/>
    <x v="0"/>
    <s v="I"/>
    <s v="I"/>
    <x v="0"/>
    <n v="88"/>
    <n v="84"/>
    <n v="10.99"/>
    <n v="0.157"/>
    <n v="0.14199999999999999"/>
    <s v="F22"/>
    <x v="0"/>
    <n v="22"/>
    <n v="0.499"/>
    <n v="0.45500000000000002"/>
    <s v="Inverts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8/12/2020"/>
    <s v="18"/>
    <s v="12"/>
    <s v="2020"/>
    <x v="0"/>
    <n v="353"/>
    <x v="0"/>
    <s v="NA"/>
    <n v="1.3089970501474923"/>
    <n v="1.4492753623188406"/>
    <n v="1.4685249275091197"/>
    <n v="4.1401273885350314"/>
    <n v="0.40036396724294798"/>
    <m/>
    <m/>
    <m/>
    <m/>
    <m/>
    <m/>
    <m/>
    <m/>
    <m/>
    <m/>
    <m/>
    <m/>
  </r>
  <r>
    <x v="2"/>
    <x v="0"/>
    <s v="I"/>
    <s v="I"/>
    <x v="0"/>
    <n v="97"/>
    <n v="91"/>
    <n v="16.861000000000001"/>
    <n v="0.38400000000000001"/>
    <n v="0.23899999999999999"/>
    <s v="F22"/>
    <x v="0"/>
    <n v="22"/>
    <n v="0.84"/>
    <n v="0.79200000000000004"/>
    <s v="Inerts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8/12/2020"/>
    <s v="18"/>
    <s v="12"/>
    <s v="2020"/>
    <x v="0"/>
    <n v="353"/>
    <x v="0"/>
    <s v="NA"/>
    <n v="1.4378534472385993"/>
    <n v="2.3305213327668874"/>
    <n v="2.3648232540953322"/>
    <n v="4.6972302947630631"/>
    <n v="0.28468062392503368"/>
    <m/>
    <m/>
    <m/>
    <m/>
    <m/>
    <m/>
    <m/>
    <m/>
    <m/>
    <m/>
    <m/>
    <m/>
  </r>
  <r>
    <x v="3"/>
    <x v="0"/>
    <s v="I"/>
    <s v="S"/>
    <x v="0"/>
    <n v="71"/>
    <n v="67"/>
    <n v="5.298"/>
    <m/>
    <m/>
    <m/>
    <x v="1"/>
    <m/>
    <m/>
    <m/>
    <m/>
    <s v="N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8/12/2020"/>
    <s v="18"/>
    <s v="12"/>
    <s v="2020"/>
    <x v="0"/>
    <n v="353"/>
    <x v="0"/>
    <s v="Too small/squished"/>
    <m/>
    <m/>
    <m/>
    <m/>
    <m/>
    <m/>
    <m/>
    <m/>
    <m/>
    <m/>
    <m/>
    <m/>
    <m/>
    <m/>
    <m/>
    <m/>
    <m/>
  </r>
  <r>
    <x v="4"/>
    <x v="0"/>
    <s v="I"/>
    <s v="S"/>
    <x v="0"/>
    <n v="74"/>
    <n v="70"/>
    <n v="6.5529999999999999"/>
    <n v="0.122"/>
    <n v="8.8999999999999996E-2"/>
    <s v="F22"/>
    <x v="0"/>
    <n v="22"/>
    <n v="0.28100000000000003"/>
    <n v="0.26900000000000002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8/12/2020"/>
    <s v="18"/>
    <s v="12"/>
    <s v="2020"/>
    <x v="0"/>
    <n v="353"/>
    <x v="0"/>
    <s v="NA"/>
    <n v="1.3768564356435644"/>
    <n v="1.8970611102472401"/>
    <n v="1.9236833806370228"/>
    <n v="4.104990080878987"/>
    <n v="0.18312223409125608"/>
    <m/>
    <m/>
    <m/>
    <m/>
    <m/>
    <m/>
    <m/>
    <m/>
    <m/>
    <m/>
    <m/>
    <m/>
  </r>
  <r>
    <x v="5"/>
    <x v="0"/>
    <s v="I"/>
    <s v="S"/>
    <x v="0"/>
    <n v="72"/>
    <n v="67"/>
    <n v="6.0449999999999999"/>
    <n v="0.155"/>
    <n v="5.0000000000000001E-3"/>
    <s v="M22"/>
    <x v="2"/>
    <n v="22"/>
    <n v="0.28599999999999998"/>
    <n v="0.26100000000000001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8/12/2020"/>
    <s v="18"/>
    <s v="12"/>
    <s v="2020"/>
    <x v="0"/>
    <n v="353"/>
    <x v="0"/>
    <s v="Gonads very small"/>
    <n v="8.2781456953642391E-2"/>
    <n v="2.6315789473684212"/>
    <n v="2.6338147833474936"/>
    <n v="4.3176178660049631"/>
    <n v="0.41356492969396141"/>
    <m/>
    <m/>
    <m/>
    <m/>
    <m/>
    <m/>
    <m/>
    <m/>
    <m/>
    <m/>
    <m/>
    <m/>
  </r>
  <r>
    <x v="6"/>
    <x v="0"/>
    <s v="I"/>
    <s v="I"/>
    <x v="0"/>
    <n v="89"/>
    <n v="83"/>
    <n v="11.509"/>
    <n v="0.22500000000000001"/>
    <n v="1.2999999999999999E-2"/>
    <s v="M22"/>
    <x v="2"/>
    <n v="22"/>
    <n v="0.51100000000000001"/>
    <n v="0.49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8/12/2020"/>
    <s v="18"/>
    <s v="12"/>
    <s v="2020"/>
    <x v="0"/>
    <n v="353"/>
    <x v="0"/>
    <s v="NA"/>
    <n v="0.11308281141266527"/>
    <n v="1.9939737681673164"/>
    <n v="1.9962736225712003"/>
    <n v="4.2575375792857768"/>
    <n v="0.18246589625510484"/>
    <m/>
    <m/>
    <m/>
    <m/>
    <m/>
    <m/>
    <m/>
    <m/>
    <m/>
    <m/>
    <m/>
    <m/>
  </r>
  <r>
    <x v="7"/>
    <x v="0"/>
    <s v="I"/>
    <s v="S"/>
    <x v="0"/>
    <n v="84"/>
    <n v="79"/>
    <n v="10.654999999999999"/>
    <n v="0.17599999999999999"/>
    <n v="0.153"/>
    <s v="F22"/>
    <x v="0"/>
    <n v="22"/>
    <n v="0.35499999999999998"/>
    <n v="0.34499999999999997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8/12/2020"/>
    <s v="18"/>
    <s v="12"/>
    <s v="2020"/>
    <x v="0"/>
    <n v="353"/>
    <x v="0"/>
    <s v="NA"/>
    <n v="1.4568653589792422"/>
    <n v="1.6795495753411585"/>
    <n v="1.7044354057718383"/>
    <n v="3.2379164711403097"/>
    <n v="9.3852651337400381E-2"/>
    <m/>
    <m/>
    <m/>
    <m/>
    <m/>
    <m/>
    <m/>
    <m/>
    <m/>
    <m/>
    <m/>
    <m/>
  </r>
  <r>
    <x v="8"/>
    <x v="0"/>
    <s v="I"/>
    <s v="S"/>
    <x v="0"/>
    <n v="74"/>
    <n v="70"/>
    <n v="7.3179999999999996"/>
    <n v="0.121"/>
    <n v="0.10299999999999999"/>
    <s v="F22"/>
    <x v="0"/>
    <n v="22"/>
    <n v="0.33300000000000002"/>
    <n v="0.31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8/12/2020"/>
    <s v="18"/>
    <s v="12"/>
    <s v="2020"/>
    <x v="0"/>
    <n v="353"/>
    <x v="0"/>
    <s v="NA"/>
    <n v="1.4275814275814276"/>
    <n v="1.681256078921773"/>
    <n v="1.7056667606427969"/>
    <n v="4.2361300901885768"/>
    <n v="0.31429352282044304"/>
    <m/>
    <m/>
    <m/>
    <m/>
    <m/>
    <m/>
    <m/>
    <m/>
    <m/>
    <m/>
    <m/>
    <m/>
  </r>
  <r>
    <x v="9"/>
    <x v="0"/>
    <s v="I"/>
    <s v="S"/>
    <x v="0"/>
    <n v="71"/>
    <n v="62"/>
    <n v="5.6109999999999998"/>
    <n v="0.12"/>
    <n v="2E-3"/>
    <s v="M22"/>
    <x v="2"/>
    <n v="22"/>
    <n v="0.27400000000000002"/>
    <n v="0.23400000000000001"/>
    <s v="Inverts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8/12/2020"/>
    <s v="18"/>
    <s v="12"/>
    <s v="2020"/>
    <x v="0"/>
    <n v="353"/>
    <x v="0"/>
    <s v="Gonads very small"/>
    <n v="3.5656979853806385E-2"/>
    <n v="2.1853942815516301"/>
    <n v="2.1861905629440699"/>
    <n v="4.170379611477455"/>
    <n v="0.71288540367136"/>
    <m/>
    <m/>
    <m/>
    <m/>
    <m/>
    <m/>
    <m/>
    <m/>
    <m/>
    <m/>
    <m/>
    <m/>
  </r>
  <r>
    <x v="10"/>
    <x v="0"/>
    <s v="I"/>
    <s v="I"/>
    <x v="0"/>
    <n v="86"/>
    <n v="81"/>
    <n v="11.8"/>
    <n v="0.24099999999999999"/>
    <n v="0.182"/>
    <s v="F22"/>
    <x v="0"/>
    <n v="22"/>
    <n v="0.77500000000000002"/>
    <n v="0.502"/>
    <s v="Leech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9/12/2020"/>
    <s v="19"/>
    <s v="12"/>
    <s v="2020"/>
    <x v="1"/>
    <n v="353"/>
    <x v="0"/>
    <s v="NA"/>
    <n v="1.5665346875537958"/>
    <n v="2.084955445972835"/>
    <n v="2.1183088687703258"/>
    <n v="4.2542372881355925"/>
    <n v="2.3135593220338984"/>
    <m/>
    <m/>
    <m/>
    <m/>
    <m/>
    <m/>
    <m/>
    <m/>
    <m/>
    <m/>
    <m/>
    <m/>
  </r>
  <r>
    <x v="11"/>
    <x v="0"/>
    <s v="I"/>
    <s v="S"/>
    <x v="0"/>
    <n v="82"/>
    <n v="77"/>
    <n v="9.0229999999999997"/>
    <n v="0.20799999999999999"/>
    <n v="0.125"/>
    <s v="F22"/>
    <x v="0"/>
    <n v="22"/>
    <n v="0.436"/>
    <n v="0.40100000000000002"/>
    <s v="Inverts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9/12/2020"/>
    <s v="19"/>
    <s v="12"/>
    <s v="2020"/>
    <x v="1"/>
    <n v="353"/>
    <x v="0"/>
    <s v="NA"/>
    <n v="1.4048100696785795"/>
    <n v="2.3596142938173568"/>
    <n v="2.3935558112773303"/>
    <n v="4.4441981602571214"/>
    <n v="0.3878975950349105"/>
    <m/>
    <m/>
    <m/>
    <m/>
    <m/>
    <m/>
    <m/>
    <m/>
    <m/>
    <m/>
    <m/>
    <m/>
  </r>
  <r>
    <x v="12"/>
    <x v="0"/>
    <s v="I"/>
    <s v="IMM"/>
    <x v="0"/>
    <n v="61"/>
    <n v="57"/>
    <n v="3.4380000000000002"/>
    <n v="7.4999999999999997E-2"/>
    <n v="5.0000000000000001E-3"/>
    <s v="M22"/>
    <x v="2"/>
    <n v="22"/>
    <n v="0.14000000000000001"/>
    <n v="0.13400000000000001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8/01/2021"/>
    <s v="18"/>
    <s v="01"/>
    <s v="2021"/>
    <x v="2"/>
    <n v="18"/>
    <x v="1"/>
    <s v="Trapped"/>
    <n v="0.14564520827264782"/>
    <n v="2.2301516503122212"/>
    <n v="2.2334723049434189"/>
    <n v="3.8976148923792904"/>
    <n v="0.17452006980802809"/>
    <m/>
    <s v="T"/>
    <m/>
    <m/>
    <m/>
    <m/>
    <m/>
    <m/>
    <m/>
    <m/>
    <m/>
    <m/>
  </r>
  <r>
    <x v="13"/>
    <x v="0"/>
    <s v="I"/>
    <s v="S"/>
    <x v="0"/>
    <n v="73"/>
    <n v="70"/>
    <n v="6.5380000000000003"/>
    <n v="0.156"/>
    <n v="7.0000000000000001E-3"/>
    <s v="M22"/>
    <x v="2"/>
    <n v="22"/>
    <n v="0.28199999999999997"/>
    <n v="0.27200000000000002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8/01/2021"/>
    <s v="18"/>
    <s v="01"/>
    <s v="2021"/>
    <x v="2"/>
    <n v="18"/>
    <x v="1"/>
    <s v="Trapped"/>
    <n v="0.10718113612004287"/>
    <n v="2.4443748041366344"/>
    <n v="2.4470588235294115"/>
    <n v="4.1602936677883147"/>
    <n v="0.15295197308045203"/>
    <m/>
    <s v="T"/>
    <m/>
    <m/>
    <m/>
    <m/>
    <m/>
    <m/>
    <m/>
    <m/>
    <m/>
    <m/>
  </r>
  <r>
    <x v="14"/>
    <x v="0"/>
    <s v="S"/>
    <s v="IMM"/>
    <x v="1"/>
    <n v="59"/>
    <n v="55"/>
    <n v="3.056"/>
    <n v="5.3999999999999999E-2"/>
    <n v="7.0000000000000001E-3"/>
    <s v="M22"/>
    <x v="2"/>
    <n v="22"/>
    <n v="0.10100000000000001"/>
    <n v="9.7000000000000003E-2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8/01/2021"/>
    <s v="18"/>
    <s v="01"/>
    <s v="2021"/>
    <x v="2"/>
    <n v="18"/>
    <x v="1"/>
    <s v="Trapped"/>
    <n v="0.22958346999016072"/>
    <n v="1.7988007994670219"/>
    <n v="1.8030050083472453"/>
    <n v="3.174083769633508"/>
    <n v="0.13089005235602105"/>
    <m/>
    <s v="T"/>
    <m/>
    <m/>
    <m/>
    <m/>
    <m/>
    <m/>
    <m/>
    <m/>
    <m/>
    <m/>
  </r>
  <r>
    <x v="15"/>
    <x v="0"/>
    <s v="I"/>
    <s v="IMM"/>
    <x v="0"/>
    <n v="63"/>
    <n v="59"/>
    <n v="4.1020000000000003"/>
    <n v="6.5000000000000002E-2"/>
    <n v="5.3999999999999999E-2"/>
    <s v="F22"/>
    <x v="0"/>
    <n v="22"/>
    <n v="0.14899999999999999"/>
    <n v="0.14299999999999999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8/01/2021"/>
    <s v="18"/>
    <s v="01"/>
    <s v="2021"/>
    <x v="2"/>
    <n v="18"/>
    <x v="1"/>
    <s v="Trapped"/>
    <n v="1.3339920948616599"/>
    <n v="1.6101065147386673"/>
    <n v="1.631935726839066"/>
    <n v="3.4861043393466593"/>
    <n v="0.14627011214041943"/>
    <m/>
    <s v="T"/>
    <m/>
    <m/>
    <m/>
    <m/>
    <m/>
    <m/>
    <m/>
    <m/>
    <m/>
    <m/>
  </r>
  <r>
    <x v="16"/>
    <x v="0"/>
    <s v="S"/>
    <s v="IMM"/>
    <x v="1"/>
    <n v="55"/>
    <n v="51"/>
    <n v="2.548"/>
    <n v="0.04"/>
    <n v="4.2999999999999997E-2"/>
    <s v="F22"/>
    <x v="0"/>
    <n v="22"/>
    <n v="9.8000000000000004E-2"/>
    <n v="9.2999999999999999E-2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8/01/2021"/>
    <s v="18"/>
    <s v="01"/>
    <s v="2021"/>
    <x v="2"/>
    <n v="18"/>
    <x v="1"/>
    <s v="Trapped"/>
    <n v="1.7165668662674649"/>
    <n v="1.5948963317384368"/>
    <n v="1.6227180527383367"/>
    <n v="3.6499215070643638"/>
    <n v="0.19623233908948209"/>
    <m/>
    <s v="T"/>
    <m/>
    <m/>
    <m/>
    <m/>
    <m/>
    <m/>
    <m/>
    <m/>
    <m/>
    <m/>
  </r>
  <r>
    <x v="17"/>
    <x v="0"/>
    <s v="I"/>
    <s v="IMM"/>
    <x v="0"/>
    <n v="63"/>
    <n v="60"/>
    <n v="4.3"/>
    <n v="9.4E-2"/>
    <n v="5.3999999999999999E-2"/>
    <s v="F22"/>
    <x v="0"/>
    <n v="22"/>
    <n v="0.157"/>
    <n v="0.151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8/01/2021"/>
    <s v="18"/>
    <s v="01"/>
    <s v="2021"/>
    <x v="2"/>
    <n v="18"/>
    <x v="1"/>
    <s v="Trapped"/>
    <n v="1.2717852096090438"/>
    <n v="2.234902520209225"/>
    <n v="2.2639691714836228"/>
    <n v="3.5116279069767442"/>
    <n v="0.13953488372093037"/>
    <m/>
    <s v="T"/>
    <m/>
    <m/>
    <m/>
    <m/>
    <m/>
    <m/>
    <m/>
    <m/>
    <m/>
    <m/>
  </r>
  <r>
    <x v="18"/>
    <x v="0"/>
    <s v="I"/>
    <s v="S"/>
    <x v="0"/>
    <n v="83"/>
    <n v="78"/>
    <n v="9.3699999999999992"/>
    <n v="0.20200000000000001"/>
    <n v="1.0999999999999999E-2"/>
    <s v="M22"/>
    <x v="2"/>
    <n v="22"/>
    <n v="0.439"/>
    <n v="0.42299999999999999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8/01/2021"/>
    <s v="18"/>
    <s v="01"/>
    <s v="2021"/>
    <x v="2"/>
    <n v="18"/>
    <x v="1"/>
    <s v="Trapped"/>
    <n v="0.11753392456459023"/>
    <n v="2.2033158813263531"/>
    <n v="2.205962651523425"/>
    <n v="4.5144076840981855"/>
    <n v="0.17075773745997883"/>
    <m/>
    <s v="T"/>
    <m/>
    <m/>
    <m/>
    <m/>
    <m/>
    <m/>
    <m/>
    <m/>
    <m/>
    <m/>
  </r>
  <r>
    <x v="19"/>
    <x v="0"/>
    <s v="S"/>
    <s v="IMM"/>
    <x v="1"/>
    <n v="53"/>
    <n v="49"/>
    <n v="2.052"/>
    <n v="0.05"/>
    <n v="0.03"/>
    <s v="F22"/>
    <x v="0"/>
    <n v="22"/>
    <n v="8.3000000000000004E-2"/>
    <n v="7.9000000000000001E-2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8/01/2021"/>
    <s v="18"/>
    <s v="01"/>
    <s v="2021"/>
    <x v="2"/>
    <n v="18"/>
    <x v="1"/>
    <s v="Trapped"/>
    <n v="1.4836795252225516"/>
    <n v="2.4975024975024973"/>
    <n v="2.5354969574036512"/>
    <n v="3.8499025341130602"/>
    <n v="0.19493177387914246"/>
    <m/>
    <s v="T"/>
    <m/>
    <m/>
    <m/>
    <m/>
    <m/>
    <m/>
    <m/>
    <m/>
    <m/>
    <m/>
  </r>
  <r>
    <x v="20"/>
    <x v="0"/>
    <s v="S"/>
    <s v="IMM"/>
    <x v="1"/>
    <n v="59"/>
    <n v="55"/>
    <n v="3.3660000000000001"/>
    <n v="7.5999999999999998E-2"/>
    <n v="8.0000000000000002E-3"/>
    <s v="M22"/>
    <x v="2"/>
    <n v="22"/>
    <n v="0.13200000000000001"/>
    <n v="0.129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8/01/2021"/>
    <s v="18"/>
    <s v="01"/>
    <s v="2021"/>
    <x v="2"/>
    <n v="18"/>
    <x v="1"/>
    <s v="Trapped"/>
    <n v="0.2382370458606313"/>
    <n v="2.3100303951367778"/>
    <n v="2.3156611822059721"/>
    <n v="3.832442067736185"/>
    <n v="8.9126559714795092E-2"/>
    <m/>
    <s v="T"/>
    <m/>
    <m/>
    <m/>
    <m/>
    <m/>
    <m/>
    <m/>
    <m/>
    <m/>
    <m/>
  </r>
  <r>
    <x v="21"/>
    <x v="0"/>
    <s v="I"/>
    <s v="I"/>
    <x v="0"/>
    <n v="87"/>
    <n v="82"/>
    <n v="11.366"/>
    <n v="0.27200000000000002"/>
    <n v="0.13700000000000001"/>
    <s v="F22"/>
    <x v="0"/>
    <n v="22"/>
    <n v="0.46300000000000002"/>
    <n v="0.43"/>
    <s v="1 damselfly larva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8/01/2021"/>
    <s v="18"/>
    <s v="01"/>
    <s v="2021"/>
    <x v="2"/>
    <n v="18"/>
    <x v="1"/>
    <s v="Trapped"/>
    <n v="1.220055214177576"/>
    <n v="2.4517757346313327"/>
    <n v="2.4824313224422747"/>
    <n v="3.7832130916769313"/>
    <n v="0.29033960936125314"/>
    <m/>
    <s v="T"/>
    <m/>
    <m/>
    <m/>
    <m/>
    <m/>
    <m/>
    <m/>
    <m/>
    <m/>
    <m/>
  </r>
  <r>
    <x v="22"/>
    <x v="0"/>
    <s v="I"/>
    <s v="IMM"/>
    <x v="0"/>
    <n v="64"/>
    <n v="60"/>
    <n v="4.3150000000000004"/>
    <n v="0.105"/>
    <n v="6.2E-2"/>
    <s v="F22"/>
    <x v="0"/>
    <n v="22"/>
    <n v="0.2"/>
    <n v="0.19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8/01/2021"/>
    <s v="18"/>
    <s v="01"/>
    <s v="2021"/>
    <x v="2"/>
    <n v="18"/>
    <x v="1"/>
    <s v="Trapped"/>
    <n v="1.4577944980014106"/>
    <n v="2.4940617577197148"/>
    <n v="2.5313404050144648"/>
    <n v="4.4032444959443797"/>
    <n v="0.23174971031286229"/>
    <m/>
    <s v="T"/>
    <m/>
    <m/>
    <m/>
    <m/>
    <m/>
    <m/>
    <m/>
    <m/>
    <m/>
    <m/>
  </r>
  <r>
    <x v="23"/>
    <x v="0"/>
    <s v="I"/>
    <s v="S"/>
    <x v="0"/>
    <n v="71"/>
    <n v="65"/>
    <n v="5.44"/>
    <n v="0.11899999999999999"/>
    <n v="8.0000000000000002E-3"/>
    <s v="M22"/>
    <x v="2"/>
    <n v="22"/>
    <n v="0.254"/>
    <n v="0.23899999999999999"/>
    <s v="1 chironomid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8/01/2021"/>
    <s v="18"/>
    <s v="01"/>
    <s v="2021"/>
    <x v="2"/>
    <n v="18"/>
    <x v="1"/>
    <s v="Trapped"/>
    <n v="0.14727540500736377"/>
    <n v="2.2364217252396164"/>
    <n v="2.2397891963109351"/>
    <n v="4.3933823529411757"/>
    <n v="0.2757352941176473"/>
    <m/>
    <s v="T"/>
    <m/>
    <m/>
    <m/>
    <m/>
    <m/>
    <m/>
    <m/>
    <m/>
    <m/>
    <m/>
  </r>
  <r>
    <x v="24"/>
    <x v="0"/>
    <s v="I"/>
    <s v="S"/>
    <x v="0"/>
    <n v="65"/>
    <m/>
    <n v="4.4669999999999996"/>
    <n v="0.10199999999999999"/>
    <n v="6.8000000000000005E-2"/>
    <s v="F22"/>
    <x v="0"/>
    <n v="22"/>
    <n v="0.19400000000000001"/>
    <n v="0.188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8/01/2021"/>
    <s v="18"/>
    <s v="01"/>
    <s v="2021"/>
    <x v="2"/>
    <n v="18"/>
    <x v="1"/>
    <s v="Trapped"/>
    <n v="1.5458058649693114"/>
    <n v="2.3367697594501724"/>
    <n v="2.3737491272981153"/>
    <n v="4.2086411461831208"/>
    <n v="0.13431833445265293"/>
    <m/>
    <s v="T"/>
    <m/>
    <m/>
    <m/>
    <m/>
    <m/>
    <m/>
    <m/>
    <m/>
    <m/>
    <m/>
  </r>
  <r>
    <x v="25"/>
    <x v="0"/>
    <s v="I"/>
    <s v="S"/>
    <x v="0"/>
    <n v="71"/>
    <n v="65"/>
    <n v="5.7350000000000003"/>
    <n v="0.11799999999999999"/>
    <n v="7.2999999999999995E-2"/>
    <s v="F22"/>
    <x v="0"/>
    <n v="22"/>
    <n v="0.23799999999999999"/>
    <n v="0.22900000000000001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8/01/2021"/>
    <s v="18"/>
    <s v="01"/>
    <s v="2021"/>
    <x v="2"/>
    <n v="18"/>
    <x v="1"/>
    <s v="Trapped"/>
    <n v="1.2892970681737901"/>
    <n v="2.1007655332027775"/>
    <n v="2.1284271284271283"/>
    <n v="3.9930252833478641"/>
    <n v="0.15693112467305981"/>
    <m/>
    <s v="T"/>
    <m/>
    <m/>
    <m/>
    <m/>
    <m/>
    <m/>
    <m/>
    <m/>
    <m/>
    <m/>
  </r>
  <r>
    <x v="26"/>
    <x v="0"/>
    <s v="S"/>
    <s v="IMM"/>
    <x v="1"/>
    <n v="57"/>
    <n v="54"/>
    <n v="2.9580000000000002"/>
    <n v="4.3999999999999997E-2"/>
    <n v="3.7999999999999999E-2"/>
    <s v="F22"/>
    <x v="0"/>
    <n v="22"/>
    <n v="0.105"/>
    <n v="0.1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8/01/2021"/>
    <s v="18"/>
    <s v="01"/>
    <s v="2021"/>
    <x v="2"/>
    <n v="18"/>
    <x v="1"/>
    <s v="Trapped"/>
    <n v="1.3013698630136985"/>
    <n v="1.5099519560741248"/>
    <n v="1.5299026425591096"/>
    <n v="3.3806626098715347"/>
    <n v="0.16903313049357641"/>
    <m/>
    <s v="T"/>
    <m/>
    <m/>
    <m/>
    <m/>
    <m/>
    <m/>
    <m/>
    <m/>
    <m/>
    <m/>
  </r>
  <r>
    <x v="27"/>
    <x v="0"/>
    <s v="I"/>
    <s v="S"/>
    <x v="0"/>
    <n v="65"/>
    <n v="60"/>
    <n v="4.819"/>
    <n v="0.121"/>
    <n v="4.8000000000000001E-2"/>
    <s v="F22"/>
    <x v="0"/>
    <n v="22"/>
    <n v="0.25600000000000001"/>
    <n v="0.245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8/01/2021"/>
    <s v="18"/>
    <s v="01"/>
    <s v="2021"/>
    <x v="2"/>
    <n v="18"/>
    <x v="1"/>
    <s v="Trapped"/>
    <n v="1.0060783902745758"/>
    <n v="2.5755640698169433"/>
    <n v="2.6021505376344085"/>
    <n v="5.0840423324341151"/>
    <n v="0.22826312512969518"/>
    <m/>
    <s v="T"/>
    <m/>
    <m/>
    <m/>
    <m/>
    <m/>
    <m/>
    <m/>
    <m/>
    <m/>
    <m/>
  </r>
  <r>
    <x v="28"/>
    <x v="0"/>
    <s v="S"/>
    <s v="IMM"/>
    <x v="1"/>
    <n v="59"/>
    <n v="56"/>
    <n v="3.069"/>
    <n v="5.7000000000000002E-2"/>
    <n v="0.05"/>
    <s v="F22"/>
    <x v="0"/>
    <n v="22"/>
    <n v="0.125"/>
    <n v="0.11799999999999999"/>
    <s v="1 chironomid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8/01/2021"/>
    <s v="18"/>
    <s v="01"/>
    <s v="2021"/>
    <x v="2"/>
    <n v="18"/>
    <x v="1"/>
    <s v="Trapped"/>
    <n v="1.6561775422325273"/>
    <n v="1.8924302788844622"/>
    <n v="1.9243754220121538"/>
    <n v="3.8449006190941675"/>
    <n v="0.22808732486151861"/>
    <m/>
    <s v="T"/>
    <m/>
    <m/>
    <m/>
    <m/>
    <m/>
    <m/>
    <m/>
    <m/>
    <m/>
    <m/>
  </r>
  <r>
    <x v="29"/>
    <x v="0"/>
    <s v="S"/>
    <s v="IMM"/>
    <x v="1"/>
    <n v="57"/>
    <n v="53"/>
    <n v="2.8530000000000002"/>
    <n v="5.0999999999999997E-2"/>
    <n v="3.0000000000000001E-3"/>
    <s v="M22"/>
    <x v="2"/>
    <n v="22"/>
    <n v="9.6000000000000002E-2"/>
    <n v="0.09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8/01/2021"/>
    <s v="18"/>
    <s v="01"/>
    <s v="2021"/>
    <x v="2"/>
    <n v="18"/>
    <x v="1"/>
    <s v="Trapped"/>
    <n v="0.10526315789473684"/>
    <n v="1.8201284796573876"/>
    <n v="1.822079314040729"/>
    <n v="3.1545741324921135"/>
    <n v="0.21030494216614107"/>
    <m/>
    <s v="T"/>
    <m/>
    <m/>
    <m/>
    <m/>
    <m/>
    <m/>
    <m/>
    <m/>
    <m/>
    <m/>
  </r>
  <r>
    <x v="30"/>
    <x v="0"/>
    <s v="I"/>
    <s v="S"/>
    <x v="0"/>
    <n v="77"/>
    <n v="73"/>
    <n v="7.4050000000000002"/>
    <n v="0.18099999999999999"/>
    <n v="8.0000000000000002E-3"/>
    <s v="M22"/>
    <x v="2"/>
    <n v="22"/>
    <n v="0.29199999999999998"/>
    <n v="0.27"/>
    <s v="2 chironomids: 0.005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5.0000000000000001E-3"/>
    <m/>
    <m/>
    <m/>
    <m/>
    <m/>
    <m/>
    <m/>
    <m/>
    <m/>
    <m/>
    <m/>
    <m/>
    <m/>
    <m/>
    <m/>
    <m/>
    <m/>
    <m/>
    <m/>
    <m/>
    <m/>
    <m/>
    <m/>
    <m/>
    <n v="5.0000000000000001E-3"/>
    <d v="2021-06-02T00:00:00"/>
    <n v="6"/>
    <n v="2"/>
    <n v="2021"/>
    <x v="3"/>
    <n v="37"/>
    <x v="2"/>
    <s v="Trapped dead, no parasites"/>
    <n v="0.10815195349466"/>
    <n v="2.5055370985603544"/>
    <n v="2.5083148558758315"/>
    <n v="3.6461850101282915"/>
    <n v="0.29709655638082327"/>
    <n v="0.36461850101282867"/>
    <s v="T"/>
    <n v="1"/>
    <m/>
    <m/>
    <m/>
    <m/>
    <m/>
    <m/>
    <m/>
    <m/>
    <m/>
  </r>
  <r>
    <x v="31"/>
    <x v="0"/>
    <s v="I"/>
    <s v="S"/>
    <x v="0"/>
    <n v="65"/>
    <n v="62"/>
    <n v="4.2320000000000002"/>
    <n v="0.109"/>
    <n v="8.0000000000000002E-3"/>
    <s v="M22"/>
    <x v="2"/>
    <n v="22"/>
    <n v="0.21099999999999999"/>
    <n v="0.192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d v="2021-06-02T00:00:00"/>
    <n v="6"/>
    <n v="2"/>
    <n v="2021"/>
    <x v="3"/>
    <n v="37"/>
    <x v="2"/>
    <s v="Trapped dead, no parasites"/>
    <n v="0.18939393939393939"/>
    <n v="2.6437060392917777"/>
    <n v="2.6488456865127583"/>
    <n v="4.5368620037807181"/>
    <n v="0.4489603024574666"/>
    <n v="0.4489603024574666"/>
    <s v="T"/>
    <n v="1"/>
    <m/>
    <m/>
    <m/>
    <m/>
    <m/>
    <m/>
    <m/>
    <m/>
    <m/>
  </r>
  <r>
    <x v="32"/>
    <x v="1"/>
    <s v="I"/>
    <s v="I"/>
    <x v="0"/>
    <n v="86"/>
    <n v="79"/>
    <n v="10.914"/>
    <n v="0.19600000000000001"/>
    <n v="0.14399999999999999"/>
    <s v="F22"/>
    <x v="0"/>
    <n v="22"/>
    <n v="0.36"/>
    <n v="0.34899999999999998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8/12/2020"/>
    <s v="18"/>
    <s v="12"/>
    <s v="2020"/>
    <x v="0"/>
    <n v="353"/>
    <x v="0"/>
    <s v="NA"/>
    <n v="1.3370473537604457"/>
    <n v="1.8286993842134729"/>
    <n v="1.8536031776054476"/>
    <n v="3.1977276892065234"/>
    <n v="0.10078797874289913"/>
    <m/>
    <m/>
    <m/>
    <m/>
    <m/>
    <m/>
    <m/>
    <m/>
    <m/>
    <m/>
    <m/>
    <m/>
  </r>
  <r>
    <x v="33"/>
    <x v="1"/>
    <s v="I"/>
    <s v="I"/>
    <x v="0"/>
    <n v="89"/>
    <n v="84"/>
    <n v="11.271000000000001"/>
    <n v="0.17100000000000001"/>
    <n v="2E-3"/>
    <s v="M22"/>
    <x v="2"/>
    <n v="22"/>
    <n v="0.45200000000000001"/>
    <n v="0.442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8/12/2020"/>
    <s v="18"/>
    <s v="12"/>
    <s v="2020"/>
    <x v="0"/>
    <n v="353"/>
    <x v="0"/>
    <s v="Gonads very small"/>
    <n v="1.7747803709290976E-2"/>
    <n v="1.5405405405405403"/>
    <n v="1.5408181654352135"/>
    <n v="3.9215686274509802"/>
    <n v="8.872327211427565E-2"/>
    <m/>
    <m/>
    <m/>
    <m/>
    <m/>
    <m/>
    <m/>
    <m/>
    <m/>
    <m/>
    <m/>
    <m/>
  </r>
  <r>
    <x v="34"/>
    <x v="1"/>
    <s v="I"/>
    <s v="I"/>
    <x v="0"/>
    <n v="88"/>
    <n v="84"/>
    <n v="10.827999999999999"/>
    <n v="0.219"/>
    <n v="0.19400000000000001"/>
    <s v="F22"/>
    <x v="0"/>
    <n v="22"/>
    <n v="0.49099999999999999"/>
    <n v="0.44"/>
    <s v="Inverts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8/12/2020"/>
    <s v="18"/>
    <s v="12"/>
    <s v="2020"/>
    <x v="0"/>
    <n v="353"/>
    <x v="0"/>
    <s v="Eye parasite, gonads pronounced"/>
    <n v="1.8243370321609935"/>
    <n v="2.0642850410029219"/>
    <n v="2.1027364378300528"/>
    <n v="4.0635389730328777"/>
    <n v="0.4710011082379017"/>
    <m/>
    <m/>
    <m/>
    <m/>
    <m/>
    <m/>
    <m/>
    <m/>
    <m/>
    <m/>
    <m/>
    <m/>
  </r>
  <r>
    <x v="35"/>
    <x v="1"/>
    <s v="I"/>
    <s v="I"/>
    <x v="0"/>
    <n v="87"/>
    <n v="80"/>
    <n v="11.733000000000001"/>
    <n v="0.3"/>
    <n v="0.155"/>
    <s v="F22"/>
    <x v="0"/>
    <n v="22"/>
    <n v="0.40699999999999997"/>
    <n v="0.39600000000000002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8/12/2020"/>
    <s v="18"/>
    <s v="12"/>
    <s v="2020"/>
    <x v="0"/>
    <n v="353"/>
    <x v="0"/>
    <s v="NA"/>
    <n v="1.3387458973916047"/>
    <n v="2.6239832065074782"/>
    <n v="2.6600461074658623"/>
    <n v="3.3750958834057787"/>
    <n v="9.3752663427937893E-2"/>
    <m/>
    <m/>
    <m/>
    <m/>
    <m/>
    <m/>
    <m/>
    <m/>
    <m/>
    <m/>
    <m/>
    <m/>
  </r>
  <r>
    <x v="36"/>
    <x v="1"/>
    <s v="I"/>
    <s v="S"/>
    <x v="0"/>
    <n v="83"/>
    <n v="79"/>
    <n v="9.5960000000000001"/>
    <n v="0.17100000000000001"/>
    <m/>
    <s v="M22"/>
    <x v="2"/>
    <n v="22"/>
    <n v="0.441"/>
    <n v="0.42099999999999999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8/12/2020"/>
    <s v="18"/>
    <s v="12"/>
    <s v="2020"/>
    <x v="0"/>
    <n v="353"/>
    <x v="0"/>
    <s v="Gonads lost"/>
    <m/>
    <n v="1.8143236074270559"/>
    <n v="1.8143236074270559"/>
    <n v="4.3872446852855349"/>
    <n v="0.20842017507294724"/>
    <m/>
    <m/>
    <m/>
    <m/>
    <m/>
    <m/>
    <m/>
    <m/>
    <m/>
    <m/>
    <m/>
    <m/>
  </r>
  <r>
    <x v="37"/>
    <x v="1"/>
    <s v="I"/>
    <s v="S"/>
    <x v="0"/>
    <n v="80"/>
    <n v="76"/>
    <n v="8.6319999999999997"/>
    <n v="0.189"/>
    <n v="1.4E-2"/>
    <s v="M22"/>
    <x v="2"/>
    <n v="22"/>
    <n v="0.44"/>
    <n v="0.42099999999999999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8/12/2020"/>
    <s v="18"/>
    <s v="12"/>
    <s v="2020"/>
    <x v="0"/>
    <n v="353"/>
    <x v="0"/>
    <s v="NA"/>
    <n v="0.16245068461359943"/>
    <n v="2.2385408030320977"/>
    <n v="2.2422588681931428"/>
    <n v="4.8772011121408712"/>
    <n v="0.22011121408711792"/>
    <m/>
    <m/>
    <m/>
    <m/>
    <m/>
    <m/>
    <m/>
    <m/>
    <m/>
    <m/>
    <m/>
    <m/>
  </r>
  <r>
    <x v="38"/>
    <x v="1"/>
    <s v="I"/>
    <s v="I"/>
    <x v="0"/>
    <n v="86"/>
    <n v="80"/>
    <n v="11.066000000000001"/>
    <n v="0.255"/>
    <n v="0.14699999999999999"/>
    <s v="F22"/>
    <x v="0"/>
    <n v="22"/>
    <m/>
    <n v="0.38200000000000001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8/12/2020"/>
    <s v="18"/>
    <s v="12"/>
    <s v="2020"/>
    <x v="0"/>
    <n v="353"/>
    <x v="0"/>
    <s v="NA"/>
    <n v="1.3462771316054583"/>
    <n v="2.3587087225973544"/>
    <n v="2.3912228057014255"/>
    <n v="3.452015181637448"/>
    <m/>
    <m/>
    <m/>
    <m/>
    <m/>
    <m/>
    <m/>
    <m/>
    <m/>
    <m/>
    <m/>
    <m/>
    <m/>
  </r>
  <r>
    <x v="39"/>
    <x v="1"/>
    <s v="I"/>
    <s v="S"/>
    <x v="0"/>
    <n v="82"/>
    <n v="77"/>
    <n v="9.5589999999999993"/>
    <n v="0.27600000000000002"/>
    <n v="0.14000000000000001"/>
    <s v="F22"/>
    <x v="0"/>
    <n v="22"/>
    <n v="0.38300000000000001"/>
    <n v="0.373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8/12/2020"/>
    <s v="18"/>
    <s v="12"/>
    <s v="2020"/>
    <x v="0"/>
    <n v="353"/>
    <x v="0"/>
    <s v="NA"/>
    <n v="1.4863573627773652"/>
    <n v="2.9731767747495428"/>
    <n v="3.0187028327682386"/>
    <n v="3.9020818077204735"/>
    <n v="0.10461345329009321"/>
    <m/>
    <m/>
    <m/>
    <m/>
    <m/>
    <m/>
    <m/>
    <m/>
    <m/>
    <m/>
    <m/>
    <m/>
  </r>
  <r>
    <x v="40"/>
    <x v="1"/>
    <s v="I"/>
    <s v="S"/>
    <x v="0"/>
    <n v="78"/>
    <n v="74"/>
    <n v="8.2279999999999998"/>
    <n v="0.16500000000000001"/>
    <n v="0.126"/>
    <s v="F22"/>
    <x v="0"/>
    <n v="22"/>
    <n v="0.315"/>
    <n v="0.307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8/12/2020"/>
    <s v="18"/>
    <s v="12"/>
    <s v="2020"/>
    <x v="0"/>
    <n v="353"/>
    <x v="0"/>
    <s v="NA"/>
    <n v="1.5551715625771414"/>
    <n v="2.0463847203274215"/>
    <n v="2.0788711099911805"/>
    <n v="3.7311618862420999"/>
    <n v="9.7228974234321919E-2"/>
    <m/>
    <m/>
    <m/>
    <m/>
    <m/>
    <m/>
    <m/>
    <m/>
    <m/>
    <m/>
    <m/>
    <m/>
  </r>
  <r>
    <x v="41"/>
    <x v="1"/>
    <s v="I"/>
    <s v="S"/>
    <x v="0"/>
    <n v="78"/>
    <n v="74"/>
    <n v="7.843"/>
    <n v="0.14399999999999999"/>
    <n v="0.123"/>
    <s v="F22"/>
    <x v="0"/>
    <n v="22"/>
    <n v="0.36499999999999999"/>
    <n v="0.35199999999999998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8/12/2020"/>
    <s v="18"/>
    <s v="12"/>
    <s v="2020"/>
    <x v="0"/>
    <n v="353"/>
    <x v="0"/>
    <s v="Big tail parasite"/>
    <n v="1.5932642487046633"/>
    <n v="1.870372775685154"/>
    <n v="1.9007391763463568"/>
    <n v="4.4880785413744739"/>
    <n v="0.16575290067576195"/>
    <m/>
    <m/>
    <m/>
    <m/>
    <m/>
    <m/>
    <m/>
    <m/>
    <m/>
    <m/>
    <m/>
    <m/>
  </r>
  <r>
    <x v="42"/>
    <x v="1"/>
    <s v="I"/>
    <s v="B"/>
    <x v="1"/>
    <n v="143"/>
    <n v="136"/>
    <n v="54.957999999999998"/>
    <n v="0.65200000000000002"/>
    <n v="0.70399999999999996"/>
    <s v="F22"/>
    <x v="0"/>
    <n v="22"/>
    <n v="2.2570000000000001"/>
    <n v="2.2210000000000001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9/12/2020"/>
    <s v="19"/>
    <s v="12"/>
    <s v="2020"/>
    <x v="1"/>
    <n v="354"/>
    <x v="0"/>
    <s v="Parasites"/>
    <n v="1.2976001769454788"/>
    <n v="1.2006039848267227"/>
    <n v="1.2163725234133056"/>
    <n v="4.041267877288111"/>
    <n v="6.5504567123985655E-2"/>
    <m/>
    <m/>
    <m/>
    <m/>
    <m/>
    <m/>
    <m/>
    <m/>
    <m/>
    <m/>
    <m/>
    <m/>
  </r>
  <r>
    <x v="43"/>
    <x v="1"/>
    <s v="I"/>
    <s v="B"/>
    <x v="1"/>
    <n v="144"/>
    <n v="137"/>
    <n v="58.219000000000001"/>
    <n v="1.2150000000000001"/>
    <n v="0.91900000000000004"/>
    <s v="F22"/>
    <x v="0"/>
    <n v="22"/>
    <n v="3.2269999999999999"/>
    <n v="3.133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9/12/2020"/>
    <s v="19"/>
    <s v="12"/>
    <s v="2020"/>
    <x v="1"/>
    <n v="354"/>
    <x v="0"/>
    <s v="NA"/>
    <n v="1.6038394415357766"/>
    <n v="2.1314293733773071"/>
    <n v="2.1663546402781493"/>
    <n v="5.3814046960614235"/>
    <n v="0.16145931740497063"/>
    <m/>
    <m/>
    <m/>
    <m/>
    <m/>
    <m/>
    <m/>
    <m/>
    <m/>
    <m/>
    <m/>
    <m/>
  </r>
  <r>
    <x v="44"/>
    <x v="1"/>
    <s v="I"/>
    <s v="B"/>
    <x v="1"/>
    <n v="144"/>
    <n v="137"/>
    <m/>
    <n v="0.95699999999999996"/>
    <n v="6.6000000000000003E-2"/>
    <s v="M22"/>
    <x v="2"/>
    <n v="22"/>
    <n v="2.8490000000000002"/>
    <n v="2.5659999999999998"/>
    <s v="Odonate larvae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9/12/2020"/>
    <s v="19"/>
    <s v="12"/>
    <s v="2020"/>
    <x v="1"/>
    <n v="354"/>
    <x v="0"/>
    <s v="NA"/>
    <m/>
    <m/>
    <m/>
    <m/>
    <m/>
    <m/>
    <m/>
    <m/>
    <m/>
    <m/>
    <m/>
    <m/>
    <m/>
    <m/>
    <m/>
    <m/>
    <m/>
  </r>
  <r>
    <x v="45"/>
    <x v="1"/>
    <s v="I"/>
    <s v="B"/>
    <x v="1"/>
    <n v="128"/>
    <n v="121"/>
    <n v="35.942"/>
    <n v="0.55800000000000005"/>
    <n v="3.6999999999999998E-2"/>
    <s v="M22"/>
    <x v="2"/>
    <n v="22"/>
    <n v="1.8140000000000001"/>
    <n v="1.7949999999999999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9/12/2020"/>
    <s v="19"/>
    <s v="12"/>
    <s v="2020"/>
    <x v="1"/>
    <n v="354"/>
    <x v="0"/>
    <s v="NA"/>
    <n v="0.10304971452443949"/>
    <n v="1.5769839475469141"/>
    <n v="1.5786346790392396"/>
    <n v="4.9941572533526237"/>
    <n v="5.2862945857214759E-2"/>
    <m/>
    <m/>
    <m/>
    <m/>
    <m/>
    <m/>
    <m/>
    <m/>
    <m/>
    <m/>
    <m/>
    <m/>
  </r>
  <r>
    <x v="46"/>
    <x v="1"/>
    <s v="I"/>
    <s v="B"/>
    <x v="1"/>
    <n v="121"/>
    <n v="114"/>
    <n v="27.687999999999999"/>
    <n v="0.39600000000000002"/>
    <n v="0.35399999999999998"/>
    <s v="F22"/>
    <x v="0"/>
    <n v="22"/>
    <n v="2.032"/>
    <n v="1.571"/>
    <s v="Cranefly larva, caddisfly larva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9/12/2020"/>
    <s v="19"/>
    <s v="12"/>
    <s v="2020"/>
    <x v="1"/>
    <n v="354"/>
    <x v="0"/>
    <s v="Parasites"/>
    <n v="1.2950903636496671"/>
    <n v="1.4509746445844938"/>
    <n v="1.4700423194001042"/>
    <n v="5.6739381681594914"/>
    <n v="1.6649812193007805"/>
    <m/>
    <m/>
    <m/>
    <m/>
    <m/>
    <m/>
    <m/>
    <m/>
    <m/>
    <m/>
    <m/>
    <m/>
  </r>
  <r>
    <x v="47"/>
    <x v="1"/>
    <s v="B"/>
    <s v="B"/>
    <x v="1"/>
    <n v="156"/>
    <n v="149"/>
    <n v="73.626000000000005"/>
    <n v="1.139"/>
    <n v="0.107"/>
    <s v="M22"/>
    <x v="2"/>
    <n v="22"/>
    <n v="2.415"/>
    <n v="2.4089999999999998"/>
    <s v="Inverts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9/12/2020"/>
    <s v="19"/>
    <s v="12"/>
    <s v="2020"/>
    <x v="1"/>
    <n v="354"/>
    <x v="0"/>
    <s v="NA"/>
    <n v="0.14554060855017067"/>
    <n v="1.5713162360147335"/>
    <n v="1.573639126830616"/>
    <n v="3.2719419770189875"/>
    <n v="8.1492950859753718E-3"/>
    <m/>
    <m/>
    <m/>
    <m/>
    <m/>
    <m/>
    <m/>
    <m/>
    <m/>
    <m/>
    <m/>
    <m/>
  </r>
  <r>
    <x v="48"/>
    <x v="1"/>
    <s v="I"/>
    <s v="B"/>
    <x v="1"/>
    <n v="123"/>
    <n v="116"/>
    <n v="34.104999999999997"/>
    <n v="0.48099999999999998"/>
    <n v="0.48599999999999999"/>
    <s v="F22"/>
    <x v="0"/>
    <n v="22"/>
    <n v="1.3440000000000001"/>
    <n v="1.3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9/12/2020"/>
    <s v="19"/>
    <s v="12"/>
    <s v="2020"/>
    <x v="1"/>
    <n v="354"/>
    <x v="0"/>
    <s v="NA"/>
    <n v="1.4456111127636158"/>
    <n v="1.4305258148941233"/>
    <n v="1.4515058241293983"/>
    <n v="3.8117578067732008"/>
    <n v="0.12901334115232385"/>
    <m/>
    <m/>
    <m/>
    <m/>
    <m/>
    <m/>
    <m/>
    <m/>
    <m/>
    <m/>
    <m/>
    <m/>
  </r>
  <r>
    <x v="49"/>
    <x v="1"/>
    <s v="I"/>
    <s v="S"/>
    <x v="0"/>
    <n v="74"/>
    <n v="70"/>
    <n v="6.5179999999999998"/>
    <n v="0.151"/>
    <n v="0.11899999999999999"/>
    <s v="F22"/>
    <x v="0"/>
    <n v="22"/>
    <n v="0.315"/>
    <n v="0.308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9/12/2020"/>
    <s v="19"/>
    <s v="12"/>
    <s v="2020"/>
    <x v="1"/>
    <n v="354"/>
    <x v="0"/>
    <s v="NA"/>
    <n v="1.8596655727457414"/>
    <n v="2.3716035809643472"/>
    <n v="2.4167733674775924"/>
    <n v="4.7253758821724459"/>
    <n v="0.10739490641301024"/>
    <m/>
    <m/>
    <m/>
    <m/>
    <m/>
    <m/>
    <m/>
    <m/>
    <m/>
    <m/>
    <m/>
    <m/>
  </r>
  <r>
    <x v="50"/>
    <x v="1"/>
    <s v="I"/>
    <s v="I"/>
    <x v="0"/>
    <n v="87"/>
    <n v="82"/>
    <n v="11.378"/>
    <n v="0.28899999999999998"/>
    <n v="1.0999999999999999E-2"/>
    <s v="M22"/>
    <x v="2"/>
    <n v="22"/>
    <n v="0.56200000000000006"/>
    <n v="0.55000000000000004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9/12/2020"/>
    <s v="19"/>
    <s v="12"/>
    <s v="2020"/>
    <x v="1"/>
    <n v="354"/>
    <x v="0"/>
    <s v="NA"/>
    <n v="9.6771355678719084E-2"/>
    <n v="2.6061863107584089"/>
    <n v="2.6087741469579342"/>
    <n v="4.8338899630866585"/>
    <n v="0.10546669010370902"/>
    <m/>
    <m/>
    <m/>
    <m/>
    <m/>
    <m/>
    <m/>
    <m/>
    <m/>
    <m/>
    <m/>
    <m/>
  </r>
  <r>
    <x v="51"/>
    <x v="1"/>
    <s v="I"/>
    <s v="S"/>
    <x v="0"/>
    <n v="83"/>
    <n v="78"/>
    <n v="10.288"/>
    <n v="0.29899999999999999"/>
    <n v="0.16800000000000001"/>
    <s v="F22"/>
    <x v="0"/>
    <n v="22"/>
    <n v="0.49"/>
    <n v="0.48199999999999998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9/12/2020"/>
    <s v="19"/>
    <s v="12"/>
    <s v="2020"/>
    <x v="1"/>
    <n v="354"/>
    <x v="0"/>
    <s v="NA"/>
    <n v="1.660079051383399"/>
    <n v="2.9932926218840721"/>
    <n v="3.0444964871194373"/>
    <n v="4.6850699844479005"/>
    <n v="7.7760497667185138E-2"/>
    <m/>
    <m/>
    <m/>
    <m/>
    <m/>
    <m/>
    <m/>
    <m/>
    <m/>
    <m/>
    <m/>
    <m/>
  </r>
  <r>
    <x v="52"/>
    <x v="1"/>
    <s v="I"/>
    <s v="B"/>
    <x v="1"/>
    <n v="141"/>
    <n v="133"/>
    <n v="52.563000000000002"/>
    <n v="0.85699999999999998"/>
    <n v="8.4000000000000005E-2"/>
    <s v="M22"/>
    <x v="2"/>
    <n v="22"/>
    <n v="2.3340000000000001"/>
    <n v="2.27"/>
    <s v="Inverts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9/12/2020"/>
    <s v="19"/>
    <s v="12"/>
    <s v="2020"/>
    <x v="1"/>
    <n v="354"/>
    <x v="0"/>
    <s v="NA"/>
    <n v="0.1600640256102441"/>
    <n v="1.6574478783893551"/>
    <n v="1.6601448994614698"/>
    <n v="4.3186271712040787"/>
    <n v="0.1217586515229345"/>
    <m/>
    <m/>
    <m/>
    <m/>
    <m/>
    <m/>
    <m/>
    <m/>
    <m/>
    <m/>
    <m/>
    <m/>
  </r>
  <r>
    <x v="53"/>
    <x v="1"/>
    <s v="I"/>
    <s v="I"/>
    <x v="0"/>
    <n v="107"/>
    <n v="101"/>
    <n v="20.994"/>
    <n v="0.37"/>
    <n v="0.33400000000000002"/>
    <s v="F22"/>
    <x v="0"/>
    <n v="22"/>
    <m/>
    <n v="1.0529999999999999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9/12/2020"/>
    <s v="19"/>
    <s v="12"/>
    <s v="2020"/>
    <x v="1"/>
    <n v="354"/>
    <x v="0"/>
    <s v="NA"/>
    <n v="1.6166505324298162"/>
    <n v="1.7940263770364624"/>
    <n v="1.8235584031542633"/>
    <n v="5.0157187767933697"/>
    <m/>
    <m/>
    <m/>
    <m/>
    <m/>
    <m/>
    <m/>
    <m/>
    <m/>
    <m/>
    <m/>
    <m/>
    <m/>
  </r>
  <r>
    <x v="54"/>
    <x v="1"/>
    <s v="I"/>
    <s v="IMM"/>
    <x v="0"/>
    <n v="62"/>
    <n v="59"/>
    <n v="4.05"/>
    <n v="0.11"/>
    <n v="6.9000000000000006E-2"/>
    <s v="F22"/>
    <x v="0"/>
    <n v="22"/>
    <n v="0.18099999999999999"/>
    <n v="0.16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6/01/2021"/>
    <s v="16"/>
    <s v="01"/>
    <s v="2021"/>
    <x v="4"/>
    <n v="16"/>
    <x v="1"/>
    <s v="Trapped"/>
    <n v="1.7332328560663153"/>
    <n v="2.7918781725888326"/>
    <n v="2.8416429863084476"/>
    <n v="3.9506172839506171"/>
    <n v="0.51851851851851838"/>
    <m/>
    <s v="T"/>
    <m/>
    <n v="0"/>
    <n v="0"/>
    <m/>
    <m/>
    <n v="1.7500000000000002E-2"/>
    <n v="4.742547425474255"/>
    <n v="4.6349999999999998"/>
    <m/>
    <n v="105.80714925178857"/>
  </r>
  <r>
    <x v="55"/>
    <x v="1"/>
    <s v="I"/>
    <s v="S"/>
    <x v="0"/>
    <n v="68"/>
    <n v="65"/>
    <n v="5.2290000000000001"/>
    <n v="0.158"/>
    <n v="0.10299999999999999"/>
    <s v="F22"/>
    <x v="0"/>
    <n v="22"/>
    <n v="0.28699999999999998"/>
    <n v="0.26"/>
    <s v="Inverts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6/01/2021"/>
    <s v="16"/>
    <s v="01"/>
    <s v="2021"/>
    <x v="4"/>
    <n v="16"/>
    <x v="1"/>
    <s v="Trapped"/>
    <n v="2.0093640265314083"/>
    <n v="3.1157562610924869"/>
    <n v="3.1803542673107894"/>
    <n v="4.9722700325109965"/>
    <n v="0.51635111876075668"/>
    <m/>
    <s v="T"/>
    <m/>
    <m/>
    <m/>
    <m/>
    <m/>
    <m/>
    <m/>
    <m/>
    <m/>
    <m/>
  </r>
  <r>
    <x v="56"/>
    <x v="1"/>
    <s v="I"/>
    <s v="I"/>
    <x v="0"/>
    <n v="92"/>
    <n v="88"/>
    <n v="13.913"/>
    <n v="0.38900000000000001"/>
    <n v="0.21199999999999999"/>
    <s v="F22"/>
    <x v="0"/>
    <n v="22"/>
    <n v="0.51700000000000002"/>
    <n v="0.5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6/01/2021"/>
    <s v="16"/>
    <s v="01"/>
    <s v="2021"/>
    <x v="4"/>
    <n v="16"/>
    <x v="1"/>
    <s v="Trapped"/>
    <n v="1.5473323115101087"/>
    <n v="2.8763679384797394"/>
    <n v="2.9221754807692304"/>
    <n v="3.5937612305038455"/>
    <n v="0.12218788183713085"/>
    <m/>
    <s v="T"/>
    <m/>
    <m/>
    <m/>
    <m/>
    <m/>
    <m/>
    <m/>
    <m/>
    <m/>
    <m/>
  </r>
  <r>
    <x v="57"/>
    <x v="1"/>
    <s v="S"/>
    <s v="IMM"/>
    <x v="1"/>
    <n v="56"/>
    <n v="53"/>
    <n v="2.964"/>
    <n v="6.8000000000000005E-2"/>
    <n v="4.7E-2"/>
    <s v="F22"/>
    <x v="0"/>
    <n v="22"/>
    <n v="0.13600000000000001"/>
    <n v="0.122"/>
    <s v="Inverts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6/01/2021"/>
    <s v="16"/>
    <s v="01"/>
    <s v="2021"/>
    <x v="4"/>
    <n v="16"/>
    <x v="1"/>
    <s v="Trapped"/>
    <n v="1.6112444292080905"/>
    <n v="2.3480662983425415"/>
    <n v="2.3868023868023869"/>
    <n v="4.1160593792172744"/>
    <n v="0.47233468286099911"/>
    <m/>
    <s v="T"/>
    <m/>
    <m/>
    <m/>
    <m/>
    <m/>
    <m/>
    <m/>
    <m/>
    <m/>
    <m/>
  </r>
  <r>
    <x v="58"/>
    <x v="1"/>
    <s v="I"/>
    <s v="S"/>
    <x v="0"/>
    <n v="84"/>
    <n v="80"/>
    <n v="11.177"/>
    <n v="0.35099999999999998"/>
    <n v="1.2E-2"/>
    <s v="M22"/>
    <x v="2"/>
    <n v="22"/>
    <n v="0.47"/>
    <n v="0.44500000000000001"/>
    <s v="Inverts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6/01/2021"/>
    <s v="16"/>
    <s v="01"/>
    <s v="2021"/>
    <x v="4"/>
    <n v="16"/>
    <x v="1"/>
    <s v="Trapped"/>
    <n v="0.10747872816838336"/>
    <n v="3.242194716423425"/>
    <n v="3.2457924912150915"/>
    <n v="3.9813903551937013"/>
    <n v="0.22367361546032"/>
    <m/>
    <s v="T"/>
    <m/>
    <m/>
    <m/>
    <m/>
    <m/>
    <m/>
    <m/>
    <m/>
    <m/>
    <m/>
  </r>
  <r>
    <x v="59"/>
    <x v="1"/>
    <s v="S"/>
    <s v="IMM"/>
    <x v="0"/>
    <n v="60"/>
    <n v="57"/>
    <n v="3.9020000000000001"/>
    <n v="8.5999999999999993E-2"/>
    <n v="7.4999999999999997E-2"/>
    <s v="F22"/>
    <x v="0"/>
    <n v="22"/>
    <n v="0.17"/>
    <n v="0.16300000000000001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6/01/2021"/>
    <s v="16"/>
    <s v="01"/>
    <s v="2021"/>
    <x v="4"/>
    <n v="16"/>
    <x v="1"/>
    <s v="Trapped"/>
    <n v="1.9597596028220539"/>
    <n v="2.2536687631027252"/>
    <n v="2.2988505747126431"/>
    <n v="4.1773449513070222"/>
    <n v="0.17939518195797041"/>
    <m/>
    <s v="T"/>
    <m/>
    <m/>
    <m/>
    <m/>
    <m/>
    <m/>
    <m/>
    <m/>
    <m/>
    <m/>
  </r>
  <r>
    <x v="60"/>
    <x v="1"/>
    <s v="I"/>
    <s v="S"/>
    <x v="0"/>
    <n v="80"/>
    <n v="76"/>
    <n v="9.4120000000000008"/>
    <n v="0.32400000000000001"/>
    <n v="0.153"/>
    <s v="F22"/>
    <x v="0"/>
    <n v="22"/>
    <n v="0.33600000000000002"/>
    <n v="0.32400000000000001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6/01/2021"/>
    <s v="16"/>
    <s v="01"/>
    <s v="2021"/>
    <x v="4"/>
    <n v="16"/>
    <x v="1"/>
    <s v="Trapped"/>
    <n v="1.6524462684955179"/>
    <n v="3.5651408450704221"/>
    <n v="3.6261891438164522"/>
    <n v="3.4424139396515083"/>
    <n v="0.12749681257968559"/>
    <m/>
    <s v="T"/>
    <m/>
    <m/>
    <m/>
    <m/>
    <m/>
    <m/>
    <m/>
    <m/>
    <m/>
    <m/>
  </r>
  <r>
    <x v="61"/>
    <x v="1"/>
    <s v="I"/>
    <s v="S"/>
    <x v="0"/>
    <n v="69"/>
    <n v="66"/>
    <n v="5.8090000000000002"/>
    <n v="0.159"/>
    <n v="7.5999999999999998E-2"/>
    <s v="F22"/>
    <x v="0"/>
    <n v="22"/>
    <n v="0.30399999999999999"/>
    <n v="0.26300000000000001"/>
    <s v="Inverts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6/01/2021"/>
    <s v="16"/>
    <s v="01"/>
    <s v="2021"/>
    <x v="4"/>
    <n v="16"/>
    <x v="1"/>
    <s v="Trapped"/>
    <n v="1.3256584685156112"/>
    <n v="2.8141592920353982"/>
    <n v="2.8525296017222814"/>
    <n v="4.5274573936994322"/>
    <n v="0.70580134274401751"/>
    <m/>
    <s v="T"/>
    <m/>
    <n v="0"/>
    <n v="2"/>
    <m/>
    <m/>
    <n v="2.4500000000000001E-2"/>
    <n v="4.6489563567362433"/>
    <n v="5.8220000000000001"/>
    <n v="69.491596411823707"/>
    <n v="100.06470896121297"/>
  </r>
  <r>
    <x v="62"/>
    <x v="1"/>
    <s v="I"/>
    <s v="I"/>
    <x v="0"/>
    <n v="86"/>
    <n v="81"/>
    <n v="10.307"/>
    <n v="0.18"/>
    <n v="1.4999999999999999E-2"/>
    <s v="M22"/>
    <x v="2"/>
    <n v="22"/>
    <n v="0.36799999999999999"/>
    <n v="0.35799999999999998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6/01/2021"/>
    <s v="16"/>
    <s v="01"/>
    <s v="2021"/>
    <x v="4"/>
    <n v="16"/>
    <x v="1"/>
    <s v="Trapped"/>
    <n v="0.14574426739214924"/>
    <n v="1.7774266811494026"/>
    <n v="1.7800632911392402"/>
    <n v="3.473367614242747"/>
    <n v="9.7021441738624314E-2"/>
    <m/>
    <s v="T"/>
    <m/>
    <m/>
    <m/>
    <m/>
    <m/>
    <m/>
    <m/>
    <m/>
    <m/>
    <m/>
  </r>
  <r>
    <x v="63"/>
    <x v="1"/>
    <s v="I"/>
    <s v="S"/>
    <x v="0"/>
    <n v="79"/>
    <n v="75"/>
    <n v="8.2520000000000007"/>
    <n v="0.183"/>
    <n v="0.124"/>
    <s v="F22"/>
    <x v="0"/>
    <n v="22"/>
    <n v="0.34100000000000003"/>
    <n v="0.32100000000000001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6/01/2021"/>
    <s v="16"/>
    <s v="01"/>
    <s v="2021"/>
    <x v="4"/>
    <n v="16"/>
    <x v="1"/>
    <s v="Trapped"/>
    <n v="1.5255905511811023"/>
    <n v="2.2679390259015983"/>
    <n v="2.3033354310887346"/>
    <n v="3.8899660688317983"/>
    <n v="0.24236548715462938"/>
    <m/>
    <s v="T"/>
    <m/>
    <n v="0"/>
    <n v="3"/>
    <m/>
    <m/>
    <n v="1.1999999999999999E-3"/>
    <n v="0.15781167806417673"/>
    <n v="5.1719999999999997"/>
    <n v="71.456442353460417"/>
    <n v="99.376756200612789"/>
  </r>
  <r>
    <x v="64"/>
    <x v="1"/>
    <s v="I"/>
    <s v="S"/>
    <x v="0"/>
    <n v="83"/>
    <n v="79"/>
    <n v="10.37"/>
    <n v="0.27200000000000002"/>
    <n v="0.16500000000000001"/>
    <s v="F22"/>
    <x v="0"/>
    <n v="22"/>
    <n v="0.39600000000000002"/>
    <n v="0.38600000000000001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6/01/2021"/>
    <s v="16"/>
    <s v="01"/>
    <s v="2021"/>
    <x v="4"/>
    <n v="16"/>
    <x v="1"/>
    <s v="Trapped"/>
    <n v="1.6168544830965212"/>
    <n v="2.6936026936026942"/>
    <n v="2.7383469243934364"/>
    <n v="3.7222757955641277"/>
    <n v="9.6432015429122553E-2"/>
    <m/>
    <s v="T"/>
    <m/>
    <n v="0"/>
    <n v="0"/>
    <m/>
    <m/>
    <n v="4.6399999999999997E-2"/>
    <n v="4.8652616126664565"/>
    <n v="3.8809999999999998"/>
    <n v="67.391949304176649"/>
    <n v="93.635665262245666"/>
  </r>
  <r>
    <x v="65"/>
    <x v="1"/>
    <s v="I"/>
    <s v="S"/>
    <x v="0"/>
    <n v="75"/>
    <n v="71"/>
    <n v="7.673"/>
    <n v="0.13"/>
    <n v="0.13300000000000001"/>
    <s v="F22"/>
    <x v="0"/>
    <n v="22"/>
    <n v="0.34300000000000003"/>
    <n v="0.32500000000000001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6/01/2021"/>
    <s v="16"/>
    <s v="01"/>
    <s v="2021"/>
    <x v="4"/>
    <n v="16"/>
    <x v="1"/>
    <s v="Trapped"/>
    <n v="1.7639257294429709"/>
    <n v="1.7234522073445577"/>
    <n v="1.7543859649122806"/>
    <n v="4.2356314349016033"/>
    <n v="0.23458881793301206"/>
    <m/>
    <s v="T"/>
    <m/>
    <m/>
    <m/>
    <m/>
    <m/>
    <m/>
    <m/>
    <m/>
    <m/>
    <m/>
  </r>
  <r>
    <x v="66"/>
    <x v="1"/>
    <s v="I"/>
    <s v="S"/>
    <x v="0"/>
    <n v="76"/>
    <n v="72"/>
    <n v="7.1929999999999996"/>
    <n v="0.248"/>
    <n v="1.2999999999999999E-2"/>
    <s v="M22"/>
    <x v="2"/>
    <n v="22"/>
    <n v="0.36099999999999999"/>
    <n v="0.33200000000000002"/>
    <s v="Inverts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6/01/2021"/>
    <s v="16"/>
    <s v="01"/>
    <s v="2021"/>
    <x v="4"/>
    <n v="16"/>
    <x v="1"/>
    <s v="Trapped"/>
    <n v="0.18105849582172701"/>
    <n v="3.5709143268538517"/>
    <n v="3.5776110790536642"/>
    <n v="4.6155984985402476"/>
    <n v="0.40316974836646696"/>
    <m/>
    <s v="T"/>
    <m/>
    <m/>
    <m/>
    <m/>
    <m/>
    <m/>
    <m/>
    <m/>
    <m/>
    <m/>
  </r>
  <r>
    <x v="67"/>
    <x v="1"/>
    <s v="I"/>
    <s v="S"/>
    <x v="0"/>
    <n v="73"/>
    <n v="69"/>
    <n v="6.6580000000000004"/>
    <n v="0.16"/>
    <n v="1.9E-2"/>
    <s v="M22"/>
    <x v="2"/>
    <n v="22"/>
    <n v="0.31900000000000001"/>
    <n v="0.30199999999999999"/>
    <s v="Inverts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6/01/2021"/>
    <s v="16"/>
    <s v="01"/>
    <s v="2021"/>
    <x v="4"/>
    <n v="16"/>
    <x v="1"/>
    <s v="Trapped"/>
    <n v="0.28618767886729923"/>
    <n v="2.4622960911049554"/>
    <n v="2.4695169007562896"/>
    <n v="4.5358966656653648"/>
    <n v="0.25533193151096445"/>
    <m/>
    <s v="T"/>
    <m/>
    <m/>
    <m/>
    <m/>
    <m/>
    <m/>
    <m/>
    <m/>
    <m/>
    <m/>
  </r>
  <r>
    <x v="68"/>
    <x v="1"/>
    <s v="I"/>
    <s v="S"/>
    <x v="0"/>
    <n v="65"/>
    <n v="62"/>
    <n v="4.5259999999999998"/>
    <n v="0.13900000000000001"/>
    <n v="7.0999999999999994E-2"/>
    <s v="F22"/>
    <x v="0"/>
    <n v="22"/>
    <n v="0.20799999999999999"/>
    <n v="0.192"/>
    <s v="Inverts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6/01/2021"/>
    <s v="16"/>
    <s v="01"/>
    <s v="2021"/>
    <x v="4"/>
    <n v="16"/>
    <x v="1"/>
    <s v="Trapped"/>
    <n v="1.5937149270482602"/>
    <n v="3.1684522452701169"/>
    <n v="3.220574606116775"/>
    <n v="4.2421564295183387"/>
    <n v="0.3535130357931946"/>
    <m/>
    <s v="T"/>
    <m/>
    <n v="0"/>
    <n v="0"/>
    <m/>
    <m/>
    <n v="1.7500000000000002E-2"/>
    <n v="4.2599805258033117"/>
    <n v="4.7190000000000003"/>
    <n v="60.203103366011064"/>
    <n v="100.43543353114711"/>
  </r>
  <r>
    <x v="69"/>
    <x v="1"/>
    <s v="I"/>
    <s v="B"/>
    <x v="1"/>
    <n v="135"/>
    <n v="127"/>
    <n v="40.43"/>
    <n v="0.623"/>
    <n v="3.5000000000000003E-2"/>
    <s v="M22"/>
    <x v="2"/>
    <n v="22"/>
    <n v="1.6559999999999999"/>
    <n v="1.5509999999999999"/>
    <s v="Chironomids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6/01/2021"/>
    <s v="16"/>
    <s v="01"/>
    <s v="2021"/>
    <x v="4"/>
    <n v="16"/>
    <x v="1"/>
    <s v="Angled"/>
    <n v="8.6644386681519997E-2"/>
    <n v="1.5650513728741176"/>
    <n v="1.5664286432666195"/>
    <n v="3.8362602028196884"/>
    <n v="0.25970813752164229"/>
    <m/>
    <s v="A"/>
    <m/>
    <m/>
    <m/>
    <m/>
    <m/>
    <m/>
    <m/>
    <m/>
    <m/>
    <m/>
  </r>
  <r>
    <x v="70"/>
    <x v="1"/>
    <s v="I"/>
    <s v="B"/>
    <x v="1"/>
    <n v="116"/>
    <n v="110"/>
    <n v="27.443000000000001"/>
    <n v="0.45100000000000001"/>
    <n v="3.4000000000000002E-2"/>
    <s v="M22"/>
    <x v="2"/>
    <n v="22"/>
    <n v="1.3859999999999999"/>
    <n v="1.042"/>
    <s v="Inverts (bait)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6/01/2021"/>
    <s v="16"/>
    <s v="01"/>
    <s v="2021"/>
    <x v="4"/>
    <n v="16"/>
    <x v="1"/>
    <s v="Anlged"/>
    <n v="0.12404684592652049"/>
    <n v="1.6708654416123296"/>
    <n v="1.6729727724608652"/>
    <n v="3.796960973654484"/>
    <n v="1.25350726961338"/>
    <m/>
    <s v="A"/>
    <m/>
    <m/>
    <m/>
    <m/>
    <m/>
    <m/>
    <m/>
    <m/>
    <m/>
    <m/>
  </r>
  <r>
    <x v="71"/>
    <x v="1"/>
    <s v="I"/>
    <s v="B"/>
    <x v="1"/>
    <n v="116"/>
    <n v="110"/>
    <m/>
    <n v="0.53600000000000003"/>
    <n v="1.7000000000000001E-2"/>
    <s v="M22"/>
    <x v="2"/>
    <n v="22"/>
    <n v="2.0299999999999998"/>
    <n v="1.6060000000000001"/>
    <s v="Inverts (bait)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6/01/2021"/>
    <s v="16"/>
    <s v="01"/>
    <s v="2021"/>
    <x v="4"/>
    <n v="16"/>
    <x v="1"/>
    <s v="Angled"/>
    <m/>
    <m/>
    <m/>
    <m/>
    <m/>
    <m/>
    <s v="A"/>
    <m/>
    <m/>
    <m/>
    <m/>
    <m/>
    <m/>
    <m/>
    <m/>
    <m/>
    <m/>
  </r>
  <r>
    <x v="72"/>
    <x v="1"/>
    <s v="I"/>
    <s v="I"/>
    <x v="0"/>
    <n v="89"/>
    <n v="85"/>
    <n v="11.638999999999999"/>
    <n v="0.224"/>
    <n v="1.2E-2"/>
    <s v="M22"/>
    <x v="2"/>
    <n v="22"/>
    <n v="0.46899999999999997"/>
    <n v="0.42299999999999999"/>
    <s v="1 odonate: 0.013"/>
    <s v="F"/>
    <m/>
    <m/>
    <m/>
    <m/>
    <m/>
    <m/>
    <m/>
    <m/>
    <m/>
    <m/>
    <m/>
    <m/>
    <m/>
    <m/>
    <m/>
    <m/>
    <m/>
    <m/>
    <m/>
    <m/>
    <m/>
    <m/>
    <m/>
    <m/>
    <n v="1"/>
    <n v="1.2999999999999999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13"/>
    <d v="2021-05-02T00:00:00"/>
    <n v="5"/>
    <n v="2"/>
    <n v="2021"/>
    <x v="5"/>
    <n v="36"/>
    <x v="2"/>
    <s v="Trapped, heavily parasitized"/>
    <n v="0.10320805022791781"/>
    <n v="1.9623302671922911"/>
    <n v="1.9643953345610805"/>
    <n v="3.6343328464644729"/>
    <n v="0.39522295729873691"/>
    <n v="1.5121574018386459"/>
    <s v="T"/>
    <m/>
    <m/>
    <m/>
    <m/>
    <m/>
    <m/>
    <m/>
    <m/>
    <m/>
    <m/>
  </r>
  <r>
    <x v="73"/>
    <x v="1"/>
    <s v="I"/>
    <s v="S"/>
    <x v="0"/>
    <n v="78"/>
    <n v="74"/>
    <n v="7.9119999999999999"/>
    <n v="0.18099999999999999"/>
    <n v="1.2999999999999999E-2"/>
    <s v="M22"/>
    <x v="2"/>
    <n v="22"/>
    <n v="0.39300000000000002"/>
    <n v="0.38700000000000001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d v="2021-05-02T00:00:00"/>
    <n v="5"/>
    <n v="2"/>
    <n v="2021"/>
    <x v="5"/>
    <n v="36"/>
    <x v="2"/>
    <s v="Trapped"/>
    <n v="0.1645777946575516"/>
    <n v="2.3412236450653214"/>
    <n v="2.3451671417465665"/>
    <n v="4.8913043478260869"/>
    <n v="7.5834175935288239E-2"/>
    <n v="7.5834175935288239E-2"/>
    <s v="T"/>
    <m/>
    <m/>
    <m/>
    <m/>
    <m/>
    <m/>
    <m/>
    <m/>
    <m/>
    <m/>
  </r>
  <r>
    <x v="74"/>
    <x v="1"/>
    <s v="I"/>
    <s v="I"/>
    <x v="0"/>
    <n v="87"/>
    <n v="83"/>
    <n v="11.329000000000001"/>
    <n v="0.307"/>
    <n v="0.16600000000000001"/>
    <s v="F22"/>
    <x v="0"/>
    <n v="22"/>
    <n v="0.49399999999999999"/>
    <n v="0.46700000000000003"/>
    <s v="1 caddis: 0.008, 1 chiro: 0.002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2E-3"/>
    <m/>
    <m/>
    <m/>
    <m/>
    <n v="1"/>
    <n v="8.0000000000000002E-3"/>
    <m/>
    <m/>
    <m/>
    <m/>
    <m/>
    <m/>
    <m/>
    <m/>
    <m/>
    <m/>
    <m/>
    <m/>
    <m/>
    <m/>
    <m/>
    <m/>
    <m/>
    <m/>
    <n v="0.01"/>
    <d v="2021-05-02T00:00:00"/>
    <n v="5"/>
    <n v="2"/>
    <n v="2021"/>
    <x v="5"/>
    <n v="36"/>
    <x v="2"/>
    <s v="Trapped"/>
    <n v="1.4870554510436265"/>
    <n v="2.785338414080929"/>
    <n v="2.8279292557111275"/>
    <n v="4.1221643569600142"/>
    <n v="0.23832641892488274"/>
    <n v="0.32659546297113573"/>
    <s v="T"/>
    <m/>
    <m/>
    <m/>
    <m/>
    <m/>
    <n v="5.67E-2"/>
    <n v="5.4719166184134336"/>
    <m/>
    <m/>
    <m/>
  </r>
  <r>
    <x v="75"/>
    <x v="1"/>
    <s v="I"/>
    <s v="I"/>
    <x v="0"/>
    <n v="90"/>
    <n v="85"/>
    <n v="11.15"/>
    <n v="0.22600000000000001"/>
    <n v="1.7000000000000001E-2"/>
    <s v="M22"/>
    <x v="2"/>
    <n v="22"/>
    <n v="0.46100000000000002"/>
    <n v="0.44800000000000001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d v="2021-05-02T00:00:00"/>
    <n v="5"/>
    <n v="2"/>
    <n v="2021"/>
    <x v="5"/>
    <n v="36"/>
    <x v="2"/>
    <s v="Trapped"/>
    <n v="0.15269918261025781"/>
    <n v="2.0688392530208719"/>
    <n v="2.0720638122306774"/>
    <n v="4.0179372197309418"/>
    <n v="0.11659192825112118"/>
    <n v="0.11659192825112118"/>
    <s v="T"/>
    <m/>
    <m/>
    <m/>
    <m/>
    <m/>
    <m/>
    <m/>
    <m/>
    <m/>
    <m/>
  </r>
  <r>
    <x v="76"/>
    <x v="1"/>
    <s v="I"/>
    <s v="I"/>
    <x v="0"/>
    <n v="92"/>
    <n v="87"/>
    <n v="14.09"/>
    <n v="0.39700000000000002"/>
    <n v="2.4E-2"/>
    <s v="M22"/>
    <x v="2"/>
    <n v="22"/>
    <n v="0.61399999999999999"/>
    <n v="0.59599999999999997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d v="2021-05-02T00:00:00"/>
    <n v="5"/>
    <n v="2"/>
    <n v="2021"/>
    <x v="5"/>
    <n v="36"/>
    <x v="2"/>
    <s v="Trapped"/>
    <n v="0.17062420019906155"/>
    <n v="2.8992916088512382"/>
    <n v="2.9043821786524253"/>
    <n v="4.2299503193754431"/>
    <n v="0.12775017743080211"/>
    <n v="0.12775017743080211"/>
    <s v="T"/>
    <m/>
    <m/>
    <m/>
    <m/>
    <m/>
    <m/>
    <m/>
    <m/>
    <m/>
    <m/>
  </r>
  <r>
    <x v="77"/>
    <x v="1"/>
    <s v="I"/>
    <s v="S"/>
    <x v="0"/>
    <n v="74"/>
    <n v="70"/>
    <n v="6.2690000000000001"/>
    <n v="0.13300000000000001"/>
    <n v="0.111"/>
    <s v="F22"/>
    <x v="0"/>
    <n v="22"/>
    <n v="0.23100000000000001"/>
    <n v="0.222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d v="2021-05-02T00:00:00"/>
    <n v="5"/>
    <n v="2"/>
    <n v="2021"/>
    <x v="5"/>
    <n v="36"/>
    <x v="2"/>
    <s v="Trapped, heavily parasitized"/>
    <n v="1.8025332900292301"/>
    <n v="2.1675358539765321"/>
    <n v="2.2074688796680499"/>
    <n v="3.5412346466741109"/>
    <n v="0.14356356675705867"/>
    <n v="0.14356356675705867"/>
    <s v="T"/>
    <m/>
    <m/>
    <m/>
    <m/>
    <m/>
    <n v="5.5999999999999999E-3"/>
    <n v="0.96651708664135305"/>
    <m/>
    <m/>
    <m/>
  </r>
  <r>
    <x v="78"/>
    <x v="1"/>
    <s v="I"/>
    <s v="S"/>
    <x v="0"/>
    <n v="69"/>
    <n v="65"/>
    <n v="5.33"/>
    <n v="0.13900000000000001"/>
    <n v="0.01"/>
    <s v="M22"/>
    <x v="2"/>
    <n v="22"/>
    <n v="0.23899999999999999"/>
    <n v="0.215"/>
    <s v="3 chironomids: 0.008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8.0000000000000002E-3"/>
    <m/>
    <m/>
    <m/>
    <m/>
    <m/>
    <m/>
    <m/>
    <m/>
    <m/>
    <m/>
    <m/>
    <m/>
    <m/>
    <m/>
    <m/>
    <m/>
    <m/>
    <m/>
    <m/>
    <m/>
    <m/>
    <m/>
    <m/>
    <m/>
    <n v="8.0000000000000002E-3"/>
    <d v="2021-05-02T00:00:00"/>
    <n v="5"/>
    <n v="2"/>
    <n v="2021"/>
    <x v="5"/>
    <n v="36"/>
    <x v="2"/>
    <s v="Trapped"/>
    <n v="0.18796992481203006"/>
    <n v="2.6777114236178003"/>
    <n v="2.6828797529434474"/>
    <n v="4.0337711069418383"/>
    <n v="0.45028142589118192"/>
    <n v="0.60037523452157593"/>
    <s v="T"/>
    <m/>
    <m/>
    <m/>
    <m/>
    <m/>
    <m/>
    <m/>
    <m/>
    <m/>
    <m/>
  </r>
  <r>
    <x v="79"/>
    <x v="1"/>
    <s v="S"/>
    <s v="IMM"/>
    <x v="0"/>
    <n v="60"/>
    <n v="57"/>
    <n v="3.593"/>
    <n v="0.109"/>
    <n v="6.8000000000000005E-2"/>
    <s v="F22"/>
    <x v="0"/>
    <n v="22"/>
    <n v="0.14899999999999999"/>
    <n v="0.14000000000000001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d v="2021-05-02T00:00:00"/>
    <n v="5"/>
    <n v="2"/>
    <n v="2021"/>
    <x v="5"/>
    <n v="36"/>
    <x v="2"/>
    <s v="Trapped"/>
    <n v="1.9290780141843975"/>
    <n v="3.1285878300803676"/>
    <n v="3.1908665105386418"/>
    <n v="3.8964653492902874"/>
    <n v="0.25048705816866074"/>
    <n v="0.25048705816866074"/>
    <s v="T"/>
    <m/>
    <m/>
    <m/>
    <m/>
    <m/>
    <n v="1.72E-2"/>
    <n v="5.2647689011325376"/>
    <m/>
    <m/>
    <m/>
  </r>
  <r>
    <x v="80"/>
    <x v="1"/>
    <s v="S"/>
    <s v="IMM"/>
    <x v="0"/>
    <n v="60"/>
    <n v="57"/>
    <n v="3.4159999999999999"/>
    <n v="6.9000000000000006E-2"/>
    <n v="0.06"/>
    <s v="F22"/>
    <x v="0"/>
    <n v="22"/>
    <n v="0.13700000000000001"/>
    <n v="0.128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d v="2021-05-02T00:00:00"/>
    <n v="5"/>
    <n v="2"/>
    <n v="2021"/>
    <x v="5"/>
    <n v="36"/>
    <x v="2"/>
    <s v="Trapped, Pic 1"/>
    <n v="1.7878426698450536"/>
    <n v="2.0615476546160743"/>
    <n v="2.0991785822938853"/>
    <n v="3.7470725995316161"/>
    <n v="0.26346604215456698"/>
    <n v="0.26346604215456698"/>
    <s v="T"/>
    <m/>
    <m/>
    <m/>
    <m/>
    <m/>
    <n v="1.0200000000000001E-2"/>
    <n v="3.2380952380952381"/>
    <m/>
    <m/>
    <m/>
  </r>
  <r>
    <x v="81"/>
    <x v="1"/>
    <s v="S"/>
    <s v="IMM"/>
    <x v="1"/>
    <n v="57"/>
    <n v="53"/>
    <n v="2.6669999999999998"/>
    <n v="8.2000000000000003E-2"/>
    <n v="8.0000000000000002E-3"/>
    <s v="M22"/>
    <x v="2"/>
    <n v="22"/>
    <n v="0.125"/>
    <n v="0.113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d v="2021-05-02T00:00:00"/>
    <n v="5"/>
    <n v="2"/>
    <n v="2021"/>
    <x v="5"/>
    <n v="36"/>
    <x v="2"/>
    <s v="Trapped, Pic 2"/>
    <n v="0.30086498683715684"/>
    <n v="3.1721470019342362"/>
    <n v="3.181994567326349"/>
    <n v="4.2369703787026625"/>
    <n v="0.44994375703037109"/>
    <n v="0.44994375703037109"/>
    <s v="T"/>
    <m/>
    <m/>
    <m/>
    <m/>
    <m/>
    <m/>
    <m/>
    <m/>
    <m/>
    <m/>
  </r>
  <r>
    <x v="82"/>
    <x v="1"/>
    <s v="S"/>
    <s v="IMM"/>
    <x v="1"/>
    <n v="58"/>
    <n v="55"/>
    <n v="2.8849999999999998"/>
    <n v="6.3E-2"/>
    <n v="1.0999999999999999E-2"/>
    <s v="F10"/>
    <x v="0"/>
    <n v="10"/>
    <n v="0.108"/>
    <n v="0.1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d v="2021-05-02T00:00:00"/>
    <n v="5"/>
    <n v="2"/>
    <n v="2021"/>
    <x v="5"/>
    <n v="36"/>
    <x v="2"/>
    <s v="Trapped, Pic 3"/>
    <n v="0.3827418232428671"/>
    <n v="2.2324592487597452"/>
    <n v="2.2411953041622206"/>
    <n v="3.4662045060658584"/>
    <n v="0.2772963604852684"/>
    <n v="0.2772963604852684"/>
    <s v="T"/>
    <m/>
    <m/>
    <m/>
    <m/>
    <m/>
    <m/>
    <m/>
    <m/>
    <m/>
    <m/>
  </r>
  <r>
    <x v="83"/>
    <x v="1"/>
    <s v="I"/>
    <s v="S"/>
    <x v="0"/>
    <n v="78"/>
    <n v="74"/>
    <n v="7.0339999999999998"/>
    <n v="0.13600000000000001"/>
    <n v="1.2E-2"/>
    <s v="M22"/>
    <x v="2"/>
    <n v="22"/>
    <n v="0.30299999999999999"/>
    <n v="0.26900000000000002"/>
    <s v="4 chironomids: 0.004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4.0000000000000001E-3"/>
    <m/>
    <m/>
    <m/>
    <m/>
    <m/>
    <m/>
    <m/>
    <m/>
    <m/>
    <m/>
    <m/>
    <m/>
    <m/>
    <m/>
    <m/>
    <m/>
    <m/>
    <m/>
    <m/>
    <m/>
    <m/>
    <m/>
    <m/>
    <m/>
    <n v="4.0000000000000001E-3"/>
    <d v="2021-06-02T00:00:00"/>
    <n v="6"/>
    <n v="2"/>
    <n v="2021"/>
    <x v="3"/>
    <n v="37"/>
    <x v="2"/>
    <s v="Trapped, no parasites"/>
    <n v="0.17089148390771861"/>
    <n v="1.9715859669469413"/>
    <n v="1.9750217833284927"/>
    <n v="3.8242820585726478"/>
    <n v="0.48336650554449784"/>
    <n v="0.54023315325561527"/>
    <s v="T"/>
    <n v="1"/>
    <m/>
    <m/>
    <m/>
    <m/>
    <m/>
    <m/>
    <m/>
    <m/>
    <m/>
  </r>
  <r>
    <x v="84"/>
    <x v="1"/>
    <s v="I"/>
    <s v="S"/>
    <x v="0"/>
    <n v="82"/>
    <n v="77"/>
    <n v="8.3789999999999996"/>
    <n v="0.17799999999999999"/>
    <n v="1.7000000000000001E-2"/>
    <s v="M22"/>
    <x v="2"/>
    <n v="22"/>
    <n v="0.33200000000000002"/>
    <n v="0.315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d v="2021-06-02T00:00:00"/>
    <n v="6"/>
    <n v="2"/>
    <n v="2021"/>
    <x v="3"/>
    <n v="37"/>
    <x v="2"/>
    <s v="Trapped, some parasites"/>
    <n v="0.20330064577852189"/>
    <n v="2.1704670162175348"/>
    <n v="2.1749755620723366"/>
    <n v="3.759398496240602"/>
    <n v="0.20288817281298505"/>
    <n v="0.20288817281298505"/>
    <s v="T"/>
    <n v="2"/>
    <m/>
    <m/>
    <m/>
    <m/>
    <m/>
    <m/>
    <m/>
    <m/>
    <m/>
  </r>
  <r>
    <x v="85"/>
    <x v="1"/>
    <s v="I"/>
    <s v="S"/>
    <x v="0"/>
    <n v="74"/>
    <n v="70"/>
    <n v="6.2229999999999999"/>
    <n v="0.16500000000000001"/>
    <n v="0.106"/>
    <s v="F22"/>
    <x v="0"/>
    <n v="22"/>
    <n v="0.22800000000000001"/>
    <n v="0.20100000000000001"/>
    <s v="1 chironomid: 0.001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E-3"/>
    <m/>
    <m/>
    <m/>
    <m/>
    <m/>
    <m/>
    <m/>
    <m/>
    <m/>
    <m/>
    <m/>
    <m/>
    <m/>
    <m/>
    <m/>
    <m/>
    <m/>
    <m/>
    <m/>
    <m/>
    <m/>
    <m/>
    <m/>
    <m/>
    <n v="1E-3"/>
    <d v="2021-06-02T00:00:00"/>
    <n v="6"/>
    <n v="2"/>
    <n v="2021"/>
    <x v="3"/>
    <n v="37"/>
    <x v="2"/>
    <s v="Trapped, no parasites"/>
    <n v="1.7328755926107566"/>
    <n v="2.7236711786068013"/>
    <n v="2.772177419354839"/>
    <n v="3.2299533986823081"/>
    <n v="0.43387433713642937"/>
    <n v="0.44994375703037115"/>
    <s v="T"/>
    <n v="1"/>
    <m/>
    <m/>
    <m/>
    <m/>
    <n v="8.6999999999999994E-3"/>
    <n v="1.5199161425576517"/>
    <m/>
    <m/>
    <m/>
  </r>
  <r>
    <x v="86"/>
    <x v="1"/>
    <s v="I"/>
    <s v="S"/>
    <x v="0"/>
    <n v="68"/>
    <n v="64"/>
    <n v="5.0759999999999996"/>
    <n v="0.11899999999999999"/>
    <n v="1.6E-2"/>
    <s v="M22"/>
    <x v="2"/>
    <n v="22"/>
    <n v="0.215"/>
    <n v="0.19700000000000001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d v="2021-06-02T00:00:00"/>
    <n v="6"/>
    <n v="2"/>
    <n v="2021"/>
    <x v="3"/>
    <n v="37"/>
    <x v="2"/>
    <s v="Trapped, no parasites"/>
    <n v="0.31620553359683801"/>
    <n v="2.4006455517450074"/>
    <n v="2.4084193483100589"/>
    <n v="3.8810086682427114"/>
    <n v="0.35460992907801397"/>
    <n v="0.35460992907801397"/>
    <s v="T"/>
    <n v="1"/>
    <m/>
    <m/>
    <m/>
    <m/>
    <m/>
    <m/>
    <m/>
    <m/>
    <m/>
  </r>
  <r>
    <x v="87"/>
    <x v="1"/>
    <s v="I"/>
    <s v="S"/>
    <x v="0"/>
    <n v="67"/>
    <n v="63"/>
    <n v="4.9889999999999999"/>
    <n v="0.106"/>
    <n v="8.0000000000000002E-3"/>
    <s v="M22"/>
    <x v="2"/>
    <n v="22"/>
    <n v="0.216"/>
    <n v="0.19500000000000001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d v="2021-06-02T00:00:00"/>
    <n v="6"/>
    <n v="2"/>
    <n v="2021"/>
    <x v="3"/>
    <n v="37"/>
    <x v="2"/>
    <s v="Trapped, no parasites"/>
    <n v="0.16061031921300944"/>
    <n v="2.1707966414089697"/>
    <n v="2.1743589743589742"/>
    <n v="3.9085989176187614"/>
    <n v="0.42092603728202027"/>
    <n v="0.42092603728202027"/>
    <s v="T"/>
    <n v="1"/>
    <m/>
    <m/>
    <m/>
    <m/>
    <m/>
    <m/>
    <m/>
    <m/>
    <m/>
  </r>
  <r>
    <x v="88"/>
    <x v="1"/>
    <s v="I"/>
    <s v="IMM"/>
    <x v="0"/>
    <n v="62"/>
    <n v="58"/>
    <n v="3.4249999999999998"/>
    <n v="0.108"/>
    <n v="7.0000000000000001E-3"/>
    <s v="M22"/>
    <x v="2"/>
    <n v="22"/>
    <n v="0.152"/>
    <n v="0.14199999999999999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d v="2021-06-02T00:00:00"/>
    <n v="6"/>
    <n v="2"/>
    <n v="2021"/>
    <x v="3"/>
    <n v="37"/>
    <x v="2"/>
    <s v="Trapped, no parasites"/>
    <n v="0.20479812755997662"/>
    <n v="3.255954175459753"/>
    <n v="3.2628398791540789"/>
    <n v="4.1459854014598543"/>
    <n v="0.29197080291970834"/>
    <n v="0.29197080291970834"/>
    <s v="T"/>
    <n v="1"/>
    <m/>
    <m/>
    <m/>
    <m/>
    <m/>
    <m/>
    <m/>
    <m/>
    <m/>
  </r>
  <r>
    <x v="89"/>
    <x v="1"/>
    <s v="S"/>
    <s v="IMM"/>
    <x v="1"/>
    <n v="49"/>
    <n v="45"/>
    <n v="1.7929999999999999"/>
    <n v="2.8000000000000001E-2"/>
    <n v="2.5000000000000001E-2"/>
    <s v="F22"/>
    <x v="0"/>
    <n v="22"/>
    <n v="7.8E-2"/>
    <n v="6.5000000000000002E-2"/>
    <s v="Inverts: 0.004"/>
    <s v="F"/>
    <m/>
    <m/>
    <m/>
    <n v="4.0000000000000001E-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.0000000000000001E-3"/>
    <d v="2021-06-02T00:00:00"/>
    <n v="6"/>
    <n v="2"/>
    <n v="2021"/>
    <x v="3"/>
    <n v="37"/>
    <x v="2"/>
    <s v="Trapped, no parasites, Picture 4"/>
    <n v="1.4140271493212671"/>
    <n v="1.5864022662889519"/>
    <n v="1.6091954022988506"/>
    <n v="3.6252091466815397"/>
    <n v="0.72504182933630779"/>
    <n v="0.9481316229782486"/>
    <s v="T"/>
    <n v="1"/>
    <m/>
    <m/>
    <m/>
    <m/>
    <m/>
    <m/>
    <m/>
    <m/>
    <m/>
  </r>
  <r>
    <x v="90"/>
    <x v="1"/>
    <s v="I"/>
    <s v="I"/>
    <x v="0"/>
    <n v="85"/>
    <n v="80"/>
    <n v="10.663"/>
    <n v="0.25"/>
    <n v="0.16700000000000001"/>
    <s v="F22"/>
    <x v="0"/>
    <n v="22"/>
    <n v="0.33600000000000002"/>
    <n v="0.32600000000000001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19/2/2021"/>
    <s v="19"/>
    <s v="2"/>
    <s v="2021"/>
    <x v="6"/>
    <n v="50"/>
    <x v="3"/>
    <s v="Trapped, no parasites"/>
    <n v="1.5910823170731707"/>
    <n v="2.4008450974743112"/>
    <n v="2.439976576224868"/>
    <n v="3.0573009472006003"/>
    <n v="9.3782237644190275E-2"/>
    <n v="9.3782237644190275E-2"/>
    <s v="T"/>
    <n v="1"/>
    <n v="0"/>
    <n v="0"/>
    <n v="0"/>
    <n v="0"/>
    <n v="2.9700000000000001E-2"/>
    <n v="2.9969727547931382"/>
    <n v="8.4770000000000003"/>
    <n v="66.182856036888325"/>
    <n v="99.218096597742957"/>
  </r>
  <r>
    <x v="91"/>
    <x v="1"/>
    <s v="I"/>
    <s v="I"/>
    <x v="0"/>
    <n v="95"/>
    <n v="89"/>
    <n v="14.422000000000001"/>
    <n v="0.26700000000000002"/>
    <n v="0.20899999999999999"/>
    <s v="F22"/>
    <x v="0"/>
    <n v="22"/>
    <n v="0.45700000000000002"/>
    <n v="0.45100000000000001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19/2/2021"/>
    <s v="19"/>
    <s v="2"/>
    <s v="2021"/>
    <x v="6"/>
    <n v="50"/>
    <x v="3"/>
    <s v="Trapped, some parasites"/>
    <n v="1.4704847674664039"/>
    <n v="1.8862592723419287"/>
    <n v="1.9145274630718485"/>
    <n v="3.127166828456525"/>
    <n v="4.1603106365275311E-2"/>
    <n v="4.1603106365275311E-2"/>
    <s v="T"/>
    <n v="2"/>
    <n v="0"/>
    <n v="3"/>
    <n v="1"/>
    <n v="0"/>
    <n v="0.05"/>
    <n v="3.7067239973311583"/>
    <n v="7.6689999999999996"/>
    <n v="73.330914462044007"/>
    <n v="96.210558724397913"/>
  </r>
  <r>
    <x v="92"/>
    <x v="1"/>
    <s v="S"/>
    <s v="IMM"/>
    <x v="1"/>
    <n v="57"/>
    <n v="54"/>
    <n v="2.7959999999999998"/>
    <n v="7.6999999999999999E-2"/>
    <n v="1.2999999999999999E-2"/>
    <s v="M22"/>
    <x v="2"/>
    <n v="22"/>
    <n v="0.106"/>
    <n v="0.1"/>
    <s v="1 chiro: &lt;0.001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0"/>
    <m/>
    <m/>
    <m/>
    <m/>
    <m/>
    <m/>
    <m/>
    <m/>
    <m/>
    <m/>
    <m/>
    <m/>
    <m/>
    <m/>
    <m/>
    <m/>
    <m/>
    <m/>
    <m/>
    <m/>
    <m/>
    <m/>
    <m/>
    <m/>
    <n v="0"/>
    <s v="19/2/2021"/>
    <s v="19"/>
    <s v="2"/>
    <s v="2021"/>
    <x v="6"/>
    <n v="50"/>
    <x v="3"/>
    <s v="Trapped, no parasites"/>
    <n v="0.46712181099532873"/>
    <n v="2.8319235012872381"/>
    <n v="2.8455284552845526"/>
    <n v="3.5765379113018603"/>
    <n v="0.21459227467811129"/>
    <n v="0.21459227467811129"/>
    <s v="T"/>
    <n v="1"/>
    <m/>
    <m/>
    <m/>
    <m/>
    <m/>
    <m/>
    <m/>
    <m/>
    <m/>
  </r>
  <r>
    <x v="93"/>
    <x v="1"/>
    <s v="I"/>
    <s v="S"/>
    <x v="0"/>
    <n v="70"/>
    <n v="66"/>
    <n v="5.6340000000000003"/>
    <n v="0.128"/>
    <n v="0.01"/>
    <s v="M22"/>
    <x v="2"/>
    <n v="22"/>
    <n v="0.21199999999999999"/>
    <n v="0.20499999999999999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19/2/2021"/>
    <s v="19"/>
    <s v="2"/>
    <s v="2021"/>
    <x v="6"/>
    <n v="50"/>
    <x v="3"/>
    <s v="Trapped, no parasites"/>
    <n v="0.17780938833570412"/>
    <n v="2.3247366509262624"/>
    <n v="2.3289665211062589"/>
    <n v="3.6386226482073125"/>
    <n v="0.12424565140220103"/>
    <n v="0.12424565140220103"/>
    <s v="T"/>
    <n v="1"/>
    <m/>
    <m/>
    <m/>
    <m/>
    <m/>
    <m/>
    <m/>
    <m/>
    <m/>
  </r>
  <r>
    <x v="94"/>
    <x v="1"/>
    <s v="I"/>
    <s v="S"/>
    <x v="0"/>
    <n v="65"/>
    <n v="62"/>
    <n v="4.093"/>
    <n v="0.1"/>
    <n v="8.9999999999999993E-3"/>
    <s v="M22"/>
    <x v="2"/>
    <n v="22"/>
    <n v="0.16"/>
    <n v="0.153"/>
    <s v="1 chiro: &lt;0.001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0"/>
    <m/>
    <m/>
    <m/>
    <m/>
    <m/>
    <m/>
    <m/>
    <m/>
    <m/>
    <m/>
    <m/>
    <m/>
    <m/>
    <m/>
    <m/>
    <m/>
    <m/>
    <m/>
    <m/>
    <m/>
    <m/>
    <m/>
    <m/>
    <m/>
    <n v="0"/>
    <s v="19/2/2021"/>
    <s v="19"/>
    <s v="2"/>
    <s v="2021"/>
    <x v="6"/>
    <n v="50"/>
    <x v="3"/>
    <s v="Trapped, no parasites"/>
    <n v="0.22037218413320275"/>
    <n v="2.504382669671926"/>
    <n v="2.5100401606425704"/>
    <n v="3.738089420962619"/>
    <n v="0.17102369899828992"/>
    <n v="0.17102369899828992"/>
    <s v="T"/>
    <n v="1"/>
    <m/>
    <m/>
    <m/>
    <m/>
    <m/>
    <m/>
    <m/>
    <m/>
    <m/>
  </r>
  <r>
    <x v="95"/>
    <x v="1"/>
    <s v="I"/>
    <s v="IMM"/>
    <x v="0"/>
    <n v="64"/>
    <n v="61"/>
    <n v="4.2069999999999999"/>
    <n v="0.1"/>
    <n v="1.0999999999999999E-2"/>
    <s v="M22"/>
    <x v="2"/>
    <n v="22"/>
    <n v="0.151"/>
    <n v="0.14599999999999999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19/2/2021"/>
    <s v="19"/>
    <s v="2"/>
    <s v="2021"/>
    <x v="6"/>
    <n v="50"/>
    <x v="3"/>
    <s v="Trapped, no parasites"/>
    <n v="0.26215443279313633"/>
    <n v="2.4348672997321645"/>
    <n v="2.44140625"/>
    <n v="3.4704064654147846"/>
    <n v="0.11884953648680782"/>
    <n v="0.11884953648680782"/>
    <s v="T"/>
    <n v="1"/>
    <m/>
    <m/>
    <m/>
    <m/>
    <m/>
    <m/>
    <m/>
    <m/>
    <m/>
  </r>
  <r>
    <x v="96"/>
    <x v="1"/>
    <s v="I"/>
    <s v="S"/>
    <x v="0"/>
    <n v="69"/>
    <n v="65"/>
    <n v="5.2489999999999997"/>
    <n v="0.15"/>
    <n v="8.9999999999999993E-3"/>
    <s v="M22"/>
    <x v="2"/>
    <n v="22"/>
    <n v="0.185"/>
    <n v="0.17899999999999999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19/2/2021"/>
    <s v="19"/>
    <s v="2"/>
    <s v="2021"/>
    <x v="6"/>
    <n v="50"/>
    <x v="3"/>
    <s v="Trapped, some parasites"/>
    <n v="0.1717557251908397"/>
    <n v="2.9417532849578354"/>
    <n v="2.9469548133595289"/>
    <n v="3.4101733663554965"/>
    <n v="0.1143074871404078"/>
    <n v="0.1143074871404078"/>
    <s v="T"/>
    <n v="2"/>
    <m/>
    <m/>
    <m/>
    <m/>
    <m/>
    <m/>
    <m/>
    <m/>
    <m/>
  </r>
  <r>
    <x v="97"/>
    <x v="1"/>
    <s v="I"/>
    <s v="S"/>
    <x v="0"/>
    <n v="69"/>
    <n v="65"/>
    <n v="5.274"/>
    <n v="0.18099999999999999"/>
    <n v="2.3E-2"/>
    <s v="M22"/>
    <x v="2"/>
    <n v="22"/>
    <n v="0.22900000000000001"/>
    <n v="0.21099999999999999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19/2/2021"/>
    <s v="19"/>
    <s v="2"/>
    <s v="2021"/>
    <x v="6"/>
    <n v="50"/>
    <x v="3"/>
    <s v="Trapped, some parasites"/>
    <n v="0.43801180727480477"/>
    <n v="3.5538975063813072"/>
    <n v="3.5700197238658777"/>
    <n v="4.0007584376185052"/>
    <n v="0.34129692832764535"/>
    <n v="0.34129692832764535"/>
    <s v="T"/>
    <n v="2"/>
    <m/>
    <m/>
    <m/>
    <m/>
    <m/>
    <m/>
    <m/>
    <m/>
    <m/>
  </r>
  <r>
    <x v="98"/>
    <x v="1"/>
    <s v="I"/>
    <s v="S"/>
    <x v="0"/>
    <n v="73"/>
    <n v="68"/>
    <n v="6.2510000000000003"/>
    <n v="0.18099999999999999"/>
    <n v="0.10299999999999999"/>
    <s v="F22"/>
    <x v="0"/>
    <n v="22"/>
    <n v="0.23"/>
    <n v="0.221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19/2/2021"/>
    <s v="19"/>
    <s v="2"/>
    <s v="2021"/>
    <x v="6"/>
    <n v="50"/>
    <x v="3"/>
    <s v="Trapped, no parasites"/>
    <n v="1.6753415744957707"/>
    <n v="2.9818780889621084"/>
    <n v="3.0333500921736212"/>
    <n v="3.5354343305071185"/>
    <n v="0.14397696368581039"/>
    <n v="0.14397696368581039"/>
    <s v="T"/>
    <n v="1"/>
    <n v="0"/>
    <n v="3"/>
    <n v="2"/>
    <n v="0"/>
    <n v="2.6499999999999999E-2"/>
    <n v="4.619138922781941"/>
    <n v="9.0809999999999995"/>
    <n v="61.637282942865433"/>
    <n v="103.19574469422849"/>
  </r>
  <r>
    <x v="99"/>
    <x v="1"/>
    <s v="I"/>
    <s v="S"/>
    <x v="0"/>
    <n v="70"/>
    <n v="66"/>
    <n v="5.7549999999999999"/>
    <n v="0.152"/>
    <n v="8.9999999999999993E-3"/>
    <s v="M22"/>
    <x v="2"/>
    <n v="22"/>
    <n v="0.218"/>
    <n v="0.20899999999999999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19/2/2021"/>
    <s v="19"/>
    <s v="2"/>
    <s v="2021"/>
    <x v="6"/>
    <n v="50"/>
    <x v="3"/>
    <s v="Trapped, some parasites"/>
    <n v="0.15663069961712495"/>
    <n v="2.7128324112082813"/>
    <n v="2.7171969967822669"/>
    <n v="3.6316246741963507"/>
    <n v="0.15638575152041717"/>
    <n v="0.15638575152041717"/>
    <s v="T"/>
    <n v="2"/>
    <m/>
    <m/>
    <m/>
    <m/>
    <m/>
    <m/>
    <m/>
    <m/>
    <m/>
  </r>
  <r>
    <x v="100"/>
    <x v="1"/>
    <s v="I"/>
    <s v="IMM"/>
    <x v="0"/>
    <n v="61"/>
    <n v="58"/>
    <n v="3.6240000000000001"/>
    <n v="0.104"/>
    <n v="0.01"/>
    <s v="M22"/>
    <x v="2"/>
    <n v="22"/>
    <n v="0.13"/>
    <n v="0.12"/>
    <s v="1 invert: 0.001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E-3"/>
    <m/>
    <m/>
    <m/>
    <m/>
    <m/>
    <m/>
    <m/>
    <m/>
    <m/>
    <m/>
    <m/>
    <m/>
    <m/>
    <m/>
    <m/>
    <m/>
    <m/>
    <m/>
    <m/>
    <m/>
    <m/>
    <m/>
    <m/>
    <m/>
    <n v="1E-3"/>
    <s v="19/2/2021"/>
    <s v="19"/>
    <s v="2"/>
    <s v="2021"/>
    <x v="6"/>
    <n v="50"/>
    <x v="3"/>
    <s v="Trapped, no parasites"/>
    <n v="0.27670171555063638"/>
    <n v="2.9545454545454546"/>
    <n v="2.9629629629629628"/>
    <n v="3.311258278145695"/>
    <n v="0.27593818984547486"/>
    <n v="0.30353200883002235"/>
    <s v="T"/>
    <n v="1"/>
    <m/>
    <m/>
    <m/>
    <m/>
    <m/>
    <m/>
    <m/>
    <m/>
    <m/>
  </r>
  <r>
    <x v="101"/>
    <x v="1"/>
    <s v="I"/>
    <s v="IMM"/>
    <x v="0"/>
    <n v="62"/>
    <n v="59"/>
    <n v="3.9820000000000002"/>
    <n v="0.11799999999999999"/>
    <n v="7.0000000000000001E-3"/>
    <s v="M22"/>
    <x v="2"/>
    <n v="22"/>
    <n v="0.155"/>
    <n v="0.14699999999999999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19/2/2021"/>
    <s v="19"/>
    <s v="2"/>
    <s v="2021"/>
    <x v="6"/>
    <n v="50"/>
    <x v="3"/>
    <s v="Trapped, no parasites"/>
    <n v="0.1761006289308176"/>
    <n v="3.053830227743271"/>
    <n v="3.0593725693544203"/>
    <n v="3.6916122551481663"/>
    <n v="0.20090406830738339"/>
    <n v="0.20090406830738339"/>
    <s v="T"/>
    <n v="1"/>
    <m/>
    <m/>
    <m/>
    <m/>
    <m/>
    <m/>
    <m/>
    <m/>
    <m/>
  </r>
  <r>
    <x v="102"/>
    <x v="1"/>
    <s v="I"/>
    <s v="S"/>
    <x v="0"/>
    <n v="68"/>
    <n v="64"/>
    <n v="5.117"/>
    <n v="0.14399999999999999"/>
    <n v="8.9999999999999993E-3"/>
    <s v="M22"/>
    <x v="2"/>
    <n v="22"/>
    <n v="0.17199999999999999"/>
    <n v="0.16700000000000001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19/2/2021"/>
    <s v="19"/>
    <s v="2"/>
    <s v="2021"/>
    <x v="6"/>
    <n v="50"/>
    <x v="3"/>
    <s v="Trapped, no parasites"/>
    <n v="0.17619420516836334"/>
    <n v="2.8956364367584957"/>
    <n v="2.9008863819500403"/>
    <n v="3.2636310338088723"/>
    <n v="9.7713504006253213E-2"/>
    <n v="9.7713504006253213E-2"/>
    <s v="T"/>
    <n v="1"/>
    <m/>
    <m/>
    <m/>
    <m/>
    <m/>
    <m/>
    <m/>
    <m/>
    <m/>
  </r>
  <r>
    <x v="103"/>
    <x v="1"/>
    <s v="S"/>
    <s v="IMM"/>
    <x v="1"/>
    <n v="59"/>
    <n v="56"/>
    <n v="3.2469999999999999"/>
    <n v="0.113"/>
    <n v="0.04"/>
    <s v="F22"/>
    <x v="0"/>
    <n v="22"/>
    <n v="0.16300000000000001"/>
    <n v="0.156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19/2/2021"/>
    <s v="19"/>
    <s v="2"/>
    <s v="2021"/>
    <x v="6"/>
    <n v="50"/>
    <x v="3"/>
    <s v="Trapped, no parasites"/>
    <n v="1.2472715933894607"/>
    <n v="3.6056158264199114"/>
    <n v="3.6522301228183585"/>
    <n v="4.8044348629504157"/>
    <n v="0.21558361564521117"/>
    <n v="0.21558361564521117"/>
    <s v="T"/>
    <n v="1"/>
    <m/>
    <m/>
    <m/>
    <m/>
    <m/>
    <m/>
    <m/>
    <m/>
    <m/>
  </r>
  <r>
    <x v="104"/>
    <x v="1"/>
    <s v="S"/>
    <s v="IMM"/>
    <x v="1"/>
    <n v="49"/>
    <n v="48"/>
    <n v="1.736"/>
    <n v="5.6000000000000001E-2"/>
    <n v="3.1E-2"/>
    <s v="F22"/>
    <x v="0"/>
    <n v="22"/>
    <n v="0.08"/>
    <n v="7.1999999999999995E-2"/>
    <s v="2 zoops: 0.001"/>
    <s v="F"/>
    <m/>
    <m/>
    <m/>
    <m/>
    <m/>
    <m/>
    <m/>
    <m/>
    <m/>
    <m/>
    <m/>
    <m/>
    <m/>
    <m/>
    <m/>
    <m/>
    <m/>
    <m/>
    <m/>
    <m/>
    <m/>
    <m/>
    <n v="2"/>
    <n v="1E-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E-3"/>
    <s v="19/2/2021"/>
    <s v="19"/>
    <s v="2"/>
    <s v="2021"/>
    <x v="6"/>
    <n v="50"/>
    <x v="3"/>
    <s v="Trapped, some parasites"/>
    <n v="1.8181818181818181"/>
    <n v="3.3333333333333335"/>
    <n v="3.3959975742874469"/>
    <n v="4.1474654377880178"/>
    <n v="0.46082949308755805"/>
    <n v="0.51843317972350278"/>
    <s v="T"/>
    <n v="2"/>
    <m/>
    <m/>
    <m/>
    <m/>
    <m/>
    <m/>
    <m/>
    <m/>
    <m/>
  </r>
  <r>
    <x v="105"/>
    <x v="1"/>
    <s v="S"/>
    <s v="IMM"/>
    <x v="1"/>
    <n v="56"/>
    <n v="53"/>
    <n v="2.7120000000000002"/>
    <n v="7.9000000000000001E-2"/>
    <n v="4.2999999999999997E-2"/>
    <s v="F22"/>
    <x v="0"/>
    <n v="22"/>
    <n v="0.113"/>
    <n v="0.10100000000000001"/>
    <s v="3 zoops: 0.001"/>
    <s v="F"/>
    <m/>
    <m/>
    <m/>
    <m/>
    <m/>
    <m/>
    <m/>
    <m/>
    <m/>
    <m/>
    <m/>
    <m/>
    <m/>
    <m/>
    <m/>
    <m/>
    <m/>
    <m/>
    <m/>
    <m/>
    <m/>
    <m/>
    <n v="3"/>
    <n v="1E-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E-3"/>
    <s v="19/2/2021"/>
    <s v="19"/>
    <s v="2"/>
    <s v="2021"/>
    <x v="6"/>
    <n v="50"/>
    <x v="3"/>
    <s v="Trapped, some parasites"/>
    <n v="1.6110902959910078"/>
    <n v="3.000379794910748"/>
    <n v="3.0501930501930503"/>
    <n v="3.7241887905604716"/>
    <n v="0.44247787610619449"/>
    <n v="0.47935103244837751"/>
    <s v="T"/>
    <n v="2"/>
    <m/>
    <m/>
    <m/>
    <m/>
    <m/>
    <m/>
    <m/>
    <m/>
    <m/>
  </r>
  <r>
    <x v="106"/>
    <x v="1"/>
    <s v="I"/>
    <s v="IMM"/>
    <x v="0"/>
    <n v="63"/>
    <n v="60"/>
    <n v="4.0640000000000001"/>
    <n v="0.122"/>
    <n v="7.8E-2"/>
    <s v="F22"/>
    <x v="0"/>
    <n v="22"/>
    <n v="0.155"/>
    <n v="0.14799999999999999"/>
    <s v="1 zoops: &lt;0.001"/>
    <s v="F"/>
    <m/>
    <m/>
    <m/>
    <m/>
    <m/>
    <m/>
    <m/>
    <m/>
    <m/>
    <m/>
    <m/>
    <m/>
    <m/>
    <m/>
    <m/>
    <m/>
    <m/>
    <m/>
    <m/>
    <m/>
    <m/>
    <m/>
    <n v="1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19/2/2021"/>
    <s v="19"/>
    <s v="2"/>
    <s v="2021"/>
    <x v="6"/>
    <n v="50"/>
    <x v="3"/>
    <s v="Trapped, some parasites"/>
    <n v="1.9568489713998998"/>
    <n v="3.0948756976154232"/>
    <n v="3.1573498964803313"/>
    <n v="3.6417322834645667"/>
    <n v="0.17224409448818911"/>
    <n v="0.17224409448818911"/>
    <s v="T"/>
    <n v="2"/>
    <n v="0"/>
    <n v="3"/>
    <n v="2"/>
    <n v="0"/>
    <n v="0.02"/>
    <n v="5.39228902669183"/>
    <n v="9.2040000000000006"/>
    <m/>
    <n v="104.79336496151043"/>
  </r>
  <r>
    <x v="107"/>
    <x v="1"/>
    <s v="I"/>
    <s v="S"/>
    <x v="0"/>
    <n v="65"/>
    <n v="61"/>
    <n v="4.1379999999999999"/>
    <n v="0.126"/>
    <n v="6.9000000000000006E-2"/>
    <s v="F22"/>
    <x v="0"/>
    <n v="22"/>
    <n v="0.17399999999999999"/>
    <n v="0.155"/>
    <s v="&gt;10 zoops: 0.002"/>
    <s v="F"/>
    <m/>
    <m/>
    <m/>
    <m/>
    <m/>
    <m/>
    <m/>
    <m/>
    <m/>
    <m/>
    <m/>
    <m/>
    <m/>
    <m/>
    <m/>
    <m/>
    <m/>
    <m/>
    <m/>
    <m/>
    <m/>
    <m/>
    <n v="10"/>
    <n v="2E-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E-3"/>
    <s v="19/2/2021"/>
    <s v="19"/>
    <s v="2"/>
    <s v="2021"/>
    <x v="6"/>
    <n v="50"/>
    <x v="3"/>
    <s v="Trapped, no parasites"/>
    <n v="1.6957483411157535"/>
    <n v="3.140578265204387"/>
    <n v="3.1955363936089274"/>
    <n v="3.7457709038182698"/>
    <n v="0.45915901401643283"/>
    <n v="0.50749154180763634"/>
    <s v="T"/>
    <n v="1"/>
    <n v="0"/>
    <n v="0"/>
    <n v="0"/>
    <n v="0"/>
    <n v="9.7999999999999997E-3"/>
    <n v="2.6001591934200055"/>
    <n v="8.9730000000000008"/>
    <n v="67.427653900598798"/>
    <n v="112.35338688794349"/>
  </r>
  <r>
    <x v="108"/>
    <x v="1"/>
    <s v="S"/>
    <s v="IMM"/>
    <x v="1"/>
    <n v="59"/>
    <n v="56"/>
    <n v="3.18"/>
    <n v="9.6000000000000002E-2"/>
    <n v="5.3999999999999999E-2"/>
    <s v="F22"/>
    <x v="0"/>
    <n v="22"/>
    <n v="0.126"/>
    <n v="0.11899999999999999"/>
    <s v="2 zoops: &lt;0.001"/>
    <s v="F"/>
    <m/>
    <m/>
    <m/>
    <m/>
    <m/>
    <m/>
    <m/>
    <m/>
    <m/>
    <m/>
    <m/>
    <m/>
    <m/>
    <m/>
    <m/>
    <m/>
    <m/>
    <m/>
    <m/>
    <m/>
    <m/>
    <m/>
    <n v="2"/>
    <n v="1E-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19/2/2021"/>
    <s v="19"/>
    <s v="2"/>
    <s v="2021"/>
    <x v="6"/>
    <n v="50"/>
    <x v="3"/>
    <s v="Trapped, some parasites"/>
    <n v="1.7274472168905948"/>
    <n v="3.1128404669260701"/>
    <n v="3.1683168316831685"/>
    <n v="3.742138364779874"/>
    <n v="0.22012578616352219"/>
    <n v="0.22012578616352219"/>
    <s v="T"/>
    <n v="2"/>
    <m/>
    <m/>
    <m/>
    <m/>
    <m/>
    <m/>
    <m/>
    <m/>
    <m/>
  </r>
  <r>
    <x v="109"/>
    <x v="1"/>
    <s v="S"/>
    <s v="IMM"/>
    <x v="1"/>
    <n v="39"/>
    <n v="37"/>
    <n v="0.84199999999999997"/>
    <n v="2.1999999999999999E-2"/>
    <n v="1.2999999999999999E-2"/>
    <s v="F20"/>
    <x v="0"/>
    <n v="20"/>
    <n v="3.5000000000000003E-2"/>
    <n v="0.03"/>
    <s v="~5 zoops: &lt;0.001"/>
    <s v="F"/>
    <m/>
    <m/>
    <m/>
    <m/>
    <m/>
    <m/>
    <m/>
    <m/>
    <m/>
    <m/>
    <m/>
    <m/>
    <m/>
    <m/>
    <m/>
    <m/>
    <m/>
    <m/>
    <m/>
    <m/>
    <m/>
    <m/>
    <n v="5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19/2/2021"/>
    <s v="19"/>
    <s v="2"/>
    <s v="2021"/>
    <x v="6"/>
    <n v="50"/>
    <x v="3"/>
    <s v="Trapped, no parasites"/>
    <n v="1.5681544028950543"/>
    <n v="2.6829268292682928"/>
    <n v="2.7261462205700124"/>
    <n v="3.5629453681710213"/>
    <n v="0.59382422802850421"/>
    <n v="0.59382422802850421"/>
    <s v="T"/>
    <n v="1"/>
    <m/>
    <m/>
    <m/>
    <m/>
    <m/>
    <m/>
    <m/>
    <m/>
    <m/>
  </r>
  <r>
    <x v="110"/>
    <x v="1"/>
    <s v="S"/>
    <s v="IMM"/>
    <x v="1"/>
    <n v="37"/>
    <n v="35"/>
    <n v="0.67600000000000005"/>
    <n v="1.4999999999999999E-2"/>
    <n v="0.05"/>
    <s v="M20"/>
    <x v="2"/>
    <n v="20"/>
    <n v="3.1E-2"/>
    <n v="2.5999999999999999E-2"/>
    <s v="~5 zoops: &lt;0.001"/>
    <s v="F"/>
    <m/>
    <m/>
    <m/>
    <m/>
    <m/>
    <m/>
    <m/>
    <m/>
    <m/>
    <m/>
    <m/>
    <m/>
    <m/>
    <m/>
    <m/>
    <m/>
    <m/>
    <m/>
    <m/>
    <m/>
    <m/>
    <m/>
    <n v="5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19/2/2021"/>
    <s v="19"/>
    <s v="2"/>
    <s v="2021"/>
    <x v="6"/>
    <n v="50"/>
    <x v="3"/>
    <s v="Trapped, no parasites"/>
    <n v="7.9872204472843462"/>
    <n v="2.2692889561270801"/>
    <n v="2.4549918166939442"/>
    <n v="3.8461538461538458"/>
    <n v="0.7396449704142013"/>
    <n v="0.7396449704142013"/>
    <s v="T"/>
    <n v="1"/>
    <m/>
    <m/>
    <m/>
    <m/>
    <m/>
    <m/>
    <m/>
    <m/>
    <m/>
  </r>
  <r>
    <x v="111"/>
    <x v="1"/>
    <s v="S"/>
    <s v="IMM"/>
    <x v="1"/>
    <n v="48"/>
    <n v="45"/>
    <n v="1.593"/>
    <n v="4.9000000000000002E-2"/>
    <n v="2.4E-2"/>
    <s v="F22"/>
    <x v="0"/>
    <n v="22"/>
    <n v="0.08"/>
    <n v="6.9000000000000006E-2"/>
    <s v="~20 zoops: 0.003"/>
    <s v="F"/>
    <m/>
    <m/>
    <m/>
    <m/>
    <m/>
    <m/>
    <m/>
    <m/>
    <m/>
    <m/>
    <m/>
    <m/>
    <m/>
    <m/>
    <m/>
    <m/>
    <m/>
    <m/>
    <m/>
    <m/>
    <m/>
    <m/>
    <n v="20"/>
    <n v="3.0000000000000001E-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.0000000000000001E-3"/>
    <s v="19/2/2021"/>
    <s v="19"/>
    <s v="2"/>
    <s v="2021"/>
    <x v="6"/>
    <n v="50"/>
    <x v="3"/>
    <s v="Trapped, no parasites"/>
    <n v="1.5296367112810709"/>
    <n v="3.1735751295336789"/>
    <n v="3.2236842105263159"/>
    <n v="4.3314500941619585"/>
    <n v="0.69052102950408012"/>
    <n v="0.87884494664155643"/>
    <s v="T"/>
    <n v="1"/>
    <m/>
    <m/>
    <m/>
    <m/>
    <m/>
    <m/>
    <m/>
    <m/>
    <m/>
  </r>
  <r>
    <x v="112"/>
    <x v="1"/>
    <s v="S"/>
    <s v="IMM"/>
    <x v="1"/>
    <n v="49"/>
    <n v="46"/>
    <n v="1.6120000000000001"/>
    <n v="5.1999999999999998E-2"/>
    <n v="3.0000000000000001E-3"/>
    <s v="M20"/>
    <x v="2"/>
    <n v="20"/>
    <n v="7.0000000000000007E-2"/>
    <n v="6.4000000000000001E-2"/>
    <s v="2 zoops: &lt;0.001"/>
    <s v="F"/>
    <m/>
    <m/>
    <m/>
    <m/>
    <m/>
    <m/>
    <m/>
    <m/>
    <m/>
    <m/>
    <m/>
    <m/>
    <m/>
    <m/>
    <m/>
    <m/>
    <m/>
    <m/>
    <m/>
    <m/>
    <m/>
    <m/>
    <n v="2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19/2/2021"/>
    <s v="19"/>
    <s v="2"/>
    <s v="2021"/>
    <x v="6"/>
    <n v="50"/>
    <x v="3"/>
    <s v="Trapped, no parasites"/>
    <n v="0.18645121193287753"/>
    <n v="3.3333333333333335"/>
    <n v="3.3397559409120099"/>
    <n v="3.9702233250620349"/>
    <n v="0.37220843672456605"/>
    <n v="0.37220843672456605"/>
    <s v="T"/>
    <n v="1"/>
    <m/>
    <m/>
    <m/>
    <m/>
    <m/>
    <m/>
    <m/>
    <m/>
    <m/>
  </r>
  <r>
    <x v="113"/>
    <x v="1"/>
    <s v="S"/>
    <s v="IMM"/>
    <x v="1"/>
    <n v="51"/>
    <n v="48"/>
    <n v="1.9590000000000001"/>
    <n v="6.4000000000000001E-2"/>
    <n v="3.3000000000000002E-2"/>
    <s v="F22"/>
    <x v="0"/>
    <n v="22"/>
    <n v="8.1000000000000003E-2"/>
    <n v="7.4999999999999997E-2"/>
    <s v="3 zoops: &lt;0.001"/>
    <s v="F"/>
    <m/>
    <m/>
    <m/>
    <m/>
    <m/>
    <m/>
    <m/>
    <m/>
    <m/>
    <m/>
    <m/>
    <m/>
    <m/>
    <m/>
    <m/>
    <m/>
    <m/>
    <m/>
    <m/>
    <m/>
    <m/>
    <m/>
    <n v="3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19/2/2021"/>
    <s v="19"/>
    <s v="2"/>
    <s v="2021"/>
    <x v="6"/>
    <n v="50"/>
    <x v="3"/>
    <s v="Trapped, no parasites"/>
    <n v="1.7133956386292832"/>
    <n v="3.3773087071240102"/>
    <n v="3.4371643394199785"/>
    <n v="3.828483920367534"/>
    <n v="0.30627871362940301"/>
    <n v="0.30627871362940301"/>
    <s v="T"/>
    <n v="1"/>
    <m/>
    <m/>
    <m/>
    <m/>
    <m/>
    <m/>
    <m/>
    <m/>
    <m/>
  </r>
  <r>
    <x v="114"/>
    <x v="1"/>
    <s v="S"/>
    <s v="IMM"/>
    <x v="1"/>
    <n v="50"/>
    <n v="48"/>
    <n v="2.0089999999999999"/>
    <n v="6.3E-2"/>
    <n v="8.0000000000000002E-3"/>
    <s v="M22"/>
    <x v="2"/>
    <n v="22"/>
    <n v="8.4000000000000005E-2"/>
    <n v="7.6999999999999999E-2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19/2/2021"/>
    <s v="19"/>
    <s v="2"/>
    <s v="2021"/>
    <x v="6"/>
    <n v="50"/>
    <x v="3"/>
    <s v="Trapped, some parasites"/>
    <n v="0.39980009995002508"/>
    <n v="3.2374100719424459"/>
    <n v="3.2507739938080498"/>
    <n v="3.8327526132404186"/>
    <n v="0.34843205574912928"/>
    <n v="0.34843205574912928"/>
    <s v="T"/>
    <n v="2"/>
    <m/>
    <m/>
    <m/>
    <m/>
    <m/>
    <m/>
    <m/>
    <m/>
    <m/>
  </r>
  <r>
    <x v="115"/>
    <x v="1"/>
    <s v="I"/>
    <s v="I"/>
    <x v="0"/>
    <n v="105"/>
    <n v="100"/>
    <n v="20.396000000000001"/>
    <n v="0.55800000000000005"/>
    <n v="3.2000000000000001E-2"/>
    <s v="M22"/>
    <x v="2"/>
    <n v="22"/>
    <n v="0.86399999999999999"/>
    <n v="0.81899999999999995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d v="2021-05-03T00:00:00"/>
    <n v="5"/>
    <n v="3"/>
    <n v="2021"/>
    <x v="7"/>
    <n v="64"/>
    <x v="4"/>
    <s v="Trapped, no parasites"/>
    <n v="0.1571400510705166"/>
    <n v="2.8127835467285012"/>
    <n v="2.817328082399273"/>
    <n v="4.0154932339674438"/>
    <n v="0.22063149637183782"/>
    <n v="0.22063149637183782"/>
    <s v="T"/>
    <n v="1"/>
    <m/>
    <m/>
    <m/>
    <m/>
    <m/>
    <m/>
    <m/>
    <m/>
    <m/>
  </r>
  <r>
    <x v="116"/>
    <x v="1"/>
    <s v="I"/>
    <s v="B"/>
    <x v="1"/>
    <n v="125"/>
    <n v="119"/>
    <n v="31.574999999999999"/>
    <n v="0.5"/>
    <n v="0.04"/>
    <s v="M22"/>
    <x v="2"/>
    <n v="22"/>
    <n v="1.2709999999999999"/>
    <n v="1.254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d v="2021-05-03T00:00:00"/>
    <n v="5"/>
    <n v="3"/>
    <n v="2021"/>
    <x v="7"/>
    <n v="64"/>
    <x v="4"/>
    <m/>
    <n v="0.12684319010623119"/>
    <n v="1.6090104585679808"/>
    <n v="1.6110842597067827"/>
    <n v="3.9714964370546322"/>
    <n v="5.3840063341250688E-2"/>
    <n v="5.3840063341250688E-2"/>
    <s v="T"/>
    <n v="3"/>
    <m/>
    <m/>
    <m/>
    <m/>
    <m/>
    <m/>
    <m/>
    <m/>
    <m/>
  </r>
  <r>
    <x v="117"/>
    <x v="1"/>
    <s v="I"/>
    <s v="I"/>
    <x v="0"/>
    <n v="89"/>
    <n v="85"/>
    <n v="11.228999999999999"/>
    <n v="0.27100000000000002"/>
    <n v="2.1999999999999999E-2"/>
    <s v="M22"/>
    <x v="2"/>
    <n v="22"/>
    <n v="0.442"/>
    <n v="0.41799999999999998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d v="2021-05-03T00:00:00"/>
    <n v="5"/>
    <n v="3"/>
    <n v="2021"/>
    <x v="7"/>
    <n v="64"/>
    <x v="4"/>
    <m/>
    <n v="0.19630588025341306"/>
    <n v="2.4730790290198947"/>
    <n v="2.4780541331382593"/>
    <n v="3.7225042301184432"/>
    <n v="0.2137323002938821"/>
    <n v="0.2137323002938821"/>
    <s v="T"/>
    <n v="1"/>
    <m/>
    <m/>
    <m/>
    <m/>
    <m/>
    <m/>
    <m/>
    <m/>
    <m/>
  </r>
  <r>
    <x v="118"/>
    <x v="1"/>
    <s v="S"/>
    <s v="IMM"/>
    <x v="0"/>
    <n v="60"/>
    <n v="58"/>
    <n v="3.508"/>
    <n v="0.12"/>
    <n v="6.3E-2"/>
    <s v="F22"/>
    <x v="0"/>
    <n v="22"/>
    <n v="0.13600000000000001"/>
    <n v="0.121"/>
    <s v="zoops &lt;0.001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d v="2021-05-03T00:00:00"/>
    <n v="5"/>
    <n v="3"/>
    <n v="2021"/>
    <x v="7"/>
    <n v="64"/>
    <x v="4"/>
    <m/>
    <n v="1.8287373004354137"/>
    <n v="3.5419126328217239"/>
    <n v="3.6090225563909777"/>
    <n v="3.4492588369441273"/>
    <n v="0.42759407069555339"/>
    <n v="0.42759407069555339"/>
    <s v="T"/>
    <n v="1"/>
    <m/>
    <m/>
    <m/>
    <m/>
    <m/>
    <m/>
    <m/>
    <m/>
    <m/>
  </r>
  <r>
    <x v="119"/>
    <x v="1"/>
    <s v="I"/>
    <s v="I"/>
    <x v="0"/>
    <n v="103"/>
    <n v="98"/>
    <n v="19.109000000000002"/>
    <n v="0.38600000000000001"/>
    <n v="2.3E-2"/>
    <s v="M22"/>
    <x v="2"/>
    <n v="22"/>
    <n v="0.77900000000000003"/>
    <n v="0.75600000000000001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d v="2021-05-03T00:00:00"/>
    <n v="5"/>
    <n v="3"/>
    <n v="2021"/>
    <x v="7"/>
    <n v="64"/>
    <x v="4"/>
    <m/>
    <n v="0.12050717803625693"/>
    <n v="2.061635421673877"/>
    <n v="2.0641711229946522"/>
    <n v="3.9562509812130409"/>
    <n v="0.12036213302632277"/>
    <n v="0.12036213302632277"/>
    <s v="T"/>
    <n v="1"/>
    <m/>
    <m/>
    <m/>
    <m/>
    <m/>
    <m/>
    <m/>
    <m/>
    <m/>
  </r>
  <r>
    <x v="120"/>
    <x v="1"/>
    <s v="I"/>
    <s v="I"/>
    <x v="0"/>
    <n v="93"/>
    <n v="88"/>
    <n v="13.201000000000001"/>
    <n v="0.30299999999999999"/>
    <n v="2.1999999999999999E-2"/>
    <s v="M22"/>
    <x v="2"/>
    <n v="22"/>
    <n v="0.49299999999999999"/>
    <n v="0.47"/>
    <s v="2 chiro: 0.003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3.0000000000000001E-3"/>
    <m/>
    <m/>
    <m/>
    <m/>
    <m/>
    <m/>
    <m/>
    <m/>
    <m/>
    <m/>
    <m/>
    <m/>
    <m/>
    <m/>
    <m/>
    <m/>
    <m/>
    <m/>
    <m/>
    <m/>
    <m/>
    <m/>
    <m/>
    <m/>
    <n v="3.0000000000000001E-3"/>
    <d v="2021-05-03T00:00:00"/>
    <n v="5"/>
    <n v="3"/>
    <n v="2021"/>
    <x v="7"/>
    <n v="64"/>
    <x v="4"/>
    <m/>
    <n v="0.16693224068593973"/>
    <n v="2.3492014265777641"/>
    <n v="2.3532152842497669"/>
    <n v="3.5603363381561994"/>
    <n v="0.17422922505870783"/>
    <n v="0.19695477615332188"/>
    <s v="T"/>
    <n v="1"/>
    <m/>
    <m/>
    <m/>
    <m/>
    <m/>
    <m/>
    <m/>
    <m/>
    <m/>
  </r>
  <r>
    <x v="121"/>
    <x v="1"/>
    <s v="I"/>
    <s v="S"/>
    <x v="0"/>
    <n v="74"/>
    <n v="70"/>
    <n v="6.0339999999999998"/>
    <n v="0.10299999999999999"/>
    <n v="0.10199999999999999"/>
    <s v="F22"/>
    <x v="0"/>
    <n v="22"/>
    <n v="0.23799999999999999"/>
    <n v="0.218"/>
    <s v="goo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d v="2021-05-03T00:00:00"/>
    <n v="5"/>
    <n v="3"/>
    <n v="2021"/>
    <x v="7"/>
    <n v="64"/>
    <x v="4"/>
    <m/>
    <n v="1.7194875252865813"/>
    <n v="1.7366380037093239"/>
    <n v="1.767026934294047"/>
    <n v="3.6128604574080216"/>
    <n v="0.33145508783559813"/>
    <n v="0.33145508783559813"/>
    <s v="T"/>
    <n v="2"/>
    <m/>
    <m/>
    <m/>
    <m/>
    <m/>
    <m/>
    <m/>
    <m/>
    <m/>
  </r>
  <r>
    <x v="122"/>
    <x v="1"/>
    <s v="I"/>
    <s v="B"/>
    <x v="1"/>
    <n v="117"/>
    <n v="111"/>
    <n v="27.686"/>
    <n v="0.53100000000000003"/>
    <n v="0.378"/>
    <s v="F22"/>
    <x v="0"/>
    <n v="22"/>
    <n v="1.3460000000000001"/>
    <n v="1.3240000000000001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d v="2021-05-03T00:00:00"/>
    <n v="5"/>
    <n v="3"/>
    <n v="2021"/>
    <x v="7"/>
    <n v="64"/>
    <x v="4"/>
    <m/>
    <n v="1.3842097553830379"/>
    <n v="1.9554409869269014"/>
    <n v="1.9830451506890241"/>
    <n v="4.7822003900888541"/>
    <n v="7.9462544246189482E-2"/>
    <n v="7.9462544246189482E-2"/>
    <s v="T"/>
    <n v="3"/>
    <m/>
    <m/>
    <m/>
    <m/>
    <m/>
    <m/>
    <m/>
    <m/>
    <m/>
  </r>
  <r>
    <x v="123"/>
    <x v="1"/>
    <s v="I"/>
    <s v="I"/>
    <x v="0"/>
    <n v="89"/>
    <n v="83"/>
    <n v="12.843999999999999"/>
    <n v="0.32100000000000001"/>
    <n v="0.17799999999999999"/>
    <s v="F22"/>
    <x v="0"/>
    <n v="22"/>
    <n v="0.53"/>
    <n v="0.47399999999999998"/>
    <s v="7 chiro: 0.024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"/>
    <n v="2.4E-2"/>
    <m/>
    <m/>
    <m/>
    <m/>
    <m/>
    <m/>
    <m/>
    <m/>
    <m/>
    <m/>
    <m/>
    <m/>
    <m/>
    <m/>
    <m/>
    <m/>
    <m/>
    <m/>
    <m/>
    <m/>
    <m/>
    <m/>
    <m/>
    <m/>
    <n v="2.4E-2"/>
    <d v="2021-05-03T00:00:00"/>
    <n v="5"/>
    <n v="3"/>
    <n v="2021"/>
    <x v="7"/>
    <n v="64"/>
    <x v="4"/>
    <m/>
    <n v="1.4053371230064742"/>
    <n v="2.5632835582528148"/>
    <n v="2.600243013365735"/>
    <n v="3.6904391155403302"/>
    <n v="0.43600124571784532"/>
    <n v="0.62285892245406449"/>
    <s v="T"/>
    <n v="1"/>
    <m/>
    <m/>
    <m/>
    <m/>
    <n v="4.3400000000000001E-2"/>
    <n v="3.6732966567922136"/>
    <m/>
    <m/>
    <m/>
  </r>
  <r>
    <x v="124"/>
    <x v="1"/>
    <s v="I"/>
    <s v="IMM"/>
    <x v="0"/>
    <n v="64"/>
    <n v="59"/>
    <n v="4.202"/>
    <n v="0.11"/>
    <n v="8.9999999999999993E-3"/>
    <s v="M22"/>
    <x v="2"/>
    <n v="22"/>
    <n v="0.17799999999999999"/>
    <n v="0.17299999999999999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d v="2021-05-03T00:00:00"/>
    <n v="5"/>
    <n v="3"/>
    <n v="2021"/>
    <x v="7"/>
    <n v="64"/>
    <x v="4"/>
    <m/>
    <n v="0.21464345337467208"/>
    <n v="2.688172043010753"/>
    <n v="2.6940974773450899"/>
    <n v="4.117087101380295"/>
    <n v="0.11899095668729187"/>
    <n v="0.11899095668729187"/>
    <s v="T"/>
    <n v="2"/>
    <m/>
    <m/>
    <m/>
    <m/>
    <m/>
    <m/>
    <m/>
    <m/>
    <m/>
  </r>
  <r>
    <x v="125"/>
    <x v="1"/>
    <s v="I"/>
    <s v="IMM"/>
    <x v="0"/>
    <n v="61"/>
    <n v="57"/>
    <n v="3.4780000000000002"/>
    <n v="7.2999999999999995E-2"/>
    <n v="1.2E-2"/>
    <s v="M22"/>
    <x v="2"/>
    <n v="22"/>
    <n v="0.151"/>
    <n v="0.14699999999999999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d v="2021-05-03T00:00:00"/>
    <n v="5"/>
    <n v="3"/>
    <n v="2021"/>
    <x v="7"/>
    <n v="64"/>
    <x v="4"/>
    <m/>
    <n v="0.34622042700519329"/>
    <n v="2.1439060205580027"/>
    <n v="2.1514883583849098"/>
    <n v="4.2265669925244387"/>
    <n v="0.1150086256469236"/>
    <n v="0.1150086256469236"/>
    <s v="T"/>
    <n v="1"/>
    <m/>
    <m/>
    <m/>
    <m/>
    <m/>
    <m/>
    <m/>
    <m/>
    <m/>
  </r>
  <r>
    <x v="126"/>
    <x v="1"/>
    <s v="I"/>
    <s v="I"/>
    <x v="0"/>
    <n v="89"/>
    <n v="82"/>
    <n v="12.449"/>
    <n v="0.26400000000000001"/>
    <n v="1.9E-2"/>
    <s v="M22"/>
    <x v="2"/>
    <n v="22"/>
    <n v="0.43099999999999999"/>
    <n v="0.38100000000000001"/>
    <s v="3 chiro: 0.003, inverts: 0.013"/>
    <s v="F"/>
    <m/>
    <m/>
    <m/>
    <n v="1.2999999999999999E-2"/>
    <m/>
    <m/>
    <m/>
    <m/>
    <m/>
    <m/>
    <m/>
    <m/>
    <m/>
    <m/>
    <m/>
    <m/>
    <m/>
    <m/>
    <m/>
    <m/>
    <m/>
    <m/>
    <m/>
    <m/>
    <m/>
    <m/>
    <m/>
    <m/>
    <m/>
    <m/>
    <n v="3"/>
    <n v="3.0000000000000001E-3"/>
    <m/>
    <m/>
    <m/>
    <m/>
    <m/>
    <m/>
    <m/>
    <m/>
    <m/>
    <m/>
    <m/>
    <m/>
    <m/>
    <m/>
    <m/>
    <m/>
    <m/>
    <m/>
    <m/>
    <m/>
    <m/>
    <m/>
    <m/>
    <m/>
    <n v="1.6E-2"/>
    <d v="2021-05-03T00:00:00"/>
    <n v="5"/>
    <n v="3"/>
    <n v="2021"/>
    <x v="7"/>
    <n v="64"/>
    <x v="4"/>
    <m/>
    <n v="0.15285599356395818"/>
    <n v="2.1665982765695526"/>
    <n v="2.1699819168173597"/>
    <n v="3.0604867860872362"/>
    <n v="0.40163868583821988"/>
    <n v="0.5301630653064503"/>
    <s v="T"/>
    <n v="2"/>
    <m/>
    <m/>
    <m/>
    <m/>
    <m/>
    <m/>
    <m/>
    <m/>
    <m/>
  </r>
  <r>
    <x v="127"/>
    <x v="1"/>
    <s v="I"/>
    <s v="S"/>
    <x v="0"/>
    <n v="82"/>
    <n v="77"/>
    <n v="9.3219999999999992"/>
    <n v="0.223"/>
    <n v="0.13500000000000001"/>
    <s v="F22"/>
    <x v="0"/>
    <n v="22"/>
    <n v="0.41199999999999998"/>
    <n v="0.39400000000000002"/>
    <s v="3 chiro:0.004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4.0000000000000001E-3"/>
    <m/>
    <m/>
    <m/>
    <m/>
    <m/>
    <m/>
    <m/>
    <m/>
    <m/>
    <m/>
    <m/>
    <m/>
    <m/>
    <m/>
    <m/>
    <m/>
    <m/>
    <m/>
    <m/>
    <m/>
    <m/>
    <m/>
    <m/>
    <m/>
    <n v="4.0000000000000001E-3"/>
    <d v="2021-05-03T00:00:00"/>
    <n v="5"/>
    <n v="3"/>
    <n v="2021"/>
    <x v="7"/>
    <n v="64"/>
    <x v="4"/>
    <m/>
    <n v="1.4694677261347557"/>
    <n v="2.4508187712935494"/>
    <n v="2.4877286925479702"/>
    <n v="4.2265608238575423"/>
    <n v="0.19309161124222229"/>
    <n v="0.23600085818493843"/>
    <s v="T"/>
    <n v="2"/>
    <m/>
    <m/>
    <m/>
    <m/>
    <n v="1.09E-2"/>
    <n v="1.2745556594948553"/>
    <m/>
    <m/>
    <m/>
  </r>
  <r>
    <x v="128"/>
    <x v="1"/>
    <s v="I"/>
    <s v="I"/>
    <x v="0"/>
    <n v="93"/>
    <n v="90"/>
    <n v="13.888"/>
    <n v="0.25800000000000001"/>
    <n v="2.3E-2"/>
    <s v="M22"/>
    <x v="2"/>
    <n v="22"/>
    <n v="0.53"/>
    <n v="0.50900000000000001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d v="2021-05-03T00:00:00"/>
    <n v="5"/>
    <n v="3"/>
    <n v="2021"/>
    <x v="7"/>
    <n v="64"/>
    <x v="4"/>
    <m/>
    <n v="0.16588532275513884"/>
    <n v="1.8928833455612619"/>
    <n v="1.8960828985081211"/>
    <n v="3.6650345622119813"/>
    <n v="0.15120967741935495"/>
    <n v="0.15120967741935495"/>
    <s v="T"/>
    <n v="3"/>
    <m/>
    <m/>
    <m/>
    <m/>
    <m/>
    <m/>
    <m/>
    <m/>
    <m/>
  </r>
  <r>
    <x v="129"/>
    <x v="1"/>
    <s v="I"/>
    <s v="S"/>
    <x v="0"/>
    <n v="83"/>
    <n v="80"/>
    <n v="9.6150000000000002"/>
    <n v="0.151"/>
    <n v="0.151"/>
    <s v="F22"/>
    <x v="0"/>
    <n v="22"/>
    <n v="0.41"/>
    <n v="0.32500000000000001"/>
    <s v="5 chiro: 0.052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n v="5.1999999999999998E-2"/>
    <m/>
    <m/>
    <m/>
    <m/>
    <m/>
    <m/>
    <m/>
    <m/>
    <m/>
    <m/>
    <m/>
    <m/>
    <m/>
    <m/>
    <m/>
    <m/>
    <m/>
    <m/>
    <m/>
    <m/>
    <m/>
    <m/>
    <m/>
    <m/>
    <n v="5.1999999999999998E-2"/>
    <d v="2021-05-03T00:00:00"/>
    <n v="5"/>
    <n v="3"/>
    <n v="2021"/>
    <x v="7"/>
    <n v="64"/>
    <x v="4"/>
    <m/>
    <n v="1.5955198647506337"/>
    <n v="1.5955198647506337"/>
    <n v="1.621389455599699"/>
    <n v="3.3801352054082163"/>
    <n v="0.88403536141445616"/>
    <n v="1.4248569942797706"/>
    <s v="T"/>
    <n v="2"/>
    <m/>
    <m/>
    <m/>
    <m/>
    <n v="8.0000000000000004E-4"/>
    <n v="8.9857351454565873E-2"/>
    <m/>
    <m/>
    <m/>
  </r>
  <r>
    <x v="130"/>
    <x v="1"/>
    <s v="I"/>
    <s v="S"/>
    <x v="0"/>
    <n v="74"/>
    <n v="70"/>
    <n v="6.6559999999999997"/>
    <n v="0.115"/>
    <n v="1.4999999999999999E-2"/>
    <s v="M22"/>
    <x v="2"/>
    <n v="22"/>
    <n v="0.36699999999999999"/>
    <n v="0.33600000000000002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d v="2021-05-03T00:00:00"/>
    <n v="5"/>
    <n v="3"/>
    <n v="2021"/>
    <x v="7"/>
    <n v="64"/>
    <x v="4"/>
    <m/>
    <n v="0.22586959795211561"/>
    <n v="1.7581409570402082"/>
    <n v="1.7621820410665032"/>
    <n v="5.0480769230769242"/>
    <n v="0.46574519230769185"/>
    <n v="0.46574519230769185"/>
    <s v="T"/>
    <n v="2"/>
    <m/>
    <m/>
    <m/>
    <m/>
    <m/>
    <m/>
    <m/>
    <m/>
    <m/>
  </r>
  <r>
    <x v="131"/>
    <x v="1"/>
    <s v="I"/>
    <s v="S"/>
    <x v="0"/>
    <n v="72"/>
    <n v="69"/>
    <n v="5.6989999999999998"/>
    <n v="0.11799999999999999"/>
    <n v="8.0000000000000002E-3"/>
    <s v="M22"/>
    <x v="2"/>
    <n v="22"/>
    <n v="0.23"/>
    <n v="0.223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d v="2021-05-03T00:00:00"/>
    <n v="5"/>
    <n v="3"/>
    <n v="2021"/>
    <x v="7"/>
    <n v="64"/>
    <x v="4"/>
    <m/>
    <n v="0.14057283429977158"/>
    <n v="2.114316430747178"/>
    <n v="2.1173515162390095"/>
    <n v="3.9129671872258291"/>
    <n v="0.12282856641516067"/>
    <n v="0.12282856641516067"/>
    <s v="T"/>
    <n v="1"/>
    <m/>
    <m/>
    <m/>
    <m/>
    <m/>
    <m/>
    <m/>
    <m/>
    <m/>
  </r>
  <r>
    <x v="132"/>
    <x v="1"/>
    <s v="I"/>
    <s v="S"/>
    <x v="0"/>
    <n v="69"/>
    <n v="65"/>
    <n v="4.99"/>
    <n v="0.107"/>
    <n v="0.1"/>
    <s v="F22"/>
    <x v="0"/>
    <n v="22"/>
    <n v="0.21199999999999999"/>
    <n v="0.193"/>
    <s v="inverts: 0.01"/>
    <s v="F"/>
    <m/>
    <m/>
    <m/>
    <n v="0.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01"/>
    <d v="2021-05-03T00:00:00"/>
    <n v="5"/>
    <n v="3"/>
    <n v="2021"/>
    <x v="7"/>
    <n v="64"/>
    <x v="4"/>
    <m/>
    <n v="2.0449897750511243"/>
    <n v="2.1912758550071678"/>
    <n v="2.2370896926615091"/>
    <n v="3.8677354709418839"/>
    <n v="0.38076152304609195"/>
    <n v="0.5811623246492984"/>
    <s v="T"/>
    <n v="2"/>
    <m/>
    <m/>
    <m/>
    <m/>
    <m/>
    <m/>
    <m/>
    <m/>
    <m/>
  </r>
  <r>
    <x v="133"/>
    <x v="1"/>
    <s v="I"/>
    <s v="S"/>
    <x v="0"/>
    <n v="73"/>
    <n v="70"/>
    <n v="6.22"/>
    <n v="0.13"/>
    <n v="1.2E-2"/>
    <s v="M22"/>
    <x v="2"/>
    <n v="22"/>
    <n v="0.24"/>
    <n v="0.22800000000000001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d v="2021-05-03T00:00:00"/>
    <n v="5"/>
    <n v="3"/>
    <n v="2021"/>
    <x v="7"/>
    <n v="64"/>
    <x v="4"/>
    <m/>
    <n v="0.19329896907216496"/>
    <n v="2.1346469622331692"/>
    <n v="2.1388614675880224"/>
    <n v="3.6655948553054665"/>
    <n v="0.19292604501607691"/>
    <n v="0.19292604501607691"/>
    <s v="T"/>
    <n v="2"/>
    <m/>
    <m/>
    <m/>
    <m/>
    <m/>
    <m/>
    <m/>
    <m/>
    <m/>
  </r>
  <r>
    <x v="134"/>
    <x v="1"/>
    <s v="I"/>
    <s v="IMM"/>
    <x v="0"/>
    <n v="64"/>
    <n v="60"/>
    <n v="4.5330000000000004"/>
    <n v="0.125"/>
    <n v="5.8000000000000003E-2"/>
    <s v="F22"/>
    <x v="0"/>
    <n v="22"/>
    <n v="0.18099999999999999"/>
    <n v="0.17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d v="2021-05-03T00:00:00"/>
    <n v="5"/>
    <n v="3"/>
    <n v="2021"/>
    <x v="7"/>
    <n v="64"/>
    <x v="4"/>
    <m/>
    <n v="1.2960893854748603"/>
    <n v="2.835753176043557"/>
    <n v="2.8735632183908044"/>
    <n v="3.7502757555702626"/>
    <n v="0.24266490183101658"/>
    <n v="0.24266490183101658"/>
    <s v="T"/>
    <n v="2"/>
    <m/>
    <m/>
    <m/>
    <m/>
    <n v="2.3E-2"/>
    <n v="5.516910530103142"/>
    <m/>
    <m/>
    <m/>
  </r>
  <r>
    <x v="135"/>
    <x v="1"/>
    <s v="S"/>
    <s v="IMM"/>
    <x v="0"/>
    <n v="60"/>
    <n v="58"/>
    <n v="3.3380000000000001"/>
    <n v="9.4E-2"/>
    <n v="6.3E-2"/>
    <s v="F22"/>
    <x v="0"/>
    <n v="22"/>
    <n v="0.13"/>
    <n v="0.11799999999999999"/>
    <s v="1 chiro: 0.004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4.0000000000000001E-3"/>
    <m/>
    <m/>
    <m/>
    <m/>
    <m/>
    <m/>
    <m/>
    <m/>
    <m/>
    <m/>
    <m/>
    <m/>
    <m/>
    <m/>
    <m/>
    <m/>
    <m/>
    <m/>
    <m/>
    <m/>
    <m/>
    <m/>
    <m/>
    <m/>
    <n v="4.0000000000000001E-3"/>
    <d v="2021-05-03T00:00:00"/>
    <n v="5"/>
    <n v="3"/>
    <n v="2021"/>
    <x v="7"/>
    <n v="64"/>
    <x v="4"/>
    <m/>
    <n v="1.9236641221374047"/>
    <n v="2.8976572133168927"/>
    <n v="2.9550455831499529"/>
    <n v="3.5350509286998197"/>
    <n v="0.35949670461354133"/>
    <n v="0.47932893948472166"/>
    <s v="T"/>
    <n v="2"/>
    <m/>
    <m/>
    <m/>
    <m/>
    <m/>
    <m/>
    <m/>
    <m/>
    <m/>
  </r>
  <r>
    <x v="136"/>
    <x v="1"/>
    <s v="I"/>
    <s v="IMM"/>
    <x v="0"/>
    <n v="61"/>
    <n v="57"/>
    <n v="3.8919999999999999"/>
    <n v="0.104"/>
    <n v="7.4999999999999997E-2"/>
    <s v="F22"/>
    <x v="0"/>
    <n v="22"/>
    <n v="0.182"/>
    <n v="0.16500000000000001"/>
    <s v="1 chiro: 0.002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2E-3"/>
    <m/>
    <m/>
    <m/>
    <m/>
    <m/>
    <m/>
    <m/>
    <m/>
    <m/>
    <m/>
    <m/>
    <m/>
    <m/>
    <m/>
    <m/>
    <m/>
    <m/>
    <m/>
    <m/>
    <m/>
    <m/>
    <m/>
    <m/>
    <m/>
    <n v="2E-3"/>
    <d v="2021-05-03T00:00:00"/>
    <n v="5"/>
    <n v="3"/>
    <n v="2021"/>
    <x v="7"/>
    <n v="64"/>
    <x v="4"/>
    <m/>
    <n v="1.9648938957296307"/>
    <n v="2.7455121436114043"/>
    <n v="2.8009695663883654"/>
    <n v="4.2394655704008226"/>
    <n v="0.43679342240493291"/>
    <n v="0.48818088386433678"/>
    <s v="T"/>
    <n v="1"/>
    <m/>
    <m/>
    <m/>
    <m/>
    <n v="2.0899999999999998E-2"/>
    <n v="5.9190031152647977"/>
    <m/>
    <m/>
    <m/>
  </r>
  <r>
    <x v="137"/>
    <x v="1"/>
    <s v="I"/>
    <s v="IMM"/>
    <x v="0"/>
    <n v="63"/>
    <n v="60"/>
    <n v="3.9889999999999999"/>
    <n v="0.111"/>
    <n v="6.0000000000000001E-3"/>
    <s v="M22"/>
    <x v="2"/>
    <n v="22"/>
    <n v="0.16700000000000001"/>
    <n v="0.14899999999999999"/>
    <s v="2 chiro: 0.008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8.0000000000000002E-3"/>
    <m/>
    <m/>
    <m/>
    <m/>
    <m/>
    <m/>
    <m/>
    <m/>
    <m/>
    <m/>
    <m/>
    <m/>
    <m/>
    <m/>
    <m/>
    <m/>
    <m/>
    <m/>
    <m/>
    <m/>
    <m/>
    <m/>
    <m/>
    <m/>
    <n v="8.0000000000000002E-3"/>
    <d v="2021-05-03T00:00:00"/>
    <n v="5"/>
    <n v="3"/>
    <n v="2021"/>
    <x v="7"/>
    <n v="64"/>
    <x v="4"/>
    <m/>
    <n v="0.15064022093899071"/>
    <n v="2.8623001547189277"/>
    <n v="2.8667355371900829"/>
    <n v="3.7352719979944848"/>
    <n v="0.45124091250940124"/>
    <n v="0.65179242918024616"/>
    <s v="T"/>
    <n v="2"/>
    <m/>
    <m/>
    <m/>
    <m/>
    <m/>
    <m/>
    <m/>
    <m/>
    <m/>
  </r>
  <r>
    <x v="138"/>
    <x v="1"/>
    <s v="I"/>
    <s v="IMM"/>
    <x v="0"/>
    <n v="62"/>
    <n v="60"/>
    <n v="3.6659999999999999"/>
    <n v="8.1000000000000003E-2"/>
    <n v="1.0999999999999999E-2"/>
    <s v="M22"/>
    <x v="2"/>
    <n v="22"/>
    <n v="0.17899999999999999"/>
    <n v="0.16500000000000001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d v="2021-05-03T00:00:00"/>
    <n v="5"/>
    <n v="3"/>
    <n v="2021"/>
    <x v="7"/>
    <n v="64"/>
    <x v="4"/>
    <m/>
    <n v="0.30095759233926128"/>
    <n v="2.2594142259414229"/>
    <n v="2.2663682148852828"/>
    <n v="4.5008183306055649"/>
    <n v="0.38188761593016868"/>
    <n v="0.38188761593016868"/>
    <s v="T"/>
    <n v="1"/>
    <m/>
    <m/>
    <m/>
    <m/>
    <m/>
    <m/>
    <m/>
    <m/>
    <m/>
  </r>
  <r>
    <x v="139"/>
    <x v="1"/>
    <s v="S"/>
    <s v="IMM"/>
    <x v="1"/>
    <n v="58"/>
    <n v="55"/>
    <n v="3.2959999999999998"/>
    <n v="0.09"/>
    <n v="0.06"/>
    <s v="F22"/>
    <x v="0"/>
    <n v="22"/>
    <n v="0.16400000000000001"/>
    <n v="0.13100000000000001"/>
    <s v="1 chiro: 0.004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4.0000000000000001E-3"/>
    <m/>
    <m/>
    <m/>
    <m/>
    <m/>
    <m/>
    <m/>
    <m/>
    <m/>
    <m/>
    <m/>
    <m/>
    <m/>
    <m/>
    <m/>
    <m/>
    <m/>
    <m/>
    <m/>
    <m/>
    <m/>
    <m/>
    <m/>
    <m/>
    <n v="4.0000000000000001E-3"/>
    <d v="2021-05-03T00:00:00"/>
    <n v="5"/>
    <n v="3"/>
    <n v="2021"/>
    <x v="7"/>
    <n v="64"/>
    <x v="4"/>
    <m/>
    <n v="1.8541409147095183"/>
    <n v="2.8072364316905802"/>
    <n v="2.8607755880483152"/>
    <n v="3.9745145631067964"/>
    <n v="1.0012135922330099"/>
    <n v="1.1225728155339807"/>
    <s v="T"/>
    <n v="1"/>
    <m/>
    <m/>
    <m/>
    <m/>
    <m/>
    <m/>
    <m/>
    <m/>
    <m/>
  </r>
  <r>
    <x v="140"/>
    <x v="1"/>
    <s v="S"/>
    <s v="IMM"/>
    <x v="1"/>
    <n v="58"/>
    <n v="55"/>
    <n v="2.9420000000000002"/>
    <n v="5.8000000000000003E-2"/>
    <n v="0.05"/>
    <s v="F22"/>
    <x v="0"/>
    <n v="22"/>
    <n v="0.13400000000000001"/>
    <n v="0.11700000000000001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d v="2021-05-03T00:00:00"/>
    <n v="5"/>
    <n v="3"/>
    <n v="2021"/>
    <x v="7"/>
    <n v="64"/>
    <x v="4"/>
    <m/>
    <n v="1.7289073305670815"/>
    <n v="2.0110957004160888"/>
    <n v="2.046577275935074"/>
    <n v="3.9768864717878993"/>
    <n v="0.57783820530251528"/>
    <n v="0.57783820530251528"/>
    <s v="T"/>
    <n v="1"/>
    <m/>
    <m/>
    <m/>
    <m/>
    <m/>
    <m/>
    <m/>
    <m/>
    <m/>
  </r>
  <r>
    <x v="141"/>
    <x v="1"/>
    <s v="S"/>
    <s v="IMM"/>
    <x v="1"/>
    <n v="55"/>
    <n v="52"/>
    <n v="2.665"/>
    <n v="7.8E-2"/>
    <n v="3.7999999999999999E-2"/>
    <s v="F22"/>
    <x v="0"/>
    <n v="22"/>
    <n v="0.10199999999999999"/>
    <n v="9.7000000000000003E-2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d v="2021-05-03T00:00:00"/>
    <n v="5"/>
    <n v="3"/>
    <n v="2021"/>
    <x v="7"/>
    <n v="64"/>
    <x v="4"/>
    <m/>
    <n v="1.4465169394746857"/>
    <n v="3.0150753768844218"/>
    <n v="3.0600235386426045"/>
    <n v="3.6397748592870545"/>
    <n v="0.18761726078799215"/>
    <n v="0.18761726078799215"/>
    <s v="T"/>
    <n v="1"/>
    <m/>
    <m/>
    <m/>
    <m/>
    <m/>
    <m/>
    <m/>
    <m/>
    <m/>
  </r>
  <r>
    <x v="142"/>
    <x v="1"/>
    <s v="S"/>
    <s v="IMM"/>
    <x v="1"/>
    <n v="46"/>
    <n v="43"/>
    <n v="1.5009999999999999"/>
    <n v="4.4999999999999998E-2"/>
    <n v="7.0000000000000001E-3"/>
    <s v="M20"/>
    <x v="2"/>
    <n v="20"/>
    <n v="7.2999999999999995E-2"/>
    <n v="7.0000000000000007E-2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d v="2021-05-03T00:00:00"/>
    <n v="5"/>
    <n v="3"/>
    <n v="2021"/>
    <x v="7"/>
    <n v="64"/>
    <x v="4"/>
    <m/>
    <n v="0.46854082998661312"/>
    <n v="3.0906593406593408"/>
    <n v="3.1055900621118009"/>
    <n v="4.6635576282478359"/>
    <n v="0.19986675549633504"/>
    <n v="0.19986675549633504"/>
    <s v="T"/>
    <n v="1"/>
    <m/>
    <m/>
    <m/>
    <m/>
    <m/>
    <m/>
    <m/>
    <m/>
    <m/>
  </r>
  <r>
    <x v="143"/>
    <x v="1"/>
    <s v="S"/>
    <s v="IMM"/>
    <x v="1"/>
    <n v="47"/>
    <n v="44"/>
    <n v="1.48"/>
    <n v="0.03"/>
    <n v="2.9000000000000001E-2"/>
    <s v="F22"/>
    <x v="0"/>
    <n v="22"/>
    <n v="7.3999999999999996E-2"/>
    <n v="6.9000000000000006E-2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d v="2021-05-03T00:00:00"/>
    <n v="5"/>
    <n v="3"/>
    <n v="2021"/>
    <x v="7"/>
    <n v="64"/>
    <x v="4"/>
    <m/>
    <n v="1.9986216402481045"/>
    <n v="2.0689655172413794"/>
    <n v="2.1111893033075297"/>
    <n v="4.6621621621621623"/>
    <n v="0.33783783783783722"/>
    <n v="0.33783783783783722"/>
    <s v="T"/>
    <n v="1"/>
    <m/>
    <m/>
    <m/>
    <m/>
    <m/>
    <m/>
    <m/>
    <m/>
    <m/>
  </r>
  <r>
    <x v="144"/>
    <x v="1"/>
    <s v="I"/>
    <s v="B"/>
    <x v="1"/>
    <n v="113"/>
    <n v="108"/>
    <n v="25.878"/>
    <n v="0.45200000000000001"/>
    <n v="0.04"/>
    <s v="M22"/>
    <x v="2"/>
    <n v="22"/>
    <n v="2.4790000000000001"/>
    <n v="1.2"/>
    <s v="8 cranefly: 0.809; 2 odonate: 0.078"/>
    <s v="F"/>
    <m/>
    <m/>
    <m/>
    <m/>
    <m/>
    <m/>
    <m/>
    <m/>
    <m/>
    <m/>
    <m/>
    <m/>
    <m/>
    <m/>
    <m/>
    <m/>
    <m/>
    <m/>
    <m/>
    <m/>
    <m/>
    <m/>
    <m/>
    <m/>
    <n v="2"/>
    <n v="7.8E-2"/>
    <m/>
    <m/>
    <m/>
    <m/>
    <m/>
    <m/>
    <n v="8"/>
    <n v="0.80900000000000005"/>
    <m/>
    <m/>
    <m/>
    <m/>
    <m/>
    <m/>
    <m/>
    <m/>
    <m/>
    <m/>
    <m/>
    <m/>
    <m/>
    <m/>
    <m/>
    <m/>
    <m/>
    <m/>
    <m/>
    <m/>
    <m/>
    <m/>
    <n v="0.88700000000000001"/>
    <s v="17/3/2021"/>
    <s v="17"/>
    <s v="3"/>
    <s v="2021"/>
    <x v="8"/>
    <n v="76"/>
    <x v="5"/>
    <m/>
    <n v="0.15481074386562427"/>
    <n v="1.7777078580980099"/>
    <n v="1.7805089419365004E-2"/>
    <n v="4.8626306831996109"/>
    <n v="4.9424221346317339"/>
    <n v="8.3700440528634381"/>
    <s v="T"/>
    <n v="2"/>
    <m/>
    <m/>
    <m/>
    <m/>
    <m/>
    <m/>
    <m/>
    <m/>
    <m/>
  </r>
  <r>
    <x v="145"/>
    <x v="1"/>
    <s v="I"/>
    <s v="B"/>
    <x v="1"/>
    <n v="118"/>
    <n v="112"/>
    <n v="27.276"/>
    <n v="0.45400000000000001"/>
    <n v="0.40300000000000002"/>
    <s v="F22"/>
    <x v="0"/>
    <n v="22"/>
    <n v="1.343"/>
    <n v="1.2509999999999999"/>
    <s v="2 chiro: 0.015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1.4999999999999999E-2"/>
    <m/>
    <m/>
    <m/>
    <m/>
    <m/>
    <m/>
    <m/>
    <m/>
    <m/>
    <m/>
    <m/>
    <m/>
    <m/>
    <m/>
    <m/>
    <m/>
    <m/>
    <m/>
    <m/>
    <m/>
    <m/>
    <m/>
    <m/>
    <m/>
    <n v="1.4999999999999999E-2"/>
    <s v="17/3/2021"/>
    <s v="17"/>
    <s v="3"/>
    <s v="2021"/>
    <x v="8"/>
    <n v="76"/>
    <x v="5"/>
    <m/>
    <n v="1.4996464853198377"/>
    <n v="1.6926403698456494"/>
    <n v="1.7184601990991331E-2"/>
    <n v="4.8069164265129682"/>
    <n v="0.33729285819035076"/>
    <n v="0.39228625898225578"/>
    <s v="T"/>
    <n v="2"/>
    <m/>
    <m/>
    <m/>
    <m/>
    <m/>
    <m/>
    <m/>
    <m/>
    <m/>
  </r>
  <r>
    <x v="146"/>
    <x v="1"/>
    <s v="I"/>
    <s v="I"/>
    <x v="0"/>
    <n v="107"/>
    <n v="102"/>
    <n v="23.006"/>
    <n v="0.48699999999999999"/>
    <n v="3.5000000000000003E-2"/>
    <s v="M22"/>
    <x v="2"/>
    <n v="22"/>
    <n v="2.677"/>
    <n v="1.1930000000000001"/>
    <s v="4 earthworm: 0.76; 1 soldierfly larva: 0.031; 1 mussel: 0.042; 1 odonate: 0.026"/>
    <s v="F"/>
    <m/>
    <m/>
    <m/>
    <m/>
    <m/>
    <m/>
    <m/>
    <m/>
    <m/>
    <m/>
    <m/>
    <m/>
    <m/>
    <m/>
    <m/>
    <m/>
    <n v="1"/>
    <n v="4.2000000000000003E-2"/>
    <m/>
    <m/>
    <m/>
    <m/>
    <m/>
    <m/>
    <n v="1"/>
    <n v="2.5999999999999999E-2"/>
    <m/>
    <m/>
    <m/>
    <m/>
    <m/>
    <m/>
    <m/>
    <m/>
    <n v="1"/>
    <n v="3.1E-2"/>
    <m/>
    <m/>
    <m/>
    <m/>
    <m/>
    <m/>
    <n v="4"/>
    <n v="0.76"/>
    <m/>
    <m/>
    <m/>
    <m/>
    <m/>
    <m/>
    <m/>
    <m/>
    <m/>
    <m/>
    <m/>
    <m/>
    <n v="0.8590000000000001"/>
    <s v="17/3/2021"/>
    <s v="17"/>
    <s v="3"/>
    <s v="2021"/>
    <x v="8"/>
    <n v="76"/>
    <x v="5"/>
    <m/>
    <n v="0.1523660267293544"/>
    <n v="2.1626182334917177"/>
    <n v="2.1659847002312754E-2"/>
    <n v="5.4692156053729439"/>
    <n v="6.4504911762149009"/>
    <n v="10.184299747891853"/>
    <s v="T"/>
    <n v="2"/>
    <m/>
    <m/>
    <m/>
    <m/>
    <m/>
    <m/>
    <m/>
    <m/>
    <m/>
  </r>
  <r>
    <x v="147"/>
    <x v="1"/>
    <s v="I"/>
    <s v="I"/>
    <x v="0"/>
    <n v="92"/>
    <n v="87"/>
    <n v="13.935"/>
    <n v="0.312"/>
    <n v="0.186"/>
    <s v="F22"/>
    <x v="0"/>
    <n v="22"/>
    <n v="1.2849999999999999"/>
    <n v="0.67800000000000005"/>
    <s v="1 earthworm: 0.225; 7 chiro: 0.064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"/>
    <n v="6.4000000000000001E-2"/>
    <m/>
    <m/>
    <m/>
    <m/>
    <m/>
    <m/>
    <m/>
    <m/>
    <m/>
    <m/>
    <n v="1"/>
    <n v="0.22500000000000001"/>
    <m/>
    <m/>
    <m/>
    <m/>
    <m/>
    <m/>
    <m/>
    <m/>
    <m/>
    <m/>
    <m/>
    <m/>
    <n v="0.28900000000000003"/>
    <s v="17/3/2021"/>
    <s v="17"/>
    <s v="3"/>
    <s v="2021"/>
    <x v="8"/>
    <n v="76"/>
    <x v="5"/>
    <m/>
    <n v="1.3528256600480035"/>
    <n v="2.2902444395507597"/>
    <n v="2.3219468631390933E-2"/>
    <n v="5.1142792486988009"/>
    <n v="4.3559382848941501"/>
    <n v="6.4298528884104771"/>
    <s v="T"/>
    <n v="2"/>
    <m/>
    <m/>
    <m/>
    <m/>
    <m/>
    <m/>
    <m/>
    <m/>
    <m/>
  </r>
  <r>
    <x v="148"/>
    <x v="1"/>
    <s v="I"/>
    <s v="B"/>
    <x v="1"/>
    <n v="121"/>
    <n v="114"/>
    <n v="32.979999999999997"/>
    <n v="0.58499999999999996"/>
    <n v="0.44700000000000001"/>
    <s v="F22"/>
    <x v="0"/>
    <n v="22"/>
    <n v="1.4470000000000001"/>
    <n v="1.4059999999999999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17/3/2021"/>
    <s v="17"/>
    <s v="3"/>
    <s v="2021"/>
    <x v="8"/>
    <n v="76"/>
    <x v="5"/>
    <m/>
    <n v="1.3739894875972092"/>
    <n v="1.8058342336780369"/>
    <n v="1.8311005383748594E-2"/>
    <n v="4.4530309748527275"/>
    <n v="0.12431776834445166"/>
    <n v="0.12431776834445166"/>
    <s v="T"/>
    <n v="2"/>
    <m/>
    <m/>
    <m/>
    <m/>
    <m/>
    <m/>
    <m/>
    <m/>
    <m/>
  </r>
  <r>
    <x v="149"/>
    <x v="1"/>
    <s v="I"/>
    <s v="I"/>
    <x v="0"/>
    <n v="92"/>
    <n v="87"/>
    <n v="13.771000000000001"/>
    <n v="0.30599999999999999"/>
    <n v="2.5999999999999999E-2"/>
    <s v="M22"/>
    <x v="2"/>
    <n v="22"/>
    <n v="0.90200000000000002"/>
    <n v="0.753"/>
    <s v="1 cranefly: 0.017; 1 caddis: 0.08; 1 soldierfly: 0.01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.7000000000000001E-2"/>
    <n v="1"/>
    <n v="0.01"/>
    <n v="1"/>
    <n v="0.08"/>
    <m/>
    <m/>
    <m/>
    <m/>
    <m/>
    <m/>
    <m/>
    <m/>
    <m/>
    <m/>
    <m/>
    <m/>
    <m/>
    <m/>
    <m/>
    <m/>
    <m/>
    <m/>
    <n v="3.5000000000000003E-2"/>
    <s v="17/3/2021"/>
    <s v="17"/>
    <s v="3"/>
    <s v="2021"/>
    <x v="8"/>
    <n v="76"/>
    <x v="5"/>
    <m/>
    <n v="0.18915969443433975"/>
    <n v="2.2725584849610097"/>
    <n v="2.2769551305900734E-2"/>
    <n v="5.7842986633891531"/>
    <n v="1.0819838791663643"/>
    <n v="1.3361411662188658"/>
    <s v="T"/>
    <n v="2"/>
    <m/>
    <m/>
    <m/>
    <m/>
    <m/>
    <m/>
    <m/>
    <m/>
    <m/>
  </r>
  <r>
    <x v="150"/>
    <x v="1"/>
    <s v="I"/>
    <s v="I"/>
    <x v="0"/>
    <n v="89"/>
    <n v="85"/>
    <n v="12.061"/>
    <n v="0.28199999999999997"/>
    <n v="0.187"/>
    <s v="F22"/>
    <x v="0"/>
    <n v="22"/>
    <n v="0.46300000000000002"/>
    <n v="0.40699999999999997"/>
    <s v="8 chiro: 0.033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"/>
    <n v="3.3000000000000002E-2"/>
    <m/>
    <m/>
    <m/>
    <m/>
    <m/>
    <m/>
    <m/>
    <m/>
    <m/>
    <m/>
    <m/>
    <m/>
    <m/>
    <m/>
    <m/>
    <m/>
    <m/>
    <m/>
    <m/>
    <m/>
    <m/>
    <m/>
    <m/>
    <m/>
    <n v="3.3000000000000002E-2"/>
    <s v="17/3/2021"/>
    <s v="17"/>
    <s v="3"/>
    <s v="2021"/>
    <x v="8"/>
    <n v="76"/>
    <x v="5"/>
    <m/>
    <n v="1.5748694626915951"/>
    <n v="2.3940911792172508"/>
    <n v="2.4327122153209105E-2"/>
    <n v="3.4923631371203014"/>
    <n v="0.46430644225188666"/>
    <n v="0.73791559572174825"/>
    <s v="T"/>
    <n v="1"/>
    <m/>
    <m/>
    <m/>
    <m/>
    <m/>
    <m/>
    <m/>
    <m/>
    <m/>
  </r>
  <r>
    <x v="151"/>
    <x v="1"/>
    <s v="I"/>
    <s v="I"/>
    <x v="0"/>
    <n v="99"/>
    <n v="93"/>
    <n v="15.602"/>
    <n v="0.33800000000000002"/>
    <n v="2.1999999999999999E-2"/>
    <s v="M22"/>
    <x v="2"/>
    <n v="22"/>
    <n v="1.4019999999999999"/>
    <n v="1.0049999999999999"/>
    <s v="2 cranefly: 0.11; 2 odo: 0.046"/>
    <s v="F"/>
    <m/>
    <m/>
    <m/>
    <m/>
    <m/>
    <m/>
    <m/>
    <m/>
    <m/>
    <m/>
    <m/>
    <m/>
    <m/>
    <m/>
    <m/>
    <m/>
    <m/>
    <m/>
    <m/>
    <m/>
    <m/>
    <m/>
    <m/>
    <m/>
    <n v="2"/>
    <n v="4.5999999999999999E-2"/>
    <m/>
    <m/>
    <m/>
    <m/>
    <m/>
    <m/>
    <n v="2"/>
    <n v="0.11"/>
    <m/>
    <m/>
    <m/>
    <m/>
    <m/>
    <m/>
    <m/>
    <m/>
    <m/>
    <m/>
    <m/>
    <m/>
    <m/>
    <m/>
    <m/>
    <m/>
    <m/>
    <m/>
    <m/>
    <m/>
    <m/>
    <m/>
    <n v="0.156"/>
    <s v="17/3/2021"/>
    <s v="17"/>
    <s v="3"/>
    <s v="2021"/>
    <x v="8"/>
    <n v="76"/>
    <x v="5"/>
    <m/>
    <n v="0.14120667522464697"/>
    <n v="2.2143605870020964"/>
    <n v="2.2175567510825351E-2"/>
    <n v="6.8849763650065068"/>
    <n v="2.5445455710806311"/>
    <n v="3.5444173823868739"/>
    <s v="T"/>
    <n v="3"/>
    <m/>
    <m/>
    <m/>
    <m/>
    <m/>
    <m/>
    <m/>
    <m/>
    <m/>
  </r>
  <r>
    <x v="152"/>
    <x v="1"/>
    <s v="I"/>
    <s v="I"/>
    <x v="0"/>
    <n v="91"/>
    <n v="86"/>
    <n v="13.385"/>
    <n v="0.32900000000000001"/>
    <n v="1.7999999999999999E-2"/>
    <s v="M22"/>
    <x v="2"/>
    <n v="22"/>
    <n v="1.252"/>
    <n v="0.60799999999999998"/>
    <s v="3 earthworm: 0.366; 25 chiro: 0.117; 1 odo: 0.036"/>
    <s v="F"/>
    <m/>
    <m/>
    <m/>
    <m/>
    <m/>
    <m/>
    <m/>
    <m/>
    <m/>
    <m/>
    <m/>
    <m/>
    <m/>
    <m/>
    <m/>
    <m/>
    <m/>
    <m/>
    <m/>
    <m/>
    <m/>
    <m/>
    <m/>
    <m/>
    <n v="1"/>
    <n v="3.5999999999999997E-2"/>
    <m/>
    <m/>
    <m/>
    <m/>
    <n v="25"/>
    <n v="0.11700000000000001"/>
    <m/>
    <m/>
    <m/>
    <m/>
    <m/>
    <m/>
    <m/>
    <m/>
    <m/>
    <m/>
    <n v="3"/>
    <n v="0.36599999999999999"/>
    <m/>
    <m/>
    <m/>
    <m/>
    <m/>
    <m/>
    <m/>
    <m/>
    <m/>
    <m/>
    <m/>
    <m/>
    <n v="0.51900000000000002"/>
    <s v="17/3/2021"/>
    <s v="17"/>
    <s v="3"/>
    <s v="2021"/>
    <x v="8"/>
    <n v="76"/>
    <x v="5"/>
    <m/>
    <n v="0.13465998354155756"/>
    <n v="2.519914215686275"/>
    <n v="2.523393158459887E-2"/>
    <n v="4.7585505204664633"/>
    <n v="4.8113559955173706"/>
    <n v="8.6888307807246914"/>
    <s v="T"/>
    <n v="1"/>
    <m/>
    <m/>
    <m/>
    <m/>
    <m/>
    <m/>
    <m/>
    <m/>
    <m/>
  </r>
  <r>
    <x v="153"/>
    <x v="1"/>
    <s v="I"/>
    <s v="I"/>
    <x v="0"/>
    <n v="88"/>
    <n v="83"/>
    <n v="12.167999999999999"/>
    <n v="0.315"/>
    <n v="0.193"/>
    <s v="F22"/>
    <x v="0"/>
    <n v="22"/>
    <n v="0.96699999999999997"/>
    <n v="0.60699999999999998"/>
    <s v="1 damsel: 0.021; 1 earthworm: 0.162; 3 cranefly: 0.083"/>
    <s v="F"/>
    <m/>
    <m/>
    <m/>
    <m/>
    <m/>
    <m/>
    <m/>
    <m/>
    <m/>
    <m/>
    <m/>
    <m/>
    <m/>
    <m/>
    <m/>
    <m/>
    <m/>
    <m/>
    <m/>
    <m/>
    <m/>
    <m/>
    <m/>
    <m/>
    <m/>
    <m/>
    <n v="1"/>
    <n v="2.1000000000000001E-2"/>
    <m/>
    <m/>
    <m/>
    <m/>
    <n v="3"/>
    <n v="8.3000000000000004E-2"/>
    <m/>
    <m/>
    <m/>
    <m/>
    <m/>
    <m/>
    <m/>
    <m/>
    <n v="1"/>
    <n v="0.16200000000000001"/>
    <m/>
    <m/>
    <m/>
    <m/>
    <m/>
    <m/>
    <m/>
    <m/>
    <m/>
    <m/>
    <m/>
    <m/>
    <n v="0.26600000000000001"/>
    <s v="17/3/2021"/>
    <s v="17"/>
    <s v="3"/>
    <s v="2021"/>
    <x v="8"/>
    <n v="76"/>
    <x v="5"/>
    <m/>
    <n v="1.6116910229645096"/>
    <n v="2.6575550493545941"/>
    <n v="2.7015437392795882E-2"/>
    <n v="5.2504108641121015"/>
    <n v="2.9585798816568047"/>
    <n v="5.144641683103222"/>
    <s v="T"/>
    <n v="1"/>
    <n v="1"/>
    <n v="0"/>
    <n v="4"/>
    <n v="0"/>
    <n v="5.4699999999999999E-2"/>
    <n v="5.1154961189563259"/>
    <n v="7.5430000000000001"/>
    <n v="74.216019500564684"/>
    <n v="95.860219033434007"/>
  </r>
  <r>
    <x v="154"/>
    <x v="1"/>
    <s v="I"/>
    <s v="S"/>
    <x v="0"/>
    <n v="81"/>
    <n v="76"/>
    <n v="9.0909999999999993"/>
    <n v="0.27"/>
    <n v="0.13700000000000001"/>
    <s v="F22"/>
    <x v="0"/>
    <n v="22"/>
    <n v="0.9"/>
    <n v="0.56499999999999995"/>
    <s v="8 chiro: 0.049; 2 damsel: 0.042; 1 cranefly: 0.036; inverts: 0.02"/>
    <s v="F"/>
    <m/>
    <m/>
    <m/>
    <n v="0.02"/>
    <m/>
    <m/>
    <m/>
    <m/>
    <m/>
    <m/>
    <m/>
    <m/>
    <m/>
    <m/>
    <m/>
    <m/>
    <m/>
    <m/>
    <m/>
    <m/>
    <m/>
    <m/>
    <m/>
    <m/>
    <m/>
    <m/>
    <n v="2"/>
    <n v="4.2000000000000003E-2"/>
    <m/>
    <m/>
    <n v="8"/>
    <n v="4.9000000000000002E-2"/>
    <n v="1"/>
    <n v="3.5999999999999997E-2"/>
    <m/>
    <m/>
    <m/>
    <m/>
    <m/>
    <m/>
    <m/>
    <m/>
    <m/>
    <m/>
    <m/>
    <m/>
    <m/>
    <m/>
    <m/>
    <m/>
    <m/>
    <m/>
    <m/>
    <m/>
    <m/>
    <m/>
    <n v="0.14699999999999999"/>
    <s v="17/3/2021"/>
    <s v="17"/>
    <s v="3"/>
    <s v="2021"/>
    <x v="8"/>
    <n v="76"/>
    <x v="5"/>
    <m/>
    <n v="1.5300424391333485"/>
    <n v="3.0608774515361072"/>
    <n v="3.109166282818978E-2"/>
    <n v="6.6267886464930799"/>
    <n v="3.6849631503684979"/>
    <n v="5.3019469805301966"/>
    <s v="T"/>
    <n v="1"/>
    <m/>
    <m/>
    <m/>
    <m/>
    <m/>
    <m/>
    <m/>
    <m/>
    <m/>
  </r>
  <r>
    <x v="155"/>
    <x v="1"/>
    <s v="I"/>
    <s v="S"/>
    <x v="0"/>
    <n v="79"/>
    <n v="76"/>
    <n v="8.2810000000000006"/>
    <n v="0.16"/>
    <n v="0.13200000000000001"/>
    <s v="F22"/>
    <x v="0"/>
    <n v="22"/>
    <n v="0.83399999999999996"/>
    <n v="0.39200000000000002"/>
    <s v="41 chiro: 0.286; 1 cranefly: 0.021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1"/>
    <n v="0.28599999999999998"/>
    <n v="1"/>
    <n v="2.1000000000000001E-2"/>
    <m/>
    <m/>
    <m/>
    <m/>
    <m/>
    <m/>
    <m/>
    <m/>
    <m/>
    <m/>
    <m/>
    <m/>
    <m/>
    <m/>
    <m/>
    <m/>
    <m/>
    <m/>
    <m/>
    <m/>
    <m/>
    <m/>
    <n v="0.307"/>
    <s v="17/3/2021"/>
    <s v="17"/>
    <s v="3"/>
    <s v="2021"/>
    <x v="8"/>
    <n v="76"/>
    <x v="5"/>
    <m/>
    <n v="1.6198306540679837"/>
    <n v="1.9702007141977589"/>
    <n v="2.0027537864563773E-2"/>
    <n v="4.9689440993788825"/>
    <n v="5.3375196232339075"/>
    <n v="9.0448013524936588"/>
    <s v="T"/>
    <n v="1"/>
    <m/>
    <m/>
    <m/>
    <m/>
    <m/>
    <m/>
    <m/>
    <m/>
    <m/>
  </r>
  <r>
    <x v="156"/>
    <x v="1"/>
    <s v="I"/>
    <s v="S"/>
    <x v="0"/>
    <n v="80"/>
    <n v="76"/>
    <n v="8.2639999999999993"/>
    <n v="0.219"/>
    <n v="1.2E-2"/>
    <s v="M22"/>
    <x v="2"/>
    <n v="22"/>
    <n v="0.82199999999999995"/>
    <n v="0.43"/>
    <s v="16 chiro: 0.106; 1 earthworm: 0.04; 1 soldierfly: 0.035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6"/>
    <n v="0.106"/>
    <m/>
    <m/>
    <n v="1"/>
    <n v="3.5000000000000003E-2"/>
    <m/>
    <m/>
    <m/>
    <m/>
    <m/>
    <m/>
    <n v="1"/>
    <n v="0.04"/>
    <m/>
    <m/>
    <m/>
    <m/>
    <m/>
    <m/>
    <m/>
    <m/>
    <m/>
    <m/>
    <m/>
    <m/>
    <n v="0.18099999999999999"/>
    <s v="17/3/2021"/>
    <s v="17"/>
    <s v="3"/>
    <s v="2021"/>
    <x v="8"/>
    <n v="76"/>
    <x v="5"/>
    <m/>
    <n v="0.14541929229277753"/>
    <n v="2.7221876942200125"/>
    <n v="2.7262542014191461E-2"/>
    <n v="5.4888945621649219"/>
    <n v="4.7434656340755081"/>
    <n v="6.9336882865440455"/>
    <s v="T"/>
    <n v="2"/>
    <m/>
    <m/>
    <m/>
    <m/>
    <m/>
    <m/>
    <m/>
    <m/>
    <m/>
  </r>
  <r>
    <x v="157"/>
    <x v="1"/>
    <s v="I"/>
    <s v="I"/>
    <x v="0"/>
    <n v="87"/>
    <n v="82"/>
    <n v="10.629"/>
    <n v="0.247"/>
    <n v="0.16800000000000001"/>
    <s v="F22"/>
    <x v="0"/>
    <n v="22"/>
    <n v="0.74299999999999999"/>
    <n v="0.40200000000000002"/>
    <s v="32 chiro: 0.17; 2 damsel: 0.036; 1 earthworm: 0.03"/>
    <s v="F"/>
    <m/>
    <m/>
    <m/>
    <m/>
    <m/>
    <m/>
    <m/>
    <m/>
    <m/>
    <m/>
    <m/>
    <m/>
    <m/>
    <m/>
    <m/>
    <m/>
    <m/>
    <m/>
    <m/>
    <m/>
    <m/>
    <m/>
    <m/>
    <m/>
    <m/>
    <m/>
    <n v="2"/>
    <n v="3.5999999999999997E-2"/>
    <m/>
    <m/>
    <n v="32"/>
    <n v="0.17"/>
    <m/>
    <m/>
    <m/>
    <m/>
    <m/>
    <m/>
    <m/>
    <m/>
    <m/>
    <m/>
    <n v="1"/>
    <n v="0.03"/>
    <m/>
    <m/>
    <m/>
    <m/>
    <m/>
    <m/>
    <m/>
    <m/>
    <m/>
    <m/>
    <m/>
    <m/>
    <n v="0.23600000000000002"/>
    <s v="17/3/2021"/>
    <s v="17"/>
    <s v="3"/>
    <s v="2021"/>
    <x v="8"/>
    <n v="76"/>
    <x v="5"/>
    <m/>
    <n v="1.6059650129050762"/>
    <n v="2.3791177037179736"/>
    <n v="2.4182494615233991E-2"/>
    <n v="3.9307714872396602"/>
    <n v="3.208203970270016"/>
    <n v="5.4285445479348953"/>
    <s v="T"/>
    <n v="1"/>
    <n v="0"/>
    <n v="1"/>
    <n v="0"/>
    <n v="0"/>
    <n v="1.4500000000000001E-2"/>
    <n v="1.5309893358673847"/>
    <n v="7.0540000000000003"/>
    <n v="81.544303884442584"/>
    <n v="101.51055095852982"/>
  </r>
  <r>
    <x v="158"/>
    <x v="1"/>
    <s v="I"/>
    <s v="S"/>
    <x v="0"/>
    <n v="70"/>
    <n v="66"/>
    <n v="5.8929999999999998"/>
    <n v="0.14799999999999999"/>
    <n v="1.2E-2"/>
    <s v="M22"/>
    <x v="2"/>
    <n v="22"/>
    <n v="0.379"/>
    <n v="0.251"/>
    <s v="16 chiro: 0.077; 1 leech: 0.012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6"/>
    <n v="7.6999999999999999E-2"/>
    <m/>
    <m/>
    <m/>
    <m/>
    <m/>
    <m/>
    <m/>
    <m/>
    <n v="1"/>
    <n v="1.2E-2"/>
    <m/>
    <m/>
    <m/>
    <m/>
    <m/>
    <m/>
    <m/>
    <m/>
    <m/>
    <m/>
    <m/>
    <m/>
    <m/>
    <m/>
    <n v="8.8999999999999996E-2"/>
    <s v="17/3/2021"/>
    <s v="17"/>
    <s v="3"/>
    <s v="2021"/>
    <x v="8"/>
    <n v="76"/>
    <x v="5"/>
    <m/>
    <n v="0.20404693079408265"/>
    <n v="2.5761531766753696"/>
    <n v="2.5815454386882954E-2"/>
    <n v="4.4487770294221916"/>
    <n v="2.1720685559137962"/>
    <n v="3.6823349736976074"/>
    <s v="T"/>
    <n v="1"/>
    <m/>
    <m/>
    <m/>
    <m/>
    <m/>
    <m/>
    <m/>
    <m/>
    <m/>
  </r>
  <r>
    <x v="159"/>
    <x v="1"/>
    <s v="I"/>
    <s v="S"/>
    <x v="0"/>
    <n v="73"/>
    <n v="68"/>
    <n v="6.5949999999999998"/>
    <n v="0.189"/>
    <n v="1.2E-2"/>
    <s v="M22"/>
    <x v="2"/>
    <n v="22"/>
    <n v="0.44"/>
    <n v="0.28100000000000003"/>
    <s v="29 chiro: 0.126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9"/>
    <n v="0.126"/>
    <m/>
    <m/>
    <m/>
    <m/>
    <m/>
    <m/>
    <m/>
    <m/>
    <m/>
    <m/>
    <m/>
    <m/>
    <m/>
    <m/>
    <m/>
    <m/>
    <m/>
    <m/>
    <m/>
    <m/>
    <m/>
    <m/>
    <m/>
    <m/>
    <n v="0.126"/>
    <s v="17/3/2021"/>
    <s v="17"/>
    <s v="3"/>
    <s v="2021"/>
    <x v="8"/>
    <n v="76"/>
    <x v="5"/>
    <m/>
    <n v="0.18228771077016559"/>
    <n v="2.9503590384014986"/>
    <n v="2.9558961526431029E-2"/>
    <n v="4.4504276211593288"/>
    <n v="2.4109173616376038"/>
    <n v="4.3214556482183468"/>
    <s v="T"/>
    <n v="1"/>
    <m/>
    <m/>
    <m/>
    <m/>
    <m/>
    <m/>
    <m/>
    <m/>
    <m/>
  </r>
  <r>
    <x v="160"/>
    <x v="1"/>
    <s v="I"/>
    <s v="S"/>
    <x v="0"/>
    <n v="76"/>
    <n v="72"/>
    <n v="6.9930000000000003"/>
    <n v="0.218"/>
    <n v="0.124"/>
    <s v="F22"/>
    <x v="0"/>
    <n v="22"/>
    <n v="0.29899999999999999"/>
    <n v="0.26700000000000002"/>
    <s v="17 chaoborous: 0.016"/>
    <s v="F"/>
    <m/>
    <m/>
    <m/>
    <m/>
    <m/>
    <m/>
    <m/>
    <m/>
    <m/>
    <m/>
    <m/>
    <m/>
    <m/>
    <m/>
    <m/>
    <m/>
    <m/>
    <m/>
    <m/>
    <m/>
    <m/>
    <m/>
    <m/>
    <m/>
    <m/>
    <m/>
    <m/>
    <m/>
    <n v="17"/>
    <n v="1.6E-2"/>
    <m/>
    <m/>
    <m/>
    <m/>
    <m/>
    <m/>
    <m/>
    <m/>
    <m/>
    <m/>
    <m/>
    <m/>
    <m/>
    <m/>
    <m/>
    <m/>
    <m/>
    <m/>
    <m/>
    <m/>
    <m/>
    <m/>
    <m/>
    <m/>
    <m/>
    <m/>
    <n v="1.6E-2"/>
    <s v="17/3/2021"/>
    <s v="17"/>
    <s v="3"/>
    <s v="2021"/>
    <x v="8"/>
    <n v="76"/>
    <x v="5"/>
    <m/>
    <n v="1.8052118212257966"/>
    <n v="3.2177121771217712"/>
    <n v="3.2777026011126142E-2"/>
    <n v="3.969669937555754"/>
    <n v="0.4576004576004572"/>
    <n v="0.68640068640068597"/>
    <s v="T"/>
    <n v="1"/>
    <m/>
    <m/>
    <m/>
    <m/>
    <m/>
    <m/>
    <m/>
    <m/>
    <m/>
  </r>
  <r>
    <x v="161"/>
    <x v="1"/>
    <s v="S"/>
    <s v="IMM"/>
    <x v="0"/>
    <n v="60"/>
    <n v="56"/>
    <n v="3.7610000000000001"/>
    <n v="9.4E-2"/>
    <n v="6.8000000000000005E-2"/>
    <s v="F22"/>
    <x v="0"/>
    <n v="22"/>
    <n v="0.23"/>
    <n v="0.159"/>
    <s v="12 chiro: 0.05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2"/>
    <n v="0.05"/>
    <m/>
    <m/>
    <m/>
    <m/>
    <m/>
    <m/>
    <m/>
    <m/>
    <m/>
    <m/>
    <m/>
    <m/>
    <m/>
    <m/>
    <m/>
    <m/>
    <m/>
    <m/>
    <m/>
    <m/>
    <m/>
    <m/>
    <m/>
    <m/>
    <n v="0.05"/>
    <s v="17/3/2021"/>
    <s v="17"/>
    <s v="3"/>
    <s v="2021"/>
    <x v="8"/>
    <n v="76"/>
    <x v="5"/>
    <m/>
    <n v="1.8413214189006228"/>
    <n v="2.5634033269702754"/>
    <n v="2.6118366212836898E-2"/>
    <n v="4.4142143253747914"/>
    <n v="1.8877957989896306"/>
    <n v="3.2172294602499338"/>
    <s v="T"/>
    <n v="1"/>
    <m/>
    <m/>
    <m/>
    <m/>
    <m/>
    <m/>
    <m/>
    <m/>
    <m/>
  </r>
  <r>
    <x v="162"/>
    <x v="1"/>
    <s v="I"/>
    <s v="IMM"/>
    <x v="0"/>
    <n v="61"/>
    <n v="57"/>
    <n v="3.3149999999999999"/>
    <n v="6.9000000000000006E-2"/>
    <n v="6.4000000000000001E-2"/>
    <s v="F22"/>
    <x v="0"/>
    <n v="22"/>
    <n v="0.14000000000000001"/>
    <n v="0.128"/>
    <s v="zoops: 0.004"/>
    <s v="F"/>
    <m/>
    <m/>
    <m/>
    <m/>
    <m/>
    <m/>
    <m/>
    <m/>
    <m/>
    <m/>
    <m/>
    <m/>
    <m/>
    <m/>
    <m/>
    <m/>
    <m/>
    <m/>
    <m/>
    <m/>
    <m/>
    <m/>
    <n v="1"/>
    <n v="4.0000000000000001E-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.0000000000000001E-3"/>
    <s v="17/3/2021"/>
    <s v="17"/>
    <s v="3"/>
    <s v="2021"/>
    <x v="8"/>
    <n v="76"/>
    <x v="5"/>
    <m/>
    <n v="1.9686250384497079"/>
    <n v="2.1256931608133089"/>
    <n v="2.1684475172847269E-2"/>
    <n v="4.016316284907437"/>
    <n v="0.36199095022624467"/>
    <n v="0.48265460030165952"/>
    <s v="T"/>
    <n v="1"/>
    <n v="0"/>
    <n v="0"/>
    <n v="0"/>
    <n v="0"/>
    <n v="8.0999999999999996E-3"/>
    <n v="2.6627218934911241"/>
    <n v="8.452"/>
    <m/>
    <n v="103.50336546890948"/>
  </r>
  <r>
    <x v="163"/>
    <x v="1"/>
    <s v="I"/>
    <s v="IMM"/>
    <x v="0"/>
    <n v="61"/>
    <n v="57"/>
    <n v="3.9340000000000002"/>
    <n v="0.123"/>
    <n v="7.0000000000000007E-2"/>
    <s v="F22"/>
    <x v="0"/>
    <n v="22"/>
    <n v="0.29899999999999999"/>
    <n v="0.186"/>
    <s v="23 chiro: 0.097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3"/>
    <n v="9.7000000000000003E-2"/>
    <m/>
    <m/>
    <m/>
    <m/>
    <m/>
    <m/>
    <m/>
    <m/>
    <m/>
    <m/>
    <m/>
    <m/>
    <m/>
    <m/>
    <m/>
    <m/>
    <m/>
    <m/>
    <m/>
    <m/>
    <m/>
    <m/>
    <m/>
    <m/>
    <n v="9.7000000000000003E-2"/>
    <s v="17/3/2021"/>
    <s v="17"/>
    <s v="3"/>
    <s v="2021"/>
    <x v="8"/>
    <n v="76"/>
    <x v="5"/>
    <m/>
    <n v="1.8115942028985508"/>
    <n v="3.2274993440041984"/>
    <n v="3.2878909382518043E-2"/>
    <n v="4.9626467449306295"/>
    <n v="2.872394509405185"/>
    <n v="5.3380782918149459"/>
    <s v="T"/>
    <n v="2"/>
    <n v="0"/>
    <n v="3"/>
    <n v="0"/>
    <n v="0"/>
    <n v="1.8200000000000001E-2"/>
    <n v="5.2876234747239979"/>
    <n v="8.266"/>
    <n v="76.474097283735915"/>
    <n v="97.285997826220537"/>
  </r>
  <r>
    <x v="164"/>
    <x v="1"/>
    <s v="I"/>
    <s v="S"/>
    <x v="0"/>
    <n v="72"/>
    <n v="68"/>
    <n v="5.8639999999999999"/>
    <n v="0.152"/>
    <n v="9.8000000000000004E-2"/>
    <s v="F22"/>
    <x v="0"/>
    <n v="22"/>
    <n v="0.33900000000000002"/>
    <n v="0.28799999999999998"/>
    <s v="~50 chaoborous: 0.024"/>
    <s v="F"/>
    <m/>
    <m/>
    <m/>
    <m/>
    <m/>
    <m/>
    <m/>
    <m/>
    <m/>
    <m/>
    <m/>
    <m/>
    <m/>
    <m/>
    <m/>
    <m/>
    <m/>
    <m/>
    <m/>
    <m/>
    <m/>
    <m/>
    <m/>
    <m/>
    <m/>
    <m/>
    <m/>
    <m/>
    <n v="50"/>
    <n v="2.4E-2"/>
    <m/>
    <m/>
    <m/>
    <m/>
    <m/>
    <m/>
    <m/>
    <m/>
    <m/>
    <m/>
    <m/>
    <m/>
    <m/>
    <m/>
    <m/>
    <m/>
    <m/>
    <m/>
    <m/>
    <m/>
    <m/>
    <m/>
    <m/>
    <m/>
    <m/>
    <m/>
    <n v="2.4E-2"/>
    <s v="17/3/2021"/>
    <s v="17"/>
    <s v="3"/>
    <s v="2021"/>
    <x v="8"/>
    <n v="76"/>
    <x v="5"/>
    <m/>
    <n v="1.6996184530003469"/>
    <n v="2.661064425770308"/>
    <n v="2.7075169219807623E-2"/>
    <n v="5.1649928263988523"/>
    <n v="0.86971350613915499"/>
    <n v="1.2789904502046392"/>
    <s v="T"/>
    <n v="2"/>
    <n v="0"/>
    <n v="9"/>
    <n v="4"/>
    <n v="0"/>
    <n v="1.2999999999999999E-3"/>
    <n v="0.24644549763033177"/>
    <n v="6.84"/>
    <n v="75.535582464768751"/>
    <n v="101.69724665875947"/>
  </r>
  <r>
    <x v="165"/>
    <x v="1"/>
    <s v="I"/>
    <s v="S"/>
    <x v="0"/>
    <n v="73"/>
    <n v="69"/>
    <n v="6.7610000000000001"/>
    <n v="0.156"/>
    <n v="1.2999999999999999E-2"/>
    <s v="M22"/>
    <x v="2"/>
    <n v="22"/>
    <n v="0.42399999999999999"/>
    <n v="0.28199999999999997"/>
    <s v="20 chiro: 0.09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0"/>
    <n v="0.09"/>
    <m/>
    <m/>
    <m/>
    <m/>
    <m/>
    <m/>
    <m/>
    <m/>
    <m/>
    <m/>
    <m/>
    <m/>
    <m/>
    <m/>
    <m/>
    <m/>
    <m/>
    <m/>
    <m/>
    <m/>
    <m/>
    <m/>
    <m/>
    <m/>
    <n v="0.09"/>
    <s v="17/3/2021"/>
    <s v="17"/>
    <s v="3"/>
    <s v="2021"/>
    <x v="8"/>
    <n v="76"/>
    <x v="5"/>
    <m/>
    <n v="0.19264967397747479"/>
    <n v="2.3618470855412568"/>
    <n v="2.3665048543689317E-2"/>
    <n v="4.3525235375829601"/>
    <n v="2.1002810235172311"/>
    <n v="3.4314450525070255"/>
    <s v="T"/>
    <n v="1"/>
    <m/>
    <m/>
    <m/>
    <m/>
    <m/>
    <m/>
    <m/>
    <m/>
    <m/>
  </r>
  <r>
    <x v="166"/>
    <x v="1"/>
    <s v="I"/>
    <s v="IMM"/>
    <x v="0"/>
    <n v="64"/>
    <n v="60"/>
    <n v="4.125"/>
    <n v="8.7999999999999995E-2"/>
    <n v="7.8E-2"/>
    <s v="F22"/>
    <x v="0"/>
    <n v="22"/>
    <n v="0.27400000000000002"/>
    <n v="0.17399999999999999"/>
    <s v="11 chiro: 0.06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1"/>
    <n v="0.06"/>
    <m/>
    <m/>
    <m/>
    <m/>
    <m/>
    <m/>
    <m/>
    <m/>
    <m/>
    <m/>
    <m/>
    <m/>
    <m/>
    <m/>
    <m/>
    <m/>
    <m/>
    <m/>
    <m/>
    <m/>
    <m/>
    <m/>
    <m/>
    <m/>
    <n v="0.06"/>
    <s v="17/3/2021"/>
    <s v="17"/>
    <s v="3"/>
    <s v="2021"/>
    <x v="8"/>
    <n v="76"/>
    <x v="5"/>
    <m/>
    <n v="1.927353595255745"/>
    <n v="2.1798365122615802"/>
    <n v="2.2227835311947459E-2"/>
    <n v="4.4039483675018971"/>
    <n v="2.4242424242424248"/>
    <n v="3.8787878787878793"/>
    <s v="T"/>
    <n v="1"/>
    <m/>
    <m/>
    <m/>
    <m/>
    <m/>
    <m/>
    <m/>
    <m/>
    <m/>
  </r>
  <r>
    <x v="167"/>
    <x v="1"/>
    <s v="S"/>
    <s v="IMM"/>
    <x v="1"/>
    <n v="59"/>
    <n v="56"/>
    <n v="3.3460000000000001"/>
    <n v="7.5999999999999998E-2"/>
    <n v="5.6000000000000001E-2"/>
    <s v="F22"/>
    <x v="0"/>
    <n v="22"/>
    <n v="0.23400000000000001"/>
    <n v="0.13300000000000001"/>
    <s v="15 chiro: 0.078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5"/>
    <n v="7.8E-2"/>
    <m/>
    <m/>
    <m/>
    <m/>
    <m/>
    <m/>
    <m/>
    <m/>
    <m/>
    <m/>
    <m/>
    <m/>
    <m/>
    <m/>
    <m/>
    <m/>
    <m/>
    <m/>
    <m/>
    <m/>
    <m/>
    <m/>
    <m/>
    <m/>
    <n v="7.8E-2"/>
    <s v="17/3/2021"/>
    <s v="17"/>
    <s v="3"/>
    <s v="2021"/>
    <x v="8"/>
    <n v="76"/>
    <x v="5"/>
    <m/>
    <n v="1.7021276595744681"/>
    <n v="2.3241590214067278"/>
    <n v="2.3646546359676415E-2"/>
    <n v="4.1394335511982572"/>
    <n v="3.0185295875672447"/>
    <n v="5.3496712492528387"/>
    <s v="T"/>
    <n v="1"/>
    <m/>
    <m/>
    <m/>
    <m/>
    <m/>
    <m/>
    <m/>
    <m/>
    <m/>
  </r>
  <r>
    <x v="168"/>
    <x v="1"/>
    <s v="S"/>
    <s v="IMM"/>
    <x v="1"/>
    <n v="58"/>
    <n v="56"/>
    <n v="2.9670000000000001"/>
    <n v="7.9000000000000001E-2"/>
    <n v="1.7999999999999999E-2"/>
    <s v="M22"/>
    <x v="2"/>
    <n v="22"/>
    <n v="0.13"/>
    <n v="0.11600000000000001"/>
    <s v="2 chiro: 0.004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4.0000000000000001E-3"/>
    <m/>
    <m/>
    <m/>
    <m/>
    <m/>
    <m/>
    <m/>
    <m/>
    <m/>
    <m/>
    <m/>
    <m/>
    <m/>
    <m/>
    <m/>
    <m/>
    <m/>
    <m/>
    <m/>
    <m/>
    <m/>
    <m/>
    <m/>
    <m/>
    <n v="4.0000000000000001E-3"/>
    <s v="17/3/2021"/>
    <s v="17"/>
    <s v="3"/>
    <s v="2021"/>
    <x v="8"/>
    <n v="76"/>
    <x v="5"/>
    <m/>
    <n v="0.6103763987792471"/>
    <n v="2.7354570637119116"/>
    <n v="2.7526132404181183E-2"/>
    <n v="4.0687478077867416"/>
    <n v="0.47185709470845966"/>
    <n v="0.60667340748230525"/>
    <s v="T"/>
    <n v="1"/>
    <m/>
    <m/>
    <m/>
    <m/>
    <m/>
    <m/>
    <m/>
    <m/>
    <m/>
  </r>
  <r>
    <x v="169"/>
    <x v="1"/>
    <s v="S"/>
    <s v="IMM"/>
    <x v="1"/>
    <n v="54"/>
    <n v="51"/>
    <n v="2.4359999999999999"/>
    <n v="7.0000000000000007E-2"/>
    <n v="0.04"/>
    <s v="F22"/>
    <x v="0"/>
    <n v="22"/>
    <n v="0.104"/>
    <n v="9.0999999999999998E-2"/>
    <s v="3 chiro: 0.003, inverts: 0.013"/>
    <s v="F"/>
    <m/>
    <m/>
    <m/>
    <n v="1.2999999999999999E-2"/>
    <m/>
    <m/>
    <m/>
    <m/>
    <m/>
    <m/>
    <m/>
    <m/>
    <m/>
    <m/>
    <m/>
    <m/>
    <m/>
    <m/>
    <m/>
    <m/>
    <m/>
    <m/>
    <m/>
    <m/>
    <m/>
    <m/>
    <m/>
    <m/>
    <m/>
    <m/>
    <n v="3"/>
    <n v="3.0000000000000001E-3"/>
    <m/>
    <m/>
    <m/>
    <m/>
    <m/>
    <m/>
    <m/>
    <m/>
    <m/>
    <m/>
    <m/>
    <m/>
    <m/>
    <m/>
    <m/>
    <m/>
    <m/>
    <m/>
    <m/>
    <m/>
    <m/>
    <m/>
    <m/>
    <m/>
    <n v="1.6E-2"/>
    <s v="17/3/2021"/>
    <s v="17"/>
    <s v="3"/>
    <s v="2021"/>
    <x v="8"/>
    <n v="76"/>
    <x v="5"/>
    <m/>
    <n v="1.6694490818030052"/>
    <n v="2.9585798816568047"/>
    <n v="3.0094582975064489E-2"/>
    <n v="3.8805970149253737"/>
    <n v="0.53366174055829219"/>
    <n v="1.1904761904761905"/>
    <s v="T"/>
    <n v="2"/>
    <m/>
    <m/>
    <m/>
    <m/>
    <m/>
    <m/>
    <m/>
    <m/>
    <m/>
  </r>
  <r>
    <x v="170"/>
    <x v="1"/>
    <s v="I"/>
    <s v="B"/>
    <x v="1"/>
    <n v="112"/>
    <n v="106"/>
    <n v="25.076000000000001"/>
    <n v="0.76900000000000002"/>
    <n v="0.42699999999999999"/>
    <s v="F22"/>
    <x v="0"/>
    <n v="22"/>
    <n v="2.012"/>
    <n v="1.57"/>
    <s v="2 earthworms: 0.288; veg: 0.026; 1 snail: 0.004"/>
    <s v="F"/>
    <m/>
    <m/>
    <m/>
    <m/>
    <m/>
    <m/>
    <m/>
    <m/>
    <m/>
    <m/>
    <m/>
    <m/>
    <m/>
    <m/>
    <m/>
    <m/>
    <m/>
    <m/>
    <n v="1"/>
    <n v="4.0000000000000001E-3"/>
    <m/>
    <m/>
    <m/>
    <m/>
    <m/>
    <m/>
    <m/>
    <m/>
    <m/>
    <m/>
    <m/>
    <m/>
    <m/>
    <m/>
    <m/>
    <m/>
    <m/>
    <m/>
    <m/>
    <m/>
    <m/>
    <m/>
    <n v="2"/>
    <n v="0.28799999999999998"/>
    <m/>
    <m/>
    <m/>
    <m/>
    <m/>
    <m/>
    <m/>
    <m/>
    <m/>
    <m/>
    <m/>
    <m/>
    <n v="0.31799999999999995"/>
    <d v="2021-03-04T00:00:00"/>
    <n v="3"/>
    <n v="4"/>
    <n v="2021"/>
    <x v="9"/>
    <n v="93"/>
    <x v="6"/>
    <m/>
    <n v="1.7323217980445453"/>
    <n v="3.1636977002509568"/>
    <n v="3.2202680067001672E-2"/>
    <n v="6.6791457500212719"/>
    <n v="1.7626415696283297"/>
    <n v="3.03078640931568"/>
    <s v="T"/>
    <n v="2"/>
    <m/>
    <m/>
    <m/>
    <m/>
    <m/>
    <m/>
    <m/>
    <m/>
    <m/>
  </r>
  <r>
    <x v="171"/>
    <x v="1"/>
    <s v="I"/>
    <s v="I"/>
    <x v="0"/>
    <n v="96"/>
    <n v="90"/>
    <n v="17.012"/>
    <n v="0.58399999999999996"/>
    <n v="0.03"/>
    <s v="M22"/>
    <x v="2"/>
    <n v="22"/>
    <n v="1.492"/>
    <n v="1.0329999999999999"/>
    <s v="1 earthworm: 0.307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0.307"/>
    <m/>
    <m/>
    <m/>
    <m/>
    <m/>
    <m/>
    <m/>
    <m/>
    <m/>
    <m/>
    <m/>
    <m/>
    <n v="0.307"/>
    <d v="2021-03-04T00:00:00"/>
    <n v="3"/>
    <n v="4"/>
    <n v="2021"/>
    <x v="9"/>
    <n v="93"/>
    <x v="6"/>
    <m/>
    <n v="0.17665763749852784"/>
    <n v="3.5549062576089598"/>
    <n v="3.5614099280400047E-2"/>
    <n v="6.4647349646410905"/>
    <n v="2.6980954620268052"/>
    <n v="4.502703973665648"/>
    <s v="T"/>
    <n v="2"/>
    <m/>
    <m/>
    <m/>
    <m/>
    <m/>
    <m/>
    <m/>
    <m/>
    <m/>
  </r>
  <r>
    <x v="172"/>
    <x v="1"/>
    <s v="I"/>
    <s v="I"/>
    <x v="0"/>
    <n v="86"/>
    <n v="79"/>
    <n v="10.15"/>
    <n v="0.28299999999999997"/>
    <n v="0.19500000000000001"/>
    <s v="F22"/>
    <x v="0"/>
    <n v="22"/>
    <n v="0.56699999999999995"/>
    <n v="0.46200000000000002"/>
    <s v="1 caddis: 0.069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6.9000000000000006E-2"/>
    <m/>
    <m/>
    <m/>
    <m/>
    <m/>
    <m/>
    <m/>
    <m/>
    <m/>
    <m/>
    <m/>
    <m/>
    <m/>
    <m/>
    <m/>
    <m/>
    <m/>
    <m/>
    <n v="6.9000000000000006E-2"/>
    <d v="2021-03-04T00:00:00"/>
    <n v="3"/>
    <n v="4"/>
    <n v="2021"/>
    <x v="9"/>
    <n v="93"/>
    <x v="6"/>
    <m/>
    <n v="1.9588146659969865"/>
    <n v="2.8681463464072152"/>
    <n v="2.9259718775847803E-2"/>
    <n v="4.7687861271676297"/>
    <n v="1.0344827586206891"/>
    <n v="1.7142857142857137"/>
    <s v="T"/>
    <n v="2"/>
    <m/>
    <m/>
    <m/>
    <m/>
    <n v="2.75E-2"/>
    <n v="3.0203185063152111"/>
    <m/>
    <m/>
    <m/>
  </r>
  <r>
    <x v="173"/>
    <x v="1"/>
    <s v="I"/>
    <s v="I"/>
    <x v="0"/>
    <n v="86"/>
    <n v="80"/>
    <n v="11.685"/>
    <n v="0.39300000000000002"/>
    <n v="2.3E-2"/>
    <s v="M22"/>
    <x v="2"/>
    <n v="22"/>
    <n v="0.61399999999999999"/>
    <n v="0.56699999999999995"/>
    <s v="2 chiro: 0.012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1.2E-2"/>
    <m/>
    <m/>
    <m/>
    <m/>
    <m/>
    <m/>
    <m/>
    <m/>
    <m/>
    <m/>
    <m/>
    <m/>
    <m/>
    <m/>
    <m/>
    <m/>
    <m/>
    <m/>
    <m/>
    <m/>
    <m/>
    <m/>
    <m/>
    <m/>
    <n v="1.2E-2"/>
    <d v="2021-03-04T00:00:00"/>
    <n v="3"/>
    <n v="4"/>
    <n v="2021"/>
    <x v="9"/>
    <n v="93"/>
    <x v="6"/>
    <m/>
    <n v="0.19722174584119362"/>
    <n v="3.4803400637619553"/>
    <n v="3.4874434288756764E-2"/>
    <n v="5.0998381003777657"/>
    <n v="0.40222507488232812"/>
    <n v="0.50492083868207138"/>
    <s v="T"/>
    <n v="1"/>
    <m/>
    <m/>
    <m/>
    <m/>
    <m/>
    <m/>
    <m/>
    <m/>
    <m/>
  </r>
  <r>
    <x v="174"/>
    <x v="1"/>
    <s v="I"/>
    <s v="I"/>
    <x v="0"/>
    <n v="87"/>
    <n v="81"/>
    <n v="10.406000000000001"/>
    <n v="0.29599999999999999"/>
    <n v="0.02"/>
    <s v="M22"/>
    <x v="2"/>
    <n v="22"/>
    <n v="0.60199999999999998"/>
    <n v="0.501"/>
    <s v="1 damsel: 0.014; 1 caddis: 0.030"/>
    <s v="F"/>
    <m/>
    <m/>
    <m/>
    <m/>
    <m/>
    <m/>
    <m/>
    <m/>
    <m/>
    <m/>
    <m/>
    <m/>
    <m/>
    <m/>
    <m/>
    <m/>
    <m/>
    <m/>
    <m/>
    <m/>
    <m/>
    <m/>
    <m/>
    <m/>
    <m/>
    <m/>
    <n v="1"/>
    <n v="1.4E-2"/>
    <m/>
    <m/>
    <m/>
    <m/>
    <m/>
    <m/>
    <m/>
    <m/>
    <n v="1"/>
    <n v="0.03"/>
    <m/>
    <m/>
    <m/>
    <m/>
    <m/>
    <m/>
    <m/>
    <m/>
    <m/>
    <m/>
    <m/>
    <m/>
    <m/>
    <m/>
    <m/>
    <m/>
    <m/>
    <m/>
    <n v="4.3999999999999997E-2"/>
    <d v="2021-03-04T00:00:00"/>
    <n v="3"/>
    <n v="4"/>
    <n v="2021"/>
    <x v="9"/>
    <n v="93"/>
    <x v="6"/>
    <m/>
    <n v="0.19256691700365874"/>
    <n v="2.9277942631058353"/>
    <n v="2.9335976214073335E-2"/>
    <n v="5.0580514891468944"/>
    <n v="0.97059388814145653"/>
    <n v="1.3934268691139724"/>
    <s v="T"/>
    <n v="2"/>
    <m/>
    <m/>
    <m/>
    <m/>
    <m/>
    <m/>
    <m/>
    <m/>
    <m/>
  </r>
  <r>
    <x v="175"/>
    <x v="1"/>
    <s v="I"/>
    <s v="I"/>
    <x v="0"/>
    <n v="85"/>
    <n v="80"/>
    <n v="10.61"/>
    <n v="0.30099999999999999"/>
    <n v="1.9E-2"/>
    <s v="M22"/>
    <x v="2"/>
    <n v="22"/>
    <n v="0.622"/>
    <n v="0.42"/>
    <s v="1 soldierfly larv: 0.070; 2 earthworm: 0.071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7.0000000000000007E-2"/>
    <m/>
    <m/>
    <m/>
    <m/>
    <m/>
    <m/>
    <n v="2"/>
    <n v="0.01"/>
    <m/>
    <m/>
    <m/>
    <m/>
    <m/>
    <m/>
    <m/>
    <m/>
    <m/>
    <m/>
    <m/>
    <m/>
    <n v="0.14099999999999999"/>
    <d v="2021-03-04T00:00:00"/>
    <n v="3"/>
    <n v="4"/>
    <n v="2021"/>
    <x v="9"/>
    <n v="93"/>
    <x v="6"/>
    <m/>
    <n v="0.17939760173732416"/>
    <n v="2.9197788340285187"/>
    <n v="2.9251700680272111E-2"/>
    <n v="4.1216879293424924"/>
    <n v="1.9038642789820925"/>
    <n v="3.2327992459943453"/>
    <s v="T"/>
    <n v="1"/>
    <m/>
    <m/>
    <m/>
    <m/>
    <m/>
    <m/>
    <m/>
    <m/>
    <m/>
  </r>
  <r>
    <x v="176"/>
    <x v="1"/>
    <s v="I"/>
    <s v="I"/>
    <x v="0"/>
    <n v="93"/>
    <n v="88"/>
    <n v="15.144"/>
    <n v="0.5"/>
    <n v="0.23400000000000001"/>
    <s v="F22"/>
    <x v="0"/>
    <n v="22"/>
    <n v="1.359"/>
    <n v="0.78300000000000003"/>
    <s v="~50 chiro: 0.484; 1 jumbo chiro: 0.016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0"/>
    <n v="0.48399999999999999"/>
    <n v="1"/>
    <n v="1.6E-2"/>
    <m/>
    <m/>
    <m/>
    <m/>
    <m/>
    <m/>
    <m/>
    <m/>
    <m/>
    <m/>
    <m/>
    <m/>
    <m/>
    <m/>
    <m/>
    <m/>
    <m/>
    <m/>
    <m/>
    <m/>
    <m/>
    <m/>
    <n v="0.5"/>
    <d v="2021-03-04T00:00:00"/>
    <n v="3"/>
    <n v="4"/>
    <n v="2021"/>
    <x v="9"/>
    <n v="93"/>
    <x v="6"/>
    <m/>
    <n v="1.5694164989939636"/>
    <n v="3.4143676591095331"/>
    <n v="3.4698126301179737E-2"/>
    <n v="5.4522665552538125"/>
    <n v="3.8034865293185414"/>
    <n v="7.1051241415742208"/>
    <s v="T"/>
    <n v="1"/>
    <m/>
    <m/>
    <m/>
    <m/>
    <n v="6.2799999999999995E-2"/>
    <n v="4.8118918090567773"/>
    <m/>
    <m/>
    <m/>
  </r>
  <r>
    <x v="177"/>
    <x v="1"/>
    <s v="I"/>
    <s v="I"/>
    <x v="0"/>
    <n v="87"/>
    <n v="83"/>
    <n v="11.083"/>
    <n v="0.33300000000000002"/>
    <n v="0.21"/>
    <s v="F23"/>
    <x v="0"/>
    <n v="23"/>
    <n v="0.63300000000000001"/>
    <n v="0.53800000000000003"/>
    <s v="1 caddis: 0.024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2.4E-2"/>
    <m/>
    <m/>
    <m/>
    <m/>
    <m/>
    <m/>
    <m/>
    <m/>
    <m/>
    <m/>
    <m/>
    <m/>
    <m/>
    <m/>
    <m/>
    <m/>
    <m/>
    <m/>
    <n v="2.4E-2"/>
    <d v="2021-03-04T00:00:00"/>
    <n v="3"/>
    <n v="4"/>
    <n v="2021"/>
    <x v="9"/>
    <n v="93"/>
    <x v="6"/>
    <m/>
    <n v="1.9313896808608479"/>
    <n v="3.097674418604651"/>
    <n v="3.1593927893738147E-2"/>
    <n v="5.101944049312471"/>
    <n v="0.85716863665072607"/>
    <n v="1.0737165027519622"/>
    <s v="T"/>
    <n v="1"/>
    <m/>
    <m/>
    <m/>
    <m/>
    <m/>
    <m/>
    <m/>
    <m/>
    <m/>
  </r>
  <r>
    <x v="178"/>
    <x v="1"/>
    <s v="I"/>
    <s v="S"/>
    <x v="0"/>
    <n v="76"/>
    <n v="72"/>
    <n v="7.0510000000000002"/>
    <n v="0.20799999999999999"/>
    <n v="0.155"/>
    <s v="F23"/>
    <x v="0"/>
    <n v="23"/>
    <n v="0.36899999999999999"/>
    <n v="0.30099999999999999"/>
    <s v="~15 chiro: 0.025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5"/>
    <n v="2.5000000000000001E-2"/>
    <m/>
    <m/>
    <m/>
    <m/>
    <m/>
    <m/>
    <m/>
    <m/>
    <m/>
    <m/>
    <m/>
    <m/>
    <m/>
    <m/>
    <m/>
    <m/>
    <m/>
    <m/>
    <m/>
    <m/>
    <m/>
    <m/>
    <m/>
    <m/>
    <n v="2.5000000000000001E-2"/>
    <d v="2021-03-04T00:00:00"/>
    <n v="3"/>
    <n v="4"/>
    <n v="2021"/>
    <x v="9"/>
    <n v="93"/>
    <x v="6"/>
    <m/>
    <n v="2.2476798143851511"/>
    <n v="3.0396025135174627"/>
    <n v="3.1100478468899521E-2"/>
    <n v="4.4592592592592597"/>
    <n v="0.96440221245213453"/>
    <n v="1.3189618493830662"/>
    <s v="T"/>
    <n v="1"/>
    <m/>
    <m/>
    <m/>
    <m/>
    <m/>
    <m/>
    <m/>
    <m/>
    <m/>
  </r>
  <r>
    <x v="179"/>
    <x v="1"/>
    <s v="S"/>
    <s v="IMM"/>
    <x v="0"/>
    <n v="60"/>
    <n v="57"/>
    <n v="3.4809999999999999"/>
    <n v="0.108"/>
    <n v="7.4999999999999997E-2"/>
    <s v="F22"/>
    <x v="0"/>
    <n v="22"/>
    <n v="0.14000000000000001"/>
    <n v="0.13100000000000001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1-03-04T00:00:00"/>
    <n v="3"/>
    <n v="4"/>
    <n v="2021"/>
    <x v="9"/>
    <n v="93"/>
    <x v="6"/>
    <m/>
    <n v="2.201996476805637"/>
    <n v="3.2018974206937445"/>
    <n v="3.274711946634324E-2"/>
    <n v="3.91044776119403"/>
    <n v="0.2585463947141628"/>
    <n v="0.2585463947141628"/>
    <s v="T"/>
    <n v="1"/>
    <m/>
    <m/>
    <m/>
    <m/>
    <n v="1.09E-2"/>
    <n v="3.4515516149461689"/>
    <m/>
    <m/>
    <m/>
  </r>
  <r>
    <x v="180"/>
    <x v="1"/>
    <s v="I"/>
    <s v="S"/>
    <x v="0"/>
    <n v="75"/>
    <n v="71"/>
    <n v="6.8920000000000003"/>
    <n v="0.22500000000000001"/>
    <n v="1.6E-2"/>
    <s v="M22"/>
    <x v="2"/>
    <n v="22"/>
    <n v="0.377"/>
    <n v="0.32700000000000001"/>
    <s v="8 chiro: 0.034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"/>
    <n v="3.4000000000000002E-2"/>
    <m/>
    <m/>
    <m/>
    <m/>
    <m/>
    <m/>
    <m/>
    <m/>
    <m/>
    <m/>
    <m/>
    <m/>
    <m/>
    <m/>
    <m/>
    <m/>
    <m/>
    <m/>
    <m/>
    <m/>
    <m/>
    <m/>
    <m/>
    <m/>
    <n v="3.4000000000000002E-2"/>
    <d v="2021-03-04T00:00:00"/>
    <n v="3"/>
    <n v="4"/>
    <n v="2021"/>
    <x v="9"/>
    <n v="93"/>
    <x v="6"/>
    <m/>
    <n v="0.2326934264107039"/>
    <n v="3.3748312584370774"/>
    <n v="3.3829499323410013E-2"/>
    <n v="4.9809596344249805"/>
    <n v="0.725478816018572"/>
    <n v="1.2188044109112011"/>
    <s v="T"/>
    <n v="1"/>
    <m/>
    <m/>
    <m/>
    <m/>
    <m/>
    <m/>
    <m/>
    <m/>
    <m/>
  </r>
  <r>
    <x v="181"/>
    <x v="1"/>
    <s v="I"/>
    <s v="IMM"/>
    <x v="0"/>
    <n v="62"/>
    <n v="58"/>
    <n v="3.609"/>
    <n v="0.13400000000000001"/>
    <n v="7.4999999999999997E-2"/>
    <s v="F23"/>
    <x v="0"/>
    <n v="23"/>
    <n v="0.154"/>
    <n v="0.14000000000000001"/>
    <s v="1 chiro: 0.002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2E-3"/>
    <m/>
    <m/>
    <m/>
    <m/>
    <m/>
    <m/>
    <m/>
    <m/>
    <m/>
    <m/>
    <m/>
    <m/>
    <m/>
    <m/>
    <m/>
    <m/>
    <m/>
    <m/>
    <m/>
    <m/>
    <m/>
    <m/>
    <m/>
    <m/>
    <n v="2E-3"/>
    <d v="2021-03-04T00:00:00"/>
    <n v="3"/>
    <n v="4"/>
    <n v="2021"/>
    <x v="9"/>
    <n v="93"/>
    <x v="6"/>
    <m/>
    <n v="2.1222410865874362"/>
    <n v="3.8561151079136691"/>
    <n v="3.9411764705882354E-2"/>
    <n v="4.0357451715191699"/>
    <n v="0.387919091160986"/>
    <n v="0.44333610418398406"/>
    <s v="T"/>
    <n v="1"/>
    <m/>
    <m/>
    <m/>
    <m/>
    <n v="1.11E-2"/>
    <n v="3.4195933456561924"/>
    <m/>
    <m/>
    <m/>
  </r>
  <r>
    <x v="182"/>
    <x v="1"/>
    <s v="I"/>
    <s v="S"/>
    <x v="0"/>
    <n v="70"/>
    <n v="66"/>
    <n v="5.2869999999999999"/>
    <n v="0.17"/>
    <n v="4.9000000000000002E-2"/>
    <s v="F23"/>
    <x v="0"/>
    <n v="23"/>
    <n v="0.23899999999999999"/>
    <n v="0.214"/>
    <s v="2 chiro: 0.014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1.4E-2"/>
    <m/>
    <m/>
    <m/>
    <m/>
    <m/>
    <m/>
    <m/>
    <m/>
    <m/>
    <m/>
    <m/>
    <m/>
    <m/>
    <m/>
    <m/>
    <m/>
    <m/>
    <m/>
    <m/>
    <m/>
    <m/>
    <m/>
    <m/>
    <m/>
    <n v="1.4E-2"/>
    <d v="2021-03-04T00:00:00"/>
    <n v="3"/>
    <n v="4"/>
    <n v="2021"/>
    <x v="9"/>
    <n v="93"/>
    <x v="6"/>
    <m/>
    <n v="0.93547155402825521"/>
    <n v="3.322259136212625"/>
    <n v="3.3543804262036313E-2"/>
    <n v="4.2184111965306528"/>
    <n v="0.4728579534707773"/>
    <n v="0.73765840741441258"/>
    <s v="T"/>
    <n v="1"/>
    <m/>
    <m/>
    <m/>
    <m/>
    <n v="1.4999999999999999E-2"/>
    <n v="3.1062331745703045"/>
    <m/>
    <m/>
    <m/>
  </r>
  <r>
    <x v="183"/>
    <x v="1"/>
    <s v="S"/>
    <s v="IMM"/>
    <x v="0"/>
    <n v="60"/>
    <n v="56"/>
    <n v="3.1019999999999999"/>
    <n v="0.09"/>
    <n v="5.8999999999999997E-2"/>
    <s v="F23"/>
    <x v="0"/>
    <n v="23"/>
    <n v="0.157"/>
    <n v="0.14899999999999999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1-03-04T00:00:00"/>
    <n v="3"/>
    <n v="4"/>
    <n v="2021"/>
    <x v="9"/>
    <n v="93"/>
    <x v="6"/>
    <m/>
    <n v="1.9388761091028592"/>
    <n v="2.9880478087649398"/>
    <n v="3.047748052827633E-2"/>
    <n v="5.0457162207924142"/>
    <n v="0.25789813023855601"/>
    <n v="0.25789813023855601"/>
    <s v="T"/>
    <n v="1"/>
    <m/>
    <m/>
    <m/>
    <m/>
    <m/>
    <m/>
    <m/>
    <m/>
    <m/>
  </r>
  <r>
    <x v="184"/>
    <x v="1"/>
    <s v="I"/>
    <s v="S"/>
    <x v="0"/>
    <n v="66"/>
    <n v="62"/>
    <n v="4.6040000000000001"/>
    <n v="0.13500000000000001"/>
    <n v="8.8999999999999996E-2"/>
    <s v="F23"/>
    <x v="0"/>
    <n v="23"/>
    <n v="0.20599999999999999"/>
    <n v="0.20599999999999999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1-03-04T00:00:00"/>
    <n v="3"/>
    <n v="4"/>
    <n v="2021"/>
    <x v="9"/>
    <n v="93"/>
    <x v="6"/>
    <m/>
    <n v="1.9712070874861574"/>
    <n v="3.0208100246140077"/>
    <n v="3.082191780821918E-2"/>
    <n v="4.6839472487494316"/>
    <n v="0"/>
    <n v="0"/>
    <s v="T"/>
    <n v="1"/>
    <m/>
    <m/>
    <m/>
    <m/>
    <m/>
    <m/>
    <m/>
    <m/>
    <m/>
  </r>
  <r>
    <x v="185"/>
    <x v="1"/>
    <s v="B"/>
    <s v="B"/>
    <x v="1"/>
    <n v="182"/>
    <n v="173"/>
    <n v="125.53"/>
    <n v="4.048"/>
    <n v="3.883"/>
    <s v="F30"/>
    <x v="0"/>
    <n v="30"/>
    <n v="9.1460000000000008"/>
    <n v="8"/>
    <s v="1 pump: 0.832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0.83199999999999996"/>
    <m/>
    <m/>
    <m/>
    <m/>
    <n v="0.83199999999999996"/>
    <s v="19/4/2021"/>
    <s v="19"/>
    <s v="4"/>
    <s v="2021"/>
    <x v="10"/>
    <n v="109"/>
    <x v="7"/>
    <m/>
    <n v="3.192022820127089"/>
    <n v="3.3321808992278692"/>
    <n v="3.4422061412086834E-2"/>
    <n v="6.8067727388751802"/>
    <n v="0.91292918027563197"/>
    <n v="1.5757189516450256"/>
    <s v="A"/>
    <n v="3"/>
    <m/>
    <m/>
    <m/>
    <m/>
    <m/>
    <m/>
    <m/>
    <m/>
    <m/>
  </r>
  <r>
    <x v="186"/>
    <x v="1"/>
    <s v="I"/>
    <s v="B"/>
    <x v="1"/>
    <n v="117"/>
    <n v="111"/>
    <n v="32.362000000000002"/>
    <n v="0.99399999999999999"/>
    <n v="1.0309999999999999"/>
    <s v="F30"/>
    <x v="0"/>
    <n v="30"/>
    <n v="2.722"/>
    <n v="2.6739999999999999"/>
    <s v="veg: 0.023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2.3E-2"/>
    <n v="2.3E-2"/>
    <s v="19/4/2021"/>
    <s v="19"/>
    <s v="4"/>
    <s v="2021"/>
    <x v="10"/>
    <n v="109"/>
    <x v="7"/>
    <m/>
    <n v="3.2906705818518391"/>
    <n v="3.1688344809997444"/>
    <n v="3.276527013218182E-2"/>
    <n v="9.0070061977903517"/>
    <n v="0.14832210617390779"/>
    <n v="0.21939311538223849"/>
    <s v="A"/>
    <n v="2"/>
    <m/>
    <m/>
    <m/>
    <m/>
    <m/>
    <m/>
    <m/>
    <m/>
    <m/>
  </r>
  <r>
    <x v="187"/>
    <x v="1"/>
    <s v="I"/>
    <s v="B"/>
    <x v="1"/>
    <n v="130"/>
    <n v="121"/>
    <n v="41.423000000000002"/>
    <n v="1.2589999999999999"/>
    <n v="0.85499999999999998"/>
    <s v="F30"/>
    <x v="0"/>
    <n v="30"/>
    <n v="2.9950000000000001"/>
    <n v="2.8530000000000002"/>
    <s v="1 snail: 0.096"/>
    <s v="F"/>
    <m/>
    <m/>
    <m/>
    <m/>
    <m/>
    <m/>
    <m/>
    <m/>
    <m/>
    <m/>
    <m/>
    <m/>
    <m/>
    <m/>
    <m/>
    <m/>
    <m/>
    <m/>
    <n v="1"/>
    <n v="9.6000000000000002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9.6000000000000002E-2"/>
    <s v="19/4/2021"/>
    <s v="19"/>
    <s v="4"/>
    <s v="2021"/>
    <x v="10"/>
    <n v="109"/>
    <x v="7"/>
    <m/>
    <n v="2.1075724709130346"/>
    <n v="3.1346479434319283"/>
    <n v="3.2028288687069112E-2"/>
    <n v="7.3969406274306451"/>
    <n v="0.34280472201433959"/>
    <n v="0.5745600270381187"/>
    <s v="A"/>
    <n v="2"/>
    <m/>
    <m/>
    <m/>
    <m/>
    <m/>
    <m/>
    <m/>
    <m/>
    <m/>
  </r>
  <r>
    <x v="188"/>
    <x v="1"/>
    <s v="I"/>
    <s v="I"/>
    <x v="0"/>
    <n v="101"/>
    <n v="92"/>
    <n v="19.696999999999999"/>
    <n v="0.47799999999999998"/>
    <n v="0.14099999999999999"/>
    <s v="M30"/>
    <x v="2"/>
    <n v="30"/>
    <n v="1.2350000000000001"/>
    <n v="1.2270000000000001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9/4/2021"/>
    <s v="19"/>
    <s v="4"/>
    <s v="2021"/>
    <x v="10"/>
    <n v="109"/>
    <x v="7"/>
    <m/>
    <n v="0.72100634076498249"/>
    <n v="2.487122118736667"/>
    <n v="2.5055037215641052E-2"/>
    <n v="6.6432051976177586"/>
    <n v="4.0615322130273683E-2"/>
    <n v="4.0615322130273683E-2"/>
    <s v="A"/>
    <n v="1"/>
    <m/>
    <m/>
    <m/>
    <m/>
    <m/>
    <m/>
    <m/>
    <m/>
    <m/>
  </r>
  <r>
    <x v="189"/>
    <x v="1"/>
    <s v="I"/>
    <s v="I"/>
    <x v="0"/>
    <n v="101"/>
    <n v="95"/>
    <n v="19.832000000000001"/>
    <n v="0.44800000000000001"/>
    <n v="8.8999999999999996E-2"/>
    <s v="M30"/>
    <x v="2"/>
    <n v="30"/>
    <n v="1.5840000000000001"/>
    <n v="1.5549999999999999"/>
    <s v="1 mussel: 0.006"/>
    <s v="F"/>
    <m/>
    <m/>
    <m/>
    <m/>
    <m/>
    <m/>
    <m/>
    <m/>
    <m/>
    <m/>
    <m/>
    <m/>
    <m/>
    <m/>
    <m/>
    <m/>
    <n v="1"/>
    <n v="6.0000000000000001E-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.0000000000000001E-3"/>
    <s v="19/4/2021"/>
    <s v="19"/>
    <s v="4"/>
    <s v="2021"/>
    <x v="10"/>
    <n v="109"/>
    <x v="7"/>
    <m/>
    <n v="0.45079268601529654"/>
    <n v="2.3111844820470488"/>
    <n v="2.321845037574501E-2"/>
    <n v="8.5079608250807013"/>
    <n v="0.14622831787010959"/>
    <n v="0.17648245260185627"/>
    <s v="A"/>
    <n v="1"/>
    <m/>
    <m/>
    <m/>
    <m/>
    <m/>
    <m/>
    <m/>
    <m/>
    <m/>
  </r>
  <r>
    <x v="190"/>
    <x v="1"/>
    <s v="I"/>
    <s v="I"/>
    <x v="0"/>
    <n v="100"/>
    <n v="94"/>
    <n v="18.204999999999998"/>
    <n v="0.373"/>
    <n v="0.11600000000000001"/>
    <s v="M30"/>
    <x v="2"/>
    <n v="30"/>
    <n v="1.137"/>
    <n v="1.1140000000000001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9/4/2021"/>
    <s v="19"/>
    <s v="4"/>
    <s v="2021"/>
    <x v="10"/>
    <n v="109"/>
    <x v="7"/>
    <m/>
    <n v="0.64127370224998625"/>
    <n v="2.0917451772095115"/>
    <n v="2.1054414088959136E-2"/>
    <n v="6.5180504359019382"/>
    <n v="0.12633891787970289"/>
    <n v="0.12633891787970289"/>
    <s v="A"/>
    <n v="1"/>
    <m/>
    <m/>
    <m/>
    <m/>
    <m/>
    <m/>
    <m/>
    <m/>
    <m/>
  </r>
  <r>
    <x v="191"/>
    <x v="1"/>
    <s v="I"/>
    <s v="I"/>
    <x v="0"/>
    <n v="95"/>
    <n v="89"/>
    <n v="15.814"/>
    <n v="0.35499999999999998"/>
    <n v="9.7000000000000003E-2"/>
    <s v="M30"/>
    <x v="2"/>
    <n v="30"/>
    <n v="1.232"/>
    <n v="1.127"/>
    <s v="4 snail: 0.034; 3 mayfly: 0.015"/>
    <s v="F"/>
    <m/>
    <m/>
    <m/>
    <m/>
    <m/>
    <m/>
    <m/>
    <m/>
    <m/>
    <m/>
    <m/>
    <m/>
    <m/>
    <m/>
    <m/>
    <m/>
    <m/>
    <m/>
    <n v="4"/>
    <n v="3.4000000000000002E-2"/>
    <m/>
    <m/>
    <m/>
    <m/>
    <m/>
    <m/>
    <m/>
    <m/>
    <m/>
    <m/>
    <m/>
    <m/>
    <m/>
    <m/>
    <m/>
    <m/>
    <m/>
    <m/>
    <n v="3"/>
    <n v="1.4999999999999999E-2"/>
    <m/>
    <m/>
    <m/>
    <m/>
    <m/>
    <m/>
    <m/>
    <m/>
    <m/>
    <m/>
    <m/>
    <m/>
    <m/>
    <m/>
    <m/>
    <m/>
    <n v="4.9000000000000002E-2"/>
    <s v="19/4/2021"/>
    <s v="19"/>
    <s v="4"/>
    <s v="2021"/>
    <x v="10"/>
    <n v="109"/>
    <x v="7"/>
    <m/>
    <n v="0.61716612585098929"/>
    <n v="2.296396920887509"/>
    <n v="2.3108970186173673E-2"/>
    <n v="7.673452713283857"/>
    <n v="0.66396863538636641"/>
    <n v="0.97382066523333743"/>
    <s v="A"/>
    <n v="1"/>
    <m/>
    <m/>
    <m/>
    <m/>
    <m/>
    <m/>
    <m/>
    <m/>
    <m/>
  </r>
  <r>
    <x v="192"/>
    <x v="1"/>
    <s v="I"/>
    <s v="I"/>
    <x v="0"/>
    <n v="90"/>
    <n v="84"/>
    <n v="12.955"/>
    <n v="0.49"/>
    <n v="0.39500000000000002"/>
    <s v="F30"/>
    <x v="0"/>
    <n v="30"/>
    <n v="0.92900000000000005"/>
    <n v="0.70499999999999996"/>
    <s v="9 chiro: 0.003; 9 mayfly: 0.082; 1 damsel: 0.008"/>
    <s v="F"/>
    <m/>
    <m/>
    <m/>
    <m/>
    <m/>
    <m/>
    <m/>
    <m/>
    <m/>
    <m/>
    <m/>
    <m/>
    <m/>
    <m/>
    <m/>
    <m/>
    <m/>
    <m/>
    <m/>
    <m/>
    <m/>
    <m/>
    <m/>
    <m/>
    <m/>
    <m/>
    <n v="1"/>
    <n v="8.0000000000000002E-3"/>
    <m/>
    <m/>
    <n v="9"/>
    <n v="3.0000000000000001E-3"/>
    <m/>
    <m/>
    <m/>
    <m/>
    <m/>
    <m/>
    <n v="9"/>
    <n v="8.2000000000000003E-2"/>
    <m/>
    <m/>
    <m/>
    <m/>
    <m/>
    <m/>
    <m/>
    <m/>
    <m/>
    <m/>
    <m/>
    <m/>
    <m/>
    <m/>
    <m/>
    <m/>
    <n v="9.2999999999999999E-2"/>
    <s v="19/4/2021"/>
    <s v="19"/>
    <s v="4"/>
    <s v="2021"/>
    <x v="10"/>
    <n v="109"/>
    <x v="7"/>
    <m/>
    <n v="3.144904458598726"/>
    <n v="3.9310068190934619"/>
    <n v="4.059652029826015E-2"/>
    <n v="5.7551020408163263"/>
    <n v="1.7290621381705913"/>
    <n v="2.4469316866074879"/>
    <s v="A"/>
    <n v="1"/>
    <n v="2"/>
    <n v="4"/>
    <n v="2"/>
    <n v="1"/>
    <n v="5.6000000000000001E-2"/>
    <n v="5.0264787721030428"/>
    <n v="5.6989999999999998"/>
    <n v="82.414907810449932"/>
    <n v="107.99849900020963"/>
  </r>
  <r>
    <x v="193"/>
    <x v="1"/>
    <s v="I"/>
    <s v="B"/>
    <x v="1"/>
    <n v="140"/>
    <n v="132"/>
    <n v="53.738999999999997"/>
    <n v="1.218"/>
    <n v="0.29299999999999998"/>
    <s v="M30"/>
    <x v="2"/>
    <n v="30"/>
    <n v="3.5619999999999998"/>
    <n v="3.2559999999999998"/>
    <s v="1 pupa: 0.095; 1 snail: 0.04"/>
    <s v="F"/>
    <m/>
    <m/>
    <n v="1"/>
    <n v="9.5000000000000001E-2"/>
    <m/>
    <m/>
    <m/>
    <m/>
    <m/>
    <m/>
    <m/>
    <m/>
    <m/>
    <m/>
    <m/>
    <m/>
    <m/>
    <m/>
    <n v="1"/>
    <n v="0.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13500000000000001"/>
    <s v="19/4/2021"/>
    <s v="19"/>
    <s v="4"/>
    <s v="2021"/>
    <x v="10"/>
    <n v="109"/>
    <x v="7"/>
    <m/>
    <n v="0.54821689181603861"/>
    <n v="2.319072371051579"/>
    <n v="2.3320824079038061E-2"/>
    <n v="6.4496959372462008"/>
    <n v="0.5694188578127618"/>
    <n v="0.82063305978898016"/>
    <s v="A"/>
    <n v="2"/>
    <m/>
    <m/>
    <m/>
    <m/>
    <m/>
    <m/>
    <m/>
    <m/>
    <m/>
  </r>
  <r>
    <x v="194"/>
    <x v="1"/>
    <s v="I"/>
    <s v="B"/>
    <x v="1"/>
    <n v="126"/>
    <n v="121"/>
    <n v="42.134"/>
    <n v="0.94099999999999995"/>
    <n v="0.245"/>
    <s v="M30"/>
    <x v="2"/>
    <n v="30"/>
    <n v="3.8879999999999999"/>
    <n v="2.7290000000000001"/>
    <s v="1 leech: 0.5; 3 worm: 0.445; veg: 0.041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0.5"/>
    <n v="3"/>
    <n v="0.44500000000000001"/>
    <m/>
    <m/>
    <m/>
    <m/>
    <m/>
    <m/>
    <m/>
    <m/>
    <m/>
    <m/>
    <n v="1"/>
    <n v="4.1000000000000002E-2"/>
    <n v="0.9860000000000001"/>
    <s v="20/4/2021"/>
    <s v="20"/>
    <s v="4"/>
    <s v="2021"/>
    <x v="11"/>
    <n v="110"/>
    <x v="7"/>
    <m/>
    <n v="0.58487908520136545"/>
    <n v="2.2843687034204843"/>
    <n v="2.2980365341408616E-2"/>
    <n v="6.9255170663621373"/>
    <n v="2.7507476147529308"/>
    <n v="5.0909004604357522"/>
    <s v="T"/>
    <n v="3"/>
    <m/>
    <m/>
    <m/>
    <m/>
    <m/>
    <m/>
    <m/>
    <m/>
    <m/>
  </r>
  <r>
    <x v="195"/>
    <x v="1"/>
    <s v="I"/>
    <s v="I"/>
    <x v="0"/>
    <n v="90"/>
    <n v="86"/>
    <n v="12.750999999999999"/>
    <n v="0.56899999999999995"/>
    <n v="0.48799999999999999"/>
    <s v="F30"/>
    <x v="0"/>
    <n v="30"/>
    <n v="0.86599999999999999"/>
    <n v="0.85399999999999998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0/4/2021"/>
    <s v="20"/>
    <s v="4"/>
    <s v="2021"/>
    <x v="11"/>
    <n v="110"/>
    <x v="7"/>
    <m/>
    <n v="3.9794503791894318"/>
    <n v="4.6708258085700214"/>
    <n v="4.865743116127929E-2"/>
    <n v="7.1782802387156428"/>
    <n v="9.4110265861501147E-2"/>
    <n v="9.4110265861501147E-2"/>
    <s v="T"/>
    <n v="1"/>
    <n v="2"/>
    <n v="5"/>
    <n v="1"/>
    <n v="0"/>
    <n v="7.2400000000000006E-2"/>
    <n v="6.6863686738086452"/>
    <n v="6.2510000000000003"/>
    <n v="79.051486052309428"/>
    <n v="107.74835686401342"/>
  </r>
  <r>
    <x v="196"/>
    <x v="1"/>
    <s v="I"/>
    <s v="I"/>
    <x v="0"/>
    <n v="98"/>
    <n v="94"/>
    <n v="16.690999999999999"/>
    <n v="0.40400000000000003"/>
    <n v="0.09"/>
    <s v="M23"/>
    <x v="2"/>
    <n v="23"/>
    <n v="0.89200000000000002"/>
    <n v="0.871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0/4/2021"/>
    <s v="20"/>
    <s v="4"/>
    <s v="2021"/>
    <x v="11"/>
    <n v="110"/>
    <x v="7"/>
    <m/>
    <n v="0.54213601590265648"/>
    <n v="2.4805059249708359"/>
    <n v="2.4942890658763973E-2"/>
    <n v="5.5056890012642228"/>
    <n v="0.12581630819004266"/>
    <n v="0.12581630819004266"/>
    <s v="T"/>
    <n v="1"/>
    <m/>
    <m/>
    <m/>
    <m/>
    <m/>
    <m/>
    <m/>
    <m/>
    <m/>
  </r>
  <r>
    <x v="197"/>
    <x v="1"/>
    <s v="I"/>
    <s v="S"/>
    <x v="0"/>
    <n v="79"/>
    <n v="75"/>
    <n v="9.2509999999999994"/>
    <n v="0.40300000000000002"/>
    <n v="0.32"/>
    <s v="F30"/>
    <x v="0"/>
    <n v="30"/>
    <n v="0.60099999999999998"/>
    <n v="0.505"/>
    <s v="inverts: 0.072"/>
    <s v="F"/>
    <m/>
    <m/>
    <m/>
    <n v="7.1999999999999995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.1999999999999995E-2"/>
    <s v="20/4/2021"/>
    <s v="20"/>
    <s v="4"/>
    <s v="2021"/>
    <x v="11"/>
    <n v="110"/>
    <x v="7"/>
    <m/>
    <n v="3.583025417086553"/>
    <n v="4.5547016274864385"/>
    <n v="4.7256097560975617E-2"/>
    <n v="5.7740681454379157"/>
    <n v="1.0377256512809423"/>
    <n v="1.8160198897416495"/>
    <s v="T"/>
    <n v="2"/>
    <n v="0"/>
    <n v="6"/>
    <n v="6"/>
    <n v="1"/>
    <n v="3.3500000000000002E-2"/>
    <n v="4.2260628232622688"/>
    <n v="7.6630000000000003"/>
    <n v="71.082066932693238"/>
    <n v="114.45651579796218"/>
  </r>
  <r>
    <x v="198"/>
    <x v="1"/>
    <s v="I"/>
    <s v="S"/>
    <x v="0"/>
    <n v="76"/>
    <n v="73"/>
    <n v="7.8140000000000001"/>
    <n v="0.251"/>
    <n v="4.9000000000000002E-2"/>
    <s v="M30"/>
    <x v="2"/>
    <n v="30"/>
    <n v="0.48599999999999999"/>
    <n v="0.41799999999999998"/>
    <s v="16 chiro: 0.046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6"/>
    <n v="4.5999999999999999E-2"/>
    <m/>
    <m/>
    <m/>
    <m/>
    <m/>
    <m/>
    <m/>
    <m/>
    <m/>
    <m/>
    <m/>
    <m/>
    <m/>
    <m/>
    <m/>
    <m/>
    <m/>
    <m/>
    <m/>
    <m/>
    <m/>
    <m/>
    <m/>
    <m/>
    <n v="4.5999999999999999E-2"/>
    <s v="20/4/2021"/>
    <s v="20"/>
    <s v="4"/>
    <s v="2021"/>
    <x v="11"/>
    <n v="110"/>
    <x v="7"/>
    <m/>
    <n v="0.63103670315518356"/>
    <n v="3.3187888404072461"/>
    <n v="3.3404311951024758E-2"/>
    <n v="5.6517036235803131"/>
    <n v="0.87023291528026625"/>
    <n v="1.4589198873816227"/>
    <s v="T"/>
    <n v="2"/>
    <m/>
    <m/>
    <m/>
    <m/>
    <m/>
    <m/>
    <m/>
    <m/>
    <m/>
  </r>
  <r>
    <x v="199"/>
    <x v="1"/>
    <s v="I"/>
    <s v="S"/>
    <x v="0"/>
    <n v="73"/>
    <n v="70"/>
    <n v="6.8689999999999998"/>
    <n v="0.24"/>
    <n v="5.7000000000000002E-2"/>
    <s v="M30"/>
    <x v="2"/>
    <n v="30"/>
    <n v="0.42199999999999999"/>
    <n v="0.38400000000000001"/>
    <s v="zoops: 0.015"/>
    <s v="F"/>
    <m/>
    <m/>
    <m/>
    <m/>
    <m/>
    <m/>
    <m/>
    <m/>
    <m/>
    <m/>
    <m/>
    <m/>
    <m/>
    <m/>
    <m/>
    <m/>
    <m/>
    <m/>
    <m/>
    <m/>
    <m/>
    <m/>
    <m/>
    <n v="1.4999999999999999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.4999999999999999E-2"/>
    <s v="20/4/2021"/>
    <s v="20"/>
    <s v="4"/>
    <s v="2021"/>
    <x v="11"/>
    <n v="110"/>
    <x v="7"/>
    <m/>
    <n v="0.83675866118614228"/>
    <n v="3.6204555739930608"/>
    <n v="3.6518563603164945E-2"/>
    <n v="5.92135697764071"/>
    <n v="0.55321007424661495"/>
    <n v="0.77158247197554197"/>
    <s v="T"/>
    <n v="1"/>
    <m/>
    <m/>
    <m/>
    <m/>
    <m/>
    <m/>
    <m/>
    <m/>
    <m/>
  </r>
  <r>
    <x v="200"/>
    <x v="1"/>
    <s v="I"/>
    <s v="S"/>
    <x v="0"/>
    <n v="72"/>
    <n v="68"/>
    <n v="6.8659999999999997"/>
    <n v="0.19500000000000001"/>
    <n v="5.3999999999999999E-2"/>
    <s v="M30"/>
    <x v="2"/>
    <n v="30"/>
    <n v="0.443"/>
    <n v="0.434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0/4/2021"/>
    <s v="20"/>
    <s v="4"/>
    <s v="2021"/>
    <x v="11"/>
    <n v="110"/>
    <x v="7"/>
    <m/>
    <n v="0.79271873165002937"/>
    <n v="2.9230999850097441"/>
    <n v="2.9469548133595289E-2"/>
    <n v="6.7475124378109461"/>
    <n v="0.13108068744538318"/>
    <n v="0.13108068744538318"/>
    <s v="T"/>
    <n v="2"/>
    <m/>
    <m/>
    <m/>
    <m/>
    <m/>
    <m/>
    <m/>
    <m/>
    <m/>
  </r>
  <r>
    <x v="201"/>
    <x v="1"/>
    <s v="I"/>
    <s v="S"/>
    <x v="0"/>
    <n v="78"/>
    <n v="74"/>
    <n v="8.1029999999999998"/>
    <n v="0.20300000000000001"/>
    <n v="7.1999999999999995E-2"/>
    <s v="M30"/>
    <x v="2"/>
    <n v="30"/>
    <n v="0.52600000000000002"/>
    <n v="0.36199999999999999"/>
    <s v="zoops (chaoborous): 0.117"/>
    <s v="F"/>
    <m/>
    <m/>
    <m/>
    <m/>
    <m/>
    <m/>
    <m/>
    <m/>
    <m/>
    <m/>
    <m/>
    <m/>
    <m/>
    <m/>
    <m/>
    <m/>
    <m/>
    <m/>
    <m/>
    <m/>
    <m/>
    <m/>
    <m/>
    <m/>
    <m/>
    <m/>
    <m/>
    <m/>
    <n v="200"/>
    <n v="0.11700000000000001"/>
    <m/>
    <m/>
    <m/>
    <m/>
    <m/>
    <m/>
    <m/>
    <m/>
    <m/>
    <m/>
    <m/>
    <m/>
    <m/>
    <m/>
    <m/>
    <m/>
    <m/>
    <m/>
    <m/>
    <m/>
    <m/>
    <m/>
    <m/>
    <m/>
    <m/>
    <m/>
    <n v="0.11700000000000001"/>
    <s v="20/4/2021"/>
    <s v="20"/>
    <s v="4"/>
    <s v="2021"/>
    <x v="11"/>
    <n v="110"/>
    <x v="7"/>
    <m/>
    <n v="0.89652596189764655"/>
    <n v="2.5696202531645573"/>
    <n v="2.5932549821154834E-2"/>
    <n v="4.6763983981397752"/>
    <n v="2.0239417499691479"/>
    <n v="3.4678514130568932"/>
    <s v="T"/>
    <n v="1"/>
    <m/>
    <m/>
    <m/>
    <m/>
    <m/>
    <m/>
    <m/>
    <m/>
    <m/>
  </r>
  <r>
    <x v="202"/>
    <x v="1"/>
    <s v="S"/>
    <s v="IMM"/>
    <x v="1"/>
    <n v="52"/>
    <n v="48"/>
    <n v="1.9390000000000001"/>
    <n v="5.3999999999999999E-2"/>
    <n v="2.5999999999999999E-2"/>
    <s v="M30"/>
    <x v="2"/>
    <n v="30"/>
    <n v="0.13100000000000001"/>
    <n v="7.9000000000000001E-2"/>
    <s v="1 worm: 0.035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3.5000000000000003E-2"/>
    <m/>
    <m/>
    <m/>
    <m/>
    <m/>
    <m/>
    <m/>
    <m/>
    <m/>
    <m/>
    <m/>
    <m/>
    <n v="3.5000000000000003E-2"/>
    <s v="20/4/2021"/>
    <s v="20"/>
    <s v="4"/>
    <s v="2021"/>
    <x v="11"/>
    <n v="110"/>
    <x v="7"/>
    <m/>
    <n v="1.3591217982226869"/>
    <n v="2.8647214854111405"/>
    <n v="2.9047875201721356E-2"/>
    <n v="4.247311827956989"/>
    <n v="2.6817947395564725"/>
    <n v="4.4868488911810216"/>
    <s v="T"/>
    <n v="1"/>
    <m/>
    <m/>
    <m/>
    <m/>
    <m/>
    <m/>
    <m/>
    <m/>
    <m/>
  </r>
  <r>
    <x v="203"/>
    <x v="1"/>
    <s v="S"/>
    <s v="IMM"/>
    <x v="1"/>
    <n v="49"/>
    <n v="47"/>
    <n v="2.0270000000000001"/>
    <n v="7.0999999999999994E-2"/>
    <n v="3.6999999999999998E-2"/>
    <s v="M30"/>
    <x v="2"/>
    <n v="30"/>
    <n v="0.14899999999999999"/>
    <n v="0.09"/>
    <s v="inverts: 0.043"/>
    <s v="F"/>
    <m/>
    <m/>
    <m/>
    <n v="4.2999999999999997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.2999999999999997E-2"/>
    <s v="20/4/2021"/>
    <s v="20"/>
    <s v="4"/>
    <s v="2021"/>
    <x v="11"/>
    <n v="110"/>
    <x v="7"/>
    <m/>
    <n v="1.8592964824120601"/>
    <n v="3.629856850715746"/>
    <n v="3.6998436685773829E-2"/>
    <n v="4.6463603510583376"/>
    <n v="2.910705476073014"/>
    <n v="5.0320670942279229"/>
    <s v="T"/>
    <n v="2"/>
    <m/>
    <m/>
    <m/>
    <m/>
    <m/>
    <m/>
    <m/>
    <m/>
    <m/>
  </r>
  <r>
    <x v="204"/>
    <x v="1"/>
    <s v="S"/>
    <s v="IMM"/>
    <x v="1"/>
    <n v="51"/>
    <n v="47"/>
    <n v="1.9730000000000001"/>
    <n v="6.5000000000000002E-2"/>
    <n v="3.2000000000000001E-2"/>
    <s v="M30"/>
    <x v="2"/>
    <n v="30"/>
    <n v="0.121"/>
    <n v="8.7999999999999995E-2"/>
    <s v="zoops: 0.017"/>
    <s v="F"/>
    <m/>
    <m/>
    <m/>
    <m/>
    <m/>
    <m/>
    <m/>
    <m/>
    <m/>
    <m/>
    <m/>
    <m/>
    <m/>
    <m/>
    <m/>
    <m/>
    <m/>
    <m/>
    <m/>
    <m/>
    <m/>
    <m/>
    <m/>
    <n v="1.7000000000000001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.7000000000000001E-2"/>
    <s v="20/4/2021"/>
    <s v="20"/>
    <s v="4"/>
    <s v="2021"/>
    <x v="11"/>
    <n v="110"/>
    <x v="7"/>
    <m/>
    <n v="1.6486347243688821"/>
    <n v="3.4067085953878404"/>
    <n v="3.4648187633262259E-2"/>
    <n v="4.6684350132625996"/>
    <n v="1.6725798276735937"/>
    <n v="2.5342118601115056"/>
    <s v="T"/>
    <n v="1"/>
    <m/>
    <m/>
    <m/>
    <m/>
    <m/>
    <m/>
    <m/>
    <m/>
    <m/>
  </r>
  <r>
    <x v="205"/>
    <x v="1"/>
    <s v="S"/>
    <s v="IMM"/>
    <x v="1"/>
    <n v="48"/>
    <n v="45"/>
    <n v="1.621"/>
    <n v="3.7999999999999999E-2"/>
    <n v="3.7999999999999999E-2"/>
    <s v="F23"/>
    <x v="0"/>
    <n v="23"/>
    <n v="0.11799999999999999"/>
    <n v="6.9000000000000006E-2"/>
    <s v="8 chiro: 0.037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"/>
    <n v="3.6999999999999998E-2"/>
    <m/>
    <m/>
    <m/>
    <m/>
    <m/>
    <m/>
    <m/>
    <m/>
    <m/>
    <m/>
    <m/>
    <m/>
    <m/>
    <m/>
    <m/>
    <m/>
    <m/>
    <m/>
    <m/>
    <m/>
    <m/>
    <m/>
    <m/>
    <m/>
    <n v="3.6999999999999998E-2"/>
    <s v="20/4/2021"/>
    <s v="20"/>
    <s v="4"/>
    <s v="2021"/>
    <x v="11"/>
    <n v="110"/>
    <x v="7"/>
    <m/>
    <n v="2.4005053695514844"/>
    <n v="2.4005053695514844"/>
    <n v="2.459546925566343E-2"/>
    <n v="4.445876288659794"/>
    <n v="3.0228254164096229"/>
    <n v="5.305367057371992"/>
    <s v="T"/>
    <n v="1"/>
    <m/>
    <m/>
    <m/>
    <m/>
    <m/>
    <m/>
    <m/>
    <m/>
    <m/>
  </r>
  <r>
    <x v="206"/>
    <x v="1"/>
    <s v="S"/>
    <s v="IMM"/>
    <x v="1"/>
    <n v="46"/>
    <n v="44"/>
    <n v="1.528"/>
    <n v="3.3000000000000002E-2"/>
    <n v="2.4E-2"/>
    <s v="F20"/>
    <x v="0"/>
    <n v="20"/>
    <n v="0.106"/>
    <n v="7.0000000000000007E-2"/>
    <s v="zoops: 0.018"/>
    <s v="F"/>
    <m/>
    <m/>
    <m/>
    <m/>
    <m/>
    <m/>
    <m/>
    <m/>
    <m/>
    <m/>
    <m/>
    <m/>
    <m/>
    <m/>
    <m/>
    <m/>
    <m/>
    <m/>
    <m/>
    <m/>
    <m/>
    <m/>
    <m/>
    <n v="1.7999999999999999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.7999999999999999E-2"/>
    <s v="20/4/2021"/>
    <s v="20"/>
    <s v="4"/>
    <s v="2021"/>
    <x v="11"/>
    <n v="110"/>
    <x v="7"/>
    <m/>
    <n v="1.5957446808510638"/>
    <n v="2.2073578595317724"/>
    <n v="2.2433718558803536E-2"/>
    <n v="4.8010973936899868"/>
    <n v="2.3560209424083762"/>
    <n v="3.5340314136125652"/>
    <s v="T"/>
    <n v="1"/>
    <m/>
    <m/>
    <m/>
    <m/>
    <m/>
    <m/>
    <m/>
    <m/>
    <m/>
  </r>
  <r>
    <x v="207"/>
    <x v="1"/>
    <s v="I"/>
    <s v="S"/>
    <x v="0"/>
    <n v="81"/>
    <n v="77"/>
    <n v="10.888"/>
    <n v="0.40300000000000002"/>
    <n v="0.42899999999999999"/>
    <s v="F30"/>
    <x v="0"/>
    <n v="30"/>
    <n v="0.60299999999999998"/>
    <n v="0.51300000000000001"/>
    <s v="~20 chiro: 0.048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0"/>
    <n v="4.8000000000000001E-2"/>
    <m/>
    <m/>
    <m/>
    <m/>
    <m/>
    <m/>
    <m/>
    <m/>
    <m/>
    <m/>
    <m/>
    <m/>
    <m/>
    <m/>
    <m/>
    <m/>
    <m/>
    <m/>
    <m/>
    <m/>
    <m/>
    <m/>
    <m/>
    <m/>
    <n v="4.8000000000000001E-2"/>
    <s v="20/4/2021"/>
    <s v="20"/>
    <s v="4"/>
    <s v="2021"/>
    <x v="11"/>
    <n v="110"/>
    <x v="7"/>
    <m/>
    <n v="4.1017305669758111"/>
    <n v="3.8435860753457325"/>
    <n v="4.0075576770087516E-2"/>
    <n v="4.9445783132530119"/>
    <n v="0.82659808963997039"/>
    <n v="1.2674504041146213"/>
    <s v="T"/>
    <n v="1"/>
    <n v="0"/>
    <n v="1"/>
    <n v="0"/>
    <n v="0"/>
    <n v="3.5799999999999998E-2"/>
    <n v="3.7871575161324449"/>
    <n v="7.1779999999999999"/>
    <n v="78.324334937031409"/>
    <n v="112.32114219976508"/>
  </r>
  <r>
    <x v="208"/>
    <x v="1"/>
    <s v="I"/>
    <s v="I"/>
    <x v="0"/>
    <n v="96"/>
    <n v="91"/>
    <n v="16.22"/>
    <n v="0.67700000000000005"/>
    <n v="0.433"/>
    <s v="F30"/>
    <x v="0"/>
    <n v="30"/>
    <n v="1.0649999999999999"/>
    <n v="0.995"/>
    <s v="~10 chiro: 0.025; 2 snail: 0.005"/>
    <s v="F"/>
    <m/>
    <m/>
    <m/>
    <m/>
    <m/>
    <m/>
    <m/>
    <m/>
    <m/>
    <m/>
    <m/>
    <m/>
    <m/>
    <m/>
    <m/>
    <m/>
    <m/>
    <m/>
    <n v="2"/>
    <n v="5.0000000000000001E-3"/>
    <m/>
    <m/>
    <m/>
    <m/>
    <m/>
    <m/>
    <m/>
    <m/>
    <m/>
    <m/>
    <n v="10"/>
    <n v="2.5000000000000001E-2"/>
    <m/>
    <m/>
    <m/>
    <m/>
    <m/>
    <m/>
    <m/>
    <m/>
    <m/>
    <m/>
    <m/>
    <m/>
    <m/>
    <m/>
    <m/>
    <m/>
    <m/>
    <m/>
    <m/>
    <m/>
    <m/>
    <m/>
    <m/>
    <m/>
    <n v="0.03"/>
    <s v="20/4/2021"/>
    <s v="20"/>
    <s v="4"/>
    <s v="2021"/>
    <x v="11"/>
    <n v="110"/>
    <x v="7"/>
    <m/>
    <n v="2.7427630328751507"/>
    <n v="4.3556584957858853"/>
    <n v="4.4804765056254144E-2"/>
    <n v="6.5353037766830866"/>
    <n v="0.43156596794081353"/>
    <n v="0.61652281134401943"/>
    <s v="T"/>
    <n v="2"/>
    <n v="9"/>
    <n v="6"/>
    <n v="5"/>
    <n v="2"/>
    <n v="8.8800000000000004E-2"/>
    <n v="6.3225347098611611"/>
    <n v="5.9119999999999999"/>
    <n v="79.707142926034834"/>
    <n v="111.56833060279286"/>
  </r>
  <r>
    <x v="209"/>
    <x v="1"/>
    <s v="I"/>
    <s v="I"/>
    <x v="0"/>
    <n v="104"/>
    <n v="99"/>
    <n v="21.614000000000001"/>
    <n v="0.47899999999999998"/>
    <n v="0.11799999999999999"/>
    <s v="M30"/>
    <x v="2"/>
    <n v="30"/>
    <n v="1.3029999999999999"/>
    <n v="1.25"/>
    <s v="2 snail: 0.013"/>
    <s v="F"/>
    <m/>
    <m/>
    <m/>
    <m/>
    <m/>
    <m/>
    <m/>
    <m/>
    <m/>
    <m/>
    <m/>
    <m/>
    <m/>
    <m/>
    <m/>
    <m/>
    <m/>
    <m/>
    <n v="2"/>
    <n v="1.2999999999999999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.2999999999999999E-2"/>
    <s v="20/4/2021"/>
    <s v="20"/>
    <s v="4"/>
    <s v="2021"/>
    <x v="11"/>
    <n v="110"/>
    <x v="7"/>
    <m/>
    <n v="0.54893933755117219"/>
    <n v="2.266382777383487"/>
    <n v="2.2791073892563157E-2"/>
    <n v="6.1382832449420537"/>
    <n v="0.24521143703155329"/>
    <n v="0.30535763856759474"/>
    <s v="T"/>
    <n v="3"/>
    <m/>
    <m/>
    <m/>
    <m/>
    <m/>
    <m/>
    <m/>
    <m/>
    <m/>
  </r>
  <r>
    <x v="210"/>
    <x v="1"/>
    <s v="I"/>
    <s v="B"/>
    <x v="1"/>
    <n v="127"/>
    <n v="121"/>
    <n v="40.183"/>
    <n v="1.349"/>
    <n v="1.141"/>
    <s v="F30"/>
    <x v="0"/>
    <n v="30"/>
    <n v="3.96"/>
    <n v="2.9279999999999999"/>
    <s v="inverts: 0.739"/>
    <s v="F"/>
    <m/>
    <m/>
    <m/>
    <n v="0.73899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73899999999999999"/>
    <s v="20/4/2021"/>
    <s v="20"/>
    <s v="4"/>
    <s v="2021"/>
    <x v="11"/>
    <n v="110"/>
    <x v="7"/>
    <s v="gill parasites"/>
    <n v="2.922493724706726"/>
    <n v="3.4737601071226241"/>
    <n v="3.5789138566842647E-2"/>
    <n v="7.8593477385585819"/>
    <n v="2.5682502550829955"/>
    <n v="4.4073364358061866"/>
    <s v="T"/>
    <n v="3"/>
    <m/>
    <m/>
    <m/>
    <m/>
    <m/>
    <m/>
    <m/>
    <m/>
    <m/>
  </r>
  <r>
    <x v="211"/>
    <x v="1"/>
    <s v="I"/>
    <s v="B"/>
    <x v="1"/>
    <n v="141"/>
    <n v="135"/>
    <n v="58.624000000000002"/>
    <n v="1.244"/>
    <n v="0.23599999999999999"/>
    <s v="M30"/>
    <x v="2"/>
    <n v="30"/>
    <n v="3.9180000000000001"/>
    <n v="3.3639999999999999"/>
    <s v="3 pupa: 0.39; 1 snail: 0.009"/>
    <s v="F"/>
    <m/>
    <m/>
    <n v="3"/>
    <n v="0.39"/>
    <m/>
    <m/>
    <m/>
    <m/>
    <m/>
    <m/>
    <m/>
    <m/>
    <m/>
    <m/>
    <m/>
    <m/>
    <m/>
    <m/>
    <n v="1"/>
    <n v="8.9999999999999993E-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39900000000000002"/>
    <s v="20/4/2021"/>
    <s v="20"/>
    <s v="4"/>
    <s v="2021"/>
    <x v="11"/>
    <n v="110"/>
    <x v="7"/>
    <m/>
    <n v="0.40419264232376512"/>
    <n v="2.1680027884280237"/>
    <n v="2.1769564608707825E-2"/>
    <n v="6.0875859572927968"/>
    <n v="0.94500545851528428"/>
    <n v="1.6256140829694326"/>
    <s v="T"/>
    <n v="3"/>
    <m/>
    <m/>
    <m/>
    <m/>
    <m/>
    <m/>
    <m/>
    <m/>
    <m/>
  </r>
  <r>
    <x v="212"/>
    <x v="1"/>
    <s v="I"/>
    <s v="I"/>
    <x v="0"/>
    <n v="96"/>
    <n v="90"/>
    <n v="18.936"/>
    <n v="0.65300000000000002"/>
    <n v="0.77700000000000002"/>
    <s v="F30"/>
    <x v="0"/>
    <n v="30"/>
    <n v="2.2919999999999998"/>
    <n v="1.488"/>
    <s v="5 worms: 0.639; veg: 0.008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n v="0.63900000000000001"/>
    <m/>
    <m/>
    <m/>
    <m/>
    <m/>
    <m/>
    <m/>
    <m/>
    <m/>
    <m/>
    <n v="1"/>
    <n v="8.0000000000000002E-3"/>
    <n v="0.64700000000000002"/>
    <d v="2021-04-05T00:00:00"/>
    <n v="4"/>
    <n v="5"/>
    <n v="2021"/>
    <x v="12"/>
    <n v="124"/>
    <x v="8"/>
    <s v="1 tapeworm"/>
    <n v="4.278869981827194"/>
    <n v="3.5716239129245744"/>
    <n v="3.7301496629726955E-2"/>
    <n v="8.5281980742778547"/>
    <n v="4.2458808618504431"/>
    <n v="7.6626531474440203"/>
    <s v="T"/>
    <n v="2"/>
    <m/>
    <m/>
    <m/>
    <m/>
    <n v="2.0799999999999999E-2"/>
    <n v="1.3671618246352042"/>
    <m/>
    <m/>
    <m/>
  </r>
  <r>
    <x v="213"/>
    <x v="1"/>
    <s v="I"/>
    <s v="I"/>
    <x v="0"/>
    <n v="88"/>
    <n v="84"/>
    <n v="13.808"/>
    <n v="0.60099999999999998"/>
    <n v="0.39400000000000002"/>
    <s v="F30"/>
    <x v="0"/>
    <n v="30"/>
    <n v="1.5609999999999999"/>
    <n v="0.88100000000000001"/>
    <s v="5 worms: 0.513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n v="0.51300000000000001"/>
    <m/>
    <m/>
    <m/>
    <m/>
    <m/>
    <m/>
    <m/>
    <m/>
    <m/>
    <m/>
    <m/>
    <m/>
    <n v="0.51300000000000001"/>
    <d v="2021-04-05T00:00:00"/>
    <n v="4"/>
    <n v="5"/>
    <n v="2021"/>
    <x v="12"/>
    <n v="124"/>
    <x v="8"/>
    <m/>
    <n v="2.937229759952289"/>
    <n v="4.5506170969940181"/>
    <n v="4.6905486615156478E-2"/>
    <n v="6.8151930068848152"/>
    <n v="4.9246813441483202"/>
    <n v="8.6399188876013913"/>
    <s v="T"/>
    <n v="3"/>
    <m/>
    <m/>
    <m/>
    <m/>
    <m/>
    <m/>
    <m/>
    <m/>
    <m/>
  </r>
  <r>
    <x v="214"/>
    <x v="1"/>
    <s v="I"/>
    <s v="I"/>
    <x v="0"/>
    <n v="94"/>
    <n v="89"/>
    <n v="16.321000000000002"/>
    <n v="0.59799999999999998"/>
    <n v="0.753"/>
    <s v="F30"/>
    <x v="0"/>
    <n v="30"/>
    <n v="1.3320000000000001"/>
    <n v="1.052"/>
    <s v="2 worms: 0.218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0.218"/>
    <m/>
    <m/>
    <m/>
    <m/>
    <m/>
    <m/>
    <m/>
    <m/>
    <m/>
    <m/>
    <m/>
    <m/>
    <n v="0.218"/>
    <d v="2021-04-05T00:00:00"/>
    <n v="4"/>
    <n v="5"/>
    <n v="2021"/>
    <x v="12"/>
    <n v="124"/>
    <x v="8"/>
    <m/>
    <n v="4.8368448098663919"/>
    <n v="3.8033454175411809"/>
    <n v="3.9946559786239143E-2"/>
    <n v="6.8897766716877333"/>
    <n v="1.7155811531156178"/>
    <n v="3.051283622327063"/>
    <s v="T"/>
    <n v="1"/>
    <m/>
    <m/>
    <m/>
    <m/>
    <n v="0.1033"/>
    <n v="7.5744244024050449"/>
    <m/>
    <m/>
    <m/>
  </r>
  <r>
    <x v="215"/>
    <x v="1"/>
    <s v="I"/>
    <s v="I"/>
    <x v="0"/>
    <n v="91"/>
    <n v="95"/>
    <n v="14.814"/>
    <n v="0.628"/>
    <n v="0.68899999999999995"/>
    <s v="F30"/>
    <x v="0"/>
    <n v="30"/>
    <n v="1.2150000000000001"/>
    <n v="0.96099999999999997"/>
    <s v="1 caddis: 0.156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0.156"/>
    <m/>
    <m/>
    <m/>
    <m/>
    <m/>
    <m/>
    <m/>
    <m/>
    <m/>
    <m/>
    <m/>
    <m/>
    <m/>
    <m/>
    <m/>
    <m/>
    <m/>
    <m/>
    <n v="0.156"/>
    <d v="2021-04-05T00:00:00"/>
    <n v="4"/>
    <n v="5"/>
    <n v="2021"/>
    <x v="12"/>
    <n v="124"/>
    <x v="8"/>
    <m/>
    <n v="4.8778761061946891"/>
    <n v="4.4268997603270837"/>
    <n v="4.6528858264799584E-2"/>
    <n v="6.9371255323756582"/>
    <n v="1.7145943026866486"/>
    <n v="2.767652220872149"/>
    <s v="T"/>
    <n v="2"/>
    <m/>
    <m/>
    <m/>
    <m/>
    <n v="3.5099999999999999E-2"/>
    <n v="2.8578407425500729"/>
    <m/>
    <m/>
    <m/>
  </r>
  <r>
    <x v="216"/>
    <x v="1"/>
    <s v="I"/>
    <s v="I"/>
    <x v="0"/>
    <n v="91"/>
    <n v="86"/>
    <n v="14.544"/>
    <n v="0.52400000000000002"/>
    <n v="0.56000000000000005"/>
    <s v="F30"/>
    <x v="0"/>
    <n v="30"/>
    <n v="1.64"/>
    <n v="1.0129999999999999"/>
    <s v="1 worm: 0.456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0.45600000000000002"/>
    <m/>
    <m/>
    <m/>
    <m/>
    <m/>
    <m/>
    <m/>
    <m/>
    <m/>
    <m/>
    <m/>
    <m/>
    <n v="0.45600000000000002"/>
    <d v="2021-04-05T00:00:00"/>
    <n v="4"/>
    <n v="5"/>
    <n v="2021"/>
    <x v="12"/>
    <n v="124"/>
    <x v="8"/>
    <s v="branch"/>
    <n v="4.0045766590389018"/>
    <n v="3.7375178316690447"/>
    <n v="3.8930163447251122E-2"/>
    <n v="7.4865124528859646"/>
    <n v="4.311056105610561"/>
    <n v="7.4463696369636958"/>
    <s v="T"/>
    <n v="2"/>
    <m/>
    <m/>
    <m/>
    <m/>
    <m/>
    <m/>
    <m/>
    <m/>
    <m/>
  </r>
  <r>
    <x v="217"/>
    <x v="1"/>
    <s v="I"/>
    <s v="B"/>
    <x v="1"/>
    <n v="119"/>
    <n v="113"/>
    <n v="35.090000000000003"/>
    <n v="1.2849999999999999"/>
    <n v="2.464"/>
    <s v="F30"/>
    <x v="0"/>
    <n v="30"/>
    <n v="2.3959999999999999"/>
    <n v="2.3570000000000002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1-04-05T00:00:00"/>
    <n v="4"/>
    <n v="5"/>
    <n v="2021"/>
    <x v="12"/>
    <n v="124"/>
    <x v="8"/>
    <s v="branch"/>
    <n v="7.5522589345920421"/>
    <n v="3.8012128383375234"/>
    <n v="4.1000606234644701E-2"/>
    <n v="7.2006843246876242"/>
    <n v="0.11114277571957737"/>
    <n v="0.11114277571957737"/>
    <s v="T"/>
    <n v="1"/>
    <m/>
    <m/>
    <m/>
    <m/>
    <m/>
    <m/>
    <m/>
    <m/>
    <m/>
  </r>
  <r>
    <x v="218"/>
    <x v="1"/>
    <s v="I"/>
    <s v="B"/>
    <x v="1"/>
    <n v="111"/>
    <n v="106"/>
    <n v="29.582000000000001"/>
    <n v="0.63"/>
    <n v="0.26700000000000002"/>
    <s v="M30"/>
    <x v="2"/>
    <n v="30"/>
    <n v="3.8919999999999999"/>
    <n v="2.0499999999999998"/>
    <s v="6 worms: 1.66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"/>
    <n v="1.66"/>
    <m/>
    <m/>
    <m/>
    <m/>
    <m/>
    <m/>
    <m/>
    <m/>
    <m/>
    <m/>
    <m/>
    <m/>
    <n v="1.66"/>
    <d v="2021-04-05T00:00:00"/>
    <n v="4"/>
    <n v="5"/>
    <n v="2021"/>
    <x v="12"/>
    <n v="124"/>
    <x v="8"/>
    <s v="branch"/>
    <n v="0.91079652055261817"/>
    <n v="2.1760154738878144"/>
    <n v="2.196269827435942E-2"/>
    <n v="7.4458811564724687"/>
    <n v="6.2267595159218443"/>
    <n v="11.838280035156513"/>
    <s v="T"/>
    <n v="1"/>
    <m/>
    <m/>
    <m/>
    <m/>
    <m/>
    <m/>
    <m/>
    <m/>
    <m/>
  </r>
  <r>
    <x v="219"/>
    <x v="1"/>
    <s v="I"/>
    <s v="I"/>
    <x v="0"/>
    <n v="102"/>
    <n v="98"/>
    <n v="22.675000000000001"/>
    <n v="0.65300000000000002"/>
    <n v="0.17699999999999999"/>
    <s v="M30"/>
    <x v="2"/>
    <n v="30"/>
    <n v="2.8759999999999999"/>
    <n v="1.7609999999999999"/>
    <s v="4 worms: 0.821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0.82099999999999995"/>
    <m/>
    <m/>
    <m/>
    <m/>
    <m/>
    <m/>
    <m/>
    <m/>
    <m/>
    <m/>
    <m/>
    <m/>
    <n v="0.82099999999999995"/>
    <d v="2021-04-05T00:00:00"/>
    <n v="4"/>
    <n v="5"/>
    <n v="2021"/>
    <x v="12"/>
    <n v="124"/>
    <x v="8"/>
    <s v="branch"/>
    <n v="0.78673659880878299"/>
    <n v="2.9652166015802379"/>
    <n v="2.9892423895628288E-2"/>
    <n v="8.4201969972267356"/>
    <n v="4.9173098125689085"/>
    <n v="8.5380374862183022"/>
    <s v="T"/>
    <n v="2"/>
    <m/>
    <m/>
    <m/>
    <m/>
    <m/>
    <m/>
    <m/>
    <m/>
    <m/>
  </r>
  <r>
    <x v="220"/>
    <x v="1"/>
    <s v="I"/>
    <s v="S"/>
    <x v="0"/>
    <n v="76"/>
    <n v="72"/>
    <n v="8.4740000000000002"/>
    <n v="0.17599999999999999"/>
    <n v="9.0999999999999998E-2"/>
    <s v="M30"/>
    <x v="2"/>
    <n v="30"/>
    <n v="0.65600000000000003"/>
    <n v="0.59399999999999997"/>
    <s v="11 chiro: 0.05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1"/>
    <n v="0.05"/>
    <m/>
    <m/>
    <m/>
    <m/>
    <m/>
    <m/>
    <m/>
    <m/>
    <m/>
    <m/>
    <m/>
    <m/>
    <m/>
    <m/>
    <m/>
    <m/>
    <m/>
    <m/>
    <m/>
    <m/>
    <m/>
    <m/>
    <m/>
    <m/>
    <n v="0.05"/>
    <d v="2021-04-05T00:00:00"/>
    <n v="4"/>
    <n v="5"/>
    <n v="2021"/>
    <x v="12"/>
    <n v="124"/>
    <x v="8"/>
    <s v="branch"/>
    <n v="1.085530239770965"/>
    <n v="2.1209930103639429"/>
    <n v="2.1445107834775188E-2"/>
    <n v="7.5380710659898469"/>
    <n v="0.73164975218314909"/>
    <n v="1.3216898749114947"/>
    <s v="T"/>
    <n v="1"/>
    <m/>
    <m/>
    <m/>
    <m/>
    <m/>
    <m/>
    <m/>
    <m/>
    <m/>
  </r>
  <r>
    <x v="221"/>
    <x v="1"/>
    <s v="I"/>
    <s v="S"/>
    <x v="0"/>
    <n v="66"/>
    <n v="62"/>
    <n v="4.9870000000000001"/>
    <n v="0.13700000000000001"/>
    <n v="0.221"/>
    <s v="F30"/>
    <x v="0"/>
    <n v="30"/>
    <n v="0.32"/>
    <n v="0.25900000000000001"/>
    <s v="inverts: 0.051"/>
    <s v="F"/>
    <m/>
    <m/>
    <m/>
    <n v="5.0999999999999997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.0999999999999997E-2"/>
    <d v="2021-04-05T00:00:00"/>
    <n v="4"/>
    <n v="5"/>
    <n v="2021"/>
    <x v="12"/>
    <n v="124"/>
    <x v="8"/>
    <s v="branch"/>
    <n v="4.6370121695342004"/>
    <n v="2.8247422680412377"/>
    <n v="2.9596025059408084E-2"/>
    <n v="5.4780033840947553"/>
    <n v="1.2231802686986164"/>
    <n v="2.2458391818728689"/>
    <s v="T"/>
    <n v="1"/>
    <m/>
    <m/>
    <m/>
    <m/>
    <n v="2.0799999999999999E-2"/>
    <n v="4.8271060570898126"/>
    <m/>
    <m/>
    <m/>
  </r>
  <r>
    <x v="222"/>
    <x v="1"/>
    <s v="I"/>
    <s v="IMM"/>
    <x v="0"/>
    <n v="63"/>
    <n v="59"/>
    <n v="4.242"/>
    <n v="8.4000000000000005E-2"/>
    <n v="6.2E-2"/>
    <s v="M30"/>
    <x v="2"/>
    <n v="30"/>
    <n v="0.26600000000000001"/>
    <n v="0.23499999999999999"/>
    <s v="1 soldierfly larv: 0.019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.9E-2"/>
    <m/>
    <m/>
    <m/>
    <m/>
    <m/>
    <m/>
    <m/>
    <m/>
    <m/>
    <m/>
    <m/>
    <m/>
    <m/>
    <m/>
    <m/>
    <m/>
    <m/>
    <m/>
    <m/>
    <m/>
    <n v="1.9E-2"/>
    <d v="2021-04-05T00:00:00"/>
    <n v="4"/>
    <n v="5"/>
    <n v="2021"/>
    <x v="12"/>
    <n v="124"/>
    <x v="8"/>
    <s v="branch"/>
    <n v="1.4832535885167464"/>
    <n v="2.0202020202020199"/>
    <n v="2.05078125E-2"/>
    <n v="5.8647367107561772"/>
    <n v="0.73078736445073145"/>
    <n v="1.1786892975011793"/>
    <s v="T"/>
    <n v="1"/>
    <m/>
    <m/>
    <m/>
    <m/>
    <m/>
    <m/>
    <m/>
    <m/>
    <m/>
  </r>
  <r>
    <x v="223"/>
    <x v="1"/>
    <s v="S"/>
    <s v="IMM"/>
    <x v="1"/>
    <n v="52"/>
    <n v="48"/>
    <n v="2.1669999999999998"/>
    <n v="4.2000000000000003E-2"/>
    <n v="4.9000000000000002E-2"/>
    <s v="F23"/>
    <x v="0"/>
    <n v="23"/>
    <n v="0.14000000000000001"/>
    <n v="0.106"/>
    <s v="zoops: 0.018"/>
    <s v="F"/>
    <m/>
    <m/>
    <m/>
    <m/>
    <m/>
    <m/>
    <m/>
    <m/>
    <m/>
    <m/>
    <m/>
    <m/>
    <m/>
    <m/>
    <m/>
    <m/>
    <m/>
    <m/>
    <m/>
    <m/>
    <m/>
    <m/>
    <m/>
    <n v="1.7999999999999999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.7999999999999999E-2"/>
    <d v="2021-04-05T00:00:00"/>
    <n v="4"/>
    <n v="5"/>
    <n v="2021"/>
    <x v="12"/>
    <n v="124"/>
    <x v="8"/>
    <s v="branch"/>
    <n v="2.3135033050047218"/>
    <n v="1.9764705882352942"/>
    <n v="2.023121387283237E-2"/>
    <n v="5.1431344007763222"/>
    <n v="1.5689893862482702"/>
    <n v="2.3996308260267663"/>
    <s v="T"/>
    <n v="1"/>
    <m/>
    <m/>
    <m/>
    <m/>
    <m/>
    <m/>
    <m/>
    <m/>
    <m/>
  </r>
  <r>
    <x v="224"/>
    <x v="1"/>
    <s v="I"/>
    <s v="S"/>
    <x v="0"/>
    <n v="73"/>
    <n v="69"/>
    <n v="6.8339999999999996"/>
    <n v="0.153"/>
    <n v="4.5999999999999999E-2"/>
    <s v="M30"/>
    <x v="2"/>
    <n v="30"/>
    <n v="0.441"/>
    <n v="0.376"/>
    <s v="9 chiro: 0.047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9"/>
    <n v="4.7E-2"/>
    <m/>
    <m/>
    <m/>
    <m/>
    <m/>
    <m/>
    <m/>
    <m/>
    <m/>
    <m/>
    <m/>
    <m/>
    <m/>
    <m/>
    <m/>
    <m/>
    <m/>
    <m/>
    <m/>
    <m/>
    <m/>
    <m/>
    <m/>
    <m/>
    <n v="4.7E-2"/>
    <d v="2021-04-05T00:00:00"/>
    <n v="4"/>
    <n v="5"/>
    <n v="2021"/>
    <x v="12"/>
    <n v="124"/>
    <x v="8"/>
    <m/>
    <n v="0.67766647024160287"/>
    <n v="2.2900763358778624"/>
    <n v="2.3059532780708367E-2"/>
    <n v="5.8222359863734914"/>
    <n v="0.95112671934445414"/>
    <n v="1.6388645010242904"/>
    <s v="T"/>
    <n v="1"/>
    <m/>
    <m/>
    <m/>
    <m/>
    <m/>
    <m/>
    <m/>
    <m/>
    <m/>
  </r>
  <r>
    <x v="225"/>
    <x v="1"/>
    <s v="I"/>
    <s v="S"/>
    <x v="0"/>
    <n v="68"/>
    <n v="64"/>
    <n v="5.5309999999999997"/>
    <n v="0.13"/>
    <n v="0.104"/>
    <s v="M30"/>
    <x v="2"/>
    <n v="30"/>
    <n v="0.33500000000000002"/>
    <n v="0.30499999999999999"/>
    <s v="inverts: 0.017"/>
    <s v="F"/>
    <m/>
    <m/>
    <m/>
    <n v="1.7000000000000001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.7000000000000001E-2"/>
    <d v="2021-04-05T00:00:00"/>
    <n v="4"/>
    <n v="5"/>
    <n v="2021"/>
    <x v="12"/>
    <n v="124"/>
    <x v="8"/>
    <m/>
    <n v="1.9163442049014188"/>
    <n v="2.4069616737641177"/>
    <n v="2.4542193694544082E-2"/>
    <n v="5.8362035973976276"/>
    <n v="0.54239739649249741"/>
    <n v="0.84975592117157894"/>
    <s v="T"/>
    <n v="1"/>
    <m/>
    <m/>
    <m/>
    <m/>
    <m/>
    <m/>
    <m/>
    <m/>
    <m/>
  </r>
  <r>
    <x v="226"/>
    <x v="1"/>
    <s v="I"/>
    <s v="S"/>
    <x v="0"/>
    <n v="65"/>
    <n v="61"/>
    <n v="4.6369999999999996"/>
    <n v="0.13500000000000001"/>
    <n v="7.0000000000000007E-2"/>
    <s v="M30"/>
    <x v="2"/>
    <n v="30"/>
    <n v="0.318"/>
    <n v="0.255"/>
    <s v="zoops: 0.05"/>
    <s v="F"/>
    <m/>
    <m/>
    <m/>
    <m/>
    <m/>
    <m/>
    <m/>
    <m/>
    <m/>
    <m/>
    <m/>
    <m/>
    <m/>
    <m/>
    <m/>
    <m/>
    <m/>
    <m/>
    <m/>
    <m/>
    <m/>
    <m/>
    <m/>
    <n v="0.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05"/>
    <d v="2021-04-05T00:00:00"/>
    <n v="4"/>
    <n v="5"/>
    <n v="2021"/>
    <x v="12"/>
    <n v="124"/>
    <x v="8"/>
    <m/>
    <n v="1.5327348368732212"/>
    <n v="2.9986672589960022"/>
    <n v="3.0460288808664266E-2"/>
    <n v="5.8192606115928802"/>
    <n v="1.358637049816692"/>
    <n v="2.4369204226870824"/>
    <s v="T"/>
    <n v="1"/>
    <m/>
    <m/>
    <m/>
    <m/>
    <m/>
    <m/>
    <m/>
    <m/>
    <m/>
  </r>
  <r>
    <x v="227"/>
    <x v="1"/>
    <s v="I"/>
    <s v="IMM"/>
    <x v="0"/>
    <n v="61"/>
    <n v="58"/>
    <n v="3.98"/>
    <n v="7.3999999999999996E-2"/>
    <n v="7.5999999999999998E-2"/>
    <s v="M30"/>
    <x v="2"/>
    <n v="30"/>
    <n v="0.25800000000000001"/>
    <n v="0.20799999999999999"/>
    <s v="zoops: 0.034"/>
    <s v="F"/>
    <m/>
    <m/>
    <m/>
    <m/>
    <m/>
    <m/>
    <m/>
    <m/>
    <m/>
    <m/>
    <m/>
    <m/>
    <m/>
    <m/>
    <m/>
    <m/>
    <m/>
    <m/>
    <m/>
    <m/>
    <m/>
    <m/>
    <m/>
    <n v="3.4000000000000002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.4000000000000002E-2"/>
    <d v="2021-04-05T00:00:00"/>
    <n v="4"/>
    <n v="5"/>
    <n v="2021"/>
    <x v="12"/>
    <n v="124"/>
    <x v="8"/>
    <m/>
    <n v="1.9467213114754098"/>
    <n v="1.8945212493599588"/>
    <n v="1.9321148825065273E-2"/>
    <n v="5.5143160127253443"/>
    <n v="1.2562814070351762"/>
    <n v="2.1105527638190962"/>
    <s v="T"/>
    <n v="1"/>
    <m/>
    <m/>
    <m/>
    <m/>
    <m/>
    <m/>
    <m/>
    <m/>
    <m/>
  </r>
  <r>
    <x v="228"/>
    <x v="1"/>
    <s v="I"/>
    <s v="IMM"/>
    <x v="0"/>
    <n v="62"/>
    <n v="59"/>
    <n v="4.1369999999999996"/>
    <n v="9.9000000000000005E-2"/>
    <n v="0.129"/>
    <s v="F30"/>
    <x v="0"/>
    <n v="30"/>
    <n v="0.29499999999999998"/>
    <n v="0.22900000000000001"/>
    <s v="zoops: 0.053"/>
    <s v="F"/>
    <m/>
    <m/>
    <m/>
    <m/>
    <m/>
    <m/>
    <m/>
    <m/>
    <m/>
    <m/>
    <m/>
    <m/>
    <m/>
    <m/>
    <m/>
    <m/>
    <m/>
    <m/>
    <m/>
    <m/>
    <m/>
    <m/>
    <m/>
    <n v="5.2999999999999999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.2999999999999999E-2"/>
    <d v="2021-04-05T00:00:00"/>
    <n v="4"/>
    <n v="5"/>
    <n v="2021"/>
    <x v="12"/>
    <n v="124"/>
    <x v="8"/>
    <m/>
    <n v="3.2185628742514982"/>
    <n v="2.4517087667161968"/>
    <n v="2.5326170376055262E-2"/>
    <n v="5.8597748208802463"/>
    <n v="1.5953589557650467"/>
    <n v="2.8764805414551602"/>
    <s v="T"/>
    <n v="1"/>
    <m/>
    <m/>
    <m/>
    <m/>
    <n v="1.4E-2"/>
    <n v="3.8738240177089103"/>
    <m/>
    <m/>
    <m/>
  </r>
  <r>
    <x v="229"/>
    <x v="1"/>
    <s v="S"/>
    <s v="IMM"/>
    <x v="1"/>
    <n v="52"/>
    <n v="50"/>
    <n v="2.3439999999999999"/>
    <n v="4.8000000000000001E-2"/>
    <n v="4.8000000000000001E-2"/>
    <s v="M30"/>
    <x v="2"/>
    <n v="30"/>
    <n v="0.16600000000000001"/>
    <n v="0.12"/>
    <s v="inverts: 0.028"/>
    <s v="F"/>
    <m/>
    <m/>
    <m/>
    <n v="2.8000000000000001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.8000000000000001E-2"/>
    <d v="2021-04-05T00:00:00"/>
    <n v="4"/>
    <n v="5"/>
    <n v="2021"/>
    <x v="12"/>
    <n v="124"/>
    <x v="8"/>
    <m/>
    <n v="2.0905923344947737"/>
    <n v="2.0905923344947737"/>
    <n v="2.1352313167259791E-2"/>
    <n v="5.3956834532374103"/>
    <n v="1.9624573378839598"/>
    <n v="3.1569965870307173"/>
    <s v="T"/>
    <n v="1"/>
    <m/>
    <m/>
    <m/>
    <m/>
    <m/>
    <m/>
    <m/>
    <m/>
    <m/>
  </r>
  <r>
    <x v="230"/>
    <x v="1"/>
    <s v="S"/>
    <s v="IMM"/>
    <x v="1"/>
    <n v="51"/>
    <n v="49"/>
    <n v="2.1789999999999998"/>
    <n v="5.2999999999999999E-2"/>
    <n v="5.8000000000000003E-2"/>
    <s v="F23"/>
    <x v="0"/>
    <n v="23"/>
    <n v="0.2"/>
    <n v="0.14399999999999999"/>
    <s v="zoops: 0.049"/>
    <s v="F"/>
    <m/>
    <m/>
    <m/>
    <m/>
    <m/>
    <m/>
    <m/>
    <m/>
    <m/>
    <m/>
    <m/>
    <m/>
    <m/>
    <m/>
    <m/>
    <m/>
    <m/>
    <m/>
    <m/>
    <m/>
    <m/>
    <m/>
    <m/>
    <n v="4.9000000000000002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.9000000000000002E-2"/>
    <d v="2021-04-05T00:00:00"/>
    <n v="4"/>
    <n v="5"/>
    <n v="2021"/>
    <x v="12"/>
    <n v="124"/>
    <x v="8"/>
    <m/>
    <n v="2.734559170202735"/>
    <n v="2.4929444967074317"/>
    <n v="2.5628626692456479E-2"/>
    <n v="7.076167076167077"/>
    <n v="2.5699862322166145"/>
    <n v="4.8187241854061504"/>
    <s v="T"/>
    <n v="1"/>
    <m/>
    <m/>
    <m/>
    <m/>
    <m/>
    <m/>
    <m/>
    <m/>
    <m/>
  </r>
  <r>
    <x v="231"/>
    <x v="1"/>
    <s v="S"/>
    <s v="IMM"/>
    <x v="1"/>
    <n v="49"/>
    <n v="47"/>
    <n v="1.9670000000000001"/>
    <n v="0.06"/>
    <n v="0.04"/>
    <s v="F23"/>
    <x v="0"/>
    <n v="23"/>
    <n v="0.14499999999999999"/>
    <n v="0.112"/>
    <s v="zoops: 0.021"/>
    <s v="F"/>
    <m/>
    <m/>
    <m/>
    <m/>
    <m/>
    <m/>
    <m/>
    <m/>
    <m/>
    <m/>
    <m/>
    <m/>
    <m/>
    <m/>
    <m/>
    <m/>
    <m/>
    <m/>
    <m/>
    <m/>
    <m/>
    <m/>
    <m/>
    <n v="2.1000000000000001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.1000000000000001E-2"/>
    <d v="2021-04-05T00:00:00"/>
    <n v="4"/>
    <n v="5"/>
    <n v="2021"/>
    <x v="12"/>
    <n v="124"/>
    <x v="8"/>
    <m/>
    <n v="2.0757654385054489"/>
    <n v="3.1463030938647085"/>
    <n v="3.2137118371719335E-2"/>
    <n v="6.0377358490566042"/>
    <n v="1.6776817488561253"/>
    <n v="2.7452974072191152"/>
    <s v="T"/>
    <n v="1"/>
    <m/>
    <m/>
    <m/>
    <m/>
    <m/>
    <m/>
    <m/>
    <m/>
    <m/>
  </r>
  <r>
    <x v="232"/>
    <x v="1"/>
    <s v="S"/>
    <s v="IMM"/>
    <x v="1"/>
    <n v="49"/>
    <n v="46"/>
    <n v="1.913"/>
    <n v="3.6999999999999998E-2"/>
    <n v="4.9000000000000002E-2"/>
    <s v="M30"/>
    <x v="2"/>
    <n v="30"/>
    <n v="0.14899999999999999"/>
    <n v="0.113"/>
    <s v="zoops: 0.022"/>
    <s v="F"/>
    <m/>
    <m/>
    <m/>
    <m/>
    <m/>
    <m/>
    <m/>
    <m/>
    <m/>
    <m/>
    <m/>
    <m/>
    <m/>
    <m/>
    <m/>
    <m/>
    <m/>
    <m/>
    <m/>
    <m/>
    <m/>
    <m/>
    <m/>
    <n v="2.1999999999999999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.1999999999999999E-2"/>
    <d v="2021-04-05T00:00:00"/>
    <n v="4"/>
    <n v="5"/>
    <n v="2021"/>
    <x v="12"/>
    <n v="124"/>
    <x v="8"/>
    <m/>
    <n v="2.6287553648068669"/>
    <n v="1.9722814498933898"/>
    <n v="2.0251778872468526E-2"/>
    <n v="6.2777777777777777"/>
    <n v="1.8818609513852582"/>
    <n v="3.0318870883429163"/>
    <s v="T"/>
    <n v="1"/>
    <m/>
    <m/>
    <m/>
    <m/>
    <m/>
    <m/>
    <m/>
    <m/>
    <m/>
  </r>
  <r>
    <x v="233"/>
    <x v="1"/>
    <s v="I"/>
    <s v="S"/>
    <x v="0"/>
    <n v="81"/>
    <n v="77"/>
    <n v="11.302"/>
    <n v="0.35199999999999998"/>
    <n v="1.7769999999999999"/>
    <s v="F30"/>
    <x v="0"/>
    <n v="30"/>
    <n v="0.5"/>
    <n v="0.41699999999999998"/>
    <s v="~40 chaob: 0.053"/>
    <s v="F"/>
    <m/>
    <m/>
    <m/>
    <m/>
    <m/>
    <m/>
    <m/>
    <m/>
    <m/>
    <m/>
    <m/>
    <m/>
    <m/>
    <m/>
    <m/>
    <m/>
    <m/>
    <m/>
    <m/>
    <m/>
    <m/>
    <m/>
    <m/>
    <m/>
    <m/>
    <m/>
    <m/>
    <m/>
    <n v="40"/>
    <n v="5.2999999999999999E-2"/>
    <m/>
    <m/>
    <m/>
    <m/>
    <m/>
    <m/>
    <m/>
    <m/>
    <m/>
    <m/>
    <m/>
    <m/>
    <m/>
    <m/>
    <m/>
    <m/>
    <m/>
    <m/>
    <m/>
    <m/>
    <m/>
    <m/>
    <m/>
    <m/>
    <m/>
    <m/>
    <n v="5.2999999999999999E-2"/>
    <s v="18/5/2021"/>
    <s v="18"/>
    <s v="5"/>
    <s v="2021"/>
    <x v="13"/>
    <n v="138"/>
    <x v="9"/>
    <m/>
    <n v="18.656167979002621"/>
    <n v="3.214611872146119"/>
    <n v="3.837348740869944E-2"/>
    <n v="3.8309600367478178"/>
    <n v="0.73438329499203692"/>
    <n v="1.2033268448062291"/>
    <s v="T"/>
    <n v="2"/>
    <n v="1"/>
    <n v="17"/>
    <n v="4"/>
    <n v="0"/>
    <n v="1.1299999999999999E-2"/>
    <n v="1.3028940389715207"/>
    <n v="5.26"/>
    <n v="91.66384497235002"/>
    <n v="161.91487063190951"/>
  </r>
  <r>
    <x v="234"/>
    <x v="1"/>
    <s v="I"/>
    <s v="IMM"/>
    <x v="0"/>
    <n v="63"/>
    <n v="60"/>
    <n v="4.3410000000000002"/>
    <n v="9.2999999999999999E-2"/>
    <n v="0.20200000000000001"/>
    <s v="F30"/>
    <x v="0"/>
    <n v="30"/>
    <n v="0.24299999999999999"/>
    <n v="0.17799999999999999"/>
    <s v="~75 zoops: 0.03; 2 chiro: 0.007"/>
    <s v="F"/>
    <m/>
    <m/>
    <m/>
    <m/>
    <m/>
    <m/>
    <m/>
    <m/>
    <m/>
    <m/>
    <m/>
    <m/>
    <m/>
    <m/>
    <m/>
    <m/>
    <m/>
    <m/>
    <m/>
    <m/>
    <m/>
    <m/>
    <n v="75"/>
    <n v="0.03"/>
    <m/>
    <m/>
    <m/>
    <m/>
    <m/>
    <m/>
    <n v="2"/>
    <n v="7.0000000000000001E-3"/>
    <m/>
    <m/>
    <m/>
    <m/>
    <m/>
    <m/>
    <m/>
    <m/>
    <m/>
    <m/>
    <m/>
    <m/>
    <m/>
    <m/>
    <m/>
    <m/>
    <m/>
    <m/>
    <m/>
    <m/>
    <m/>
    <m/>
    <m/>
    <m/>
    <n v="3.6999999999999998E-2"/>
    <s v="18/5/2021"/>
    <s v="18"/>
    <s v="5"/>
    <s v="2021"/>
    <x v="13"/>
    <n v="138"/>
    <x v="9"/>
    <m/>
    <n v="4.8804058951437543"/>
    <n v="2.1892655367231639"/>
    <n v="2.2985664854176965E-2"/>
    <n v="4.2757626711506118"/>
    <n v="1.4973508408200875"/>
    <n v="2.349689011748445"/>
    <s v="T"/>
    <n v="2"/>
    <m/>
    <m/>
    <m/>
    <m/>
    <m/>
    <m/>
    <m/>
    <m/>
    <m/>
  </r>
  <r>
    <x v="235"/>
    <x v="1"/>
    <s v="I"/>
    <s v="S"/>
    <x v="0"/>
    <n v="80"/>
    <n v="76"/>
    <n v="10.42"/>
    <n v="0.28999999999999998"/>
    <n v="1.3049999999999999"/>
    <s v="F30"/>
    <x v="0"/>
    <n v="30"/>
    <n v="0.56100000000000005"/>
    <n v="0.42799999999999999"/>
    <s v="9 chiro: 0.035; 1 worm: 0.066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9"/>
    <n v="3.5000000000000003E-2"/>
    <m/>
    <m/>
    <m/>
    <m/>
    <m/>
    <m/>
    <m/>
    <m/>
    <m/>
    <m/>
    <n v="1"/>
    <n v="6.6000000000000003E-2"/>
    <m/>
    <m/>
    <m/>
    <m/>
    <m/>
    <m/>
    <m/>
    <m/>
    <m/>
    <m/>
    <m/>
    <m/>
    <n v="0.10100000000000001"/>
    <s v="18/5/2021"/>
    <s v="18"/>
    <s v="5"/>
    <s v="2021"/>
    <x v="13"/>
    <n v="138"/>
    <x v="9"/>
    <m/>
    <n v="14.317059791552387"/>
    <n v="2.8627838104639682"/>
    <n v="3.2861189801699713E-2"/>
    <n v="4.2834267413931144"/>
    <n v="1.2763915547024958"/>
    <n v="2.2456813819577741"/>
    <s v="T"/>
    <n v="2"/>
    <m/>
    <m/>
    <m/>
    <m/>
    <m/>
    <m/>
    <m/>
    <m/>
    <m/>
  </r>
  <r>
    <x v="236"/>
    <x v="1"/>
    <s v="I"/>
    <s v="IMM"/>
    <x v="0"/>
    <n v="62"/>
    <n v="60"/>
    <n v="4.4989999999999997"/>
    <n v="0.112"/>
    <n v="0.26300000000000001"/>
    <s v="F30"/>
    <x v="0"/>
    <n v="30"/>
    <n v="0.249"/>
    <n v="0.2"/>
    <s v="~100 zoops: 0.029"/>
    <s v="F"/>
    <m/>
    <m/>
    <m/>
    <m/>
    <m/>
    <m/>
    <m/>
    <m/>
    <m/>
    <m/>
    <m/>
    <m/>
    <m/>
    <m/>
    <m/>
    <m/>
    <m/>
    <m/>
    <m/>
    <m/>
    <m/>
    <m/>
    <n v="100"/>
    <n v="2.9000000000000001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.9000000000000001E-2"/>
    <s v="18/5/2021"/>
    <s v="18"/>
    <s v="5"/>
    <s v="2021"/>
    <x v="13"/>
    <n v="138"/>
    <x v="9"/>
    <m/>
    <n v="6.2086874409820592"/>
    <n v="2.5529974925917487"/>
    <n v="2.7158098933074689E-2"/>
    <n v="4.6522447080716454"/>
    <n v="1.0891309179817736"/>
    <n v="1.7337186041342516"/>
    <s v="T"/>
    <n v="1"/>
    <n v="0"/>
    <n v="0"/>
    <n v="0"/>
    <n v="0"/>
    <n v="1.46E-2"/>
    <n v="3.7677419354838717"/>
    <n v="6.34"/>
    <n v="92.216825437528442"/>
    <n v="143.51262084014627"/>
  </r>
  <r>
    <x v="237"/>
    <x v="1"/>
    <s v="I"/>
    <s v="B"/>
    <x v="1"/>
    <n v="136"/>
    <n v="130"/>
    <n v="56.304000000000002"/>
    <n v="1.117"/>
    <n v="0.71899999999999997"/>
    <s v="M30"/>
    <x v="2"/>
    <n v="30"/>
    <n v="3.484"/>
    <n v="2.617"/>
    <s v="1 pred div beet: 0.415; 1 worm: 0.368"/>
    <s v="F"/>
    <m/>
    <m/>
    <m/>
    <m/>
    <m/>
    <m/>
    <m/>
    <m/>
    <m/>
    <m/>
    <m/>
    <m/>
    <n v="1"/>
    <n v="0.41499999999999998"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0.36799999999999999"/>
    <m/>
    <m/>
    <m/>
    <m/>
    <m/>
    <m/>
    <m/>
    <m/>
    <m/>
    <m/>
    <m/>
    <m/>
    <n v="0.78299999999999992"/>
    <s v="18/5/2021"/>
    <s v="18"/>
    <s v="5"/>
    <s v="2021"/>
    <x v="13"/>
    <n v="138"/>
    <x v="9"/>
    <m/>
    <n v="1.2935144373482053"/>
    <n v="2.024027397756718"/>
    <n v="2.0507453917896747E-2"/>
    <n v="4.8745506360943986"/>
    <n v="1.5398550724637681"/>
    <n v="2.9305200341005966"/>
    <s v="T"/>
    <n v="2"/>
    <m/>
    <m/>
    <m/>
    <m/>
    <m/>
    <m/>
    <m/>
    <m/>
    <m/>
  </r>
  <r>
    <x v="238"/>
    <x v="1"/>
    <s v="I"/>
    <s v="S"/>
    <x v="0"/>
    <n v="81"/>
    <n v="77"/>
    <n v="10.634"/>
    <n v="0.16900000000000001"/>
    <n v="0.307"/>
    <s v="M30"/>
    <x v="2"/>
    <n v="30"/>
    <n v="0.56399999999999995"/>
    <n v="0.443"/>
    <s v="~200 zoops: 0.089"/>
    <s v="F"/>
    <m/>
    <m/>
    <m/>
    <m/>
    <m/>
    <m/>
    <m/>
    <m/>
    <m/>
    <m/>
    <m/>
    <m/>
    <m/>
    <m/>
    <m/>
    <m/>
    <m/>
    <m/>
    <m/>
    <m/>
    <m/>
    <m/>
    <n v="200"/>
    <n v="8.8999999999999996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.8999999999999996E-2"/>
    <s v="18/5/2021"/>
    <s v="18"/>
    <s v="5"/>
    <s v="2021"/>
    <x v="13"/>
    <n v="138"/>
    <x v="9"/>
    <m/>
    <n v="2.9727897743778446"/>
    <n v="1.6149068322981366"/>
    <n v="1.6637133293955504E-2"/>
    <n v="4.3469728191541552"/>
    <n v="1.1378596953169073"/>
    <n v="1.9747978183186001"/>
    <s v="T"/>
    <n v="2"/>
    <m/>
    <m/>
    <m/>
    <m/>
    <m/>
    <m/>
    <m/>
    <m/>
    <m/>
  </r>
  <r>
    <x v="239"/>
    <x v="1"/>
    <s v="I"/>
    <s v="I"/>
    <x v="0"/>
    <n v="93"/>
    <n v="89"/>
    <n v="15.973000000000001"/>
    <n v="0.26100000000000001"/>
    <n v="0.35299999999999998"/>
    <s v="M30"/>
    <x v="2"/>
    <n v="30"/>
    <n v="0.999"/>
    <n v="0.84"/>
    <s v="1 mussel: 0.039; 1 chiro: 0.005; 2 div beet: 0.05"/>
    <s v="F"/>
    <m/>
    <m/>
    <m/>
    <m/>
    <m/>
    <m/>
    <m/>
    <m/>
    <m/>
    <m/>
    <n v="2"/>
    <n v="0.05"/>
    <m/>
    <m/>
    <m/>
    <m/>
    <n v="1"/>
    <n v="3.9E-2"/>
    <m/>
    <m/>
    <m/>
    <m/>
    <m/>
    <m/>
    <m/>
    <m/>
    <m/>
    <m/>
    <m/>
    <m/>
    <n v="1"/>
    <n v="5.0000000000000001E-3"/>
    <m/>
    <m/>
    <m/>
    <m/>
    <m/>
    <m/>
    <m/>
    <m/>
    <m/>
    <m/>
    <m/>
    <m/>
    <m/>
    <m/>
    <m/>
    <m/>
    <m/>
    <m/>
    <m/>
    <m/>
    <m/>
    <m/>
    <m/>
    <m/>
    <n v="9.4E-2"/>
    <s v="18/5/2021"/>
    <s v="18"/>
    <s v="5"/>
    <s v="2021"/>
    <x v="13"/>
    <n v="138"/>
    <x v="9"/>
    <m/>
    <n v="2.2599231754161329"/>
    <n v="1.6611507128309573"/>
    <n v="1.6993293834233997E-2"/>
    <n v="5.5507830568955256"/>
    <n v="0.99542978776685676"/>
    <n v="1.5839228698428596"/>
    <s v="T"/>
    <n v="2"/>
    <m/>
    <m/>
    <m/>
    <m/>
    <m/>
    <m/>
    <m/>
    <m/>
    <m/>
  </r>
  <r>
    <x v="240"/>
    <x v="1"/>
    <s v="I"/>
    <s v="I"/>
    <x v="0"/>
    <n v="99"/>
    <n v="94"/>
    <n v="22.242999999999999"/>
    <n v="0.58599999999999997"/>
    <n v="4.1680000000000001"/>
    <s v="F30"/>
    <x v="0"/>
    <n v="30"/>
    <n v="0.94699999999999995"/>
    <n v="0.86699999999999999"/>
    <s v="2 snail: 0.032; veg: 0.015"/>
    <s v="F"/>
    <m/>
    <m/>
    <m/>
    <m/>
    <m/>
    <m/>
    <m/>
    <m/>
    <m/>
    <m/>
    <m/>
    <m/>
    <m/>
    <m/>
    <m/>
    <s v="  "/>
    <m/>
    <m/>
    <n v="2"/>
    <n v="3.2000000000000001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.4999999999999999E-2"/>
    <n v="4.7E-2"/>
    <s v="18/5/2021"/>
    <s v="18"/>
    <s v="5"/>
    <s v="2021"/>
    <x v="13"/>
    <n v="138"/>
    <x v="9"/>
    <m/>
    <n v="23.059474412171511"/>
    <n v="2.7058225977743917"/>
    <n v="3.3506775687575041E-2"/>
    <n v="4.0559505988023954"/>
    <n v="0.35966371442701062"/>
    <n v="0.57096614665287937"/>
    <s v="T"/>
    <n v="1"/>
    <m/>
    <m/>
    <m/>
    <m/>
    <m/>
    <m/>
    <m/>
    <m/>
    <m/>
  </r>
  <r>
    <x v="241"/>
    <x v="1"/>
    <s v="I"/>
    <s v="B"/>
    <x v="1"/>
    <n v="127"/>
    <n v="120"/>
    <n v="45.917999999999999"/>
    <n v="1.052"/>
    <n v="5.9749999999999996"/>
    <s v="F30"/>
    <x v="0"/>
    <n v="30"/>
    <n v="3.4430000000000001"/>
    <n v="2.3849999999999998"/>
    <s v="6 snails: 0.221; 3 caddis: 0.208; 1 leech: 0.333"/>
    <s v="F"/>
    <m/>
    <m/>
    <m/>
    <m/>
    <m/>
    <m/>
    <m/>
    <m/>
    <m/>
    <m/>
    <m/>
    <m/>
    <m/>
    <m/>
    <m/>
    <m/>
    <m/>
    <m/>
    <n v="6"/>
    <n v="0.221"/>
    <m/>
    <m/>
    <m/>
    <m/>
    <m/>
    <m/>
    <m/>
    <m/>
    <m/>
    <m/>
    <m/>
    <m/>
    <m/>
    <m/>
    <m/>
    <m/>
    <n v="3"/>
    <n v="0.20799999999999999"/>
    <m/>
    <m/>
    <n v="1"/>
    <n v="0.33300000000000002"/>
    <m/>
    <m/>
    <m/>
    <m/>
    <m/>
    <m/>
    <m/>
    <m/>
    <m/>
    <m/>
    <m/>
    <m/>
    <m/>
    <m/>
    <n v="0.76200000000000001"/>
    <s v="18/5/2021"/>
    <s v="18"/>
    <s v="5"/>
    <s v="2021"/>
    <x v="13"/>
    <n v="138"/>
    <x v="9"/>
    <m/>
    <n v="14.958816313246375"/>
    <n v="2.3447599518566395"/>
    <n v="2.7049960145020702E-2"/>
    <n v="5.4786024395286326"/>
    <n v="2.3041073217474635"/>
    <n v="3.96358726425367"/>
    <s v="T"/>
    <n v="2"/>
    <m/>
    <m/>
    <m/>
    <m/>
    <m/>
    <m/>
    <m/>
    <m/>
    <m/>
  </r>
  <r>
    <x v="242"/>
    <x v="1"/>
    <s v="I"/>
    <s v="I"/>
    <x v="0"/>
    <n v="85"/>
    <n v="80"/>
    <n v="11.438000000000001"/>
    <n v="0.28399999999999997"/>
    <n v="1.1419999999999999"/>
    <s v="F30"/>
    <x v="0"/>
    <n v="30"/>
    <n v="0.53600000000000003"/>
    <n v="0.42599999999999999"/>
    <s v="6 inverts: 0.049; ~40 zoops: 0.042"/>
    <s v="F"/>
    <m/>
    <m/>
    <n v="6"/>
    <n v="4.9000000000000002E-2"/>
    <m/>
    <m/>
    <m/>
    <m/>
    <m/>
    <m/>
    <m/>
    <m/>
    <m/>
    <m/>
    <m/>
    <m/>
    <m/>
    <m/>
    <m/>
    <m/>
    <m/>
    <m/>
    <n v="40"/>
    <n v="4.2000000000000003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9.0999999999999998E-2"/>
    <s v="18/5/2021"/>
    <s v="18"/>
    <s v="5"/>
    <s v="2021"/>
    <x v="13"/>
    <n v="138"/>
    <x v="9"/>
    <m/>
    <n v="11.091686091686089"/>
    <n v="2.5461717769410077"/>
    <n v="2.8365960846983614E-2"/>
    <n v="3.8685070831819832"/>
    <n v="0.96170659206154951"/>
    <n v="1.7573002273124676"/>
    <s v="T"/>
    <n v="2"/>
    <m/>
    <m/>
    <m/>
    <m/>
    <m/>
    <m/>
    <m/>
    <m/>
    <m/>
  </r>
  <r>
    <x v="243"/>
    <x v="1"/>
    <s v="I"/>
    <s v="I"/>
    <x v="0"/>
    <n v="103"/>
    <n v="98"/>
    <n v="20.542000000000002"/>
    <n v="0.30499999999999999"/>
    <n v="0.42099999999999999"/>
    <s v="M30"/>
    <x v="2"/>
    <n v="30"/>
    <n v="1.1579999999999999"/>
    <n v="0.95499999999999996"/>
    <s v="pupa: 0.102"/>
    <s v="F"/>
    <m/>
    <m/>
    <n v="1"/>
    <n v="0.10199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1"/>
    <s v="18/5/2021"/>
    <s v="18"/>
    <s v="5"/>
    <s v="2021"/>
    <x v="13"/>
    <n v="138"/>
    <x v="9"/>
    <m/>
    <n v="2.0923413349237112"/>
    <n v="1.5071403864209121"/>
    <n v="1.5391602745256356E-2"/>
    <n v="4.8756828508704739"/>
    <n v="0.98821925810534483"/>
    <n v="1.4750267744133965"/>
    <s v="T"/>
    <n v="2"/>
    <m/>
    <m/>
    <m/>
    <m/>
    <m/>
    <m/>
    <m/>
    <m/>
    <m/>
  </r>
  <r>
    <x v="244"/>
    <x v="1"/>
    <s v="I"/>
    <s v="IMM"/>
    <x v="0"/>
    <n v="64"/>
    <n v="61"/>
    <n v="4.9279999999999999"/>
    <n v="7.0999999999999994E-2"/>
    <n v="0.13400000000000001"/>
    <s v="M30"/>
    <x v="2"/>
    <n v="30"/>
    <n v="0.25800000000000001"/>
    <n v="0.193"/>
    <s v="2 inverts: NA; ~30 zoops: 0.023"/>
    <s v="F"/>
    <m/>
    <m/>
    <n v="2"/>
    <m/>
    <m/>
    <m/>
    <m/>
    <m/>
    <m/>
    <m/>
    <m/>
    <m/>
    <m/>
    <m/>
    <m/>
    <m/>
    <m/>
    <m/>
    <m/>
    <m/>
    <m/>
    <m/>
    <n v="30"/>
    <n v="2.3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.3E-2"/>
    <s v="18/5/2021"/>
    <s v="18"/>
    <s v="5"/>
    <s v="2021"/>
    <x v="13"/>
    <n v="138"/>
    <x v="9"/>
    <m/>
    <n v="2.7951606174384653"/>
    <n v="1.4618077002264771"/>
    <n v="1.5032818124073682E-2"/>
    <n v="4.0760295670538547"/>
    <n v="1.3189935064935066"/>
    <n v="1.7857142857142856"/>
    <s v="T"/>
    <n v="1"/>
    <m/>
    <m/>
    <m/>
    <m/>
    <m/>
    <m/>
    <m/>
    <m/>
    <m/>
  </r>
  <r>
    <x v="245"/>
    <x v="1"/>
    <s v="I"/>
    <s v="IMM"/>
    <x v="0"/>
    <n v="62"/>
    <n v="59"/>
    <n v="3.8639999999999999"/>
    <n v="0.108"/>
    <n v="0.26600000000000001"/>
    <s v="F30"/>
    <x v="0"/>
    <n v="30"/>
    <n v="0.25700000000000001"/>
    <n v="0.187"/>
    <s v="~100 zoops: 0.04; 7 chiro: 0.014"/>
    <s v="F"/>
    <m/>
    <m/>
    <m/>
    <m/>
    <m/>
    <m/>
    <m/>
    <m/>
    <m/>
    <m/>
    <m/>
    <m/>
    <m/>
    <m/>
    <m/>
    <m/>
    <m/>
    <m/>
    <m/>
    <m/>
    <m/>
    <m/>
    <n v="100"/>
    <n v="0.04"/>
    <m/>
    <m/>
    <m/>
    <m/>
    <m/>
    <m/>
    <n v="7"/>
    <n v="1.4E-2"/>
    <m/>
    <m/>
    <m/>
    <m/>
    <m/>
    <m/>
    <m/>
    <m/>
    <m/>
    <m/>
    <m/>
    <m/>
    <m/>
    <m/>
    <m/>
    <m/>
    <m/>
    <m/>
    <m/>
    <m/>
    <m/>
    <m/>
    <m/>
    <m/>
    <n v="1.7999999999999999E-2"/>
    <s v="18/5/2021"/>
    <s v="18"/>
    <s v="5"/>
    <s v="2021"/>
    <x v="13"/>
    <n v="138"/>
    <x v="9"/>
    <m/>
    <n v="7.3929961089494167"/>
    <n v="2.8753993610223643"/>
    <n v="3.0945558739255016E-2"/>
    <n v="5.0856676638564045"/>
    <n v="1.8115942028985508"/>
    <n v="2.2774327122153211"/>
    <s v="T"/>
    <n v="1"/>
    <m/>
    <m/>
    <m/>
    <m/>
    <m/>
    <m/>
    <m/>
    <m/>
    <m/>
  </r>
  <r>
    <x v="246"/>
    <x v="1"/>
    <s v="S"/>
    <s v="IMM"/>
    <x v="1"/>
    <n v="54"/>
    <n v="51"/>
    <n v="2.6040000000000001"/>
    <n v="0.04"/>
    <n v="0.13100000000000001"/>
    <s v="M30"/>
    <x v="2"/>
    <n v="30"/>
    <n v="0.128"/>
    <n v="0.114"/>
    <s v="3 chiro: 0.006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6.0000000000000001E-3"/>
    <m/>
    <m/>
    <m/>
    <m/>
    <m/>
    <m/>
    <m/>
    <m/>
    <m/>
    <m/>
    <m/>
    <m/>
    <m/>
    <m/>
    <m/>
    <m/>
    <m/>
    <m/>
    <m/>
    <m/>
    <m/>
    <m/>
    <m/>
    <m/>
    <n v="6.0000000000000001E-3"/>
    <s v="18/5/2021"/>
    <s v="18"/>
    <s v="5"/>
    <s v="2021"/>
    <x v="13"/>
    <n v="138"/>
    <x v="9"/>
    <m/>
    <n v="5.2972098665588359"/>
    <n v="1.5600624024960998"/>
    <n v="1.6440608302507195E-2"/>
    <n v="4.5783132530120483"/>
    <n v="0.5376344086021505"/>
    <n v="0.7680491551459292"/>
    <s v="T"/>
    <n v="2"/>
    <m/>
    <m/>
    <m/>
    <m/>
    <m/>
    <m/>
    <m/>
    <m/>
    <m/>
  </r>
  <r>
    <x v="247"/>
    <x v="1"/>
    <s v="S"/>
    <s v="IMM"/>
    <x v="1"/>
    <n v="53"/>
    <n v="49"/>
    <n v="2.2589999999999999"/>
    <n v="4.5999999999999999E-2"/>
    <n v="4.7E-2"/>
    <s v="F23"/>
    <x v="0"/>
    <n v="23"/>
    <n v="0.14499999999999999"/>
    <n v="0.13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8/5/2021"/>
    <s v="18"/>
    <s v="5"/>
    <s v="2021"/>
    <x v="13"/>
    <n v="138"/>
    <x v="9"/>
    <m/>
    <n v="2.1247739602169986"/>
    <n v="2.0786262991414368"/>
    <n v="2.1237303785780242E-2"/>
    <n v="6.1061531235321747"/>
    <n v="0.66401062416998613"/>
    <n v="0.66401062416998613"/>
    <s v="T"/>
    <n v="2"/>
    <m/>
    <m/>
    <m/>
    <m/>
    <m/>
    <m/>
    <m/>
    <m/>
    <m/>
  </r>
  <r>
    <x v="248"/>
    <x v="1"/>
    <s v="I"/>
    <s v="B"/>
    <x v="1"/>
    <n v="128"/>
    <n v="122"/>
    <n v="45.776000000000003"/>
    <n v="1.4870000000000001"/>
    <n v="6.5090000000000003"/>
    <s v="F30"/>
    <x v="0"/>
    <n v="30"/>
    <n v="3.2970000000000002"/>
    <n v="2.145"/>
    <s v="1 pump: 0.993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0.99299999999999999"/>
    <m/>
    <m/>
    <m/>
    <m/>
    <n v="0.99299999999999999"/>
    <s v="18/5/2021"/>
    <s v="18"/>
    <s v="5"/>
    <s v="2021"/>
    <x v="13"/>
    <n v="138"/>
    <x v="9"/>
    <m/>
    <n v="16.57625996383732"/>
    <n v="3.357492831177042"/>
    <n v="3.9359449444150346E-2"/>
    <n v="4.9162292865164678"/>
    <n v="2.5166025865082138"/>
    <n v="4.685861586857742"/>
    <s v="T"/>
    <n v="2"/>
    <m/>
    <m/>
    <m/>
    <m/>
    <m/>
    <m/>
    <m/>
    <m/>
    <m/>
  </r>
  <r>
    <x v="249"/>
    <x v="1"/>
    <s v="I"/>
    <s v="B"/>
    <x v="1"/>
    <n v="124"/>
    <n v="119"/>
    <n v="42.866"/>
    <n v="0.86099999999999999"/>
    <n v="5.8999999999999997E-2"/>
    <s v="M30"/>
    <x v="2"/>
    <n v="30"/>
    <n v="2.1579999999999999"/>
    <n v="1.845"/>
    <s v="2 odo: 0.228"/>
    <s v="F"/>
    <m/>
    <m/>
    <m/>
    <m/>
    <m/>
    <m/>
    <m/>
    <m/>
    <m/>
    <m/>
    <m/>
    <m/>
    <m/>
    <m/>
    <m/>
    <m/>
    <m/>
    <m/>
    <m/>
    <m/>
    <m/>
    <m/>
    <m/>
    <m/>
    <n v="2"/>
    <n v="0.22800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22800000000000001"/>
    <s v="18/5/2021"/>
    <s v="18"/>
    <s v="5"/>
    <s v="2021"/>
    <x v="13"/>
    <n v="138"/>
    <x v="9"/>
    <m/>
    <n v="0.13782792533931365"/>
    <n v="2.0497559814307817"/>
    <n v="2.0526391074238304E-2"/>
    <n v="4.4976963018941518"/>
    <n v="0.73018242896468055"/>
    <n v="1.2620725050156298"/>
    <s v="T"/>
    <n v="2"/>
    <m/>
    <m/>
    <m/>
    <m/>
    <m/>
    <m/>
    <m/>
    <m/>
    <m/>
  </r>
  <r>
    <x v="250"/>
    <x v="1"/>
    <s v="I"/>
    <s v="I"/>
    <x v="0"/>
    <n v="109"/>
    <n v="104"/>
    <n v="24.459"/>
    <n v="0.318"/>
    <n v="0.34399999999999997"/>
    <s v="M30"/>
    <x v="2"/>
    <n v="30"/>
    <n v="2.2549999999999999"/>
    <n v="1.2150000000000001"/>
    <s v="1 pump: 0.925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0.92500000000000004"/>
    <m/>
    <m/>
    <m/>
    <m/>
    <n v="0.92500000000000004"/>
    <s v="18/5/2021"/>
    <s v="18"/>
    <s v="5"/>
    <s v="2021"/>
    <x v="13"/>
    <n v="138"/>
    <x v="9"/>
    <m/>
    <n v="1.426498030271615"/>
    <n v="1.3172610910898472"/>
    <n v="1.3363028953229401E-2"/>
    <n v="5.2271553949406302"/>
    <n v="4.2520135737356384"/>
    <n v="8.0338525696062799"/>
    <s v="T"/>
    <n v="2"/>
    <m/>
    <m/>
    <m/>
    <m/>
    <m/>
    <m/>
    <m/>
    <m/>
    <m/>
  </r>
  <r>
    <x v="251"/>
    <x v="1"/>
    <s v="I"/>
    <s v="I"/>
    <x v="0"/>
    <n v="94"/>
    <n v="88"/>
    <n v="16.550999999999998"/>
    <n v="0.437"/>
    <n v="1.7170000000000001"/>
    <s v="F30"/>
    <x v="0"/>
    <n v="30"/>
    <n v="0.88500000000000001"/>
    <n v="0.78"/>
    <s v="8 chiro: 0.045; 2 damsel: 0.021"/>
    <s v="F"/>
    <m/>
    <m/>
    <m/>
    <m/>
    <m/>
    <m/>
    <m/>
    <m/>
    <m/>
    <m/>
    <m/>
    <m/>
    <m/>
    <m/>
    <m/>
    <m/>
    <m/>
    <m/>
    <m/>
    <m/>
    <m/>
    <m/>
    <m/>
    <m/>
    <m/>
    <m/>
    <n v="2"/>
    <n v="2.1000000000000001E-2"/>
    <m/>
    <m/>
    <n v="8"/>
    <n v="4.4999999999999998E-2"/>
    <m/>
    <m/>
    <m/>
    <m/>
    <m/>
    <m/>
    <m/>
    <m/>
    <m/>
    <m/>
    <m/>
    <m/>
    <m/>
    <m/>
    <m/>
    <m/>
    <m/>
    <m/>
    <m/>
    <m/>
    <m/>
    <m/>
    <m/>
    <m/>
    <n v="6.6000000000000003E-2"/>
    <s v="18/5/2021"/>
    <s v="18"/>
    <s v="5"/>
    <s v="2021"/>
    <x v="13"/>
    <n v="138"/>
    <x v="9"/>
    <m/>
    <n v="11.57476068491304"/>
    <n v="2.7119275164453276"/>
    <n v="3.0353545877613398E-2"/>
    <n v="4.945786570287237"/>
    <n v="0.63440275512053645"/>
    <n v="1.0331702011963024"/>
    <s v="T"/>
    <n v="1"/>
    <m/>
    <m/>
    <m/>
    <m/>
    <m/>
    <m/>
    <m/>
    <m/>
    <m/>
  </r>
  <r>
    <x v="252"/>
    <x v="1"/>
    <s v="I"/>
    <s v="I"/>
    <x v="0"/>
    <n v="88"/>
    <n v="83"/>
    <n v="13.433999999999999"/>
    <n v="0.33"/>
    <n v="2.27"/>
    <s v="F30"/>
    <x v="0"/>
    <n v="30"/>
    <n v="0.52100000000000002"/>
    <n v="0.496"/>
    <s v="5 chiro: 0.008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n v="8.0000000000000002E-3"/>
    <m/>
    <m/>
    <m/>
    <m/>
    <m/>
    <m/>
    <m/>
    <m/>
    <m/>
    <m/>
    <m/>
    <m/>
    <m/>
    <m/>
    <m/>
    <m/>
    <m/>
    <m/>
    <m/>
    <m/>
    <m/>
    <m/>
    <m/>
    <m/>
    <n v="8.0000000000000002E-3"/>
    <s v="18/5/2021"/>
    <s v="18"/>
    <s v="5"/>
    <s v="2021"/>
    <x v="13"/>
    <n v="138"/>
    <x v="9"/>
    <m/>
    <n v="20.333213901827303"/>
    <n v="2.5183150183150187"/>
    <n v="3.0459664020675653E-2"/>
    <n v="3.8336682640284434"/>
    <n v="0.18609498287926174"/>
    <n v="0.24564537740062545"/>
    <s v="T"/>
    <n v="1"/>
    <n v="0"/>
    <n v="0"/>
    <n v="2"/>
    <n v="0"/>
    <n v="8.6E-3"/>
    <n v="0.83389896247454676"/>
    <n v="5.819"/>
    <n v="89.93500586699632"/>
    <n v="161.26223364057614"/>
  </r>
  <r>
    <x v="253"/>
    <x v="1"/>
    <s v="I"/>
    <s v="S"/>
    <x v="0"/>
    <n v="65"/>
    <n v="62"/>
    <n v="5.0910000000000002"/>
    <n v="0.14099999999999999"/>
    <n v="0.28199999999999997"/>
    <s v="F30"/>
    <x v="0"/>
    <n v="30"/>
    <n v="0.379"/>
    <n v="0.27300000000000002"/>
    <s v="~200 zoops: 0.083"/>
    <s v="F"/>
    <m/>
    <m/>
    <m/>
    <m/>
    <m/>
    <m/>
    <m/>
    <m/>
    <m/>
    <m/>
    <m/>
    <m/>
    <m/>
    <m/>
    <m/>
    <m/>
    <m/>
    <m/>
    <m/>
    <m/>
    <m/>
    <m/>
    <n v="200"/>
    <n v="8.3000000000000004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.3000000000000004E-2"/>
    <s v="18/5/2021"/>
    <s v="18"/>
    <s v="5"/>
    <s v="2021"/>
    <x v="13"/>
    <n v="138"/>
    <x v="9"/>
    <m/>
    <n v="5.8640049906425444"/>
    <n v="2.8484848484848482"/>
    <n v="3.0205655526992285E-2"/>
    <n v="5.6662515566625151"/>
    <n v="2.0821056766843444"/>
    <n v="3.7124337065409545"/>
    <s v="T"/>
    <n v="2"/>
    <n v="0"/>
    <n v="4"/>
    <n v="2"/>
    <n v="0"/>
    <n v="1.6500000000000001E-2"/>
    <n v="3.8470505945441831"/>
    <n v="7.125"/>
    <n v="89.56026856074817"/>
    <n v="143.51262084014627"/>
  </r>
  <r>
    <x v="254"/>
    <x v="1"/>
    <s v="I"/>
    <s v="IMM"/>
    <x v="0"/>
    <n v="64"/>
    <n v="61"/>
    <n v="4.38"/>
    <n v="5.2999999999999999E-2"/>
    <n v="0.16200000000000001"/>
    <s v="F30"/>
    <x v="0"/>
    <n v="30"/>
    <n v="0.23300000000000001"/>
    <n v="0.186"/>
    <s v="~100 zoops: 0.083"/>
    <s v="F"/>
    <m/>
    <m/>
    <m/>
    <m/>
    <m/>
    <m/>
    <m/>
    <m/>
    <m/>
    <m/>
    <m/>
    <m/>
    <m/>
    <m/>
    <m/>
    <m/>
    <m/>
    <m/>
    <m/>
    <m/>
    <m/>
    <m/>
    <n v="100"/>
    <n v="8.3000000000000004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.3000000000000004E-2"/>
    <s v="18/5/2021"/>
    <s v="18"/>
    <s v="5"/>
    <s v="2021"/>
    <x v="13"/>
    <n v="138"/>
    <x v="9"/>
    <m/>
    <n v="3.8406827880512093"/>
    <n v="1.2248671134735383"/>
    <n v="1.2725090036014405E-2"/>
    <n v="4.4349070100143066"/>
    <n v="1.073059360730594"/>
    <n v="2.9680365296803655"/>
    <s v="T"/>
    <n v="1"/>
    <n v="0"/>
    <n v="1"/>
    <n v="0"/>
    <n v="0"/>
    <n v="6.0000000000000001E-3"/>
    <n v="1.5259409969481179"/>
    <n v="6.3579999999999997"/>
    <m/>
    <m/>
  </r>
  <r>
    <x v="255"/>
    <x v="1"/>
    <s v="I"/>
    <s v="S"/>
    <x v="0"/>
    <n v="66"/>
    <n v="62"/>
    <n v="4.9080000000000004"/>
    <n v="7.1999999999999995E-2"/>
    <n v="0.25700000000000001"/>
    <s v="M30"/>
    <x v="2"/>
    <n v="30"/>
    <n v="0.23300000000000001"/>
    <n v="0.19900000000000001"/>
    <s v="~40 zoops: 0.022"/>
    <s v="F"/>
    <m/>
    <m/>
    <m/>
    <m/>
    <m/>
    <m/>
    <m/>
    <m/>
    <m/>
    <m/>
    <m/>
    <m/>
    <m/>
    <m/>
    <m/>
    <m/>
    <m/>
    <m/>
    <m/>
    <m/>
    <m/>
    <m/>
    <n v="40"/>
    <n v="2.1999999999999999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.1999999999999999E-2"/>
    <s v="18/5/2021"/>
    <s v="18"/>
    <s v="5"/>
    <s v="2021"/>
    <x v="13"/>
    <n v="138"/>
    <x v="9"/>
    <m/>
    <n v="5.5256933992689738"/>
    <n v="1.4888337468982629"/>
    <n v="1.5723957195894298E-2"/>
    <n v="4.2259503079210026"/>
    <n v="0.69274653626731864"/>
    <n v="1.1409942950285248"/>
    <s v="T"/>
    <m/>
    <m/>
    <m/>
    <m/>
    <m/>
    <m/>
    <m/>
    <m/>
    <m/>
    <m/>
  </r>
  <r>
    <x v="256"/>
    <x v="1"/>
    <s v="I"/>
    <s v="B"/>
    <x v="1"/>
    <n v="126"/>
    <n v="120"/>
    <n v="40.908000000000001"/>
    <n v="1.056"/>
    <n v="2.2679999999999998"/>
    <s v="F30"/>
    <x v="0"/>
    <n v="30"/>
    <n v="2.653"/>
    <n v="1.6919999999999999"/>
    <s v="1 pump: 0.811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0.81100000000000005"/>
    <m/>
    <m/>
    <m/>
    <m/>
    <n v="0.81100000000000005"/>
    <d v="2021-06-06T00:00:00"/>
    <n v="6"/>
    <n v="6"/>
    <n v="2021"/>
    <x v="14"/>
    <n v="157"/>
    <x v="10"/>
    <m/>
    <n v="5.8695652173913038"/>
    <n v="2.6498042758205358"/>
    <n v="2.8097062579821201E-2"/>
    <n v="4.314565483476132"/>
    <n v="2.3491737557445975"/>
    <n v="4.3316710667840033"/>
    <s v="T"/>
    <n v="3"/>
    <m/>
    <m/>
    <m/>
    <m/>
    <m/>
    <m/>
    <m/>
    <m/>
    <m/>
  </r>
  <r>
    <x v="257"/>
    <x v="1"/>
    <s v="I"/>
    <s v="B"/>
    <x v="1"/>
    <n v="141"/>
    <n v="133"/>
    <n v="60.497"/>
    <n v="0.97299999999999998"/>
    <n v="0.72699999999999998"/>
    <s v="M30"/>
    <x v="2"/>
    <n v="30"/>
    <n v="2.6190000000000002"/>
    <n v="2.5750000000000002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1-06-06T00:00:00"/>
    <n v="6"/>
    <n v="6"/>
    <n v="2021"/>
    <x v="14"/>
    <n v="157"/>
    <x v="10"/>
    <m/>
    <n v="1.2163292621716579"/>
    <n v="1.6346347691687386"/>
    <n v="1.6548463356973995E-2"/>
    <n v="4.4456337833638342"/>
    <n v="7.2730879217151323E-2"/>
    <n v="7.2730879217151323E-2"/>
    <s v="T"/>
    <n v="3"/>
    <m/>
    <m/>
    <m/>
    <m/>
    <m/>
    <m/>
    <m/>
    <m/>
    <m/>
  </r>
  <r>
    <x v="258"/>
    <x v="1"/>
    <s v="I"/>
    <s v="I"/>
    <x v="0"/>
    <n v="101"/>
    <n v="95"/>
    <n v="18.495000000000001"/>
    <n v="0.378"/>
    <n v="2.2210000000000001"/>
    <s v="F30"/>
    <x v="0"/>
    <n v="30"/>
    <n v="0.79100000000000004"/>
    <n v="0.63500000000000001"/>
    <s v="1 mayfly: 0.041; 1 odo: 0.084"/>
    <s v="F"/>
    <m/>
    <m/>
    <m/>
    <m/>
    <m/>
    <m/>
    <m/>
    <m/>
    <m/>
    <m/>
    <m/>
    <m/>
    <m/>
    <m/>
    <m/>
    <m/>
    <m/>
    <m/>
    <m/>
    <m/>
    <m/>
    <m/>
    <m/>
    <m/>
    <n v="1"/>
    <n v="8.4000000000000005E-2"/>
    <m/>
    <m/>
    <m/>
    <m/>
    <m/>
    <m/>
    <m/>
    <m/>
    <m/>
    <m/>
    <m/>
    <m/>
    <n v="1"/>
    <n v="4.1000000000000002E-2"/>
    <m/>
    <m/>
    <m/>
    <m/>
    <m/>
    <m/>
    <m/>
    <m/>
    <m/>
    <m/>
    <m/>
    <m/>
    <m/>
    <m/>
    <m/>
    <m/>
    <n v="0.125"/>
    <d v="2021-06-06T00:00:00"/>
    <n v="6"/>
    <n v="6"/>
    <n v="2021"/>
    <x v="14"/>
    <n v="157"/>
    <x v="10"/>
    <m/>
    <n v="13.647535946909182"/>
    <n v="2.0864381520119224"/>
    <n v="2.3779567186713639E-2"/>
    <n v="3.555431131019037"/>
    <n v="0.84347120843471213"/>
    <n v="1.5193295485266289"/>
    <s v="T"/>
    <n v="2"/>
    <m/>
    <m/>
    <m/>
    <m/>
    <n v="1.4500000000000001E-2"/>
    <n v="0.95994703740483289"/>
    <m/>
    <m/>
    <m/>
  </r>
  <r>
    <x v="259"/>
    <x v="1"/>
    <s v="I"/>
    <s v="B"/>
    <x v="1"/>
    <n v="125"/>
    <n v="115"/>
    <n v="40.476999999999997"/>
    <n v="0.69899999999999995"/>
    <n v="4.3360000000000003"/>
    <s v="F30"/>
    <x v="0"/>
    <n v="30"/>
    <n v="1.5209999999999999"/>
    <n v="1.5009999999999999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1-06-06T00:00:00"/>
    <n v="6"/>
    <n v="6"/>
    <n v="2021"/>
    <x v="14"/>
    <n v="157"/>
    <x v="10"/>
    <m/>
    <n v="11.997454414653719"/>
    <n v="1.7572527527779176"/>
    <n v="1.9722363297782292E-2"/>
    <n v="3.8510878489326763"/>
    <n v="4.9410776490352595E-2"/>
    <n v="4.9410776490352595E-2"/>
    <s v="T"/>
    <n v="3"/>
    <m/>
    <m/>
    <m/>
    <m/>
    <m/>
    <m/>
    <m/>
    <m/>
    <m/>
  </r>
  <r>
    <x v="260"/>
    <x v="1"/>
    <s v="I"/>
    <s v="S"/>
    <x v="0"/>
    <n v="83"/>
    <n v="78"/>
    <n v="10.515000000000001"/>
    <n v="0.16900000000000001"/>
    <n v="0.57199999999999995"/>
    <s v="F30"/>
    <x v="0"/>
    <n v="30"/>
    <n v="0.314"/>
    <n v="0.29899999999999999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1-06-06T00:00:00"/>
    <n v="6"/>
    <n v="6"/>
    <n v="2021"/>
    <x v="14"/>
    <n v="157"/>
    <x v="10"/>
    <m/>
    <n v="5.7527909081766051"/>
    <n v="1.6334815387589408"/>
    <n v="1.7290771434417842E-2"/>
    <n v="2.926781519185591"/>
    <n v="0.14265335235378043"/>
    <n v="0.14265335235378043"/>
    <s v="T"/>
    <n v="2"/>
    <m/>
    <m/>
    <m/>
    <m/>
    <m/>
    <m/>
    <m/>
    <m/>
    <m/>
  </r>
  <r>
    <x v="261"/>
    <x v="1"/>
    <s v="I"/>
    <s v="S"/>
    <x v="0"/>
    <n v="78"/>
    <n v="74"/>
    <n v="9.9920000000000009"/>
    <n v="0.33100000000000002"/>
    <n v="1.5029999999999999"/>
    <s v="F30"/>
    <x v="0"/>
    <n v="30"/>
    <n v="0.48099999999999998"/>
    <n v="0.29299999999999998"/>
    <s v="6 inverts: 0.126; 1 chiro: 0.009"/>
    <s v="F"/>
    <m/>
    <m/>
    <n v="6"/>
    <n v="0.126"/>
    <m/>
    <m/>
    <m/>
    <m/>
    <m/>
    <m/>
    <m/>
    <m/>
    <m/>
    <m/>
    <m/>
    <m/>
    <m/>
    <m/>
    <m/>
    <m/>
    <m/>
    <m/>
    <m/>
    <m/>
    <m/>
    <m/>
    <m/>
    <m/>
    <m/>
    <m/>
    <n v="1"/>
    <n v="8.9999999999999993E-3"/>
    <m/>
    <m/>
    <m/>
    <m/>
    <m/>
    <m/>
    <m/>
    <m/>
    <m/>
    <m/>
    <m/>
    <m/>
    <m/>
    <m/>
    <m/>
    <m/>
    <m/>
    <m/>
    <m/>
    <m/>
    <m/>
    <m/>
    <m/>
    <m/>
    <n v="0.13500000000000001"/>
    <d v="2021-06-06T00:00:00"/>
    <n v="6"/>
    <n v="6"/>
    <n v="2021"/>
    <x v="14"/>
    <n v="157"/>
    <x v="10"/>
    <m/>
    <n v="17.705265637884317"/>
    <n v="3.4261463616602832"/>
    <n v="4.0573670017161063E-2"/>
    <n v="3.0209299927827606"/>
    <n v="1.8815052041633307"/>
    <n v="3.2325860688550838"/>
    <s v="T"/>
    <n v="1"/>
    <m/>
    <m/>
    <m/>
    <m/>
    <n v="2.3599999999999999E-2"/>
    <n v="3.074117493812687"/>
    <m/>
    <m/>
    <m/>
  </r>
  <r>
    <x v="262"/>
    <x v="1"/>
    <s v="I"/>
    <s v="I"/>
    <x v="0"/>
    <n v="104"/>
    <n v="99"/>
    <n v="19.363"/>
    <n v="0.33600000000000002"/>
    <n v="1.546"/>
    <s v="F30"/>
    <x v="0"/>
    <n v="30"/>
    <n v="0.754"/>
    <n v="0.74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1-06-06T00:00:00"/>
    <n v="6"/>
    <n v="6"/>
    <n v="2021"/>
    <x v="14"/>
    <n v="157"/>
    <x v="10"/>
    <m/>
    <n v="8.6771061345905593"/>
    <n v="1.7659115993062489"/>
    <n v="1.9220868371374634E-2"/>
    <n v="3.9735810556838316"/>
    <n v="7.2302845633424637E-2"/>
    <n v="7.2302845633424637E-2"/>
    <s v="T"/>
    <n v="2"/>
    <m/>
    <m/>
    <m/>
    <m/>
    <n v="8.9999999999999998E-4"/>
    <n v="5.3805225085191602E-2"/>
    <m/>
    <m/>
    <m/>
  </r>
  <r>
    <x v="263"/>
    <x v="1"/>
    <s v="I"/>
    <s v="S"/>
    <x v="0"/>
    <n v="76"/>
    <n v="72"/>
    <n v="7.6589999999999998"/>
    <n v="9.2999999999999999E-2"/>
    <n v="3.2000000000000001E-2"/>
    <s v="M30"/>
    <x v="2"/>
    <n v="30"/>
    <n v="0.38600000000000001"/>
    <n v="0.255"/>
    <s v="~10 chiro: 0.103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0"/>
    <n v="0.10299999999999999"/>
    <m/>
    <m/>
    <m/>
    <m/>
    <m/>
    <m/>
    <m/>
    <m/>
    <m/>
    <m/>
    <m/>
    <m/>
    <m/>
    <m/>
    <m/>
    <m/>
    <m/>
    <m/>
    <m/>
    <m/>
    <m/>
    <m/>
    <m/>
    <m/>
    <n v="0.10299999999999999"/>
    <d v="2021-06-06T00:00:00"/>
    <n v="6"/>
    <n v="6"/>
    <n v="2021"/>
    <x v="14"/>
    <n v="157"/>
    <x v="10"/>
    <m/>
    <n v="0.41956208207683238"/>
    <n v="1.2291831879460746"/>
    <n v="1.2344040350411468E-2"/>
    <n v="3.4440842787682335"/>
    <n v="1.7104060582321452"/>
    <n v="3.0552291421856639"/>
    <s v="T"/>
    <n v="2"/>
    <m/>
    <m/>
    <m/>
    <m/>
    <m/>
    <m/>
    <m/>
    <m/>
    <m/>
  </r>
  <r>
    <x v="264"/>
    <x v="1"/>
    <s v="I"/>
    <s v="IMM"/>
    <x v="0"/>
    <n v="62"/>
    <n v="59"/>
    <n v="4.3860000000000001"/>
    <n v="7.0999999999999994E-2"/>
    <n v="0.159"/>
    <s v="M30"/>
    <x v="2"/>
    <n v="30"/>
    <n v="0.182"/>
    <n v="0.13700000000000001"/>
    <s v="8 chiro: 0.034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"/>
    <n v="3.4000000000000002E-2"/>
    <m/>
    <m/>
    <m/>
    <m/>
    <m/>
    <m/>
    <m/>
    <m/>
    <m/>
    <m/>
    <m/>
    <m/>
    <m/>
    <m/>
    <m/>
    <m/>
    <m/>
    <m/>
    <m/>
    <m/>
    <m/>
    <m/>
    <m/>
    <m/>
    <n v="3.4000000000000002E-2"/>
    <d v="2021-06-06T00:00:00"/>
    <n v="6"/>
    <n v="6"/>
    <n v="2021"/>
    <x v="14"/>
    <n v="157"/>
    <x v="10"/>
    <m/>
    <n v="3.7615330021291693"/>
    <n v="1.6454229432213208"/>
    <n v="1.7083734359961498E-2"/>
    <n v="3.224288067780654"/>
    <n v="1.0259917920656632"/>
    <n v="1.8011855905152756"/>
    <s v="T"/>
    <n v="1"/>
    <m/>
    <m/>
    <m/>
    <m/>
    <m/>
    <m/>
    <m/>
    <m/>
    <m/>
  </r>
  <r>
    <x v="265"/>
    <x v="1"/>
    <s v="I"/>
    <s v="S"/>
    <x v="0"/>
    <n v="66"/>
    <n v="62"/>
    <n v="5.3479999999999999"/>
    <n v="0.112"/>
    <n v="0.71399999999999997"/>
    <s v="F30"/>
    <x v="0"/>
    <n v="30"/>
    <n v="0.23100000000000001"/>
    <n v="0.19900000000000001"/>
    <s v="~30 zoops: 0.019"/>
    <s v="F"/>
    <m/>
    <m/>
    <m/>
    <m/>
    <m/>
    <m/>
    <m/>
    <m/>
    <m/>
    <m/>
    <m/>
    <m/>
    <m/>
    <m/>
    <m/>
    <m/>
    <m/>
    <m/>
    <m/>
    <m/>
    <m/>
    <m/>
    <n v="30"/>
    <n v="1.9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.9E-2"/>
    <d v="2021-06-06T00:00:00"/>
    <n v="6"/>
    <n v="6"/>
    <n v="2021"/>
    <x v="14"/>
    <n v="157"/>
    <x v="10"/>
    <m/>
    <n v="15.407854984894259"/>
    <n v="2.1390374331550803"/>
    <n v="2.4767801857585137E-2"/>
    <n v="3.8648281219654299"/>
    <n v="0.59835452505609577"/>
    <n v="0.95362752430815279"/>
    <s v="T"/>
    <n v="1"/>
    <m/>
    <m/>
    <m/>
    <m/>
    <m/>
    <m/>
    <m/>
    <m/>
    <m/>
  </r>
  <r>
    <x v="266"/>
    <x v="1"/>
    <s v="S"/>
    <s v="IMM"/>
    <x v="1"/>
    <n v="58"/>
    <n v="55"/>
    <n v="3.2930000000000001"/>
    <n v="5.2999999999999999E-2"/>
    <n v="0.14599999999999999"/>
    <s v="M30"/>
    <x v="2"/>
    <n v="30"/>
    <n v="0.153"/>
    <n v="0.114"/>
    <s v="2 inverts: 0.018"/>
    <s v="F"/>
    <m/>
    <m/>
    <n v="2"/>
    <n v="1.7999999999999999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.7999999999999999E-2"/>
    <d v="2021-06-06T00:00:00"/>
    <n v="6"/>
    <n v="6"/>
    <n v="2021"/>
    <x v="14"/>
    <n v="157"/>
    <x v="10"/>
    <m/>
    <n v="4.6393390530664114"/>
    <n v="1.6358024691358022"/>
    <n v="1.7129928894634775E-2"/>
    <n v="3.5860333438188103"/>
    <n v="1.1843303978135438"/>
    <n v="1.730944427573641"/>
    <s v="T"/>
    <n v="1"/>
    <m/>
    <m/>
    <m/>
    <m/>
    <m/>
    <m/>
    <m/>
    <m/>
    <m/>
  </r>
  <r>
    <x v="267"/>
    <x v="1"/>
    <s v="I"/>
    <s v="I"/>
    <x v="0"/>
    <n v="93"/>
    <n v="89"/>
    <n v="15.035"/>
    <n v="0.11899999999999999"/>
    <n v="0.11799999999999999"/>
    <s v="M30"/>
    <x v="2"/>
    <n v="30"/>
    <n v="0.59799999999999998"/>
    <n v="0.42299999999999999"/>
    <s v="3 inverts: 0.114"/>
    <s v="F"/>
    <m/>
    <m/>
    <n v="3"/>
    <n v="0.1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114"/>
    <d v="2021-06-06T00:00:00"/>
    <n v="6"/>
    <n v="6"/>
    <n v="2021"/>
    <x v="14"/>
    <n v="157"/>
    <x v="10"/>
    <m/>
    <n v="0.79104377555808802"/>
    <n v="0.79780101903995704"/>
    <n v="8.0416272469252606E-3"/>
    <n v="2.8948809197919516"/>
    <n v="1.1639507815098105"/>
    <n v="1.9221815763219154"/>
    <s v="T"/>
    <n v="1"/>
    <m/>
    <m/>
    <m/>
    <m/>
    <m/>
    <m/>
    <m/>
    <m/>
    <m/>
  </r>
  <r>
    <x v="268"/>
    <x v="1"/>
    <s v="I"/>
    <s v="I"/>
    <x v="0"/>
    <n v="98"/>
    <n v="94"/>
    <n v="17.760999999999999"/>
    <n v="0.31"/>
    <n v="0.121"/>
    <s v="M30"/>
    <x v="2"/>
    <n v="30"/>
    <n v="0.86799999999999999"/>
    <n v="0.76"/>
    <s v="1 Inverts: 0.07"/>
    <s v="F"/>
    <m/>
    <m/>
    <n v="1"/>
    <n v="7.0000000000000007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.0000000000000007E-2"/>
    <d v="2021-06-06T00:00:00"/>
    <n v="6"/>
    <n v="6"/>
    <n v="2021"/>
    <x v="14"/>
    <n v="157"/>
    <x v="10"/>
    <m/>
    <n v="0.68594104308390014"/>
    <n v="1.7764024984241591"/>
    <n v="1.7888055395268318E-2"/>
    <n v="4.4703252749838249"/>
    <n v="0.60807386971454302"/>
    <n v="1.0021958223073024"/>
    <s v="T"/>
    <n v="1"/>
    <m/>
    <m/>
    <m/>
    <m/>
    <m/>
    <m/>
    <m/>
    <m/>
    <m/>
  </r>
  <r>
    <x v="269"/>
    <x v="1"/>
    <s v="I"/>
    <s v="S"/>
    <x v="0"/>
    <n v="66"/>
    <n v="62"/>
    <n v="5.101"/>
    <n v="8.4000000000000005E-2"/>
    <n v="0.13900000000000001"/>
    <s v="F30"/>
    <x v="0"/>
    <n v="30"/>
    <n v="0.23"/>
    <n v="0.20399999999999999"/>
    <s v="2 chiro: 0.008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8.0000000000000002E-3"/>
    <m/>
    <m/>
    <m/>
    <m/>
    <m/>
    <m/>
    <m/>
    <m/>
    <m/>
    <m/>
    <m/>
    <m/>
    <m/>
    <m/>
    <m/>
    <m/>
    <m/>
    <m/>
    <m/>
    <m/>
    <m/>
    <m/>
    <m/>
    <m/>
    <n v="8.0000000000000002E-3"/>
    <d v="2021-06-06T00:00:00"/>
    <n v="6"/>
    <n v="6"/>
    <n v="2021"/>
    <x v="14"/>
    <n v="157"/>
    <x v="10"/>
    <m/>
    <n v="2.8012898024989927"/>
    <n v="1.6743073549930236"/>
    <n v="1.7220172201722016E-2"/>
    <n v="4.1658158055952619"/>
    <n v="0.50970397961184133"/>
    <n v="0.66653597333856152"/>
    <s v="T"/>
    <n v="1"/>
    <m/>
    <m/>
    <m/>
    <m/>
    <n v="1.26E-2"/>
    <n v="2.7108433734939763"/>
    <m/>
    <m/>
    <m/>
  </r>
  <r>
    <x v="270"/>
    <x v="1"/>
    <s v="I"/>
    <s v="I"/>
    <x v="0"/>
    <n v="86"/>
    <n v="83"/>
    <n v="11.301"/>
    <n v="0.19500000000000001"/>
    <n v="0.80800000000000005"/>
    <s v="F30"/>
    <x v="0"/>
    <n v="30"/>
    <n v="0.40699999999999997"/>
    <n v="0.36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1-06-06T00:00:00"/>
    <n v="6"/>
    <n v="6"/>
    <n v="2021"/>
    <x v="14"/>
    <n v="157"/>
    <x v="10"/>
    <m/>
    <n v="7.7003716763556662"/>
    <n v="1.7558076715289035"/>
    <n v="1.8935715672946205E-2"/>
    <n v="3.2903756512201809"/>
    <n v="0.41589239890275181"/>
    <n v="0.41589239890275181"/>
    <s v="T"/>
    <n v="2"/>
    <m/>
    <m/>
    <m/>
    <m/>
    <m/>
    <m/>
    <m/>
    <m/>
    <m/>
  </r>
  <r>
    <x v="271"/>
    <x v="1"/>
    <s v="I"/>
    <s v="S"/>
    <x v="0"/>
    <n v="70"/>
    <n v="66"/>
    <n v="6.3460000000000001"/>
    <n v="0.13400000000000001"/>
    <n v="0.79100000000000004"/>
    <s v="F30"/>
    <x v="0"/>
    <n v="30"/>
    <n v="0.2"/>
    <n v="0.184"/>
    <s v="1 inverts: 0.003"/>
    <s v="F"/>
    <m/>
    <m/>
    <n v="1"/>
    <n v="3.0000000000000001E-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.0000000000000001E-3"/>
    <d v="2021-06-06T00:00:00"/>
    <n v="6"/>
    <n v="6"/>
    <n v="2021"/>
    <x v="14"/>
    <n v="157"/>
    <x v="10"/>
    <m/>
    <n v="14.239423942394241"/>
    <n v="2.1571152607855764"/>
    <n v="2.471868658919019E-2"/>
    <n v="2.9860434923726062"/>
    <n v="0.2521273242987711"/>
    <n v="0.29940119760479061"/>
    <s v="T"/>
    <n v="1"/>
    <m/>
    <m/>
    <m/>
    <m/>
    <n v="2.5000000000000001E-3"/>
    <n v="0.47883547213177563"/>
    <m/>
    <m/>
    <m/>
  </r>
  <r>
    <x v="272"/>
    <x v="1"/>
    <s v="I"/>
    <s v="B"/>
    <x v="1"/>
    <n v="129"/>
    <n v="120"/>
    <n v="42.198"/>
    <n v="0.72199999999999998"/>
    <n v="1.92"/>
    <s v="F30"/>
    <x v="0"/>
    <n v="30"/>
    <n v="1.9470000000000001"/>
    <n v="1.871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2/6/2021"/>
    <s v="22"/>
    <s v="6"/>
    <s v="2021"/>
    <x v="15"/>
    <n v="173"/>
    <x v="11"/>
    <s v="main"/>
    <n v="4.7668702517503352"/>
    <n v="1.7407657440447488"/>
    <n v="1.825260390332693E-2"/>
    <n v="4.6395715029632756"/>
    <n v="0.18010332243234292"/>
    <n v="0.18010332243234292"/>
    <s v="T"/>
    <n v="2"/>
    <m/>
    <m/>
    <m/>
    <m/>
    <m/>
    <m/>
    <m/>
    <m/>
    <m/>
  </r>
  <r>
    <x v="273"/>
    <x v="1"/>
    <s v="I"/>
    <s v="B"/>
    <x v="1"/>
    <n v="140"/>
    <n v="133"/>
    <n v="54.679000000000002"/>
    <n v="0.93200000000000005"/>
    <n v="2.544"/>
    <s v="F30"/>
    <x v="0"/>
    <n v="30"/>
    <n v="2.399"/>
    <n v="2.0950000000000002"/>
    <s v="Veg: 0.132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0.13200000000000001"/>
    <n v="0.13200000000000001"/>
    <s v="22/6/2021"/>
    <s v="22"/>
    <s v="6"/>
    <s v="2021"/>
    <x v="15"/>
    <n v="173"/>
    <x v="11"/>
    <s v="main"/>
    <n v="4.8796393977174644"/>
    <n v="1.7340502725733529"/>
    <n v="1.8202058473136339E-2"/>
    <n v="3.9841016278715959"/>
    <n v="0.55597212823936026"/>
    <n v="0.7973810786590827"/>
    <s v="T"/>
    <n v="3"/>
    <m/>
    <m/>
    <m/>
    <m/>
    <m/>
    <m/>
    <m/>
    <m/>
    <m/>
  </r>
  <r>
    <x v="274"/>
    <x v="1"/>
    <s v="I"/>
    <s v="B"/>
    <x v="1"/>
    <n v="119"/>
    <n v="113"/>
    <n v="32.362000000000002"/>
    <n v="0.4"/>
    <n v="0.41299999999999998"/>
    <s v="M30"/>
    <x v="2"/>
    <n v="30"/>
    <n v="1.155"/>
    <n v="1.0880000000000001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2/6/2021"/>
    <s v="22"/>
    <s v="6"/>
    <s v="2021"/>
    <x v="15"/>
    <n v="173"/>
    <x v="11"/>
    <s v="main"/>
    <n v="1.2926852170646967"/>
    <n v="1.2514861397910018"/>
    <n v="1.2678690291292909E-2"/>
    <n v="3.4789281831553365"/>
    <n v="0.20703293986774596"/>
    <n v="0.20703293986774596"/>
    <s v="T"/>
    <n v="1"/>
    <m/>
    <m/>
    <m/>
    <m/>
    <m/>
    <m/>
    <m/>
    <m/>
    <m/>
  </r>
  <r>
    <x v="275"/>
    <x v="1"/>
    <s v="I"/>
    <s v="B"/>
    <x v="1"/>
    <n v="127"/>
    <n v="121"/>
    <n v="39.896999999999998"/>
    <n v="0.39100000000000001"/>
    <n v="2.823"/>
    <s v="F30"/>
    <x v="0"/>
    <n v="30"/>
    <n v="1.431"/>
    <n v="1.349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2/6/2021"/>
    <s v="22"/>
    <s v="6"/>
    <s v="2021"/>
    <x v="15"/>
    <n v="173"/>
    <x v="11"/>
    <s v="main"/>
    <n v="7.6145007282731836"/>
    <n v="0.98972308003847509"/>
    <n v="1.0658888313387673E-2"/>
    <n v="3.4995330497042647"/>
    <n v="0.20552923778730248"/>
    <n v="0.20552923778730248"/>
    <s v="T"/>
    <n v="2"/>
    <m/>
    <m/>
    <m/>
    <m/>
    <m/>
    <m/>
    <m/>
    <m/>
    <m/>
  </r>
  <r>
    <x v="276"/>
    <x v="1"/>
    <s v="I"/>
    <s v="B"/>
    <x v="1"/>
    <n v="134"/>
    <n v="128"/>
    <n v="50.795000000000002"/>
    <n v="0.65500000000000003"/>
    <n v="0.39400000000000002"/>
    <s v="M30"/>
    <x v="2"/>
    <n v="30"/>
    <n v="2.5819999999999999"/>
    <n v="1.653"/>
    <s v="3 odo: 0.755"/>
    <s v="F"/>
    <m/>
    <m/>
    <m/>
    <m/>
    <m/>
    <m/>
    <m/>
    <m/>
    <m/>
    <m/>
    <m/>
    <m/>
    <m/>
    <m/>
    <m/>
    <m/>
    <m/>
    <m/>
    <m/>
    <m/>
    <m/>
    <m/>
    <m/>
    <m/>
    <n v="3"/>
    <n v="0.7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755"/>
    <s v="22/6/2021"/>
    <s v="22"/>
    <s v="6"/>
    <s v="2021"/>
    <x v="15"/>
    <n v="173"/>
    <x v="11"/>
    <s v="SC TAKEN main"/>
    <n v="0.78173052121981701"/>
    <n v="1.3063422417231751"/>
    <n v="1.3166887789973063E-2"/>
    <n v="3.3637214602580277"/>
    <n v="1.8289201693080022"/>
    <n v="3.3152869376907166"/>
    <s v="T"/>
    <n v="1"/>
    <m/>
    <m/>
    <m/>
    <m/>
    <m/>
    <m/>
    <m/>
    <m/>
    <m/>
  </r>
  <r>
    <x v="277"/>
    <x v="1"/>
    <s v="I"/>
    <s v="B"/>
    <x v="1"/>
    <n v="116"/>
    <n v="107"/>
    <n v="29.143999999999998"/>
    <n v="0.42299999999999999"/>
    <n v="2.3140000000000001"/>
    <s v="F30"/>
    <x v="0"/>
    <n v="30"/>
    <n v="1.8120000000000001"/>
    <n v="0.88"/>
    <s v="1 leech: 0.755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0.755"/>
    <m/>
    <m/>
    <m/>
    <m/>
    <m/>
    <m/>
    <m/>
    <m/>
    <m/>
    <m/>
    <m/>
    <m/>
    <m/>
    <m/>
    <n v="0.755"/>
    <s v="22/6/2021"/>
    <s v="22"/>
    <s v="6"/>
    <s v="2021"/>
    <x v="15"/>
    <n v="173"/>
    <x v="11"/>
    <s v="main"/>
    <n v="8.6246738725307495"/>
    <n v="1.4727899446398105"/>
    <n v="1.6018479948498504E-2"/>
    <n v="3.1135012737050669"/>
    <n v="3.1979138073016751"/>
    <n v="5.788498490255285"/>
    <s v="T"/>
    <n v="2"/>
    <m/>
    <m/>
    <m/>
    <m/>
    <m/>
    <m/>
    <m/>
    <m/>
    <m/>
  </r>
  <r>
    <x v="278"/>
    <x v="1"/>
    <s v="I"/>
    <s v="B"/>
    <x v="1"/>
    <n v="117"/>
    <n v="111"/>
    <n v="32.466000000000001"/>
    <n v="0.32300000000000001"/>
    <n v="0.26400000000000001"/>
    <s v="M30"/>
    <x v="2"/>
    <n v="30"/>
    <n v="1.56"/>
    <n v="1.091"/>
    <s v="1 june bug: 0.345"/>
    <s v="F"/>
    <m/>
    <m/>
    <m/>
    <m/>
    <n v="1"/>
    <n v="0.3449999999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34499999999999997"/>
    <s v="22/6/2021"/>
    <s v="22"/>
    <s v="6"/>
    <s v="2021"/>
    <x v="15"/>
    <n v="173"/>
    <x v="11"/>
    <s v="main SC TAKEN"/>
    <n v="0.81982485559903129"/>
    <n v="1.0048844227358988"/>
    <n v="1.013206185890398E-2"/>
    <n v="3.4772908366533866"/>
    <n v="1.4445881845623116"/>
    <n v="2.5072383416497259"/>
    <s v="T"/>
    <n v="2"/>
    <m/>
    <m/>
    <m/>
    <m/>
    <m/>
    <m/>
    <m/>
    <m/>
    <m/>
  </r>
  <r>
    <x v="279"/>
    <x v="1"/>
    <s v="I"/>
    <s v="I"/>
    <x v="0"/>
    <n v="91"/>
    <n v="85"/>
    <n v="14.651"/>
    <n v="0.182"/>
    <n v="0.105"/>
    <s v="M40"/>
    <x v="2"/>
    <n v="40"/>
    <n v="0.72099999999999997"/>
    <n v="0.70599999999999996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2/6/2021"/>
    <s v="22"/>
    <s v="6"/>
    <s v="2021"/>
    <x v="15"/>
    <n v="173"/>
    <x v="11"/>
    <s v="main"/>
    <n v="0.72184793070259867"/>
    <n v="1.257861635220126"/>
    <n v="1.2670565302144251E-2"/>
    <n v="5.0627465041233419"/>
    <n v="0.10238208995972981"/>
    <n v="0.10238208995972981"/>
    <s v="T"/>
    <n v="1"/>
    <m/>
    <m/>
    <m/>
    <m/>
    <m/>
    <m/>
    <m/>
    <m/>
    <m/>
  </r>
  <r>
    <x v="280"/>
    <x v="1"/>
    <s v="I"/>
    <s v="I"/>
    <x v="0"/>
    <n v="103"/>
    <n v="98"/>
    <n v="22.347000000000001"/>
    <n v="0.216"/>
    <n v="0.1"/>
    <s v="M40"/>
    <x v="2"/>
    <n v="40"/>
    <n v="0.82899999999999996"/>
    <n v="0.77800000000000002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2/6/2021"/>
    <s v="22"/>
    <s v="6"/>
    <s v="2021"/>
    <x v="15"/>
    <n v="173"/>
    <x v="11"/>
    <s v="main"/>
    <n v="0.44949880882815663"/>
    <n v="0.97600650671004463"/>
    <n v="9.8043665743724751E-3"/>
    <n v="3.6070286058695347"/>
    <n v="0.22821855282588238"/>
    <n v="0.22821855282588238"/>
    <s v="T"/>
    <n v="1"/>
    <m/>
    <m/>
    <m/>
    <m/>
    <m/>
    <m/>
    <m/>
    <m/>
    <m/>
  </r>
  <r>
    <x v="281"/>
    <x v="1"/>
    <s v="I"/>
    <s v="I"/>
    <x v="0"/>
    <n v="102"/>
    <n v="96"/>
    <n v="20.437999999999999"/>
    <n v="0.20300000000000001"/>
    <n v="0.13100000000000001"/>
    <s v="M40"/>
    <x v="2"/>
    <n v="40"/>
    <n v="0.93200000000000005"/>
    <n v="0.69099999999999995"/>
    <s v="1 gypsy moth cat: 0.177"/>
    <s v="F"/>
    <m/>
    <m/>
    <m/>
    <m/>
    <n v="1"/>
    <n v="0.17699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17699999999999999"/>
    <s v="22/6/2021"/>
    <s v="22"/>
    <s v="6"/>
    <s v="2021"/>
    <x v="15"/>
    <n v="173"/>
    <x v="11"/>
    <s v="main"/>
    <n v="0.64509774954449217"/>
    <n v="1.0032122559920931"/>
    <n v="1.0097493036211701E-2"/>
    <n v="3.4992657112472778"/>
    <n v="1.1791760446227622"/>
    <n v="2.0452099031216369"/>
    <s v="T"/>
    <n v="1"/>
    <m/>
    <m/>
    <m/>
    <m/>
    <m/>
    <m/>
    <m/>
    <m/>
    <m/>
  </r>
  <r>
    <x v="282"/>
    <x v="1"/>
    <s v="I"/>
    <s v="I"/>
    <x v="0"/>
    <n v="86"/>
    <n v="80"/>
    <n v="11.048"/>
    <n v="0.11700000000000001"/>
    <n v="3.2000000000000001E-2"/>
    <s v="M40"/>
    <x v="2"/>
    <n v="40"/>
    <n v="0.42599999999999999"/>
    <n v="0.38"/>
    <s v="1 wasp: 0.025"/>
    <s v="F"/>
    <m/>
    <m/>
    <m/>
    <m/>
    <n v="1"/>
    <n v="2.5000000000000001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.5000000000000001E-2"/>
    <s v="22/6/2021"/>
    <s v="22"/>
    <s v="6"/>
    <s v="2021"/>
    <x v="15"/>
    <n v="173"/>
    <x v="11"/>
    <s v="main"/>
    <n v="0.29048656499636893"/>
    <n v="1.0703503796541947"/>
    <n v="1.0734929810074321E-2"/>
    <n v="3.5620547431571059"/>
    <n v="0.4163649529326573"/>
    <n v="0.64265025343953641"/>
    <s v="T"/>
    <n v="2"/>
    <m/>
    <m/>
    <m/>
    <m/>
    <m/>
    <m/>
    <m/>
    <m/>
    <m/>
  </r>
  <r>
    <x v="283"/>
    <x v="1"/>
    <s v="I"/>
    <s v="I"/>
    <x v="0"/>
    <n v="93"/>
    <n v="87"/>
    <n v="12.090999999999999"/>
    <n v="0.13"/>
    <n v="0.999"/>
    <s v="F30"/>
    <x v="0"/>
    <n v="30"/>
    <n v="0.41599999999999998"/>
    <n v="0.39700000000000002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2/6/2021"/>
    <s v="22"/>
    <s v="6"/>
    <s v="2021"/>
    <x v="15"/>
    <n v="173"/>
    <x v="11"/>
    <s v="main"/>
    <n v="9.006491164803462"/>
    <n v="1.0868656466850599"/>
    <n v="1.1859149790184275E-2"/>
    <n v="3.3949033692491879"/>
    <n v="0.15714167562649875"/>
    <n v="0.15714167562649875"/>
    <s v="T"/>
    <n v="1"/>
    <n v="0"/>
    <n v="2"/>
    <n v="0"/>
    <n v="0"/>
    <n v="4.0000000000000002E-4"/>
    <n v="3.7929072634174103E-2"/>
    <n v="2.7160000000000002"/>
    <n v="103.95932441403386"/>
    <n v="126.72250420862012"/>
  </r>
  <r>
    <x v="284"/>
    <x v="1"/>
    <s v="I"/>
    <s v="I"/>
    <x v="0"/>
    <n v="91"/>
    <n v="86"/>
    <n v="14.122999999999999"/>
    <n v="0.16600000000000001"/>
    <n v="8.7999999999999995E-2"/>
    <s v="M40"/>
    <x v="2"/>
    <n v="40"/>
    <n v="0.59"/>
    <n v="0.55700000000000005"/>
    <s v="1 invert: 0.013"/>
    <s v="F"/>
    <m/>
    <m/>
    <n v="1"/>
    <n v="1.2999999999999999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.2999999999999999E-2"/>
    <s v="22/6/2021"/>
    <s v="22"/>
    <s v="6"/>
    <s v="2021"/>
    <x v="15"/>
    <n v="173"/>
    <x v="11"/>
    <s v="main"/>
    <n v="0.62700391877449224"/>
    <n v="1.1893673425521245"/>
    <n v="1.196913980820535E-2"/>
    <n v="4.105852867462775"/>
    <n v="0.23366140338454944"/>
    <n v="0.32570983502088729"/>
    <s v="T"/>
    <n v="1"/>
    <m/>
    <m/>
    <m/>
    <m/>
    <m/>
    <m/>
    <m/>
    <m/>
    <m/>
  </r>
  <r>
    <x v="285"/>
    <x v="1"/>
    <s v="I"/>
    <s v="S"/>
    <x v="0"/>
    <n v="72"/>
    <n v="68"/>
    <n v="6.3109999999999999"/>
    <n v="6.6000000000000003E-2"/>
    <n v="8.0000000000000002E-3"/>
    <s v="M40"/>
    <x v="2"/>
    <n v="40"/>
    <n v="0.32"/>
    <n v="0.25"/>
    <s v="1 invert: 0.035"/>
    <s v="F"/>
    <m/>
    <m/>
    <n v="1"/>
    <n v="3.5000000000000003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.5000000000000003E-2"/>
    <s v="22/6/2021"/>
    <s v="22"/>
    <s v="6"/>
    <s v="2021"/>
    <x v="15"/>
    <n v="173"/>
    <x v="11"/>
    <s v="main"/>
    <n v="0.12692368713311122"/>
    <n v="1.0568454763811048"/>
    <n v="1.0582010582010583E-2"/>
    <n v="4.1247318924269925"/>
    <n v="1.1091744572967834"/>
    <n v="1.6637616859451754"/>
    <s v="T"/>
    <n v="1"/>
    <m/>
    <m/>
    <m/>
    <m/>
    <m/>
    <m/>
    <m/>
    <m/>
    <m/>
  </r>
  <r>
    <x v="286"/>
    <x v="1"/>
    <s v="I"/>
    <s v="S"/>
    <x v="0"/>
    <n v="83"/>
    <n v="79"/>
    <n v="10.906000000000001"/>
    <n v="0.16700000000000001"/>
    <n v="4.5999999999999999E-2"/>
    <s v="M40"/>
    <x v="2"/>
    <n v="40"/>
    <n v="0.86199999999999999"/>
    <n v="0.44400000000000001"/>
    <s v="1 june bug: 0.391"/>
    <s v="F"/>
    <m/>
    <m/>
    <m/>
    <m/>
    <n v="1"/>
    <n v="0.39100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39100000000000001"/>
    <s v="22/6/2021"/>
    <s v="22"/>
    <s v="6"/>
    <s v="2021"/>
    <x v="15"/>
    <n v="173"/>
    <x v="11"/>
    <s v="main, SC KEPT"/>
    <n v="0.42357274401473288"/>
    <n v="1.5550796163516156"/>
    <n v="1.5617693818385859E-2"/>
    <n v="4.2439304148346393"/>
    <n v="3.8327526132404177"/>
    <n v="7.417935081606454"/>
    <s v="T"/>
    <n v="1"/>
    <m/>
    <m/>
    <m/>
    <m/>
    <m/>
    <m/>
    <m/>
    <m/>
    <m/>
  </r>
  <r>
    <x v="287"/>
    <x v="1"/>
    <s v="I"/>
    <s v="S"/>
    <x v="0"/>
    <n v="71"/>
    <n v="66"/>
    <n v="5.7140000000000004"/>
    <n v="6.0999999999999999E-2"/>
    <n v="8.0000000000000002E-3"/>
    <s v="M40"/>
    <x v="2"/>
    <n v="40"/>
    <n v="0.222"/>
    <n v="0.17499999999999999"/>
    <s v="4 zoops: 0.007"/>
    <s v="F"/>
    <m/>
    <m/>
    <m/>
    <m/>
    <m/>
    <m/>
    <m/>
    <m/>
    <m/>
    <m/>
    <m/>
    <m/>
    <m/>
    <m/>
    <m/>
    <m/>
    <m/>
    <m/>
    <m/>
    <m/>
    <m/>
    <m/>
    <n v="4"/>
    <n v="7.0000000000000001E-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.0000000000000001E-3"/>
    <s v="22/6/2021"/>
    <s v="22"/>
    <s v="6"/>
    <s v="2021"/>
    <x v="15"/>
    <n v="173"/>
    <x v="11"/>
    <s v="branch"/>
    <n v="0.14020329477742727"/>
    <n v="1.0790730585529806"/>
    <n v="1.0806023029229405E-2"/>
    <n v="3.1594150568694706"/>
    <n v="0.82254112705635296"/>
    <n v="0.94504725236261833"/>
    <s v="T"/>
    <n v="1"/>
    <m/>
    <m/>
    <m/>
    <m/>
    <m/>
    <m/>
    <m/>
    <m/>
    <m/>
  </r>
  <r>
    <x v="288"/>
    <x v="1"/>
    <s v="S"/>
    <s v="IMM"/>
    <x v="0"/>
    <n v="60"/>
    <n v="56"/>
    <n v="3.762"/>
    <n v="7.2999999999999995E-2"/>
    <n v="0.113"/>
    <s v="F30"/>
    <x v="0"/>
    <n v="30"/>
    <n v="0.21099999999999999"/>
    <n v="0.17899999999999999"/>
    <s v="~20 zoops: 0.012"/>
    <s v="F"/>
    <m/>
    <m/>
    <m/>
    <m/>
    <m/>
    <m/>
    <m/>
    <m/>
    <m/>
    <m/>
    <m/>
    <m/>
    <m/>
    <m/>
    <m/>
    <m/>
    <m/>
    <m/>
    <m/>
    <m/>
    <m/>
    <m/>
    <n v="20"/>
    <n v="1.2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.2E-2"/>
    <s v="22/6/2021"/>
    <s v="22"/>
    <s v="6"/>
    <s v="2021"/>
    <x v="15"/>
    <n v="173"/>
    <x v="11"/>
    <s v="branch, SC Kept"/>
    <n v="3.096738832556865"/>
    <n v="1.9788560585524533"/>
    <n v="2.0413870246085011E-2"/>
    <n v="4.9958135640524697"/>
    <n v="0.85061137692716648"/>
    <n v="1.1695906432748537"/>
    <s v="T"/>
    <n v="1"/>
    <n v="0"/>
    <n v="0"/>
    <n v="0"/>
    <n v="0"/>
    <n v="7.1999999999999998E-3"/>
    <n v="2.1396731054977711"/>
    <n v="6.9210000000000003"/>
    <m/>
    <n v="172.24376089353476"/>
  </r>
  <r>
    <x v="289"/>
    <x v="1"/>
    <s v="S"/>
    <s v="IMM"/>
    <x v="1"/>
    <n v="56"/>
    <n v="53"/>
    <n v="2.9239999999999999"/>
    <n v="4.8000000000000001E-2"/>
    <n v="0.28699999999999998"/>
    <s v="F30"/>
    <x v="0"/>
    <n v="30"/>
    <n v="0.106"/>
    <n v="8.5999999999999993E-2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2/6/2021"/>
    <s v="22"/>
    <s v="6"/>
    <s v="2021"/>
    <x v="15"/>
    <n v="173"/>
    <x v="11"/>
    <s v="branch"/>
    <n v="10.883579825559348"/>
    <n v="1.6689847009735743"/>
    <n v="1.8539976825028968E-2"/>
    <n v="3.0303030303030298"/>
    <n v="0.68399452804377581"/>
    <n v="0.68399452804377581"/>
    <s v="T"/>
    <n v="1"/>
    <m/>
    <m/>
    <m/>
    <m/>
    <m/>
    <m/>
    <m/>
    <m/>
    <m/>
  </r>
  <r>
    <x v="290"/>
    <x v="1"/>
    <s v="S"/>
    <s v="IMM"/>
    <x v="0"/>
    <n v="60"/>
    <n v="56"/>
    <n v="3.6459999999999999"/>
    <n v="4.2000000000000003E-2"/>
    <n v="4.7E-2"/>
    <s v="F20"/>
    <x v="0"/>
    <n v="20"/>
    <n v="0.224"/>
    <n v="0.17499999999999999"/>
    <s v="veg: 0.013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.2999999999999999E-2"/>
    <n v="1.2999999999999999E-2"/>
    <s v="22/6/2021"/>
    <s v="22"/>
    <s v="6"/>
    <s v="2021"/>
    <x v="15"/>
    <n v="173"/>
    <x v="11"/>
    <s v="branch"/>
    <n v="1.305918310641845"/>
    <n v="1.165371809100999"/>
    <n v="1.1807703120607254E-2"/>
    <n v="5.0417747046960528"/>
    <n v="1.3439385628085578"/>
    <n v="1.7004936917169506"/>
    <s v="T"/>
    <n v="1"/>
    <n v="0"/>
    <n v="3"/>
    <n v="0"/>
    <n v="0"/>
    <n v="1.04E-2"/>
    <n v="3.1203120312031203"/>
    <n v="6.9640000000000004"/>
    <m/>
    <n v="145.729429628292"/>
  </r>
  <r>
    <x v="291"/>
    <x v="1"/>
    <s v="I"/>
    <s v="S"/>
    <x v="0"/>
    <n v="77"/>
    <n v="73"/>
    <n v="8.4589999999999996"/>
    <n v="8.8999999999999996E-2"/>
    <n v="8.0000000000000002E-3"/>
    <s v="M40"/>
    <x v="2"/>
    <n v="40"/>
    <n v="0.33400000000000002"/>
    <n v="0.29699999999999999"/>
    <s v="veg: 0.022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2.1999999999999999E-2"/>
    <n v="2.1999999999999999E-2"/>
    <s v="22/6/2021"/>
    <s v="22"/>
    <s v="6"/>
    <s v="2021"/>
    <x v="15"/>
    <n v="173"/>
    <x v="11"/>
    <s v="branch"/>
    <n v="9.4663353449295939E-2"/>
    <n v="1.063321385902031"/>
    <n v="1.064338674958144E-2"/>
    <n v="3.6388140161725069"/>
    <n v="0.43740394845726482"/>
    <n v="0.69748197186428695"/>
    <s v="T"/>
    <n v="1"/>
    <m/>
    <m/>
    <m/>
    <m/>
    <m/>
    <m/>
    <m/>
    <m/>
    <m/>
  </r>
  <r>
    <x v="292"/>
    <x v="1"/>
    <s v="I"/>
    <s v="B"/>
    <x v="1"/>
    <n v="140"/>
    <n v="134"/>
    <n v="53.66"/>
    <n v="0.53700000000000003"/>
    <n v="0.56100000000000005"/>
    <s v="M30"/>
    <x v="2"/>
    <n v="30"/>
    <n v="2.3679999999999999"/>
    <n v="1.8779999999999999"/>
    <s v="1 june bug: 0.316; 3 snail: 0.013"/>
    <s v="F"/>
    <m/>
    <m/>
    <m/>
    <m/>
    <n v="1"/>
    <n v="0.316"/>
    <m/>
    <m/>
    <m/>
    <m/>
    <m/>
    <m/>
    <m/>
    <m/>
    <m/>
    <m/>
    <m/>
    <m/>
    <n v="3"/>
    <n v="1.2999999999999999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32900000000000001"/>
    <d v="2021-07-07T00:00:00"/>
    <n v="7"/>
    <n v="7"/>
    <n v="2021"/>
    <x v="16"/>
    <n v="188"/>
    <x v="12"/>
    <s v="Mislabelled (241); SC kept"/>
    <n v="1.0565170718845931"/>
    <n v="1.010861585377332"/>
    <n v="1.0216506221224459E-2"/>
    <n v="3.6267428836275153"/>
    <n v="0.9131569139023481"/>
    <n v="1.5262765560939247"/>
    <s v="T"/>
    <n v="1"/>
    <m/>
    <m/>
    <m/>
    <m/>
    <m/>
    <m/>
    <m/>
    <m/>
    <m/>
  </r>
  <r>
    <x v="293"/>
    <x v="1"/>
    <s v="I"/>
    <s v="B"/>
    <x v="1"/>
    <n v="124"/>
    <n v="117"/>
    <n v="37.616999999999997"/>
    <n v="0.40500000000000003"/>
    <n v="0.11600000000000001"/>
    <s v="M30"/>
    <x v="2"/>
    <n v="30"/>
    <n v="2.2490000000000001"/>
    <n v="2.0579999999999998"/>
    <s v="1 gypsy moth cat: 0.093; 1 june bug (2 legs): 0.017"/>
    <s v="F"/>
    <m/>
    <m/>
    <m/>
    <m/>
    <n v="3"/>
    <n v="0.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11"/>
    <d v="2021-07-07T00:00:00"/>
    <n v="7"/>
    <n v="7"/>
    <n v="2021"/>
    <x v="16"/>
    <n v="188"/>
    <x v="12"/>
    <s v="Mislabelled (242); SC kept"/>
    <n v="0.309325084664409"/>
    <n v="1.0883585940019349"/>
    <n v="1.0917619150312703E-2"/>
    <n v="5.7875643297055603"/>
    <n v="0.50774915596671799"/>
    <n v="0.80017013584283769"/>
    <s v="T"/>
    <n v="1"/>
    <m/>
    <m/>
    <m/>
    <m/>
    <m/>
    <m/>
    <m/>
    <m/>
    <m/>
  </r>
  <r>
    <x v="294"/>
    <x v="1"/>
    <s v="I"/>
    <s v="B"/>
    <x v="1"/>
    <n v="122"/>
    <n v="114"/>
    <n v="34.052"/>
    <n v="0.35499999999999998"/>
    <n v="0.23300000000000001"/>
    <s v="M30"/>
    <x v="2"/>
    <n v="30"/>
    <n v="2.355"/>
    <n v="1.8939999999999999"/>
    <s v="1 june bug: 0.271; 25 chiro: 0.058; 1 damsel: 0.02"/>
    <s v="F"/>
    <m/>
    <m/>
    <m/>
    <m/>
    <n v="1"/>
    <n v="0.27100000000000002"/>
    <m/>
    <m/>
    <m/>
    <m/>
    <m/>
    <m/>
    <m/>
    <m/>
    <m/>
    <m/>
    <m/>
    <m/>
    <m/>
    <m/>
    <m/>
    <m/>
    <m/>
    <m/>
    <m/>
    <m/>
    <n v="1"/>
    <n v="0.02"/>
    <m/>
    <m/>
    <n v="25"/>
    <n v="5.8000000000000003E-2"/>
    <m/>
    <m/>
    <m/>
    <m/>
    <m/>
    <m/>
    <m/>
    <m/>
    <m/>
    <m/>
    <m/>
    <m/>
    <m/>
    <m/>
    <m/>
    <m/>
    <m/>
    <m/>
    <m/>
    <m/>
    <m/>
    <m/>
    <m/>
    <m/>
    <n v="0.34900000000000003"/>
    <d v="2021-07-07T00:00:00"/>
    <n v="7"/>
    <n v="7"/>
    <n v="2021"/>
    <x v="16"/>
    <n v="188"/>
    <x v="12"/>
    <s v="Mislabelled (243); SC kept"/>
    <n v="0.688961826192377"/>
    <n v="1.0535062468469001"/>
    <n v="1.0608415013148456E-2"/>
    <n v="5.8896697555818136"/>
    <n v="1.3538118172207216"/>
    <n v="2.378714906613415"/>
    <s v="T"/>
    <n v="1"/>
    <m/>
    <m/>
    <m/>
    <m/>
    <m/>
    <m/>
    <m/>
    <m/>
    <m/>
  </r>
  <r>
    <x v="295"/>
    <x v="1"/>
    <s v="I"/>
    <s v="B"/>
    <x v="1"/>
    <n v="141"/>
    <n v="134"/>
    <n v="59.548999999999999"/>
    <n v="0.59"/>
    <n v="0.45600000000000002"/>
    <s v="M30"/>
    <x v="2"/>
    <n v="30"/>
    <n v="2.1760000000000002"/>
    <n v="1.8720000000000001"/>
    <s v="1 june bug: 0.25"/>
    <s v="F"/>
    <m/>
    <m/>
    <m/>
    <m/>
    <n v="1"/>
    <n v="0.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25"/>
    <d v="2021-07-07T00:00:00"/>
    <n v="7"/>
    <n v="7"/>
    <n v="2021"/>
    <x v="16"/>
    <n v="188"/>
    <x v="12"/>
    <s v="Mislabelled (244); SC kept"/>
    <n v="0.7716650026229841"/>
    <n v="1.0006953984972609"/>
    <n v="1.008495290839786E-2"/>
    <n v="3.2456611821003172"/>
    <n v="0.5105039547263599"/>
    <n v="0.93032628591580047"/>
    <s v="T"/>
    <n v="2"/>
    <m/>
    <m/>
    <m/>
    <m/>
    <m/>
    <m/>
    <m/>
    <m/>
    <m/>
  </r>
  <r>
    <x v="296"/>
    <x v="1"/>
    <s v="I"/>
    <s v="B"/>
    <x v="1"/>
    <n v="117"/>
    <n v="111"/>
    <n v="29.038"/>
    <n v="0.28599999999999998"/>
    <n v="0.115"/>
    <s v="M30-40"/>
    <x v="2"/>
    <s v="30-40"/>
    <n v="1.1220000000000001"/>
    <n v="1.01"/>
    <s v="3 inverts: 0.061"/>
    <s v="F"/>
    <m/>
    <m/>
    <n v="3"/>
    <n v="6.0999999999999999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.0999999999999999E-2"/>
    <d v="2021-07-07T00:00:00"/>
    <n v="7"/>
    <n v="7"/>
    <n v="2021"/>
    <x v="16"/>
    <n v="188"/>
    <x v="12"/>
    <s v="Mislabelled (245)"/>
    <n v="0.39760744044532031"/>
    <n v="0.99471341124095713"/>
    <n v="9.9870796521982046E-3"/>
    <n v="3.6035393178250321"/>
    <n v="0.38570149459329189"/>
    <n v="0.59577105861285251"/>
    <s v="T"/>
    <n v="2"/>
    <m/>
    <m/>
    <m/>
    <m/>
    <m/>
    <m/>
    <m/>
    <m/>
    <m/>
  </r>
  <r>
    <x v="297"/>
    <x v="1"/>
    <s v="I"/>
    <s v="B"/>
    <x v="1"/>
    <n v="137"/>
    <n v="131"/>
    <n v="43.735999999999997"/>
    <n v="0.60799999999999998"/>
    <n v="1.012"/>
    <s v="F30"/>
    <x v="0"/>
    <n v="30"/>
    <n v="1.752"/>
    <n v="1.599"/>
    <s v="2 water strider: 0.077"/>
    <s v="F"/>
    <m/>
    <m/>
    <m/>
    <m/>
    <n v="2"/>
    <n v="7.6999999999999999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.6999999999999999E-2"/>
    <d v="2021-07-07T00:00:00"/>
    <n v="7"/>
    <n v="7"/>
    <n v="2021"/>
    <x v="16"/>
    <n v="188"/>
    <x v="12"/>
    <s v="Mislabelled (246); SC kept"/>
    <n v="2.368692070030896"/>
    <n v="1.4097570024114265"/>
    <n v="1.4436318738721626E-2"/>
    <n v="3.7947646961103065"/>
    <n v="0.34982623010792036"/>
    <n v="0.52588256813608936"/>
    <s v="T"/>
    <n v="2"/>
    <m/>
    <m/>
    <m/>
    <m/>
    <m/>
    <m/>
    <m/>
    <m/>
    <m/>
  </r>
  <r>
    <x v="298"/>
    <x v="1"/>
    <s v="I"/>
    <s v="B"/>
    <x v="1"/>
    <n v="123"/>
    <n v="113"/>
    <n v="37.076000000000001"/>
    <n v="0.38700000000000001"/>
    <n v="2.0369999999999999"/>
    <s v="F30"/>
    <x v="0"/>
    <n v="30"/>
    <n v="1.208"/>
    <n v="1.0389999999999999"/>
    <s v="veg: 0.01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0.01"/>
    <n v="0.01"/>
    <d v="2021-07-07T00:00:00"/>
    <n v="7"/>
    <n v="7"/>
    <n v="2021"/>
    <x v="16"/>
    <n v="188"/>
    <x v="12"/>
    <s v="Mislabelled (247)"/>
    <n v="5.8135220754016945"/>
    <n v="1.0548120690125107"/>
    <n v="1.1168186540459426E-2"/>
    <n v="2.8831478757943221"/>
    <n v="0.45582047685834509"/>
    <n v="0.48279210270795136"/>
    <s v="T"/>
    <n v="2"/>
    <m/>
    <m/>
    <m/>
    <m/>
    <m/>
    <m/>
    <m/>
    <m/>
    <m/>
  </r>
  <r>
    <x v="299"/>
    <x v="1"/>
    <s v="I"/>
    <s v="I"/>
    <x v="0"/>
    <n v="87"/>
    <n v="82"/>
    <n v="11.397"/>
    <n v="0.106"/>
    <n v="0.02"/>
    <s v="F40"/>
    <x v="0"/>
    <n v="40"/>
    <n v="0.42599999999999999"/>
    <n v="0.41699999999999998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1-07-07T00:00:00"/>
    <n v="7"/>
    <n v="7"/>
    <n v="2021"/>
    <x v="16"/>
    <n v="188"/>
    <x v="12"/>
    <s v="Mislabelled (248)"/>
    <n v="0.17579326711786938"/>
    <n v="0.93880081480825428"/>
    <n v="9.4046668441132106E-3"/>
    <n v="3.7978142076502728"/>
    <n v="7.8968149513029814E-2"/>
    <n v="7.8968149513029814E-2"/>
    <s v="T"/>
    <n v="1"/>
    <n v="1"/>
    <n v="3"/>
    <n v="0"/>
    <n v="0"/>
    <n v="7.9000000000000008E-3"/>
    <n v="0.72844628861226379"/>
    <n v="4.4379999999999997"/>
    <n v="91.50876579037589"/>
    <m/>
  </r>
  <r>
    <x v="300"/>
    <x v="1"/>
    <s v="I"/>
    <s v="S"/>
    <x v="0"/>
    <n v="78"/>
    <n v="73"/>
    <n v="8.7089999999999996"/>
    <n v="0.114"/>
    <n v="0.30199999999999999"/>
    <s v="F30"/>
    <x v="0"/>
    <n v="30"/>
    <n v="0.248"/>
    <n v="0.22500000000000001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1-07-07T00:00:00"/>
    <n v="7"/>
    <n v="7"/>
    <n v="2021"/>
    <x v="16"/>
    <n v="188"/>
    <x v="12"/>
    <s v="Mislabelled (249)"/>
    <n v="3.5922445581063398"/>
    <n v="1.3263525305410124"/>
    <n v="1.3746533220788618E-2"/>
    <n v="2.6520509193776522"/>
    <n v="0.26409461476633361"/>
    <n v="0.26409461476633361"/>
    <s v="T"/>
    <n v="1"/>
    <n v="0"/>
    <n v="3"/>
    <n v="1"/>
    <n v="0"/>
    <n v="1.2E-2"/>
    <n v="1.4916096954630207"/>
    <n v="5.0629999999999997"/>
    <n v="96.168543758895098"/>
    <n v="128.03765230132936"/>
  </r>
  <r>
    <x v="301"/>
    <x v="1"/>
    <s v="I"/>
    <s v="I"/>
    <x v="0"/>
    <n v="89"/>
    <n v="85"/>
    <n v="12.474"/>
    <n v="0.155"/>
    <n v="2.5000000000000001E-2"/>
    <s v="M40"/>
    <x v="2"/>
    <n v="40"/>
    <n v="0.71799999999999997"/>
    <n v="0.60699999999999998"/>
    <s v="1 caddis: 0.039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.9E-2"/>
    <m/>
    <m/>
    <m/>
    <m/>
    <m/>
    <m/>
    <m/>
    <m/>
    <m/>
    <m/>
    <m/>
    <m/>
    <m/>
    <m/>
    <m/>
    <m/>
    <m/>
    <m/>
    <m/>
    <n v="3.9E-2"/>
    <d v="2021-07-07T00:00:00"/>
    <n v="7"/>
    <n v="7"/>
    <n v="2021"/>
    <x v="16"/>
    <n v="188"/>
    <x v="12"/>
    <s v="Mislabelled (250)"/>
    <n v="0.20081934291910999"/>
    <n v="1.2582190112833833"/>
    <n v="1.2607776150967951E-2"/>
    <n v="5.1150248588522791"/>
    <n v="0.88985088985088967"/>
    <n v="1.2025012025012023"/>
    <s v="T"/>
    <n v="2"/>
    <m/>
    <m/>
    <m/>
    <m/>
    <m/>
    <m/>
    <m/>
    <m/>
    <m/>
  </r>
  <r>
    <x v="302"/>
    <x v="1"/>
    <s v="I"/>
    <s v="S"/>
    <x v="0"/>
    <n v="72"/>
    <n v="69"/>
    <n v="6.7370000000000001"/>
    <n v="9.2999999999999999E-2"/>
    <n v="0.25800000000000001"/>
    <s v="M30"/>
    <x v="2"/>
    <n v="30"/>
    <n v="0.23200000000000001"/>
    <n v="0.22500000000000001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1-07-07T00:00:00"/>
    <n v="7"/>
    <n v="7"/>
    <n v="2021"/>
    <x v="16"/>
    <n v="188"/>
    <x v="12"/>
    <s v="Mislabelled (251)"/>
    <n v="3.9820960024695173"/>
    <n v="1.399759181216135"/>
    <n v="1.4563106796116505E-2"/>
    <n v="3.4551597051597049"/>
    <n v="0.10390381475434179"/>
    <n v="0.10390381475434179"/>
    <s v="T"/>
    <n v="2"/>
    <m/>
    <m/>
    <m/>
    <m/>
    <m/>
    <m/>
    <m/>
    <m/>
    <m/>
  </r>
  <r>
    <x v="303"/>
    <x v="1"/>
    <s v="I"/>
    <s v="S"/>
    <x v="0"/>
    <n v="73"/>
    <n v="67"/>
    <n v="6.5359999999999996"/>
    <n v="0.106"/>
    <n v="8.4000000000000005E-2"/>
    <s v="F30"/>
    <x v="0"/>
    <n v="30"/>
    <n v="0.24299999999999999"/>
    <n v="0.19800000000000001"/>
    <s v="1 inverts: 0.029"/>
    <s v="F"/>
    <m/>
    <m/>
    <n v="1"/>
    <n v="2.9000000000000001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.9000000000000001E-2"/>
    <d v="2021-07-07T00:00:00"/>
    <n v="7"/>
    <n v="7"/>
    <n v="2021"/>
    <x v="16"/>
    <n v="188"/>
    <x v="12"/>
    <s v="Mislabelled (252)"/>
    <n v="1.3019218846869189"/>
    <n v="1.6485225505443235"/>
    <n v="1.6703435234793569E-2"/>
    <n v="3.1240138845061538"/>
    <n v="0.68849449204406343"/>
    <n v="1.1321909424724601"/>
    <s v="T"/>
    <n v="2"/>
    <n v="1"/>
    <n v="14"/>
    <n v="2"/>
    <n v="0"/>
    <n v="9.7999999999999997E-3"/>
    <n v="1.6057676552515157"/>
    <n v="6.4960000000000004"/>
    <n v="99.513162033001024"/>
    <n v="126.45955948020836"/>
  </r>
  <r>
    <x v="304"/>
    <x v="1"/>
    <s v="I"/>
    <s v="S"/>
    <x v="0"/>
    <n v="72"/>
    <n v="68"/>
    <n v="6.2089999999999996"/>
    <n v="9.8000000000000004E-2"/>
    <n v="9.0999999999999998E-2"/>
    <s v="M30"/>
    <x v="2"/>
    <n v="30"/>
    <n v="0.20799999999999999"/>
    <n v="0.19500000000000001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1-07-07T00:00:00"/>
    <n v="7"/>
    <n v="7"/>
    <n v="2021"/>
    <x v="16"/>
    <n v="188"/>
    <x v="12"/>
    <s v="Mislabelled (253)"/>
    <n v="1.4874141876430207"/>
    <n v="1.6036655211912947"/>
    <n v="1.6279069767441864E-2"/>
    <n v="3.2424343199201866"/>
    <n v="0.2093734900950231"/>
    <n v="0.2093734900950231"/>
    <s v="T"/>
    <n v="2"/>
    <m/>
    <m/>
    <m/>
    <m/>
    <m/>
    <m/>
    <m/>
    <m/>
    <m/>
  </r>
  <r>
    <x v="305"/>
    <x v="1"/>
    <s v="I"/>
    <s v="S"/>
    <x v="0"/>
    <n v="69"/>
    <n v="65"/>
    <n v="5.5880000000000001"/>
    <n v="6.9000000000000006E-2"/>
    <n v="0.08"/>
    <s v="F30"/>
    <x v="0"/>
    <n v="30"/>
    <n v="0.248"/>
    <n v="0.186"/>
    <s v="3 inverts: 0.023"/>
    <s v="F"/>
    <m/>
    <m/>
    <n v="3"/>
    <n v="2.3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.3E-2"/>
    <d v="2021-07-07T00:00:00"/>
    <n v="7"/>
    <n v="7"/>
    <n v="2021"/>
    <x v="16"/>
    <n v="188"/>
    <x v="12"/>
    <s v="Mislabelled (254)"/>
    <n v="1.4524328249818446"/>
    <n v="1.250226490306215"/>
    <n v="1.2686155543298402E-2"/>
    <n v="3.4431691965938538"/>
    <n v="1.1095204008589834"/>
    <n v="1.5211166785969934"/>
    <s v="T"/>
    <n v="2"/>
    <n v="0"/>
    <n v="1"/>
    <n v="0"/>
    <n v="0"/>
    <n v="8.0999999999999996E-3"/>
    <n v="1.56039298786361"/>
    <n v="5.6289999999999996"/>
    <n v="98.838335853685535"/>
    <n v="127.90610563941357"/>
  </r>
  <r>
    <x v="306"/>
    <x v="1"/>
    <s v="I"/>
    <s v="I"/>
    <x v="0"/>
    <n v="92"/>
    <n v="86"/>
    <n v="13.541"/>
    <n v="0.114"/>
    <n v="3.4000000000000002E-2"/>
    <s v="M40"/>
    <x v="2"/>
    <n v="40"/>
    <n v="0.58299999999999996"/>
    <n v="0.56699999999999995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1-01-08T00:00:00"/>
    <n v="1"/>
    <n v="8"/>
    <n v="2021"/>
    <x v="17"/>
    <n v="213"/>
    <x v="13"/>
    <m/>
    <n v="0.25172132968090621"/>
    <n v="0.84903552543382743"/>
    <n v="8.5119092063018001E-3"/>
    <n v="4.370279019577616"/>
    <n v="0.11815966324495986"/>
    <n v="0.11815966324495986"/>
    <s v="T"/>
    <n v="2"/>
    <m/>
    <m/>
    <m/>
    <m/>
    <m/>
    <m/>
    <m/>
    <m/>
    <m/>
  </r>
  <r>
    <x v="307"/>
    <x v="1"/>
    <s v="I"/>
    <s v="I"/>
    <x v="0"/>
    <n v="98"/>
    <n v="87"/>
    <n v="17.54"/>
    <n v="0.17699999999999999"/>
    <n v="2.1999999999999999E-2"/>
    <s v="M40"/>
    <x v="2"/>
    <n v="40"/>
    <n v="0.90200000000000002"/>
    <n v="0.88600000000000001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1-01-08T00:00:00"/>
    <n v="1"/>
    <n v="8"/>
    <n v="2021"/>
    <x v="17"/>
    <n v="213"/>
    <x v="13"/>
    <m/>
    <n v="0.12558511245575979"/>
    <n v="1.0194090882911939"/>
    <n v="1.0207023816388903E-2"/>
    <n v="5.3200432328569711"/>
    <n v="9.1220068415051397E-2"/>
    <n v="9.1220068415051397E-2"/>
    <s v="T"/>
    <n v="2"/>
    <m/>
    <m/>
    <m/>
    <m/>
    <m/>
    <m/>
    <m/>
    <m/>
    <m/>
  </r>
  <r>
    <x v="308"/>
    <x v="1"/>
    <s v="I"/>
    <s v="I"/>
    <x v="0"/>
    <n v="98"/>
    <n v="93"/>
    <n v="14.254"/>
    <n v="0.14799999999999999"/>
    <n v="0.36399999999999999"/>
    <s v="F30"/>
    <x v="0"/>
    <n v="30"/>
    <n v="0.505"/>
    <n v="0.49299999999999999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1-01-08T00:00:00"/>
    <n v="1"/>
    <n v="8"/>
    <n v="2021"/>
    <x v="17"/>
    <n v="213"/>
    <x v="13"/>
    <m/>
    <n v="2.6205903527717784"/>
    <n v="1.0491989224443499"/>
    <n v="1.0769902488720711E-2"/>
    <n v="3.5825884746748056"/>
    <n v="8.4186894906692941E-2"/>
    <n v="8.4186894906692941E-2"/>
    <s v="T"/>
    <n v="2"/>
    <m/>
    <m/>
    <m/>
    <m/>
    <n v="1.2999999999999999E-3"/>
    <n v="9.8209564100627048E-2"/>
    <m/>
    <n v="97.517213161013672"/>
    <n v="102.38843735349532"/>
  </r>
  <r>
    <x v="309"/>
    <x v="1"/>
    <s v="I"/>
    <s v="B"/>
    <x v="1"/>
    <n v="116"/>
    <n v="110"/>
    <n v="28.85"/>
    <n v="0.31900000000000001"/>
    <n v="0.622"/>
    <s v="F30"/>
    <x v="0"/>
    <n v="30"/>
    <n v="1.204"/>
    <n v="1.0660000000000001"/>
    <s v="veg: 0.027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2.7E-2"/>
    <n v="2.7E-2"/>
    <d v="2021-01-08T00:00:00"/>
    <n v="1"/>
    <n v="8"/>
    <n v="2021"/>
    <x v="17"/>
    <n v="213"/>
    <x v="13"/>
    <m/>
    <n v="2.2034859005243019"/>
    <n v="1.1180820861519047"/>
    <n v="1.1430004657995627E-2"/>
    <n v="3.8367405701122945"/>
    <n v="0.47833622183708807"/>
    <n v="0.57192374350086617"/>
    <s v="T"/>
    <n v="2"/>
    <m/>
    <m/>
    <m/>
    <m/>
    <m/>
    <m/>
    <m/>
    <m/>
    <m/>
  </r>
  <r>
    <x v="310"/>
    <x v="1"/>
    <s v="I"/>
    <s v="I"/>
    <x v="0"/>
    <n v="101"/>
    <n v="84"/>
    <n v="17.488"/>
    <n v="0.17100000000000001"/>
    <n v="0.40400000000000003"/>
    <s v="F30"/>
    <x v="0"/>
    <n v="30"/>
    <n v="0.69399999999999995"/>
    <n v="0.67400000000000004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1-01-08T00:00:00"/>
    <n v="1"/>
    <n v="8"/>
    <n v="2021"/>
    <x v="17"/>
    <n v="213"/>
    <x v="13"/>
    <m/>
    <n v="2.3647857644579724"/>
    <n v="0.98746896113645555"/>
    <n v="1.0110565836930173E-2"/>
    <n v="4.0085642916617106"/>
    <n v="0.11436413540713579"/>
    <n v="0.11436413540713579"/>
    <s v="T"/>
    <n v="1"/>
    <m/>
    <m/>
    <m/>
    <m/>
    <n v="8.0000000000000002E-3"/>
    <n v="0.49324865898020837"/>
    <m/>
    <m/>
    <n v="131.59209313410835"/>
  </r>
  <r>
    <x v="311"/>
    <x v="1"/>
    <s v="I"/>
    <s v="I"/>
    <x v="0"/>
    <n v="101"/>
    <n v="95"/>
    <n v="17.777000000000001"/>
    <n v="0.13300000000000001"/>
    <n v="3.1E-2"/>
    <s v="M40"/>
    <x v="2"/>
    <n v="40"/>
    <n v="0.78"/>
    <n v="0.73099999999999998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1-01-08T00:00:00"/>
    <n v="1"/>
    <n v="8"/>
    <n v="2021"/>
    <x v="17"/>
    <n v="213"/>
    <x v="13"/>
    <m/>
    <n v="0.17468725346556968"/>
    <n v="0.75379732486964401"/>
    <n v="7.5512405609492982E-3"/>
    <n v="4.2883961046579842"/>
    <n v="0.27563705912133679"/>
    <n v="0.27563705912133679"/>
    <s v="T"/>
    <n v="1"/>
    <m/>
    <m/>
    <m/>
    <m/>
    <m/>
    <m/>
    <m/>
    <m/>
    <m/>
  </r>
  <r>
    <x v="312"/>
    <x v="1"/>
    <s v="I"/>
    <s v="B"/>
    <x v="1"/>
    <n v="123"/>
    <n v="112"/>
    <n v="33.131999999999998"/>
    <n v="0.308"/>
    <n v="0.44400000000000001"/>
    <s v="F21 (skip?)"/>
    <x v="0"/>
    <n v="21"/>
    <n v="1.5489999999999999"/>
    <n v="1.2350000000000001"/>
    <s v="1 PU: 0.219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0.219"/>
    <m/>
    <m/>
    <m/>
    <m/>
    <n v="0.219"/>
    <d v="2021-01-08T00:00:00"/>
    <n v="1"/>
    <n v="8"/>
    <n v="2021"/>
    <x v="17"/>
    <n v="213"/>
    <x v="13"/>
    <s v="Dormant gonads"/>
    <n v="1.3582966226138034"/>
    <n v="0.93833780160857916"/>
    <n v="9.5120444718962329E-3"/>
    <n v="3.8718374768787043"/>
    <n v="0.94772425449716236"/>
    <n v="1.6087166485572857"/>
    <s v="T"/>
    <n v="1"/>
    <m/>
    <m/>
    <m/>
    <m/>
    <m/>
    <m/>
    <m/>
    <m/>
    <m/>
  </r>
  <r>
    <x v="313"/>
    <x v="1"/>
    <s v="I"/>
    <s v="S"/>
    <x v="0"/>
    <n v="83"/>
    <n v="78"/>
    <n v="9.218"/>
    <n v="9.8000000000000004E-2"/>
    <n v="3.1E-2"/>
    <s v="M40"/>
    <x v="2"/>
    <n v="40"/>
    <n v="0.39700000000000002"/>
    <n v="0.314"/>
    <s v="5 snails: 0.018; 4 mayfly: 0.028"/>
    <s v="F"/>
    <m/>
    <m/>
    <m/>
    <m/>
    <m/>
    <m/>
    <m/>
    <m/>
    <m/>
    <m/>
    <m/>
    <m/>
    <m/>
    <m/>
    <m/>
    <m/>
    <m/>
    <m/>
    <n v="5"/>
    <n v="1.7999999999999999E-2"/>
    <m/>
    <m/>
    <m/>
    <m/>
    <m/>
    <m/>
    <m/>
    <m/>
    <m/>
    <m/>
    <m/>
    <m/>
    <m/>
    <m/>
    <m/>
    <m/>
    <m/>
    <m/>
    <n v="4"/>
    <n v="2.8000000000000001E-2"/>
    <m/>
    <m/>
    <m/>
    <m/>
    <m/>
    <m/>
    <m/>
    <m/>
    <m/>
    <m/>
    <m/>
    <m/>
    <m/>
    <m/>
    <m/>
    <m/>
    <n v="4.5999999999999999E-2"/>
    <d v="2021-01-08T00:00:00"/>
    <n v="1"/>
    <n v="8"/>
    <n v="2021"/>
    <x v="17"/>
    <n v="213"/>
    <x v="13"/>
    <m/>
    <n v="0.33743332970501799"/>
    <n v="1.0745614035087721"/>
    <n v="1.0782264275497857E-2"/>
    <n v="3.5265049415992809"/>
    <n v="0.9004122369277503"/>
    <n v="1.3994358863093947"/>
    <s v="T"/>
    <n v="2"/>
    <m/>
    <m/>
    <m/>
    <m/>
    <m/>
    <m/>
    <m/>
    <m/>
    <m/>
  </r>
  <r>
    <x v="314"/>
    <x v="1"/>
    <s v="I"/>
    <s v="S"/>
    <x v="0"/>
    <n v="68"/>
    <n v="64"/>
    <n v="5.1980000000000004"/>
    <n v="7.0999999999999994E-2"/>
    <n v="8.9999999999999993E-3"/>
    <s v="M40"/>
    <x v="2"/>
    <n v="40"/>
    <n v="0.28299999999999997"/>
    <n v="0.222"/>
    <s v="~50 zoops: 0.039"/>
    <s v="F"/>
    <m/>
    <m/>
    <m/>
    <m/>
    <m/>
    <m/>
    <m/>
    <m/>
    <m/>
    <m/>
    <m/>
    <m/>
    <m/>
    <m/>
    <m/>
    <m/>
    <m/>
    <m/>
    <m/>
    <m/>
    <m/>
    <m/>
    <n v="50"/>
    <n v="3.9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.9E-2"/>
    <d v="2021-01-08T00:00:00"/>
    <n v="1"/>
    <n v="8"/>
    <n v="2021"/>
    <x v="17"/>
    <n v="213"/>
    <x v="13"/>
    <m/>
    <n v="0.17344382347273074"/>
    <n v="1.3848254339769843"/>
    <n v="1.3872606486908946E-2"/>
    <n v="4.4614147909967841"/>
    <n v="1.1735282801077331"/>
    <n v="1.9238168526356285"/>
    <s v="T"/>
    <n v="1"/>
    <m/>
    <m/>
    <m/>
    <m/>
    <m/>
    <m/>
    <m/>
    <m/>
    <m/>
  </r>
  <r>
    <x v="315"/>
    <x v="1"/>
    <s v="I"/>
    <s v="I"/>
    <x v="0"/>
    <n v="91"/>
    <n v="84"/>
    <n v="12.558"/>
    <n v="0.151"/>
    <n v="0.26100000000000001"/>
    <s v="F30"/>
    <x v="0"/>
    <n v="30"/>
    <n v="0.53700000000000003"/>
    <n v="0.45600000000000002"/>
    <s v="~12 chiro: 0.021; 1 caterpillar: 0.024"/>
    <s v="F"/>
    <m/>
    <m/>
    <m/>
    <m/>
    <n v="1"/>
    <n v="2.4E-2"/>
    <m/>
    <m/>
    <m/>
    <m/>
    <m/>
    <m/>
    <m/>
    <m/>
    <m/>
    <m/>
    <m/>
    <m/>
    <m/>
    <m/>
    <m/>
    <m/>
    <m/>
    <m/>
    <m/>
    <m/>
    <m/>
    <m/>
    <m/>
    <m/>
    <n v="12"/>
    <n v="2.1000000000000001E-2"/>
    <m/>
    <m/>
    <m/>
    <m/>
    <m/>
    <m/>
    <m/>
    <m/>
    <m/>
    <m/>
    <m/>
    <m/>
    <m/>
    <m/>
    <m/>
    <m/>
    <m/>
    <m/>
    <m/>
    <m/>
    <m/>
    <m/>
    <m/>
    <m/>
    <n v="4.4999999999999998E-2"/>
    <d v="2021-01-08T00:00:00"/>
    <n v="1"/>
    <n v="8"/>
    <n v="2021"/>
    <x v="17"/>
    <n v="213"/>
    <x v="13"/>
    <m/>
    <n v="2.1224688948524029"/>
    <n v="1.2170548883694687"/>
    <n v="1.2432076403754322E-2"/>
    <n v="3.7679722359940508"/>
    <n v="0.64500716674629732"/>
    <n v="1.0033444816053512"/>
    <s v="T"/>
    <n v="2"/>
    <m/>
    <m/>
    <m/>
    <m/>
    <n v="2.5399999999999999E-2"/>
    <n v="2.1879576190886381"/>
    <m/>
    <n v="104.29726038231158"/>
    <n v="116.09576635438592"/>
  </r>
  <r>
    <x v="316"/>
    <x v="1"/>
    <s v="I"/>
    <s v="B"/>
    <x v="1"/>
    <n v="127"/>
    <n v="120"/>
    <n v="37.936"/>
    <n v="0.52600000000000002"/>
    <n v="0.89500000000000002"/>
    <s v="F30"/>
    <x v="0"/>
    <n v="30"/>
    <n v="1.4470000000000001"/>
    <n v="1.403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1-01-08T00:00:00"/>
    <n v="1"/>
    <n v="8"/>
    <n v="2021"/>
    <x v="17"/>
    <n v="213"/>
    <x v="13"/>
    <m/>
    <n v="2.4162414621635486"/>
    <n v="1.4060411654637799"/>
    <n v="1.4405039025058198E-2"/>
    <n v="3.8403635069663045"/>
    <n v="0.11598481653310849"/>
    <n v="0.11598481653310849"/>
    <s v="T"/>
    <n v="2"/>
    <m/>
    <m/>
    <m/>
    <m/>
    <m/>
    <m/>
    <m/>
    <m/>
    <m/>
  </r>
  <r>
    <x v="317"/>
    <x v="1"/>
    <s v="I"/>
    <s v="B"/>
    <x v="1"/>
    <n v="138"/>
    <n v="130"/>
    <n v="49.536999999999999"/>
    <n v="0.35399999999999998"/>
    <n v="0.497"/>
    <s v="M30"/>
    <x v="2"/>
    <n v="30"/>
    <n v="1.605"/>
    <n v="1.528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1-01-08T00:00:00"/>
    <n v="1"/>
    <n v="8"/>
    <n v="2021"/>
    <x v="17"/>
    <n v="213"/>
    <x v="13"/>
    <m/>
    <n v="1.0134584013050572"/>
    <n v="0.71976089299148083"/>
    <n v="7.2710840898821015E-3"/>
    <n v="3.1827365702264161"/>
    <n v="0.15543936855279883"/>
    <n v="0.15543936855279883"/>
    <s v="T"/>
    <n v="1"/>
    <m/>
    <m/>
    <m/>
    <m/>
    <m/>
    <m/>
    <m/>
    <m/>
    <m/>
  </r>
  <r>
    <x v="318"/>
    <x v="2"/>
    <s v="B"/>
    <s v="B"/>
    <x v="1"/>
    <n v="206"/>
    <n v="196"/>
    <n v="171.71799999999999"/>
    <n v="2.34"/>
    <n v="0.33500000000000002"/>
    <s v="M22"/>
    <x v="2"/>
    <n v="22"/>
    <n v="7.1319999999999997"/>
    <n v="7.05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1/12/2020"/>
    <s v="21"/>
    <s v="12"/>
    <s v="2020"/>
    <x v="18"/>
    <n v="356"/>
    <x v="0"/>
    <s v="Liver subsampled"/>
    <n v="0.19546862874380774"/>
    <n v="1.3815253456765342"/>
    <n v="1.3842631756417005"/>
    <n v="4.1055684319640342"/>
    <n v="4.7752710839865278E-2"/>
    <m/>
    <s v="A"/>
    <m/>
    <m/>
    <m/>
    <m/>
    <m/>
    <m/>
    <m/>
    <m/>
    <m/>
    <m/>
  </r>
  <r>
    <x v="319"/>
    <x v="2"/>
    <s v="B"/>
    <s v="B"/>
    <x v="1"/>
    <n v="177"/>
    <n v="169"/>
    <n v="121.184"/>
    <n v="2.12"/>
    <n v="0.19900000000000001"/>
    <s v="M22"/>
    <x v="2"/>
    <n v="22"/>
    <n v="5.6050000000000004"/>
    <n v="5.5229999999999997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1/12/2020"/>
    <s v="21"/>
    <s v="12"/>
    <s v="2020"/>
    <x v="18"/>
    <n v="356"/>
    <x v="0"/>
    <s v="Liver subsampled"/>
    <n v="0.16448320039674341"/>
    <n v="1.7805549956326012"/>
    <n v="1.7835359441383085"/>
    <n v="4.5575323475046208"/>
    <n v="6.7665698442039166E-2"/>
    <m/>
    <s v="A"/>
    <m/>
    <m/>
    <m/>
    <m/>
    <m/>
    <m/>
    <m/>
    <m/>
    <m/>
    <m/>
  </r>
  <r>
    <x v="320"/>
    <x v="2"/>
    <s v="B"/>
    <s v="B"/>
    <x v="1"/>
    <n v="198"/>
    <n v="188"/>
    <n v="164.89400000000001"/>
    <n v="2.4929999999999999"/>
    <n v="0.27600000000000002"/>
    <s v="M22"/>
    <x v="2"/>
    <n v="22"/>
    <n v="1.43"/>
    <n v="1.3779999999999999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1/12/2020"/>
    <s v="21"/>
    <s v="12"/>
    <s v="2020"/>
    <x v="18"/>
    <n v="356"/>
    <x v="0"/>
    <s v="Liver subsampled"/>
    <n v="0.16766088763075729"/>
    <n v="1.5350890696485857"/>
    <n v="1.5377023901310718"/>
    <n v="0.83568838162698456"/>
    <n v="3.1535410627433404E-2"/>
    <m/>
    <s v="A"/>
    <m/>
    <m/>
    <m/>
    <m/>
    <m/>
    <m/>
    <m/>
    <m/>
    <m/>
    <m/>
  </r>
  <r>
    <x v="321"/>
    <x v="2"/>
    <s v="B"/>
    <s v="B"/>
    <x v="1"/>
    <n v="174"/>
    <n v="166"/>
    <n v="104.36"/>
    <n v="1.724"/>
    <n v="0.88"/>
    <s v="F22"/>
    <x v="0"/>
    <n v="22"/>
    <n v="3.99"/>
    <n v="3.9369999999999998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1/12/2020"/>
    <s v="21"/>
    <s v="12"/>
    <s v="2020"/>
    <x v="18"/>
    <n v="356"/>
    <x v="0"/>
    <s v="NA"/>
    <n v="0.8504058755315036"/>
    <n v="1.6797225145173234"/>
    <n v="1.6942489877746765"/>
    <n v="3.7725182062092757"/>
    <n v="5.0785741663472952E-2"/>
    <m/>
    <s v="A"/>
    <m/>
    <m/>
    <m/>
    <m/>
    <m/>
    <m/>
    <m/>
    <m/>
    <m/>
    <m/>
  </r>
  <r>
    <x v="322"/>
    <x v="2"/>
    <s v="B"/>
    <s v="B"/>
    <x v="1"/>
    <n v="198"/>
    <n v="189"/>
    <n v="153.09200000000001"/>
    <n v="2.0819999999999999"/>
    <n v="0.23100000000000001"/>
    <s v="M22"/>
    <x v="2"/>
    <n v="22"/>
    <n v="5.5369999999999999"/>
    <n v="5.4859999999999998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1/12/2020"/>
    <s v="21"/>
    <s v="12"/>
    <s v="2020"/>
    <x v="18"/>
    <n v="356"/>
    <x v="0"/>
    <s v="Liver subsampled"/>
    <n v="0.15111768207718121"/>
    <n v="1.378716641282034"/>
    <n v="1.3808288952705612"/>
    <n v="3.5834661510725572"/>
    <n v="3.3313301805450418E-2"/>
    <m/>
    <s v="A"/>
    <m/>
    <m/>
    <m/>
    <m/>
    <m/>
    <m/>
    <m/>
    <m/>
    <m/>
    <m/>
  </r>
  <r>
    <x v="323"/>
    <x v="2"/>
    <s v="B"/>
    <s v="B"/>
    <x v="1"/>
    <n v="196"/>
    <n v="186"/>
    <n v="141.476"/>
    <n v="2.5129999999999999"/>
    <n v="0.32700000000000001"/>
    <s v="M22"/>
    <x v="2"/>
    <n v="22"/>
    <n v="5.3330000000000002"/>
    <n v="5.2089999999999996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1/12/2020"/>
    <s v="21"/>
    <s v="12"/>
    <s v="2020"/>
    <x v="18"/>
    <n v="356"/>
    <x v="0"/>
    <s v="Liver subsampled"/>
    <n v="0.23167007913623194"/>
    <n v="1.8083950404064391"/>
    <n v="1.812660492224242"/>
    <n v="3.6818965760977123"/>
    <n v="8.7647374819757817E-2"/>
    <m/>
    <s v="A"/>
    <m/>
    <m/>
    <m/>
    <m/>
    <m/>
    <m/>
    <m/>
    <m/>
    <m/>
    <m/>
  </r>
  <r>
    <x v="324"/>
    <x v="2"/>
    <s v="B"/>
    <s v="B"/>
    <x v="1"/>
    <n v="207"/>
    <n v="198"/>
    <n v="156.922"/>
    <n v="2.653"/>
    <n v="1.8640000000000001"/>
    <s v="F22"/>
    <x v="0"/>
    <n v="22"/>
    <n v="5.8810000000000002"/>
    <n v="5.7720000000000002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0/12/2020"/>
    <s v="30"/>
    <s v="12"/>
    <s v="2020"/>
    <x v="19"/>
    <n v="365"/>
    <x v="0"/>
    <s v="Liver subsampled"/>
    <n v="1.2021308155657884"/>
    <n v="1.7197233403989136"/>
    <n v="1.740756536859027"/>
    <n v="3.6782605370821173"/>
    <n v="6.9461261008653977E-2"/>
    <m/>
    <s v="A"/>
    <m/>
    <m/>
    <m/>
    <m/>
    <m/>
    <m/>
    <m/>
    <m/>
    <m/>
    <m/>
  </r>
  <r>
    <x v="325"/>
    <x v="2"/>
    <s v="B"/>
    <s v="B"/>
    <x v="1"/>
    <n v="194"/>
    <n v="184"/>
    <n v="150.27099999999999"/>
    <n v="2.4929999999999999"/>
    <n v="0.26100000000000001"/>
    <s v="M22"/>
    <x v="2"/>
    <n v="22"/>
    <n v="7.3259999999999996"/>
    <n v="6.8179999999999996"/>
    <s v="1 odonate, 3 caddis larvae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0/12/2020"/>
    <s v="30"/>
    <s v="12"/>
    <s v="2020"/>
    <x v="19"/>
    <n v="365"/>
    <x v="0"/>
    <s v="Liver subsampled"/>
    <n v="0.17398840077328179"/>
    <n v="1.6869899443760235"/>
    <n v="1.6899747147786355"/>
    <n v="4.5371362405254505"/>
    <n v="0.33805591231841142"/>
    <m/>
    <s v="A"/>
    <m/>
    <m/>
    <m/>
    <m/>
    <m/>
    <m/>
    <m/>
    <m/>
    <m/>
    <m/>
  </r>
  <r>
    <x v="326"/>
    <x v="2"/>
    <s v="B"/>
    <s v="B"/>
    <x v="1"/>
    <n v="195"/>
    <n v="184"/>
    <n v="163.654"/>
    <n v="2.585"/>
    <n v="0.26600000000000001"/>
    <s v="M22"/>
    <x v="2"/>
    <n v="22"/>
    <n v="6.7759999999999998"/>
    <n v="6.4450000000000003"/>
    <s v="11 damselfly, 1 mayfly, 1 caddis larva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0/12/2020"/>
    <s v="30"/>
    <s v="12"/>
    <s v="2020"/>
    <x v="19"/>
    <n v="365"/>
    <x v="0"/>
    <s v="Liver subsampled"/>
    <n v="0.16280265380566505"/>
    <n v="1.6049022468631455"/>
    <n v="1.6075570729401814"/>
    <n v="3.9381866621041954"/>
    <n v="0.20225597907781021"/>
    <m/>
    <s v="A"/>
    <m/>
    <m/>
    <m/>
    <m/>
    <m/>
    <m/>
    <m/>
    <m/>
    <m/>
    <m/>
  </r>
  <r>
    <x v="327"/>
    <x v="2"/>
    <s v="B"/>
    <s v="B"/>
    <x v="1"/>
    <n v="198"/>
    <n v="182"/>
    <n v="141.56100000000001"/>
    <n v="2.536"/>
    <n v="0.23"/>
    <s v="M22"/>
    <x v="2"/>
    <n v="22"/>
    <n v="4.3239999999999998"/>
    <n v="4.2699999999999996"/>
    <s v="Inverts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0/12/2020"/>
    <s v="30"/>
    <s v="12"/>
    <s v="2020"/>
    <x v="19"/>
    <n v="365"/>
    <x v="0"/>
    <s v="Liver subsampled, developed gonads"/>
    <n v="0.1627385357777133"/>
    <n v="1.8241323502967093"/>
    <n v="1.8271551568860549"/>
    <n v="3.0163675023488103"/>
    <n v="3.8146099561320042E-2"/>
    <m/>
    <s v="A"/>
    <m/>
    <m/>
    <m/>
    <m/>
    <m/>
    <m/>
    <m/>
    <m/>
    <m/>
    <m/>
  </r>
  <r>
    <x v="328"/>
    <x v="2"/>
    <s v="I"/>
    <s v="S"/>
    <x v="0"/>
    <n v="67"/>
    <n v="63"/>
    <n v="4.476"/>
    <n v="8.1000000000000003E-2"/>
    <n v="0.03"/>
    <s v="F22"/>
    <x v="0"/>
    <n v="22"/>
    <n v="0.19800000000000001"/>
    <n v="0.14899999999999999"/>
    <s v="Inverts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1/01/2021"/>
    <s v="21"/>
    <s v="01"/>
    <s v="2021"/>
    <x v="20"/>
    <n v="21"/>
    <x v="1"/>
    <s v="Trapped, small gonads"/>
    <n v="0.67476383265856954"/>
    <n v="1.8430034129692834"/>
    <n v="1.8556701030927838"/>
    <n v="3.3288650580875783"/>
    <n v="1.0947274352100094"/>
    <m/>
    <s v="T"/>
    <m/>
    <m/>
    <m/>
    <m/>
    <m/>
    <m/>
    <m/>
    <m/>
    <m/>
    <m/>
  </r>
  <r>
    <x v="329"/>
    <x v="2"/>
    <s v="S"/>
    <s v="IMM"/>
    <x v="1"/>
    <n v="56"/>
    <n v="53"/>
    <n v="2.5779999999999998"/>
    <n v="3.6999999999999998E-2"/>
    <n v="1E-3"/>
    <s v="M22"/>
    <x v="2"/>
    <n v="22"/>
    <n v="0.13300000000000001"/>
    <n v="9.7000000000000003E-2"/>
    <s v="1 mayfly, 3 chironomids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1/01/2021"/>
    <s v="21"/>
    <s v="01"/>
    <s v="2021"/>
    <x v="20"/>
    <n v="21"/>
    <x v="1"/>
    <s v="Trapped, gonads not kept"/>
    <n v="3.8804811796662786E-2"/>
    <n v="1.4561196379378198"/>
    <n v="1.4566929133858268"/>
    <n v="3.7626066718386348"/>
    <n v="1.3964313421256791"/>
    <m/>
    <s v="T"/>
    <m/>
    <m/>
    <m/>
    <m/>
    <m/>
    <m/>
    <m/>
    <m/>
    <m/>
    <m/>
  </r>
  <r>
    <x v="330"/>
    <x v="2"/>
    <s v="S"/>
    <s v="IMM"/>
    <x v="1"/>
    <n v="56"/>
    <n v="51"/>
    <n v="2.5339999999999998"/>
    <n v="5.5E-2"/>
    <n v="2.5999999999999999E-2"/>
    <s v="F22"/>
    <x v="0"/>
    <n v="22"/>
    <n v="0.13400000000000001"/>
    <n v="0.104"/>
    <s v="Inverts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1/01/2021"/>
    <s v="21"/>
    <s v="01"/>
    <s v="2021"/>
    <x v="20"/>
    <n v="21"/>
    <x v="1"/>
    <s v="Trapped"/>
    <n v="1.036682615629984"/>
    <n v="2.2186365469947562"/>
    <n v="2.2421524663677133"/>
    <n v="4.1041831097079724"/>
    <n v="1.1838989739542232"/>
    <m/>
    <s v="T"/>
    <m/>
    <m/>
    <m/>
    <m/>
    <m/>
    <m/>
    <m/>
    <m/>
    <m/>
    <m/>
  </r>
  <r>
    <x v="331"/>
    <x v="2"/>
    <s v="I"/>
    <s v="I"/>
    <x v="0"/>
    <n v="88"/>
    <n v="84"/>
    <n v="11.117000000000001"/>
    <n v="0.17799999999999999"/>
    <n v="0.01"/>
    <s v="M22"/>
    <x v="2"/>
    <n v="22"/>
    <n v="0.6"/>
    <n v="0.53900000000000003"/>
    <s v="Inverts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2/01/2021"/>
    <s v="22"/>
    <s v="01"/>
    <s v="2021"/>
    <x v="21"/>
    <n v="22"/>
    <x v="1"/>
    <s v="Angled, heavily parasitized"/>
    <n v="9.0033312325560458E-2"/>
    <n v="1.6272054118292349"/>
    <n v="1.6286942995699514"/>
    <n v="4.8484303319240798"/>
    <n v="0.54870918413240921"/>
    <m/>
    <s v="A"/>
    <m/>
    <m/>
    <m/>
    <m/>
    <m/>
    <m/>
    <m/>
    <m/>
    <m/>
    <m/>
  </r>
  <r>
    <x v="332"/>
    <x v="2"/>
    <s v="I"/>
    <s v="I"/>
    <x v="0"/>
    <n v="101"/>
    <n v="95"/>
    <n v="16.686"/>
    <n v="0.26200000000000001"/>
    <n v="8.9999999999999993E-3"/>
    <s v="M22"/>
    <x v="2"/>
    <n v="22"/>
    <n v="1.163"/>
    <n v="0.81399999999999995"/>
    <s v="1 damselfly larva, 2 caddisfly larva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2/01/2021"/>
    <s v="22"/>
    <s v="01"/>
    <s v="2021"/>
    <x v="21"/>
    <n v="22"/>
    <x v="1"/>
    <s v="Angled, heavily parasitized"/>
    <n v="5.3966540744738264E-2"/>
    <n v="1.5952264978080861"/>
    <n v="1.5961011270179717"/>
    <n v="4.878341124295817"/>
    <n v="2.0915737744216711"/>
    <m/>
    <s v="A"/>
    <m/>
    <m/>
    <m/>
    <m/>
    <m/>
    <m/>
    <m/>
    <m/>
    <m/>
    <m/>
  </r>
  <r>
    <x v="333"/>
    <x v="2"/>
    <s v="I"/>
    <s v="S"/>
    <x v="0"/>
    <n v="81"/>
    <n v="76"/>
    <n v="7.92"/>
    <n v="0.10299999999999999"/>
    <n v="5.0000000000000001E-3"/>
    <s v="M22"/>
    <x v="2"/>
    <n v="22"/>
    <n v="0.48699999999999999"/>
    <n v="0.36699999999999999"/>
    <s v="4 damselfly, 1 mayfly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2/01/2021"/>
    <s v="22"/>
    <s v="01"/>
    <s v="2021"/>
    <x v="21"/>
    <n v="22"/>
    <x v="1"/>
    <s v="Angled, heavily parasitized"/>
    <n v="6.3171193935565376E-2"/>
    <n v="1.3176410387616733"/>
    <n v="1.3184843830005117"/>
    <n v="4.6338383838383841"/>
    <n v="1.5151515151515151"/>
    <m/>
    <s v="A"/>
    <m/>
    <m/>
    <m/>
    <m/>
    <m/>
    <m/>
    <m/>
    <m/>
    <m/>
    <m/>
  </r>
  <r>
    <x v="334"/>
    <x v="2"/>
    <s v="I"/>
    <s v="B"/>
    <x v="1"/>
    <n v="136"/>
    <n v="130"/>
    <n v="51.673000000000002"/>
    <n v="1.0029999999999999"/>
    <n v="0.373"/>
    <s v="F22"/>
    <x v="0"/>
    <n v="22"/>
    <n v="2.7850000000000001"/>
    <n v="2.38"/>
    <s v="4 caddis, 2 odonates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2/01/2021"/>
    <s v="22"/>
    <s v="01"/>
    <s v="2021"/>
    <x v="21"/>
    <n v="22"/>
    <x v="1"/>
    <s v="Angled, no parasites"/>
    <n v="0.72709551656920068"/>
    <n v="1.9794750345372012"/>
    <n v="1.9941547209575121"/>
    <n v="4.6058870203007372"/>
    <n v="0.78377489210999984"/>
    <m/>
    <s v="A"/>
    <m/>
    <m/>
    <m/>
    <m/>
    <m/>
    <m/>
    <m/>
    <m/>
    <m/>
    <m/>
  </r>
  <r>
    <x v="335"/>
    <x v="2"/>
    <s v="I"/>
    <s v="S"/>
    <x v="0"/>
    <n v="78"/>
    <n v="74"/>
    <n v="7.7229999999999999"/>
    <n v="0.14899999999999999"/>
    <n v="7.0000000000000001E-3"/>
    <s v="M22"/>
    <x v="2"/>
    <n v="22"/>
    <n v="0.45800000000000002"/>
    <n v="0.36399999999999999"/>
    <s v="9 damsel: 0.044; 2 odonate: 0.018"/>
    <s v="F"/>
    <m/>
    <m/>
    <m/>
    <m/>
    <m/>
    <m/>
    <m/>
    <m/>
    <m/>
    <m/>
    <m/>
    <m/>
    <m/>
    <m/>
    <m/>
    <m/>
    <m/>
    <m/>
    <m/>
    <m/>
    <m/>
    <m/>
    <m/>
    <m/>
    <n v="2"/>
    <n v="1.7999999999999999E-2"/>
    <n v="9"/>
    <n v="4.3999999999999997E-2"/>
    <m/>
    <m/>
    <m/>
    <m/>
    <m/>
    <m/>
    <m/>
    <m/>
    <m/>
    <m/>
    <m/>
    <m/>
    <m/>
    <m/>
    <m/>
    <m/>
    <m/>
    <m/>
    <m/>
    <m/>
    <m/>
    <m/>
    <m/>
    <m/>
    <m/>
    <m/>
    <m/>
    <m/>
    <n v="6.2E-2"/>
    <d v="2021-11-02T00:00:00"/>
    <n v="11"/>
    <n v="2"/>
    <n v="2021"/>
    <x v="22"/>
    <n v="42"/>
    <x v="2"/>
    <s v="Trapped, heavily parasitized"/>
    <n v="9.0720580611715909E-2"/>
    <n v="1.9672564034856086"/>
    <n v="1.9690762521474823"/>
    <n v="4.7131943545254433"/>
    <n v="1.2171435970477797"/>
    <n v="2.0199404376537617"/>
    <s v="T"/>
    <n v="3"/>
    <m/>
    <m/>
    <m/>
    <m/>
    <m/>
    <m/>
    <m/>
    <m/>
    <m/>
  </r>
  <r>
    <x v="336"/>
    <x v="2"/>
    <s v="S"/>
    <s v="IMM"/>
    <x v="1"/>
    <n v="58"/>
    <n v="55"/>
    <n v="2.7410000000000001"/>
    <n v="0.05"/>
    <n v="3.3000000000000002E-2"/>
    <s v="F22"/>
    <x v="0"/>
    <n v="22"/>
    <n v="0.126"/>
    <n v="0.10299999999999999"/>
    <s v="6 chiro: 0.004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"/>
    <n v="4.0000000000000001E-3"/>
    <m/>
    <m/>
    <m/>
    <m/>
    <m/>
    <m/>
    <m/>
    <m/>
    <m/>
    <m/>
    <m/>
    <m/>
    <m/>
    <m/>
    <m/>
    <m/>
    <m/>
    <m/>
    <m/>
    <m/>
    <m/>
    <m/>
    <m/>
    <m/>
    <n v="4.0000000000000001E-3"/>
    <d v="2021-11-02T00:00:00"/>
    <n v="11"/>
    <n v="2"/>
    <n v="2021"/>
    <x v="22"/>
    <n v="42"/>
    <x v="2"/>
    <s v="Trapped, heavily parasitized"/>
    <n v="1.2186115214180206"/>
    <n v="1.8580453363062057"/>
    <n v="1.8811136192626032"/>
    <n v="3.7577526450200653"/>
    <n v="0.83910981393651973"/>
    <n v="0.98504195549069706"/>
    <s v="T"/>
    <n v="3"/>
    <m/>
    <m/>
    <m/>
    <m/>
    <m/>
    <m/>
    <m/>
    <m/>
    <m/>
  </r>
  <r>
    <x v="337"/>
    <x v="2"/>
    <s v="I"/>
    <s v="S"/>
    <x v="0"/>
    <n v="68"/>
    <n v="65"/>
    <n v="4.2489999999999997"/>
    <n v="0.10299999999999999"/>
    <n v="6.0000000000000001E-3"/>
    <s v="M22"/>
    <x v="2"/>
    <n v="22"/>
    <n v="0.21299999999999999"/>
    <n v="0.16600000000000001"/>
    <s v="10 chiro: 0.017; 1 caddis: 0.006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0"/>
    <n v="1.7000000000000001E-2"/>
    <m/>
    <m/>
    <m/>
    <m/>
    <n v="1"/>
    <n v="6.0000000000000001E-3"/>
    <m/>
    <m/>
    <m/>
    <m/>
    <m/>
    <m/>
    <m/>
    <m/>
    <m/>
    <m/>
    <m/>
    <m/>
    <m/>
    <m/>
    <m/>
    <m/>
    <m/>
    <m/>
    <n v="2.3E-2"/>
    <d v="2021-11-02T00:00:00"/>
    <n v="11"/>
    <n v="2"/>
    <n v="2021"/>
    <x v="22"/>
    <n v="42"/>
    <x v="2"/>
    <s v="Trapped, some parasites"/>
    <n v="0.14140938015555032"/>
    <n v="2.4843222383019778"/>
    <n v="2.4879227053140096"/>
    <n v="3.9068016003765598"/>
    <n v="1.1061426217933628"/>
    <n v="1.6474464579901149"/>
    <s v="T"/>
    <n v="2"/>
    <m/>
    <m/>
    <m/>
    <m/>
    <m/>
    <m/>
    <m/>
    <m/>
    <m/>
  </r>
  <r>
    <x v="338"/>
    <x v="2"/>
    <s v="I"/>
    <s v="IMM"/>
    <x v="0"/>
    <n v="64"/>
    <n v="61"/>
    <n v="4.0590000000000002"/>
    <n v="4.7E-2"/>
    <n v="5.0000000000000001E-3"/>
    <s v="M22"/>
    <x v="2"/>
    <n v="22"/>
    <n v="0.16400000000000001"/>
    <n v="0.13900000000000001"/>
    <s v="5 chiro: 0.009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n v="8.9999999999999993E-3"/>
    <m/>
    <m/>
    <m/>
    <m/>
    <m/>
    <m/>
    <m/>
    <m/>
    <m/>
    <m/>
    <m/>
    <m/>
    <m/>
    <m/>
    <m/>
    <m/>
    <m/>
    <m/>
    <m/>
    <m/>
    <m/>
    <m/>
    <m/>
    <m/>
    <n v="8.9999999999999993E-3"/>
    <d v="2021-11-02T00:00:00"/>
    <n v="11"/>
    <n v="2"/>
    <n v="2021"/>
    <x v="22"/>
    <n v="42"/>
    <x v="2"/>
    <s v="Trapped, heavily parasitized"/>
    <n v="0.123334977799704"/>
    <n v="1.1714855433698901"/>
    <n v="1.1729473421512351"/>
    <n v="3.424488790342449"/>
    <n v="0.61591525006159131"/>
    <n v="0.83764474008376433"/>
    <s v="T"/>
    <n v="3"/>
    <m/>
    <m/>
    <m/>
    <m/>
    <m/>
    <m/>
    <m/>
    <m/>
    <m/>
  </r>
  <r>
    <x v="339"/>
    <x v="2"/>
    <s v="I"/>
    <s v="S"/>
    <x v="0"/>
    <n v="70"/>
    <n v="66"/>
    <n v="4.6379999999999999"/>
    <n v="7.2999999999999995E-2"/>
    <n v="5.1999999999999998E-2"/>
    <s v="F22"/>
    <x v="0"/>
    <n v="22"/>
    <n v="0.187"/>
    <n v="0.16"/>
    <s v="6 chiro: 0.006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"/>
    <n v="6.0000000000000001E-3"/>
    <m/>
    <m/>
    <m/>
    <m/>
    <m/>
    <m/>
    <m/>
    <m/>
    <m/>
    <m/>
    <m/>
    <m/>
    <m/>
    <m/>
    <m/>
    <m/>
    <m/>
    <m/>
    <m/>
    <m/>
    <m/>
    <m/>
    <m/>
    <m/>
    <n v="6.0000000000000001E-3"/>
    <d v="2021-11-02T00:00:00"/>
    <n v="11"/>
    <n v="2"/>
    <n v="2021"/>
    <x v="22"/>
    <n v="42"/>
    <x v="2"/>
    <s v="Trapped, heavily parasitized"/>
    <n v="1.1338857392062798"/>
    <n v="1.5991237677984667"/>
    <n v="1.6175493020163971"/>
    <n v="3.44976282880552"/>
    <n v="0.58214747736093142"/>
    <n v="0.71151358344113835"/>
    <s v="T"/>
    <n v="3"/>
    <m/>
    <m/>
    <m/>
    <m/>
    <m/>
    <m/>
    <m/>
    <m/>
    <m/>
  </r>
  <r>
    <x v="340"/>
    <x v="2"/>
    <s v="I"/>
    <s v="S"/>
    <x v="0"/>
    <n v="66"/>
    <n v="62"/>
    <n v="4.4800000000000004"/>
    <n v="7.9000000000000001E-2"/>
    <n v="4.0000000000000001E-3"/>
    <s v="M22"/>
    <x v="2"/>
    <n v="22"/>
    <n v="0.23"/>
    <n v="0.17899999999999999"/>
    <s v="15 damsel: 0.031"/>
    <s v="F"/>
    <m/>
    <m/>
    <m/>
    <m/>
    <m/>
    <m/>
    <m/>
    <m/>
    <m/>
    <m/>
    <m/>
    <m/>
    <m/>
    <m/>
    <m/>
    <m/>
    <m/>
    <m/>
    <m/>
    <m/>
    <m/>
    <m/>
    <m/>
    <m/>
    <m/>
    <m/>
    <n v="15"/>
    <n v="3.1E-2"/>
    <m/>
    <m/>
    <m/>
    <m/>
    <m/>
    <m/>
    <m/>
    <m/>
    <m/>
    <m/>
    <m/>
    <m/>
    <m/>
    <m/>
    <m/>
    <m/>
    <m/>
    <m/>
    <m/>
    <m/>
    <m/>
    <m/>
    <m/>
    <m/>
    <m/>
    <m/>
    <m/>
    <m/>
    <n v="3.1E-2"/>
    <d v="2021-11-02T00:00:00"/>
    <n v="11"/>
    <n v="2"/>
    <n v="2021"/>
    <x v="22"/>
    <n v="42"/>
    <x v="2"/>
    <s v="Trapped, heavily parasitized"/>
    <n v="8.9365504915102756E-2"/>
    <n v="1.7950465803226536"/>
    <n v="1.7966795542415279"/>
    <n v="3.995535714285714"/>
    <n v="1.1383928571428574"/>
    <n v="1.830357142857143"/>
    <s v="T"/>
    <n v="3"/>
    <m/>
    <m/>
    <m/>
    <m/>
    <m/>
    <m/>
    <m/>
    <m/>
    <m/>
  </r>
  <r>
    <x v="341"/>
    <x v="2"/>
    <s v="I"/>
    <s v="IMM"/>
    <x v="0"/>
    <n v="62"/>
    <n v="58"/>
    <n v="3.1509999999999998"/>
    <n v="4.4999999999999998E-2"/>
    <n v="3.1E-2"/>
    <s v="F20"/>
    <x v="0"/>
    <n v="20"/>
    <n v="0.23"/>
    <n v="0.13800000000000001"/>
    <s v="2 damsnel: 0.048; 4 inverts: 0.01"/>
    <s v="F"/>
    <m/>
    <m/>
    <n v="4"/>
    <n v="0.01"/>
    <m/>
    <m/>
    <m/>
    <m/>
    <m/>
    <m/>
    <m/>
    <m/>
    <m/>
    <m/>
    <m/>
    <m/>
    <m/>
    <m/>
    <m/>
    <m/>
    <m/>
    <m/>
    <m/>
    <m/>
    <m/>
    <m/>
    <n v="2"/>
    <n v="4.8000000000000001E-2"/>
    <m/>
    <m/>
    <m/>
    <m/>
    <m/>
    <m/>
    <m/>
    <m/>
    <m/>
    <m/>
    <m/>
    <m/>
    <m/>
    <m/>
    <m/>
    <m/>
    <m/>
    <m/>
    <m/>
    <m/>
    <m/>
    <m/>
    <m/>
    <m/>
    <m/>
    <m/>
    <m/>
    <m/>
    <n v="5.8000000000000003E-2"/>
    <d v="2021-11-02T00:00:00"/>
    <n v="11"/>
    <n v="2"/>
    <n v="2021"/>
    <x v="22"/>
    <n v="42"/>
    <x v="2"/>
    <s v="Trapped, heavily parasitized"/>
    <n v="0.99358974358974372"/>
    <n v="1.4488087572440438"/>
    <n v="1.4634146341463417"/>
    <n v="4.3795620437956213"/>
    <n v="2.9197080291970807"/>
    <n v="4.7603935258648047"/>
    <s v="T"/>
    <n v="3"/>
    <m/>
    <m/>
    <m/>
    <m/>
    <m/>
    <m/>
    <m/>
    <m/>
    <m/>
  </r>
  <r>
    <x v="342"/>
    <x v="2"/>
    <s v="S"/>
    <s v="IMM"/>
    <x v="1"/>
    <n v="56"/>
    <n v="53"/>
    <n v="2.726"/>
    <n v="3.5999999999999997E-2"/>
    <n v="3.0000000000000001E-3"/>
    <s v="M22"/>
    <x v="2"/>
    <n v="22"/>
    <n v="0.16900000000000001"/>
    <n v="0.123"/>
    <s v="3 damsel: 0.015; 3 chiro: 0.007"/>
    <s v="F"/>
    <m/>
    <m/>
    <m/>
    <m/>
    <m/>
    <m/>
    <m/>
    <m/>
    <m/>
    <m/>
    <m/>
    <m/>
    <m/>
    <m/>
    <m/>
    <m/>
    <m/>
    <m/>
    <m/>
    <m/>
    <m/>
    <m/>
    <m/>
    <m/>
    <m/>
    <m/>
    <n v="3"/>
    <n v="1.4999999999999999E-2"/>
    <m/>
    <m/>
    <n v="3"/>
    <n v="7.0000000000000001E-3"/>
    <m/>
    <m/>
    <m/>
    <m/>
    <m/>
    <m/>
    <m/>
    <m/>
    <m/>
    <m/>
    <m/>
    <m/>
    <m/>
    <m/>
    <m/>
    <m/>
    <m/>
    <m/>
    <m/>
    <m/>
    <m/>
    <m/>
    <m/>
    <m/>
    <n v="2.1999999999999999E-2"/>
    <d v="2021-11-02T00:00:00"/>
    <n v="11"/>
    <n v="2"/>
    <n v="2021"/>
    <x v="22"/>
    <n v="42"/>
    <x v="2"/>
    <s v="Trapped, heavily parasitized"/>
    <n v="0.11017260374586854"/>
    <n v="1.3382899628252787"/>
    <n v="1.339784145887607"/>
    <n v="4.5121056493030078"/>
    <n v="1.6874541452677922"/>
    <n v="2.4944974321349966"/>
    <s v="T"/>
    <n v="3"/>
    <m/>
    <m/>
    <m/>
    <m/>
    <m/>
    <m/>
    <m/>
    <m/>
    <m/>
  </r>
  <r>
    <x v="343"/>
    <x v="2"/>
    <s v="S"/>
    <s v="IMM"/>
    <x v="0"/>
    <n v="60"/>
    <n v="56"/>
    <n v="2.8460000000000001"/>
    <n v="4.8000000000000001E-2"/>
    <n v="2E-3"/>
    <s v="M20"/>
    <x v="2"/>
    <n v="20"/>
    <n v="0.115"/>
    <n v="9.6000000000000002E-2"/>
    <s v="1 damsel: 0.001; 3 chiro: 0.007"/>
    <s v="F"/>
    <m/>
    <m/>
    <m/>
    <m/>
    <m/>
    <m/>
    <m/>
    <m/>
    <m/>
    <m/>
    <m/>
    <m/>
    <m/>
    <m/>
    <m/>
    <m/>
    <m/>
    <m/>
    <m/>
    <m/>
    <m/>
    <m/>
    <m/>
    <m/>
    <m/>
    <m/>
    <n v="1"/>
    <n v="1E-3"/>
    <m/>
    <m/>
    <n v="3"/>
    <n v="7.0000000000000001E-3"/>
    <m/>
    <m/>
    <m/>
    <m/>
    <m/>
    <m/>
    <m/>
    <m/>
    <m/>
    <m/>
    <m/>
    <m/>
    <m/>
    <m/>
    <m/>
    <m/>
    <m/>
    <m/>
    <m/>
    <m/>
    <m/>
    <m/>
    <m/>
    <m/>
    <n v="8.0000000000000002E-3"/>
    <d v="2021-11-02T00:00:00"/>
    <n v="11"/>
    <n v="2"/>
    <n v="2021"/>
    <x v="22"/>
    <n v="42"/>
    <x v="2"/>
    <s v="Trapped, some parasites, gonads not kept"/>
    <n v="7.0323488045007029E-2"/>
    <n v="1.7155110793423873"/>
    <n v="1.7167381974248928"/>
    <n v="3.3731553056921992"/>
    <n v="0.66760365425158119"/>
    <n v="0.9486999297259312"/>
    <s v="T"/>
    <n v="2"/>
    <m/>
    <m/>
    <m/>
    <m/>
    <m/>
    <m/>
    <m/>
    <m/>
    <m/>
  </r>
  <r>
    <x v="344"/>
    <x v="2"/>
    <s v="S"/>
    <s v="IMM"/>
    <x v="1"/>
    <n v="55"/>
    <n v="52"/>
    <n v="2.444"/>
    <n v="4.1000000000000002E-2"/>
    <n v="4.0000000000000001E-3"/>
    <s v="M22"/>
    <x v="2"/>
    <n v="22"/>
    <n v="0.14000000000000001"/>
    <n v="0.11700000000000001"/>
    <s v="10 chiro: 0.012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0"/>
    <n v="1.2E-2"/>
    <m/>
    <m/>
    <m/>
    <m/>
    <m/>
    <m/>
    <m/>
    <m/>
    <m/>
    <m/>
    <m/>
    <m/>
    <m/>
    <m/>
    <m/>
    <m/>
    <m/>
    <m/>
    <m/>
    <m/>
    <m/>
    <m/>
    <m/>
    <m/>
    <n v="1.2E-2"/>
    <d v="2021-11-02T00:00:00"/>
    <n v="11"/>
    <n v="2"/>
    <n v="2021"/>
    <x v="22"/>
    <n v="42"/>
    <x v="2"/>
    <s v="Trapped, heavily parasitized"/>
    <n v="0.16393442622950818"/>
    <n v="1.706200582605077"/>
    <n v="1.7090454355981659"/>
    <n v="4.7872340425531918"/>
    <n v="0.94108019639934559"/>
    <n v="1.4320785597381342"/>
    <s v="T"/>
    <n v="3"/>
    <m/>
    <m/>
    <m/>
    <m/>
    <m/>
    <m/>
    <m/>
    <m/>
    <m/>
  </r>
  <r>
    <x v="345"/>
    <x v="2"/>
    <s v="S"/>
    <s v="IMM"/>
    <x v="1"/>
    <n v="59"/>
    <n v="56"/>
    <n v="3.0939999999999999"/>
    <n v="6.2E-2"/>
    <n v="3.4000000000000002E-2"/>
    <s v="F22"/>
    <x v="0"/>
    <n v="22"/>
    <n v="0.17299999999999999"/>
    <n v="0.13500000000000001"/>
    <s v="1 damsel: 0.006; 4 chiro: 0.005"/>
    <s v="F"/>
    <m/>
    <m/>
    <m/>
    <m/>
    <m/>
    <m/>
    <m/>
    <m/>
    <m/>
    <m/>
    <m/>
    <m/>
    <m/>
    <m/>
    <m/>
    <m/>
    <m/>
    <m/>
    <m/>
    <m/>
    <m/>
    <m/>
    <m/>
    <m/>
    <m/>
    <m/>
    <n v="1"/>
    <n v="6.0000000000000001E-3"/>
    <m/>
    <m/>
    <n v="4"/>
    <n v="5.0000000000000001E-3"/>
    <m/>
    <m/>
    <m/>
    <m/>
    <m/>
    <m/>
    <m/>
    <m/>
    <m/>
    <m/>
    <m/>
    <m/>
    <m/>
    <m/>
    <m/>
    <m/>
    <m/>
    <m/>
    <m/>
    <m/>
    <m/>
    <m/>
    <m/>
    <m/>
    <n v="1.0999999999999999E-2"/>
    <d v="2021-11-02T00:00:00"/>
    <n v="11"/>
    <n v="2"/>
    <n v="2021"/>
    <x v="22"/>
    <n v="42"/>
    <x v="2"/>
    <s v="Trapped, heavily parasitized"/>
    <n v="1.1111111111111112"/>
    <n v="2.0448548812664908"/>
    <n v="2.0680453635757172"/>
    <n v="4.3632837750484814"/>
    <n v="1.2281835811247568"/>
    <n v="1.5837104072398183"/>
    <s v="T"/>
    <n v="3"/>
    <m/>
    <m/>
    <m/>
    <m/>
    <m/>
    <m/>
    <m/>
    <m/>
    <m/>
  </r>
  <r>
    <x v="346"/>
    <x v="2"/>
    <s v="S"/>
    <s v="IMM"/>
    <x v="1"/>
    <n v="58"/>
    <n v="55"/>
    <n v="2.843"/>
    <n v="5.7000000000000002E-2"/>
    <n v="3.0000000000000001E-3"/>
    <s v="M22"/>
    <x v="2"/>
    <n v="22"/>
    <n v="0.14299999999999999"/>
    <n v="0.115"/>
    <s v="5 damsel: 0.02"/>
    <s v="F"/>
    <m/>
    <m/>
    <m/>
    <m/>
    <m/>
    <m/>
    <m/>
    <m/>
    <m/>
    <m/>
    <m/>
    <m/>
    <m/>
    <m/>
    <m/>
    <m/>
    <m/>
    <m/>
    <m/>
    <m/>
    <m/>
    <m/>
    <m/>
    <m/>
    <m/>
    <m/>
    <n v="5"/>
    <n v="0.02"/>
    <m/>
    <m/>
    <m/>
    <m/>
    <m/>
    <m/>
    <m/>
    <m/>
    <m/>
    <m/>
    <m/>
    <m/>
    <m/>
    <m/>
    <m/>
    <m/>
    <m/>
    <m/>
    <m/>
    <m/>
    <m/>
    <m/>
    <m/>
    <m/>
    <m/>
    <m/>
    <m/>
    <m/>
    <n v="0.02"/>
    <d v="2021-11-02T00:00:00"/>
    <n v="11"/>
    <n v="2"/>
    <n v="2021"/>
    <x v="22"/>
    <n v="42"/>
    <x v="2"/>
    <s v="Trapped, heavily parasitized"/>
    <n v="0.10563380281690142"/>
    <n v="2.0459440057430007"/>
    <n v="2.0481494789795187"/>
    <n v="4.0450228631727052"/>
    <n v="0.98487513190291898"/>
    <n v="1.6883573689764328"/>
    <s v="T"/>
    <n v="3"/>
    <m/>
    <m/>
    <m/>
    <m/>
    <m/>
    <m/>
    <m/>
    <m/>
    <m/>
  </r>
  <r>
    <x v="347"/>
    <x v="2"/>
    <s v="S"/>
    <s v="IMM"/>
    <x v="1"/>
    <n v="56"/>
    <n v="53"/>
    <n v="2.9649999999999999"/>
    <n v="6.9000000000000006E-2"/>
    <n v="1E-3"/>
    <s v="M20"/>
    <x v="2"/>
    <n v="20"/>
    <n v="0.184"/>
    <n v="0.126"/>
    <s v="16 chiro: 0.037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6"/>
    <n v="3.6999999999999998E-2"/>
    <m/>
    <m/>
    <m/>
    <m/>
    <m/>
    <m/>
    <m/>
    <m/>
    <m/>
    <m/>
    <m/>
    <m/>
    <m/>
    <m/>
    <m/>
    <m/>
    <m/>
    <m/>
    <m/>
    <m/>
    <m/>
    <m/>
    <m/>
    <m/>
    <n v="3.6999999999999998E-2"/>
    <d v="2021-11-02T00:00:00"/>
    <n v="11"/>
    <n v="2"/>
    <n v="2021"/>
    <x v="22"/>
    <n v="42"/>
    <x v="2"/>
    <s v="Trapped, heavily parasitized, gonads not kept"/>
    <n v="3.3738191632928474E-2"/>
    <n v="2.382596685082873"/>
    <n v="2.3834196891191715"/>
    <n v="4.2495784148397977"/>
    <n v="1.9561551433389543"/>
    <n v="3.2040472175379429"/>
    <s v="T"/>
    <n v="3"/>
    <m/>
    <m/>
    <m/>
    <m/>
    <m/>
    <m/>
    <m/>
    <m/>
    <m/>
  </r>
  <r>
    <x v="348"/>
    <x v="2"/>
    <s v="S"/>
    <s v="IMM"/>
    <x v="1"/>
    <n v="56"/>
    <n v="53"/>
    <n v="2.6560000000000001"/>
    <n v="5.7000000000000002E-2"/>
    <n v="5.0000000000000001E-3"/>
    <s v="M22"/>
    <x v="2"/>
    <n v="22"/>
    <n v="0.14799999999999999"/>
    <n v="0.111"/>
    <s v="7 damsel: 0.024"/>
    <s v="F"/>
    <m/>
    <m/>
    <m/>
    <m/>
    <m/>
    <m/>
    <m/>
    <m/>
    <m/>
    <m/>
    <m/>
    <m/>
    <m/>
    <m/>
    <m/>
    <m/>
    <m/>
    <m/>
    <m/>
    <m/>
    <m/>
    <m/>
    <m/>
    <m/>
    <m/>
    <m/>
    <n v="7"/>
    <n v="2.4E-2"/>
    <m/>
    <m/>
    <m/>
    <m/>
    <m/>
    <m/>
    <m/>
    <m/>
    <m/>
    <m/>
    <m/>
    <m/>
    <m/>
    <m/>
    <m/>
    <m/>
    <m/>
    <m/>
    <m/>
    <m/>
    <m/>
    <m/>
    <m/>
    <m/>
    <m/>
    <m/>
    <m/>
    <m/>
    <n v="2.4E-2"/>
    <d v="2021-11-02T00:00:00"/>
    <n v="11"/>
    <n v="2"/>
    <n v="2021"/>
    <x v="22"/>
    <n v="42"/>
    <x v="2"/>
    <s v="Trapped, heavily parasitized"/>
    <n v="0.18860807242549982"/>
    <n v="2.1931512120046173"/>
    <n v="2.1973785659213569"/>
    <n v="4.1792168674698793"/>
    <n v="1.3930722891566261"/>
    <n v="2.2966867469879513"/>
    <s v="T"/>
    <n v="3"/>
    <m/>
    <m/>
    <m/>
    <m/>
    <m/>
    <m/>
    <m/>
    <m/>
    <m/>
  </r>
  <r>
    <x v="349"/>
    <x v="2"/>
    <s v="S"/>
    <s v="IMM"/>
    <x v="1"/>
    <n v="56"/>
    <n v="53"/>
    <n v="2.4510000000000001"/>
    <n v="3.5999999999999997E-2"/>
    <n v="3.0000000000000001E-3"/>
    <s v="M20"/>
    <x v="2"/>
    <n v="20"/>
    <n v="0.192"/>
    <n v="0.11700000000000001"/>
    <s v="10 damsel: 0.041; 1 mayfly: 0.004; 3 chiro: 0.005"/>
    <s v="F"/>
    <m/>
    <m/>
    <m/>
    <m/>
    <m/>
    <m/>
    <m/>
    <m/>
    <m/>
    <m/>
    <m/>
    <m/>
    <m/>
    <m/>
    <m/>
    <m/>
    <m/>
    <m/>
    <m/>
    <m/>
    <m/>
    <m/>
    <m/>
    <m/>
    <m/>
    <m/>
    <n v="10"/>
    <n v="4.1000000000000002E-2"/>
    <m/>
    <m/>
    <n v="3"/>
    <n v="5.0000000000000001E-3"/>
    <m/>
    <m/>
    <m/>
    <m/>
    <m/>
    <m/>
    <n v="1"/>
    <n v="4.0000000000000001E-3"/>
    <m/>
    <m/>
    <m/>
    <m/>
    <m/>
    <m/>
    <m/>
    <m/>
    <m/>
    <m/>
    <m/>
    <m/>
    <m/>
    <m/>
    <m/>
    <m/>
    <n v="0.05"/>
    <d v="2021-11-02T00:00:00"/>
    <n v="11"/>
    <n v="2"/>
    <n v="2021"/>
    <x v="22"/>
    <n v="42"/>
    <x v="2"/>
    <s v="Trapped, heavily parasitized"/>
    <n v="0.12254901960784313"/>
    <n v="1.4906832298136643"/>
    <n v="1.4925373134328357"/>
    <n v="4.7735618115055081"/>
    <n v="3.0599755201958385"/>
    <n v="5.0999592003263974"/>
    <s v="T"/>
    <n v="3"/>
    <m/>
    <m/>
    <m/>
    <m/>
    <m/>
    <m/>
    <m/>
    <m/>
    <m/>
  </r>
  <r>
    <x v="350"/>
    <x v="2"/>
    <s v="S"/>
    <s v="IMM"/>
    <x v="1"/>
    <n v="53"/>
    <n v="50"/>
    <n v="2.0960000000000001"/>
    <n v="3.4000000000000002E-2"/>
    <n v="3.0000000000000001E-3"/>
    <s v="M20"/>
    <x v="2"/>
    <n v="20"/>
    <n v="0.105"/>
    <n v="6.8000000000000005E-2"/>
    <s v="8 damsel: 0.016"/>
    <s v="F"/>
    <m/>
    <m/>
    <m/>
    <m/>
    <m/>
    <m/>
    <m/>
    <m/>
    <m/>
    <m/>
    <m/>
    <m/>
    <m/>
    <m/>
    <m/>
    <m/>
    <m/>
    <m/>
    <m/>
    <m/>
    <m/>
    <m/>
    <m/>
    <m/>
    <m/>
    <m/>
    <n v="8"/>
    <n v="1.6E-2"/>
    <m/>
    <m/>
    <m/>
    <m/>
    <m/>
    <m/>
    <m/>
    <m/>
    <m/>
    <m/>
    <m/>
    <m/>
    <m/>
    <m/>
    <m/>
    <m/>
    <m/>
    <m/>
    <m/>
    <m/>
    <m/>
    <m/>
    <m/>
    <m/>
    <m/>
    <m/>
    <m/>
    <m/>
    <n v="1.6E-2"/>
    <d v="2021-11-02T00:00:00"/>
    <n v="11"/>
    <n v="2"/>
    <n v="2021"/>
    <x v="22"/>
    <n v="42"/>
    <x v="2"/>
    <s v="Trapped, no parasites"/>
    <n v="0.1433349259436216"/>
    <n v="1.6488845780795343"/>
    <n v="1.6512870325400681"/>
    <n v="3.2442748091603053"/>
    <n v="1.7652671755725184"/>
    <n v="2.5286259541984726"/>
    <s v="T"/>
    <n v="1"/>
    <m/>
    <m/>
    <m/>
    <m/>
    <m/>
    <m/>
    <m/>
    <m/>
    <m/>
  </r>
  <r>
    <x v="351"/>
    <x v="2"/>
    <s v="S"/>
    <s v="IMM"/>
    <x v="1"/>
    <n v="43"/>
    <n v="40"/>
    <n v="1.111"/>
    <n v="2.5999999999999999E-2"/>
    <n v="1E-3"/>
    <s v="M10"/>
    <x v="2"/>
    <n v="10"/>
    <n v="0.05"/>
    <n v="4.7E-2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d v="2021-11-02T00:00:00"/>
    <n v="11"/>
    <n v="2"/>
    <n v="2021"/>
    <x v="22"/>
    <n v="42"/>
    <x v="2"/>
    <s v="Trapped, heavily parasitized, gonads not kept"/>
    <n v="9.0090090090090086E-2"/>
    <n v="2.3963133640552994"/>
    <n v="2.3985239852398523"/>
    <n v="4.2304230423042304"/>
    <n v="0.2700270027002703"/>
    <n v="0.2700270027002703"/>
    <s v="T"/>
    <n v="3"/>
    <m/>
    <m/>
    <m/>
    <m/>
    <m/>
    <m/>
    <m/>
    <m/>
    <m/>
  </r>
  <r>
    <x v="352"/>
    <x v="2"/>
    <s v="S"/>
    <s v="IMM"/>
    <x v="1"/>
    <n v="47"/>
    <n v="44"/>
    <n v="1.54"/>
    <n v="3.2000000000000001E-2"/>
    <n v="2.1000000000000001E-2"/>
    <s v="F20"/>
    <x v="0"/>
    <n v="20"/>
    <n v="6.5000000000000002E-2"/>
    <n v="5.3999999999999999E-2"/>
    <s v="3 chiro: 0.004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4.0000000000000001E-3"/>
    <m/>
    <m/>
    <m/>
    <m/>
    <m/>
    <m/>
    <m/>
    <m/>
    <m/>
    <m/>
    <m/>
    <m/>
    <m/>
    <m/>
    <m/>
    <m/>
    <m/>
    <m/>
    <m/>
    <m/>
    <m/>
    <m/>
    <m/>
    <m/>
    <n v="4.0000000000000001E-3"/>
    <d v="2021-11-02T00:00:00"/>
    <n v="11"/>
    <n v="2"/>
    <n v="2021"/>
    <x v="22"/>
    <n v="42"/>
    <x v="2"/>
    <s v="Trapped, some parasites"/>
    <n v="1.3824884792626728"/>
    <n v="2.1220159151193632"/>
    <n v="2.151983860121049"/>
    <n v="3.5064935064935061"/>
    <n v="0.71428571428571441"/>
    <n v="0.97402597402597413"/>
    <s v="T"/>
    <n v="2"/>
    <m/>
    <m/>
    <m/>
    <m/>
    <m/>
    <m/>
    <m/>
    <m/>
    <m/>
  </r>
  <r>
    <x v="353"/>
    <x v="2"/>
    <s v="S"/>
    <s v="IMM"/>
    <x v="1"/>
    <n v="41"/>
    <n v="38"/>
    <n v="0.98599999999999999"/>
    <n v="2.1000000000000001E-2"/>
    <n v="5.0000000000000001E-3"/>
    <s v="F10"/>
    <x v="0"/>
    <n v="10"/>
    <n v="5.7000000000000002E-2"/>
    <n v="3.9E-2"/>
    <s v="4 chiro: 0.008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8.0000000000000002E-3"/>
    <m/>
    <m/>
    <m/>
    <m/>
    <m/>
    <m/>
    <m/>
    <m/>
    <m/>
    <m/>
    <m/>
    <m/>
    <m/>
    <m/>
    <m/>
    <m/>
    <m/>
    <m/>
    <m/>
    <m/>
    <m/>
    <m/>
    <m/>
    <m/>
    <n v="8.0000000000000002E-3"/>
    <d v="2021-11-02T00:00:00"/>
    <n v="11"/>
    <n v="2"/>
    <n v="2021"/>
    <x v="22"/>
    <n v="42"/>
    <x v="2"/>
    <s v="Trapped, heavily parasitized, gonads not kept"/>
    <n v="0.509683995922528"/>
    <n v="2.1761658031088085"/>
    <n v="2.1875"/>
    <n v="3.9553752535496955"/>
    <n v="1.8255578093306291"/>
    <n v="2.6369168356997976"/>
    <s v="T"/>
    <n v="3"/>
    <m/>
    <m/>
    <m/>
    <m/>
    <m/>
    <m/>
    <m/>
    <m/>
    <m/>
  </r>
  <r>
    <x v="354"/>
    <x v="2"/>
    <s v="S"/>
    <s v="IMM"/>
    <x v="1"/>
    <n v="57"/>
    <n v="54"/>
    <n v="2.5310000000000001"/>
    <n v="6.5000000000000002E-2"/>
    <n v="0.02"/>
    <s v="F22"/>
    <x v="0"/>
    <n v="22"/>
    <n v="0.13"/>
    <n v="0.105"/>
    <s v="4 chiro: 0.008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8.0000000000000002E-3"/>
    <m/>
    <m/>
    <m/>
    <m/>
    <m/>
    <m/>
    <m/>
    <m/>
    <m/>
    <m/>
    <m/>
    <m/>
    <m/>
    <m/>
    <m/>
    <m/>
    <m/>
    <m/>
    <m/>
    <m/>
    <m/>
    <m/>
    <m/>
    <m/>
    <n v="8.0000000000000002E-3"/>
    <s v="21/2/21"/>
    <s v="21"/>
    <s v="2"/>
    <s v="2021"/>
    <x v="23"/>
    <n v="52"/>
    <x v="3"/>
    <s v="Trapped, some parasites"/>
    <n v="0.79649542015133401"/>
    <n v="2.6358475263584751"/>
    <n v="2.6573998364677021"/>
    <n v="4.1485578822599765"/>
    <n v="0.98775187672856601"/>
    <n v="1.3038324772817071"/>
    <s v="T"/>
    <n v="2"/>
    <m/>
    <m/>
    <m/>
    <m/>
    <m/>
    <m/>
    <m/>
    <m/>
    <m/>
  </r>
  <r>
    <x v="355"/>
    <x v="2"/>
    <s v="I"/>
    <s v="S"/>
    <x v="0"/>
    <n v="69"/>
    <n v="65"/>
    <n v="4.3250000000000002"/>
    <n v="7.3999999999999996E-2"/>
    <n v="4.1000000000000002E-2"/>
    <s v="F22"/>
    <x v="0"/>
    <n v="22"/>
    <n v="0.25600000000000001"/>
    <n v="0.16600000000000001"/>
    <s v="12 damsel: 0.045"/>
    <s v="F"/>
    <m/>
    <m/>
    <m/>
    <m/>
    <m/>
    <m/>
    <m/>
    <m/>
    <m/>
    <m/>
    <m/>
    <m/>
    <m/>
    <m/>
    <m/>
    <m/>
    <m/>
    <m/>
    <m/>
    <m/>
    <m/>
    <m/>
    <m/>
    <m/>
    <m/>
    <m/>
    <n v="12"/>
    <n v="4.4999999999999998E-2"/>
    <m/>
    <m/>
    <m/>
    <m/>
    <m/>
    <m/>
    <m/>
    <m/>
    <m/>
    <m/>
    <m/>
    <m/>
    <m/>
    <m/>
    <m/>
    <m/>
    <m/>
    <m/>
    <m/>
    <m/>
    <m/>
    <m/>
    <m/>
    <m/>
    <m/>
    <m/>
    <m/>
    <m/>
    <n v="4.4999999999999998E-2"/>
    <s v="21/2/21"/>
    <s v="21"/>
    <s v="2"/>
    <s v="2021"/>
    <x v="23"/>
    <n v="52"/>
    <x v="3"/>
    <s v="Trapped, some parasites"/>
    <n v="0.95704948646125121"/>
    <n v="1.7407668783815569"/>
    <n v="1.7577197149643706"/>
    <n v="3.8381502890173413"/>
    <n v="2.0809248554913293"/>
    <n v="3.1213872832369942"/>
    <s v="T"/>
    <n v="2"/>
    <m/>
    <m/>
    <m/>
    <m/>
    <m/>
    <m/>
    <m/>
    <m/>
    <m/>
  </r>
  <r>
    <x v="356"/>
    <x v="2"/>
    <s v="I"/>
    <s v="S"/>
    <x v="0"/>
    <n v="75"/>
    <n v="71"/>
    <n v="6.0730000000000004"/>
    <n v="0.114"/>
    <n v="5.7000000000000002E-2"/>
    <s v="F22"/>
    <x v="0"/>
    <n v="22"/>
    <n v="0.35099999999999998"/>
    <n v="0.26300000000000001"/>
    <s v="12 damsel: 0.058"/>
    <s v="F"/>
    <m/>
    <m/>
    <m/>
    <m/>
    <m/>
    <m/>
    <m/>
    <m/>
    <m/>
    <m/>
    <m/>
    <m/>
    <m/>
    <m/>
    <m/>
    <m/>
    <m/>
    <m/>
    <m/>
    <m/>
    <m/>
    <m/>
    <m/>
    <m/>
    <m/>
    <m/>
    <n v="12"/>
    <n v="5.8000000000000003E-2"/>
    <m/>
    <m/>
    <m/>
    <m/>
    <m/>
    <m/>
    <m/>
    <m/>
    <m/>
    <m/>
    <m/>
    <m/>
    <m/>
    <m/>
    <m/>
    <m/>
    <m/>
    <m/>
    <m/>
    <m/>
    <m/>
    <m/>
    <m/>
    <m/>
    <m/>
    <m/>
    <m/>
    <m/>
    <n v="5.8000000000000003E-2"/>
    <s v="21/2/21"/>
    <s v="21"/>
    <s v="2"/>
    <s v="2021"/>
    <x v="23"/>
    <n v="52"/>
    <x v="3"/>
    <s v="Trapped, heavily parasitized"/>
    <n v="0.94747340425531923"/>
    <n v="1.9130726631985233"/>
    <n v="1.9315486275838698"/>
    <n v="4.3306438333607771"/>
    <n v="1.449036719907788"/>
    <n v="2.4040836489379211"/>
    <s v="T"/>
    <n v="3"/>
    <m/>
    <m/>
    <m/>
    <m/>
    <m/>
    <m/>
    <m/>
    <m/>
    <m/>
  </r>
  <r>
    <x v="357"/>
    <x v="2"/>
    <s v="I"/>
    <s v="S"/>
    <x v="0"/>
    <n v="75"/>
    <n v="70"/>
    <n v="5.8860000000000001"/>
    <n v="0.14299999999999999"/>
    <n v="5.8999999999999997E-2"/>
    <s v="F22"/>
    <x v="0"/>
    <n v="22"/>
    <n v="0.26200000000000001"/>
    <n v="0.254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21/2/21"/>
    <s v="21"/>
    <s v="2"/>
    <s v="2021"/>
    <x v="23"/>
    <n v="52"/>
    <x v="3"/>
    <s v="Trapped, heavily parasitized"/>
    <n v="1.012527887420628"/>
    <n v="2.4899878112484761"/>
    <n v="2.5158339197748063"/>
    <n v="4.3153244988107371"/>
    <n v="0.13591573224600759"/>
    <n v="0.13591573224600759"/>
    <s v="T"/>
    <n v="3"/>
    <m/>
    <m/>
    <m/>
    <m/>
    <m/>
    <m/>
    <m/>
    <m/>
    <m/>
  </r>
  <r>
    <x v="358"/>
    <x v="2"/>
    <s v="I"/>
    <s v="S"/>
    <x v="0"/>
    <n v="72"/>
    <n v="68"/>
    <n v="5.3250000000000002"/>
    <n v="0.114"/>
    <n v="6.0000000000000001E-3"/>
    <s v="M20"/>
    <x v="2"/>
    <n v="20"/>
    <n v="0.23100000000000001"/>
    <n v="0.22600000000000001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21/2/21"/>
    <s v="21"/>
    <s v="2"/>
    <s v="2021"/>
    <x v="23"/>
    <n v="52"/>
    <x v="3"/>
    <s v="Trapped, heavily parasitized"/>
    <n v="0.11280315848843769"/>
    <n v="2.1876799078871616"/>
    <n v="2.190201729106628"/>
    <n v="4.244131455399061"/>
    <n v="9.3896713615023553E-2"/>
    <n v="9.3896713615023553E-2"/>
    <s v="T"/>
    <n v="3"/>
    <m/>
    <m/>
    <m/>
    <m/>
    <m/>
    <m/>
    <m/>
    <m/>
    <m/>
  </r>
  <r>
    <x v="359"/>
    <x v="2"/>
    <s v="I"/>
    <s v="S"/>
    <x v="0"/>
    <n v="71"/>
    <n v="62"/>
    <n v="5.03"/>
    <n v="8.7999999999999995E-2"/>
    <n v="5.1999999999999998E-2"/>
    <s v="F22"/>
    <x v="0"/>
    <n v="22"/>
    <n v="0.22800000000000001"/>
    <n v="0.19600000000000001"/>
    <s v="5 chiro: 0.013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n v="1.2999999999999999E-2"/>
    <m/>
    <m/>
    <m/>
    <m/>
    <m/>
    <m/>
    <m/>
    <m/>
    <m/>
    <m/>
    <m/>
    <m/>
    <m/>
    <m/>
    <m/>
    <m/>
    <m/>
    <m/>
    <m/>
    <m/>
    <m/>
    <m/>
    <m/>
    <m/>
    <n v="1.2999999999999999E-2"/>
    <s v="21/2/21"/>
    <s v="21"/>
    <s v="2"/>
    <s v="2021"/>
    <x v="23"/>
    <n v="52"/>
    <x v="3"/>
    <s v="Trapped, heavily parasitized"/>
    <n v="1.0445962233828845"/>
    <n v="1.780655605018211"/>
    <n v="1.7995910020449895"/>
    <n v="3.8966202783300199"/>
    <n v="0.63618290258449306"/>
    <n v="0.89463220675944333"/>
    <s v="T"/>
    <n v="3"/>
    <m/>
    <m/>
    <m/>
    <m/>
    <m/>
    <m/>
    <m/>
    <m/>
    <m/>
  </r>
  <r>
    <x v="360"/>
    <x v="2"/>
    <s v="I"/>
    <s v="IMM"/>
    <x v="0"/>
    <n v="63"/>
    <n v="60"/>
    <n v="3.6509999999999998"/>
    <n v="6.6000000000000003E-2"/>
    <n v="4.2999999999999997E-2"/>
    <s v="F22"/>
    <x v="0"/>
    <n v="22"/>
    <n v="0.127"/>
    <n v="0.124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21/2/21"/>
    <s v="21"/>
    <s v="2"/>
    <s v="2021"/>
    <x v="23"/>
    <n v="52"/>
    <x v="3"/>
    <s v="Trapped, heavily parasitized"/>
    <n v="1.1917960088691797"/>
    <n v="1.8410041841004186"/>
    <n v="1.8633540372670807"/>
    <n v="3.3963297726650237"/>
    <n v="8.2169268693508699E-2"/>
    <n v="8.2169268693508699E-2"/>
    <s v="T"/>
    <n v="3"/>
    <m/>
    <m/>
    <m/>
    <m/>
    <m/>
    <m/>
    <m/>
    <m/>
    <m/>
  </r>
  <r>
    <x v="361"/>
    <x v="2"/>
    <s v="I"/>
    <s v="IMM"/>
    <x v="0"/>
    <n v="62"/>
    <n v="59"/>
    <n v="3.2770000000000001"/>
    <n v="0.06"/>
    <n v="2E-3"/>
    <s v="M10"/>
    <x v="2"/>
    <n v="10"/>
    <n v="0.158"/>
    <n v="0.15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21/2/21"/>
    <s v="21"/>
    <s v="2"/>
    <s v="2021"/>
    <x v="23"/>
    <n v="52"/>
    <x v="3"/>
    <s v="Trapped, XTREME parasites"/>
    <n v="6.1068702290076327E-2"/>
    <n v="1.8650917003419334"/>
    <n v="1.8662519440124414"/>
    <n v="4.5773573390296001"/>
    <n v="0.24412572474824557"/>
    <n v="0.24412572474824557"/>
    <s v="T"/>
    <n v="4"/>
    <m/>
    <m/>
    <m/>
    <m/>
    <m/>
    <m/>
    <m/>
    <m/>
    <m/>
  </r>
  <r>
    <x v="362"/>
    <x v="2"/>
    <s v="I"/>
    <s v="IMM"/>
    <x v="0"/>
    <n v="61"/>
    <n v="58"/>
    <n v="3.012"/>
    <n v="6.2E-2"/>
    <n v="2.8000000000000001E-2"/>
    <s v="F22"/>
    <x v="0"/>
    <n v="22"/>
    <n v="0.14699999999999999"/>
    <n v="9.6000000000000002E-2"/>
    <s v="~10 zoops: 0.003"/>
    <s v="F"/>
    <m/>
    <m/>
    <m/>
    <m/>
    <m/>
    <m/>
    <m/>
    <m/>
    <m/>
    <m/>
    <m/>
    <m/>
    <m/>
    <m/>
    <m/>
    <m/>
    <m/>
    <m/>
    <m/>
    <m/>
    <m/>
    <m/>
    <n v="10"/>
    <n v="3.0000000000000001E-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.0000000000000001E-3"/>
    <s v="21/2/21"/>
    <s v="21"/>
    <s v="2"/>
    <s v="2021"/>
    <x v="23"/>
    <n v="52"/>
    <x v="3"/>
    <s v="Trapped, heavily parasitized"/>
    <n v="0.93833780160857916"/>
    <n v="2.101694915254237"/>
    <n v="2.1218343600273784"/>
    <n v="3.1872509960159361"/>
    <n v="1.6932270916334657"/>
    <n v="1.7928286852589639"/>
    <s v="T"/>
    <n v="3"/>
    <m/>
    <m/>
    <m/>
    <m/>
    <m/>
    <m/>
    <m/>
    <m/>
    <m/>
  </r>
  <r>
    <x v="363"/>
    <x v="2"/>
    <s v="S"/>
    <s v="IMM"/>
    <x v="1"/>
    <n v="58"/>
    <n v="54"/>
    <n v="2.887"/>
    <n v="5.8999999999999997E-2"/>
    <n v="2.7E-2"/>
    <s v="F22"/>
    <x v="0"/>
    <n v="22"/>
    <n v="0.17"/>
    <n v="0.123"/>
    <s v="14 chiro: 0.021; 4 damsel: 0.01"/>
    <s v="F"/>
    <m/>
    <m/>
    <m/>
    <m/>
    <m/>
    <m/>
    <m/>
    <m/>
    <m/>
    <m/>
    <m/>
    <m/>
    <m/>
    <m/>
    <m/>
    <m/>
    <m/>
    <m/>
    <m/>
    <m/>
    <m/>
    <m/>
    <m/>
    <m/>
    <m/>
    <m/>
    <n v="4"/>
    <n v="0.01"/>
    <m/>
    <m/>
    <n v="14"/>
    <n v="2.1000000000000001E-2"/>
    <m/>
    <m/>
    <m/>
    <m/>
    <m/>
    <m/>
    <m/>
    <m/>
    <m/>
    <m/>
    <m/>
    <m/>
    <m/>
    <m/>
    <m/>
    <m/>
    <m/>
    <m/>
    <m/>
    <m/>
    <m/>
    <m/>
    <m/>
    <m/>
    <n v="2.1999999999999999E-2"/>
    <s v="21/2/21"/>
    <s v="21"/>
    <s v="2"/>
    <s v="2021"/>
    <x v="23"/>
    <n v="52"/>
    <x v="3"/>
    <s v="Trapped, some parasites"/>
    <n v="0.94405594405594406"/>
    <n v="2.086280056577086"/>
    <n v="2.1063905747947165"/>
    <n v="4.2604780048493245"/>
    <n v="1.6279875303082791"/>
    <n v="2.3900242466227919"/>
    <s v="T"/>
    <n v="2"/>
    <m/>
    <m/>
    <m/>
    <m/>
    <m/>
    <m/>
    <m/>
    <m/>
    <m/>
  </r>
  <r>
    <x v="364"/>
    <x v="2"/>
    <s v="S"/>
    <s v="IMM"/>
    <x v="1"/>
    <n v="58"/>
    <n v="55"/>
    <n v="2.6520000000000001"/>
    <n v="7.0999999999999994E-2"/>
    <n v="1E-3"/>
    <s v="M10"/>
    <x v="2"/>
    <n v="10"/>
    <n v="0.121"/>
    <n v="0.109"/>
    <s v="3 chiro: 0.005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5.0000000000000001E-3"/>
    <m/>
    <m/>
    <m/>
    <m/>
    <m/>
    <m/>
    <m/>
    <m/>
    <m/>
    <m/>
    <m/>
    <m/>
    <m/>
    <m/>
    <m/>
    <m/>
    <m/>
    <m/>
    <m/>
    <m/>
    <m/>
    <m/>
    <m/>
    <m/>
    <n v="5.0000000000000001E-3"/>
    <s v="21/2/21"/>
    <s v="21"/>
    <s v="2"/>
    <s v="2021"/>
    <x v="23"/>
    <n v="52"/>
    <x v="3"/>
    <s v="Trapped, heavily parasitized, gonads not kept"/>
    <n v="3.7721614485099961E-2"/>
    <n v="2.750871755133669"/>
    <n v="2.7519379844961236"/>
    <n v="4.1101055806938156"/>
    <n v="0.45248868778280532"/>
    <n v="0.64102564102564097"/>
    <s v="T"/>
    <n v="3"/>
    <m/>
    <m/>
    <m/>
    <m/>
    <m/>
    <m/>
    <m/>
    <m/>
    <m/>
  </r>
  <r>
    <x v="365"/>
    <x v="2"/>
    <s v="I"/>
    <s v="IMM"/>
    <x v="0"/>
    <n v="61"/>
    <n v="59"/>
    <n v="3.3570000000000002"/>
    <n v="7.2999999999999995E-2"/>
    <n v="3.5000000000000003E-2"/>
    <s v="F22"/>
    <x v="0"/>
    <n v="22"/>
    <n v="0.185"/>
    <n v="0.14799999999999999"/>
    <s v="inverts: 0.018"/>
    <s v="F"/>
    <m/>
    <m/>
    <m/>
    <n v="1.7999999999999999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.7999999999999999E-2"/>
    <s v="21/2/21"/>
    <s v="21"/>
    <s v="2"/>
    <s v="2021"/>
    <x v="23"/>
    <n v="52"/>
    <x v="3"/>
    <s v="Trapped, some parasites"/>
    <n v="1.0535821794099942"/>
    <n v="2.2228989037758828"/>
    <n v="2.2468451831332716"/>
    <n v="4.4086982424784029"/>
    <n v="1.102174560619601"/>
    <n v="1.6383675901102175"/>
    <s v="T"/>
    <n v="2"/>
    <m/>
    <m/>
    <m/>
    <m/>
    <m/>
    <m/>
    <m/>
    <m/>
    <m/>
  </r>
  <r>
    <x v="366"/>
    <x v="2"/>
    <s v="S"/>
    <s v="IMM"/>
    <x v="0"/>
    <n v="60"/>
    <n v="57"/>
    <n v="3.0569999999999999"/>
    <n v="5.6000000000000001E-2"/>
    <n v="0.04"/>
    <s v="F22"/>
    <x v="0"/>
    <n v="22"/>
    <n v="0.12"/>
    <n v="0.109"/>
    <s v="1 chiro: 0.002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2E-3"/>
    <m/>
    <m/>
    <m/>
    <m/>
    <m/>
    <m/>
    <m/>
    <m/>
    <m/>
    <m/>
    <m/>
    <m/>
    <m/>
    <m/>
    <m/>
    <m/>
    <m/>
    <m/>
    <m/>
    <m/>
    <m/>
    <m/>
    <m/>
    <m/>
    <n v="2E-3"/>
    <s v="21/2/21"/>
    <s v="21"/>
    <s v="2"/>
    <s v="2021"/>
    <x v="23"/>
    <n v="52"/>
    <x v="3"/>
    <s v="Trapped, some parasites"/>
    <n v="1.3258203513423932"/>
    <n v="1.8660446517827394"/>
    <n v="1.8912529550827426"/>
    <n v="3.5655871769708867"/>
    <n v="0.35982989859339209"/>
    <n v="0.42525351651946341"/>
    <s v="T"/>
    <n v="2"/>
    <m/>
    <m/>
    <m/>
    <m/>
    <m/>
    <m/>
    <m/>
    <m/>
    <m/>
  </r>
  <r>
    <x v="367"/>
    <x v="2"/>
    <s v="S"/>
    <s v="IMM"/>
    <x v="1"/>
    <n v="46"/>
    <n v="44"/>
    <n v="1.252"/>
    <n v="2.4E-2"/>
    <n v="5.0000000000000001E-3"/>
    <s v="F10"/>
    <x v="0"/>
    <n v="10"/>
    <n v="5.8999999999999997E-2"/>
    <n v="4.9000000000000002E-2"/>
    <s v="Inverts: 0.003"/>
    <s v="F"/>
    <m/>
    <m/>
    <m/>
    <n v="3.0000000000000001E-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.0000000000000001E-3"/>
    <s v="21/2/21"/>
    <s v="21"/>
    <s v="2"/>
    <s v="2021"/>
    <x v="23"/>
    <n v="52"/>
    <x v="3"/>
    <s v="Trapped, some parasites"/>
    <n v="0.40096230954290296"/>
    <n v="1.954397394136808"/>
    <n v="1.9623875715453802"/>
    <n v="3.9137380191693292"/>
    <n v="0.79872204472843411"/>
    <n v="1.0383386581469645"/>
    <s v="T"/>
    <n v="2"/>
    <m/>
    <m/>
    <m/>
    <m/>
    <m/>
    <m/>
    <m/>
    <m/>
    <m/>
  </r>
  <r>
    <x v="368"/>
    <x v="2"/>
    <s v="S"/>
    <s v="IMM"/>
    <x v="1"/>
    <n v="44"/>
    <n v="41"/>
    <n v="1.085"/>
    <n v="3.5000000000000003E-2"/>
    <n v="2E-3"/>
    <s v="M10"/>
    <x v="2"/>
    <n v="10"/>
    <n v="4.4999999999999998E-2"/>
    <n v="0.04"/>
    <s v="1 chiro: 0.001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E-3"/>
    <m/>
    <m/>
    <m/>
    <m/>
    <m/>
    <m/>
    <m/>
    <m/>
    <m/>
    <m/>
    <m/>
    <m/>
    <m/>
    <m/>
    <m/>
    <m/>
    <m/>
    <m/>
    <m/>
    <m/>
    <m/>
    <m/>
    <m/>
    <m/>
    <n v="1E-3"/>
    <s v="21/2/21"/>
    <s v="21"/>
    <s v="2"/>
    <s v="2021"/>
    <x v="23"/>
    <n v="52"/>
    <x v="3"/>
    <s v="Trapped, some parasites"/>
    <n v="0.18467220683287167"/>
    <n v="3.3333333333333335"/>
    <n v="3.3396946564885495"/>
    <n v="3.6866359447004609"/>
    <n v="0.46082949308755744"/>
    <n v="0.55299539170506895"/>
    <s v="T"/>
    <n v="2"/>
    <m/>
    <m/>
    <m/>
    <m/>
    <m/>
    <m/>
    <m/>
    <m/>
    <m/>
  </r>
  <r>
    <x v="369"/>
    <x v="2"/>
    <s v="S"/>
    <s v="IMM"/>
    <x v="1"/>
    <n v="44"/>
    <n v="42"/>
    <n v="1.083"/>
    <n v="2.7E-2"/>
    <n v="2E-3"/>
    <s v="M10"/>
    <x v="2"/>
    <n v="10"/>
    <n v="5.6000000000000001E-2"/>
    <n v="4.1000000000000002E-2"/>
    <s v="2 chiro: 0.004; 1 damsel: 0.001"/>
    <s v="F"/>
    <m/>
    <m/>
    <m/>
    <m/>
    <m/>
    <m/>
    <m/>
    <m/>
    <m/>
    <m/>
    <m/>
    <m/>
    <m/>
    <m/>
    <m/>
    <m/>
    <m/>
    <m/>
    <m/>
    <m/>
    <m/>
    <m/>
    <m/>
    <m/>
    <m/>
    <m/>
    <n v="1"/>
    <n v="1E-3"/>
    <m/>
    <m/>
    <n v="2"/>
    <n v="4.0000000000000001E-3"/>
    <m/>
    <m/>
    <m/>
    <m/>
    <m/>
    <m/>
    <m/>
    <m/>
    <m/>
    <m/>
    <m/>
    <m/>
    <m/>
    <m/>
    <m/>
    <m/>
    <m/>
    <m/>
    <m/>
    <m/>
    <m/>
    <m/>
    <m/>
    <m/>
    <n v="5.0000000000000001E-3"/>
    <s v="21/2/21"/>
    <s v="21"/>
    <s v="2"/>
    <s v="2021"/>
    <x v="23"/>
    <n v="52"/>
    <x v="3"/>
    <s v="Trapped, some parasites, gonads not kept"/>
    <n v="0.18501387604070307"/>
    <n v="2.5568181818181817"/>
    <n v="2.5616698292220113"/>
    <n v="3.7857802400738696"/>
    <n v="1.3850415512465373"/>
    <n v="1.8467220683287167"/>
    <s v="T"/>
    <n v="2"/>
    <m/>
    <m/>
    <m/>
    <m/>
    <m/>
    <m/>
    <m/>
    <m/>
    <m/>
  </r>
  <r>
    <x v="370"/>
    <x v="2"/>
    <s v="I"/>
    <s v="I"/>
    <x v="0"/>
    <n v="85"/>
    <n v="81"/>
    <n v="9.1440000000000001"/>
    <n v="0.16700000000000001"/>
    <n v="8.0000000000000002E-3"/>
    <s v="M22"/>
    <x v="2"/>
    <n v="22"/>
    <n v="0.38500000000000001"/>
    <n v="0.35699999999999998"/>
    <s v="6 chiro: 0.013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"/>
    <n v="1.2999999999999999E-2"/>
    <m/>
    <m/>
    <m/>
    <m/>
    <m/>
    <m/>
    <m/>
    <m/>
    <m/>
    <m/>
    <m/>
    <m/>
    <m/>
    <m/>
    <m/>
    <m/>
    <m/>
    <m/>
    <m/>
    <m/>
    <m/>
    <m/>
    <m/>
    <m/>
    <n v="1.2999999999999999E-2"/>
    <d v="2021-07-03T00:00:00"/>
    <n v="7"/>
    <n v="3"/>
    <n v="2021"/>
    <x v="24"/>
    <n v="66"/>
    <x v="4"/>
    <m/>
    <n v="8.7566000000000005E-2"/>
    <n v="1.8603099999999999"/>
    <n v="1.861969"/>
    <n v="4.0628200000000003"/>
    <n v="0.30621199999999998"/>
    <n v="0.44838145231846044"/>
    <s v="T"/>
    <n v="3"/>
    <m/>
    <m/>
    <m/>
    <m/>
    <m/>
    <m/>
    <m/>
    <m/>
    <m/>
  </r>
  <r>
    <x v="371"/>
    <x v="2"/>
    <s v="I"/>
    <s v="IMM"/>
    <x v="0"/>
    <n v="62"/>
    <n v="59"/>
    <n v="3.1429999999999998"/>
    <n v="5.8000000000000003E-2"/>
    <n v="4.2000000000000003E-2"/>
    <s v="F22"/>
    <x v="0"/>
    <n v="22"/>
    <n v="0.11600000000000001"/>
    <n v="0.114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d v="2021-07-03T00:00:00"/>
    <n v="7"/>
    <n v="3"/>
    <n v="2021"/>
    <x v="24"/>
    <n v="66"/>
    <x v="4"/>
    <m/>
    <n v="1.3544020000000001"/>
    <n v="1.8800650000000001"/>
    <n v="1.9060140000000001"/>
    <n v="3.7636180000000001"/>
    <n v="6.3632999999999995E-2"/>
    <n v="6.3633471205854344E-2"/>
    <s v="T"/>
    <n v="3"/>
    <m/>
    <m/>
    <m/>
    <m/>
    <m/>
    <m/>
    <m/>
    <m/>
    <m/>
  </r>
  <r>
    <x v="372"/>
    <x v="2"/>
    <s v="S"/>
    <s v="IMM"/>
    <x v="1"/>
    <n v="59"/>
    <n v="56"/>
    <n v="2.6190000000000002"/>
    <n v="5.6000000000000001E-2"/>
    <n v="2.9000000000000001E-2"/>
    <s v="F22"/>
    <x v="0"/>
    <n v="22"/>
    <n v="0.108"/>
    <n v="9.7000000000000003E-2"/>
    <s v="zoops: 0.001"/>
    <s v="F"/>
    <m/>
    <m/>
    <m/>
    <m/>
    <m/>
    <m/>
    <m/>
    <m/>
    <m/>
    <m/>
    <m/>
    <m/>
    <m/>
    <m/>
    <m/>
    <m/>
    <m/>
    <m/>
    <m/>
    <m/>
    <m/>
    <m/>
    <n v="1"/>
    <n v="1E-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E-3"/>
    <d v="2021-07-03T00:00:00"/>
    <n v="7"/>
    <n v="3"/>
    <n v="2021"/>
    <x v="24"/>
    <n v="66"/>
    <x v="4"/>
    <m/>
    <n v="1.119691"/>
    <n v="2.1849400000000001"/>
    <n v="2.2099449999999998"/>
    <n v="3.8461539999999999"/>
    <n v="0.42000799999999999"/>
    <n v="0.45819014891179827"/>
    <s v="T"/>
    <n v="2"/>
    <m/>
    <m/>
    <m/>
    <m/>
    <m/>
    <m/>
    <m/>
    <m/>
    <m/>
  </r>
  <r>
    <x v="373"/>
    <x v="2"/>
    <s v="S"/>
    <s v="IMM"/>
    <x v="1"/>
    <n v="51"/>
    <n v="49"/>
    <n v="1.845"/>
    <n v="3.9E-2"/>
    <n v="2E-3"/>
    <s v="M10"/>
    <x v="2"/>
    <n v="10"/>
    <n v="6.7000000000000004E-2"/>
    <n v="6.3E-2"/>
    <s v="zoops: 0.001"/>
    <s v="F"/>
    <m/>
    <m/>
    <m/>
    <m/>
    <m/>
    <m/>
    <m/>
    <m/>
    <m/>
    <m/>
    <m/>
    <m/>
    <m/>
    <m/>
    <m/>
    <m/>
    <m/>
    <m/>
    <m/>
    <m/>
    <m/>
    <m/>
    <n v="1"/>
    <n v="1E-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E-3"/>
    <d v="2021-07-03T00:00:00"/>
    <n v="7"/>
    <n v="3"/>
    <n v="2021"/>
    <x v="24"/>
    <n v="66"/>
    <x v="4"/>
    <m/>
    <n v="0.108519"/>
    <n v="2.1594679999999999"/>
    <n v="2.1618629999999999"/>
    <n v="3.5353539999999999"/>
    <n v="0.21680199999999999"/>
    <n v="0.27100271002710047"/>
    <s v="T"/>
    <n v="3"/>
    <m/>
    <m/>
    <m/>
    <m/>
    <m/>
    <m/>
    <m/>
    <m/>
    <m/>
  </r>
  <r>
    <x v="374"/>
    <x v="2"/>
    <s v="S"/>
    <s v="IMM"/>
    <x v="1"/>
    <n v="52"/>
    <n v="49"/>
    <n v="1.69"/>
    <n v="2.5999999999999999E-2"/>
    <n v="2E-3"/>
    <s v="M10"/>
    <x v="2"/>
    <n v="10"/>
    <n v="5.7000000000000002E-2"/>
    <n v="5.1999999999999998E-2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d v="2021-07-03T00:00:00"/>
    <n v="7"/>
    <n v="3"/>
    <n v="2021"/>
    <x v="24"/>
    <n v="66"/>
    <x v="4"/>
    <m/>
    <n v="0.118483"/>
    <n v="1.5625"/>
    <n v="1.5643800000000001"/>
    <n v="3.1746029999999998"/>
    <n v="0.29585800000000001"/>
    <n v="0.29585798816568071"/>
    <s v="T"/>
    <n v="3"/>
    <m/>
    <m/>
    <m/>
    <m/>
    <m/>
    <m/>
    <m/>
    <m/>
    <m/>
  </r>
  <r>
    <x v="375"/>
    <x v="2"/>
    <s v="S"/>
    <s v="IMM"/>
    <x v="1"/>
    <n v="46"/>
    <n v="44"/>
    <n v="1.3580000000000001"/>
    <n v="2.1999999999999999E-2"/>
    <s v="&lt;0.001"/>
    <s v="M10"/>
    <x v="2"/>
    <n v="10"/>
    <n v="4.8000000000000001E-2"/>
    <n v="4.5999999999999999E-2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d v="2021-07-03T00:00:00"/>
    <n v="7"/>
    <n v="3"/>
    <n v="2021"/>
    <x v="24"/>
    <n v="66"/>
    <x v="4"/>
    <m/>
    <m/>
    <n v="1.6467069999999999"/>
    <m/>
    <n v="3.5060980000000002"/>
    <n v="0.14727499999999999"/>
    <n v="0.14727540500736389"/>
    <s v="T"/>
    <n v="2"/>
    <m/>
    <m/>
    <m/>
    <m/>
    <m/>
    <m/>
    <m/>
    <m/>
    <m/>
  </r>
  <r>
    <x v="376"/>
    <x v="2"/>
    <s v="I"/>
    <s v="IMM"/>
    <x v="0"/>
    <n v="61"/>
    <n v="58"/>
    <n v="3.0960000000000001"/>
    <n v="0.05"/>
    <n v="4.0000000000000001E-3"/>
    <s v="M10"/>
    <x v="2"/>
    <n v="10"/>
    <n v="0.11600000000000001"/>
    <n v="0.105"/>
    <s v="zoops: 0.001"/>
    <s v="F"/>
    <m/>
    <m/>
    <m/>
    <m/>
    <m/>
    <m/>
    <m/>
    <m/>
    <m/>
    <m/>
    <m/>
    <m/>
    <m/>
    <m/>
    <m/>
    <m/>
    <m/>
    <m/>
    <m/>
    <m/>
    <m/>
    <m/>
    <n v="1"/>
    <n v="1E-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E-3"/>
    <d v="2021-08-03T00:00:00"/>
    <n v="8"/>
    <n v="3"/>
    <n v="2021"/>
    <x v="25"/>
    <n v="67"/>
    <x v="4"/>
    <m/>
    <n v="0.12936600000000001"/>
    <n v="1.641497"/>
    <n v="1.6436550000000001"/>
    <n v="3.510532"/>
    <n v="0.35529699999999997"/>
    <n v="0.38759689922480656"/>
    <s v="T"/>
    <n v="3"/>
    <m/>
    <m/>
    <m/>
    <m/>
    <m/>
    <m/>
    <m/>
    <m/>
    <m/>
  </r>
  <r>
    <x v="377"/>
    <x v="2"/>
    <s v="S"/>
    <s v="IMM"/>
    <x v="0"/>
    <n v="60"/>
    <n v="57"/>
    <n v="2.93"/>
    <n v="5.7000000000000002E-2"/>
    <n v="3.4000000000000002E-2"/>
    <s v="F22"/>
    <x v="0"/>
    <n v="22"/>
    <n v="0.11"/>
    <n v="9.0999999999999998E-2"/>
    <s v="zoops: 0.003"/>
    <s v="F"/>
    <m/>
    <m/>
    <m/>
    <m/>
    <m/>
    <m/>
    <m/>
    <m/>
    <m/>
    <m/>
    <m/>
    <m/>
    <m/>
    <m/>
    <m/>
    <m/>
    <m/>
    <m/>
    <m/>
    <m/>
    <m/>
    <m/>
    <n v="1"/>
    <n v="3.0000000000000001E-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.0000000000000001E-3"/>
    <d v="2021-08-03T00:00:00"/>
    <n v="8"/>
    <n v="3"/>
    <n v="2021"/>
    <x v="25"/>
    <n v="67"/>
    <x v="4"/>
    <m/>
    <n v="1.1740330000000001"/>
    <n v="1.983989"/>
    <n v="2.007749"/>
    <n v="3.2053539999999998"/>
    <n v="0.64846400000000004"/>
    <n v="0.75085324232081918"/>
    <s v="T"/>
    <n v="3"/>
    <m/>
    <m/>
    <m/>
    <m/>
    <m/>
    <m/>
    <m/>
    <m/>
    <m/>
  </r>
  <r>
    <x v="378"/>
    <x v="2"/>
    <s v="I"/>
    <s v="IMM"/>
    <x v="0"/>
    <n v="61"/>
    <n v="58"/>
    <n v="3.0139999999999998"/>
    <n v="7.0999999999999994E-2"/>
    <n v="4.0000000000000001E-3"/>
    <s v="M20"/>
    <x v="2"/>
    <n v="20"/>
    <n v="0.122"/>
    <n v="0.115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d v="2021-08-03T00:00:00"/>
    <n v="8"/>
    <n v="3"/>
    <n v="2021"/>
    <x v="25"/>
    <n v="67"/>
    <x v="4"/>
    <m/>
    <n v="0.13289000000000001"/>
    <n v="2.4125040000000002"/>
    <n v="2.415788"/>
    <n v="3.966885"/>
    <n v="0.23225000000000001"/>
    <n v="0.23224950232249481"/>
    <s v="T"/>
    <n v="2"/>
    <m/>
    <m/>
    <m/>
    <m/>
    <m/>
    <m/>
    <m/>
    <m/>
    <m/>
  </r>
  <r>
    <x v="379"/>
    <x v="2"/>
    <s v="S"/>
    <s v="IMM"/>
    <x v="1"/>
    <n v="56"/>
    <n v="54"/>
    <n v="2.5499999999999998"/>
    <n v="4.2000000000000003E-2"/>
    <n v="3.0000000000000001E-3"/>
    <s v="M10"/>
    <x v="2"/>
    <n v="10"/>
    <n v="0.107"/>
    <n v="0.1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d v="2021-08-03T00:00:00"/>
    <n v="8"/>
    <n v="3"/>
    <n v="2021"/>
    <x v="25"/>
    <n v="67"/>
    <x v="4"/>
    <m/>
    <n v="0.117786"/>
    <n v="1.674641"/>
    <n v="1.676647"/>
    <n v="4.0816330000000001"/>
    <n v="0.27450999999999998"/>
    <n v="0.27450980392156832"/>
    <s v="T"/>
    <n v="3"/>
    <m/>
    <m/>
    <m/>
    <m/>
    <m/>
    <m/>
    <m/>
    <m/>
    <m/>
  </r>
  <r>
    <x v="380"/>
    <x v="2"/>
    <s v="S"/>
    <s v="IMM"/>
    <x v="1"/>
    <n v="58"/>
    <n v="55"/>
    <n v="2.5089999999999999"/>
    <n v="4.1000000000000002E-2"/>
    <n v="2E-3"/>
    <s v="M10"/>
    <x v="2"/>
    <n v="10"/>
    <n v="0.11"/>
    <n v="8.5999999999999993E-2"/>
    <s v="1 damsel: 0.012"/>
    <s v="F"/>
    <m/>
    <m/>
    <m/>
    <m/>
    <m/>
    <m/>
    <m/>
    <m/>
    <m/>
    <m/>
    <m/>
    <m/>
    <m/>
    <m/>
    <m/>
    <m/>
    <m/>
    <m/>
    <m/>
    <m/>
    <m/>
    <m/>
    <m/>
    <m/>
    <m/>
    <m/>
    <n v="1"/>
    <n v="1.2E-2"/>
    <m/>
    <m/>
    <m/>
    <m/>
    <m/>
    <m/>
    <m/>
    <m/>
    <m/>
    <m/>
    <m/>
    <m/>
    <m/>
    <m/>
    <m/>
    <m/>
    <m/>
    <m/>
    <m/>
    <m/>
    <m/>
    <m/>
    <m/>
    <m/>
    <m/>
    <m/>
    <m/>
    <m/>
    <n v="1.2E-2"/>
    <d v="2021-08-03T00:00:00"/>
    <n v="8"/>
    <n v="3"/>
    <n v="2021"/>
    <x v="25"/>
    <n v="67"/>
    <x v="4"/>
    <m/>
    <n v="7.9777000000000001E-2"/>
    <n v="1.6612640000000001"/>
    <n v="1.662612"/>
    <n v="3.5493190000000001"/>
    <n v="0.95655599999999996"/>
    <n v="1.4348345954563575"/>
    <s v="T"/>
    <n v="3"/>
    <m/>
    <m/>
    <m/>
    <m/>
    <m/>
    <m/>
    <m/>
    <m/>
    <m/>
  </r>
  <r>
    <x v="381"/>
    <x v="2"/>
    <s v="S"/>
    <s v="IMM"/>
    <x v="1"/>
    <n v="52"/>
    <n v="49"/>
    <n v="1.915"/>
    <n v="3.4000000000000002E-2"/>
    <n v="1.7999999999999999E-2"/>
    <s v="F20"/>
    <x v="0"/>
    <n v="20"/>
    <n v="7.0000000000000007E-2"/>
    <n v="6.6000000000000003E-2"/>
    <s v="zoops &lt;0.001"/>
    <s v="F"/>
    <m/>
    <m/>
    <m/>
    <m/>
    <m/>
    <m/>
    <m/>
    <m/>
    <m/>
    <m/>
    <m/>
    <m/>
    <m/>
    <m/>
    <m/>
    <m/>
    <m/>
    <m/>
    <m/>
    <m/>
    <m/>
    <m/>
    <n v="1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d v="2021-08-03T00:00:00"/>
    <n v="8"/>
    <n v="3"/>
    <n v="2021"/>
    <x v="25"/>
    <n v="67"/>
    <x v="4"/>
    <m/>
    <n v="0.94886700000000002"/>
    <n v="1.8075490000000001"/>
    <n v="1.825013"/>
    <n v="3.5694970000000001"/>
    <n v="0.20887700000000001"/>
    <n v="0.20887728459530042"/>
    <s v="T"/>
    <n v="2"/>
    <m/>
    <m/>
    <m/>
    <m/>
    <m/>
    <m/>
    <m/>
    <m/>
    <m/>
  </r>
  <r>
    <x v="382"/>
    <x v="2"/>
    <s v="S"/>
    <s v="IMM"/>
    <x v="1"/>
    <n v="49"/>
    <n v="46"/>
    <n v="1.673"/>
    <n v="4.9000000000000002E-2"/>
    <n v="1E-3"/>
    <s v="M10"/>
    <x v="2"/>
    <n v="10"/>
    <n v="7.0000000000000007E-2"/>
    <n v="5.8000000000000003E-2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d v="2021-08-03T00:00:00"/>
    <n v="8"/>
    <n v="3"/>
    <n v="2021"/>
    <x v="25"/>
    <n v="67"/>
    <x v="4"/>
    <m/>
    <n v="5.9809000000000001E-2"/>
    <n v="3.0172409999999998"/>
    <n v="3.0190999999999999"/>
    <n v="3.5913309999999998"/>
    <n v="0.71727399999999997"/>
    <n v="0.71727435744172163"/>
    <s v="T"/>
    <n v="2"/>
    <m/>
    <m/>
    <m/>
    <m/>
    <m/>
    <m/>
    <m/>
    <m/>
    <m/>
  </r>
  <r>
    <x v="383"/>
    <x v="2"/>
    <s v="I"/>
    <s v="S"/>
    <x v="0"/>
    <n v="72"/>
    <n v="68"/>
    <n v="4.9589999999999996"/>
    <n v="7.6999999999999999E-2"/>
    <n v="5.6000000000000001E-2"/>
    <s v="F22"/>
    <x v="0"/>
    <n v="22"/>
    <n v="0.156"/>
    <n v="0.152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18/3/2021"/>
    <s v="18"/>
    <s v="3"/>
    <s v="2021"/>
    <x v="26"/>
    <n v="77"/>
    <x v="5"/>
    <m/>
    <n v="1.142157862533143"/>
    <n v="1.5772224498156493"/>
    <n v="1.5955242436800663E-2"/>
    <n v="3.1620553359683798"/>
    <n v="8.066142367412793E-2"/>
    <n v="8.066142367412793E-2"/>
    <s v="T"/>
    <n v="2"/>
    <m/>
    <m/>
    <m/>
    <m/>
    <m/>
    <m/>
    <m/>
    <m/>
    <m/>
  </r>
  <r>
    <x v="384"/>
    <x v="2"/>
    <s v="I"/>
    <s v="S"/>
    <x v="0"/>
    <n v="67"/>
    <n v="62"/>
    <n v="4.4169999999999998"/>
    <n v="8.5999999999999993E-2"/>
    <n v="4.0000000000000001E-3"/>
    <s v="M20"/>
    <x v="2"/>
    <n v="20"/>
    <n v="0.189"/>
    <n v="0.16900000000000001"/>
    <s v="zoops: 0.01"/>
    <s v="F"/>
    <m/>
    <m/>
    <m/>
    <m/>
    <m/>
    <m/>
    <m/>
    <m/>
    <m/>
    <m/>
    <m/>
    <m/>
    <m/>
    <m/>
    <m/>
    <m/>
    <m/>
    <m/>
    <m/>
    <m/>
    <m/>
    <m/>
    <m/>
    <n v="0.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01"/>
    <s v="18/3/2021"/>
    <s v="18"/>
    <s v="3"/>
    <s v="2021"/>
    <x v="26"/>
    <n v="77"/>
    <x v="5"/>
    <m/>
    <n v="9.0641287106276905E-2"/>
    <n v="1.9856845993996768"/>
    <n v="1.9875202218627222E-2"/>
    <n v="3.9783427495291903"/>
    <n v="0.45279601539506431"/>
    <n v="0.67919402309259669"/>
    <s v="T"/>
    <n v="3"/>
    <m/>
    <m/>
    <m/>
    <m/>
    <m/>
    <m/>
    <m/>
    <m/>
    <m/>
  </r>
  <r>
    <x v="385"/>
    <x v="2"/>
    <s v="I"/>
    <s v="S"/>
    <x v="0"/>
    <n v="67"/>
    <n v="64"/>
    <n v="4.29"/>
    <n v="7.8E-2"/>
    <n v="4.9000000000000002E-2"/>
    <s v="F22"/>
    <x v="0"/>
    <n v="22"/>
    <n v="0.21299999999999999"/>
    <n v="0.19"/>
    <s v="1 swimming mayfly larv: 0.012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.2E-2"/>
    <m/>
    <m/>
    <m/>
    <m/>
    <m/>
    <m/>
    <m/>
    <m/>
    <m/>
    <m/>
    <m/>
    <m/>
    <m/>
    <m/>
    <m/>
    <m/>
    <n v="1.2E-2"/>
    <s v="18/3/2021"/>
    <s v="18"/>
    <s v="3"/>
    <s v="2021"/>
    <x v="26"/>
    <n v="77"/>
    <x v="5"/>
    <m/>
    <n v="1.1553878802169302"/>
    <n v="1.8518518518518521"/>
    <n v="1.8736488109536396E-2"/>
    <n v="4.6341463414634152"/>
    <n v="0.53613053613053596"/>
    <n v="0.81585081585081565"/>
    <s v="T"/>
    <n v="2"/>
    <m/>
    <m/>
    <m/>
    <m/>
    <m/>
    <m/>
    <m/>
    <m/>
    <m/>
  </r>
  <r>
    <x v="386"/>
    <x v="2"/>
    <s v="I"/>
    <s v="IMM"/>
    <x v="0"/>
    <n v="63"/>
    <n v="59"/>
    <n v="3.3570000000000002"/>
    <n v="5.5E-2"/>
    <n v="0.04"/>
    <s v="F22"/>
    <x v="0"/>
    <n v="22"/>
    <n v="0.182"/>
    <n v="0.115"/>
    <s v="9 chiro: 0.026; 2 mayfly: 0.008; 1 swimming mayfly larva: 0.005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9"/>
    <n v="2.5999999999999999E-2"/>
    <m/>
    <m/>
    <m/>
    <m/>
    <m/>
    <m/>
    <n v="3"/>
    <n v="1.2999999999999999E-2"/>
    <m/>
    <m/>
    <m/>
    <m/>
    <m/>
    <m/>
    <m/>
    <m/>
    <m/>
    <m/>
    <m/>
    <m/>
    <m/>
    <m/>
    <m/>
    <m/>
    <n v="4.1000000000000002E-2"/>
    <s v="18/3/2021"/>
    <s v="18"/>
    <s v="3"/>
    <s v="2021"/>
    <x v="26"/>
    <n v="77"/>
    <x v="5"/>
    <m/>
    <n v="1.2059089538739824"/>
    <n v="1.6656571774682012"/>
    <n v="1.6860821581851624E-2"/>
    <n v="3.5471930906847624"/>
    <n v="1.9958296097706281"/>
    <n v="3.2171581769436992"/>
    <s v="T"/>
    <n v="2"/>
    <m/>
    <m/>
    <m/>
    <m/>
    <m/>
    <m/>
    <m/>
    <m/>
    <m/>
  </r>
  <r>
    <x v="387"/>
    <x v="2"/>
    <s v="I"/>
    <s v="IMM"/>
    <x v="0"/>
    <n v="64"/>
    <n v="59"/>
    <n v="3.5649999999999999"/>
    <n v="8.6999999999999994E-2"/>
    <n v="3.5999999999999997E-2"/>
    <s v="F22"/>
    <x v="0"/>
    <n v="22"/>
    <n v="0.121"/>
    <n v="0.11899999999999999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18/3/2021"/>
    <s v="18"/>
    <s v="3"/>
    <s v="2021"/>
    <x v="26"/>
    <n v="77"/>
    <x v="5"/>
    <m/>
    <n v="1.0201190138849532"/>
    <n v="2.5014376078205869"/>
    <n v="2.52760023242301E-2"/>
    <n v="3.453279164248404"/>
    <n v="5.6100981767180973E-2"/>
    <n v="5.6100981767180973E-2"/>
    <s v="T"/>
    <n v="3"/>
    <m/>
    <m/>
    <m/>
    <m/>
    <m/>
    <m/>
    <m/>
    <m/>
    <m/>
  </r>
  <r>
    <x v="388"/>
    <x v="2"/>
    <s v="S"/>
    <s v="IMM"/>
    <x v="0"/>
    <n v="60"/>
    <n v="57"/>
    <n v="2.99"/>
    <n v="5.6000000000000001E-2"/>
    <n v="4.4999999999999998E-2"/>
    <s v="F22"/>
    <x v="0"/>
    <n v="22"/>
    <n v="0.11899999999999999"/>
    <n v="0.114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18/3/2021"/>
    <s v="18"/>
    <s v="3"/>
    <s v="2021"/>
    <x v="26"/>
    <n v="77"/>
    <x v="5"/>
    <m/>
    <n v="1.5280135823429539"/>
    <n v="1.9086571233810496"/>
    <n v="1.9383869851159568E-2"/>
    <n v="3.9638386648122386"/>
    <n v="0.16722408026755819"/>
    <n v="0.16722408026755819"/>
    <s v="T"/>
    <n v="2"/>
    <m/>
    <m/>
    <m/>
    <m/>
    <m/>
    <m/>
    <m/>
    <m/>
    <m/>
  </r>
  <r>
    <x v="389"/>
    <x v="2"/>
    <s v="S"/>
    <s v="IMM"/>
    <x v="1"/>
    <n v="57"/>
    <n v="53"/>
    <n v="2.4159999999999999"/>
    <n v="3.5999999999999997E-2"/>
    <n v="3.1E-2"/>
    <s v="F22"/>
    <x v="0"/>
    <n v="22"/>
    <n v="0.105"/>
    <n v="8.5000000000000006E-2"/>
    <s v="1 mayfly: 0.008; 2 chiro: 0.002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2E-3"/>
    <m/>
    <m/>
    <m/>
    <m/>
    <m/>
    <m/>
    <n v="1"/>
    <n v="8.0000000000000002E-3"/>
    <m/>
    <m/>
    <m/>
    <m/>
    <m/>
    <m/>
    <m/>
    <m/>
    <m/>
    <m/>
    <m/>
    <m/>
    <m/>
    <m/>
    <m/>
    <m/>
    <n v="0.01"/>
    <s v="18/3/2021"/>
    <s v="18"/>
    <s v="3"/>
    <s v="2021"/>
    <x v="26"/>
    <n v="77"/>
    <x v="5"/>
    <m/>
    <n v="1.2997903563941302"/>
    <n v="1.5126050420168067"/>
    <n v="1.5325670498084292E-2"/>
    <n v="3.6465036465036467"/>
    <n v="0.82781456953642341"/>
    <n v="1.2417218543046356"/>
    <s v="T"/>
    <n v="2"/>
    <m/>
    <m/>
    <m/>
    <m/>
    <m/>
    <m/>
    <m/>
    <m/>
    <m/>
  </r>
  <r>
    <x v="390"/>
    <x v="2"/>
    <s v="S"/>
    <s v="IMM"/>
    <x v="1"/>
    <n v="57"/>
    <n v="54"/>
    <n v="2.496"/>
    <n v="5.3999999999999999E-2"/>
    <n v="4.0000000000000001E-3"/>
    <s v="M20"/>
    <x v="2"/>
    <n v="20"/>
    <n v="0.13400000000000001"/>
    <n v="0.12"/>
    <s v="1 damsel: 0.003"/>
    <s v="F"/>
    <m/>
    <m/>
    <m/>
    <m/>
    <m/>
    <m/>
    <m/>
    <m/>
    <m/>
    <m/>
    <m/>
    <m/>
    <m/>
    <m/>
    <m/>
    <m/>
    <m/>
    <m/>
    <m/>
    <m/>
    <m/>
    <m/>
    <m/>
    <m/>
    <m/>
    <m/>
    <n v="1"/>
    <n v="3.0000000000000001E-3"/>
    <m/>
    <m/>
    <m/>
    <m/>
    <m/>
    <m/>
    <m/>
    <m/>
    <m/>
    <m/>
    <m/>
    <m/>
    <m/>
    <m/>
    <m/>
    <m/>
    <m/>
    <m/>
    <m/>
    <m/>
    <m/>
    <m/>
    <m/>
    <m/>
    <m/>
    <m/>
    <m/>
    <m/>
    <n v="3.0000000000000001E-3"/>
    <s v="19/03/2021"/>
    <s v="19"/>
    <s v="03"/>
    <s v="2021"/>
    <x v="27"/>
    <n v="78"/>
    <x v="5"/>
    <m/>
    <n v="0.16051364365971107"/>
    <n v="2.2113022113022112"/>
    <n v="2.2149302707136997E-2"/>
    <n v="5.0505050505050502"/>
    <n v="0.56089743589743646"/>
    <n v="0.68108974358974406"/>
    <s v="T"/>
    <n v="3"/>
    <m/>
    <m/>
    <m/>
    <m/>
    <m/>
    <m/>
    <m/>
    <m/>
    <m/>
  </r>
  <r>
    <x v="391"/>
    <x v="2"/>
    <s v="S"/>
    <s v="IMM"/>
    <x v="1"/>
    <n v="52"/>
    <n v="50"/>
    <n v="1.9970000000000001"/>
    <n v="3.7999999999999999E-2"/>
    <n v="2.3E-2"/>
    <s v="F22"/>
    <x v="0"/>
    <n v="22"/>
    <n v="8.8999999999999996E-2"/>
    <n v="8.2000000000000003E-2"/>
    <s v="zoops: 0.001"/>
    <s v="F"/>
    <m/>
    <m/>
    <m/>
    <m/>
    <m/>
    <m/>
    <m/>
    <m/>
    <m/>
    <m/>
    <m/>
    <m/>
    <m/>
    <m/>
    <m/>
    <m/>
    <m/>
    <m/>
    <m/>
    <m/>
    <m/>
    <m/>
    <m/>
    <n v="1E-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E-3"/>
    <s v="19/03/2021"/>
    <s v="19"/>
    <s v="03"/>
    <s v="2021"/>
    <x v="27"/>
    <n v="78"/>
    <x v="5"/>
    <m/>
    <n v="1.1651469098277607"/>
    <n v="1.9397651863195506"/>
    <n v="1.9628099173553716E-2"/>
    <n v="4.2819843342036554"/>
    <n v="0.35052578868302414"/>
    <n v="0.40060090135202764"/>
    <s v="T"/>
    <n v="3"/>
    <m/>
    <m/>
    <m/>
    <m/>
    <m/>
    <m/>
    <m/>
    <m/>
    <m/>
  </r>
  <r>
    <x v="392"/>
    <x v="2"/>
    <s v="I"/>
    <s v="S"/>
    <x v="0"/>
    <n v="83"/>
    <n v="78"/>
    <n v="8.9789999999999992"/>
    <n v="0.152"/>
    <n v="0.02"/>
    <s v="M22"/>
    <x v="2"/>
    <n v="22"/>
    <n v="0.51300000000000001"/>
    <n v="0.45400000000000001"/>
    <s v="2 mayfly: 0.014; 2 damsel: 0.026"/>
    <s v="F"/>
    <m/>
    <m/>
    <m/>
    <m/>
    <m/>
    <m/>
    <m/>
    <m/>
    <m/>
    <m/>
    <m/>
    <m/>
    <m/>
    <m/>
    <m/>
    <m/>
    <m/>
    <m/>
    <m/>
    <m/>
    <m/>
    <m/>
    <m/>
    <m/>
    <m/>
    <m/>
    <n v="2"/>
    <n v="2.5999999999999999E-2"/>
    <m/>
    <m/>
    <m/>
    <m/>
    <m/>
    <m/>
    <m/>
    <m/>
    <m/>
    <m/>
    <n v="2"/>
    <n v="1.4E-2"/>
    <m/>
    <m/>
    <m/>
    <m/>
    <m/>
    <m/>
    <m/>
    <m/>
    <m/>
    <m/>
    <m/>
    <m/>
    <m/>
    <m/>
    <m/>
    <m/>
    <n v="0.04"/>
    <d v="2021-07-04T00:00:00"/>
    <n v="7"/>
    <n v="4"/>
    <n v="2021"/>
    <x v="28"/>
    <n v="97"/>
    <x v="6"/>
    <m/>
    <n v="0.22323920080366114"/>
    <n v="1.7219893508553303"/>
    <n v="1.7258998523901441E-2"/>
    <n v="5.3255131964809399"/>
    <n v="0.65708876266844862"/>
    <n v="1.1025726695623124"/>
    <s v="T"/>
    <n v="3"/>
    <m/>
    <m/>
    <m/>
    <m/>
    <m/>
    <m/>
    <m/>
    <m/>
    <m/>
  </r>
  <r>
    <x v="393"/>
    <x v="2"/>
    <s v="I"/>
    <s v="S"/>
    <x v="0"/>
    <n v="68"/>
    <n v="64"/>
    <n v="4.4859999999999998"/>
    <n v="7.9000000000000001E-2"/>
    <n v="8.9999999999999993E-3"/>
    <s v="M22"/>
    <x v="2"/>
    <n v="22"/>
    <n v="0.23599999999999999"/>
    <n v="0.17499999999999999"/>
    <s v="3 damsel: 0.041; 2 scud: 0.005"/>
    <s v="F"/>
    <m/>
    <m/>
    <m/>
    <m/>
    <m/>
    <m/>
    <m/>
    <m/>
    <m/>
    <m/>
    <m/>
    <m/>
    <m/>
    <m/>
    <n v="2"/>
    <n v="5.0000000000000001E-3"/>
    <m/>
    <m/>
    <m/>
    <m/>
    <m/>
    <m/>
    <m/>
    <m/>
    <m/>
    <m/>
    <n v="3"/>
    <n v="4.1000000000000002E-2"/>
    <m/>
    <m/>
    <m/>
    <m/>
    <m/>
    <m/>
    <m/>
    <m/>
    <m/>
    <m/>
    <m/>
    <m/>
    <m/>
    <m/>
    <m/>
    <m/>
    <m/>
    <m/>
    <m/>
    <m/>
    <m/>
    <m/>
    <m/>
    <m/>
    <m/>
    <m/>
    <m/>
    <m/>
    <n v="4.5999999999999999E-2"/>
    <d v="2021-09-04T00:00:00"/>
    <n v="9"/>
    <n v="4"/>
    <n v="2021"/>
    <x v="29"/>
    <n v="99"/>
    <x v="6"/>
    <m/>
    <n v="0.20102747375474647"/>
    <n v="1.7926026775584298"/>
    <n v="1.7962710322874036E-2"/>
    <n v="4.0593829737879839"/>
    <n v="1.3597860008916629"/>
    <n v="2.3851983950066877"/>
    <s v="T"/>
    <n v="3"/>
    <m/>
    <m/>
    <m/>
    <m/>
    <m/>
    <m/>
    <m/>
    <m/>
    <m/>
  </r>
  <r>
    <x v="394"/>
    <x v="2"/>
    <s v="I"/>
    <s v="S"/>
    <x v="0"/>
    <n v="66"/>
    <n v="62"/>
    <n v="4.0510000000000002"/>
    <n v="7.0999999999999994E-2"/>
    <n v="5.0999999999999997E-2"/>
    <s v="F22"/>
    <x v="0"/>
    <n v="22"/>
    <n v="0.19500000000000001"/>
    <n v="0.182"/>
    <s v="1 invert: 0.007"/>
    <s v="F"/>
    <m/>
    <m/>
    <n v="1"/>
    <n v="7.0000000000000001E-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.0000000000000001E-3"/>
    <d v="2021-09-04T00:00:00"/>
    <n v="9"/>
    <n v="4"/>
    <n v="2021"/>
    <x v="29"/>
    <n v="99"/>
    <x v="6"/>
    <m/>
    <n v="1.2749999999999999"/>
    <n v="1.7839195979899496"/>
    <n v="1.8070755917536267E-2"/>
    <n v="4.7040578960971819"/>
    <n v="0.32090841767464851"/>
    <n v="0.49370525796099751"/>
    <s v="T"/>
    <n v="2"/>
    <m/>
    <m/>
    <m/>
    <m/>
    <m/>
    <m/>
    <m/>
    <m/>
    <m/>
  </r>
  <r>
    <x v="395"/>
    <x v="2"/>
    <s v="I"/>
    <s v="IMM"/>
    <x v="0"/>
    <n v="64"/>
    <n v="61"/>
    <n v="3.6869999999999998"/>
    <n v="5.5E-2"/>
    <n v="0.04"/>
    <s v="F23"/>
    <x v="0"/>
    <n v="23"/>
    <n v="0.185"/>
    <n v="0.13400000000000001"/>
    <s v="2 chiro: 0.015; 2 soldier: 0.009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1.4999999999999999E-2"/>
    <m/>
    <m/>
    <n v="2"/>
    <n v="8.9999999999999993E-3"/>
    <m/>
    <m/>
    <m/>
    <m/>
    <m/>
    <m/>
    <m/>
    <m/>
    <m/>
    <m/>
    <m/>
    <m/>
    <m/>
    <m/>
    <m/>
    <m/>
    <m/>
    <m/>
    <m/>
    <m/>
    <n v="2.4E-2"/>
    <d v="2021-09-04T00:00:00"/>
    <n v="9"/>
    <n v="4"/>
    <n v="2021"/>
    <x v="29"/>
    <n v="99"/>
    <x v="6"/>
    <m/>
    <n v="1.0967918837400603"/>
    <n v="1.5143171806167401"/>
    <n v="1.5311804008908688E-2"/>
    <n v="3.7714607374050102"/>
    <n v="1.3832384052074855"/>
    <n v="2.0341741253051255"/>
    <s v="T"/>
    <n v="1"/>
    <m/>
    <m/>
    <m/>
    <m/>
    <m/>
    <m/>
    <m/>
    <m/>
    <m/>
  </r>
  <r>
    <x v="396"/>
    <x v="2"/>
    <s v="I"/>
    <s v="S"/>
    <x v="0"/>
    <n v="65"/>
    <n v="61"/>
    <n v="3.4689999999999999"/>
    <n v="6.3E-2"/>
    <n v="4.1000000000000002E-2"/>
    <s v="F22"/>
    <x v="0"/>
    <n v="22"/>
    <n v="0.16600000000000001"/>
    <n v="0.158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1-09-04T00:00:00"/>
    <n v="9"/>
    <n v="4"/>
    <n v="2021"/>
    <x v="29"/>
    <n v="99"/>
    <x v="6"/>
    <m/>
    <n v="1.1960326721120189"/>
    <n v="1.8496770405167353"/>
    <n v="1.8722139673105501E-2"/>
    <n v="4.7719722138326794"/>
    <n v="0.23061400980109564"/>
    <n v="0.23061400980109564"/>
    <s v="T"/>
    <n v="2"/>
    <m/>
    <m/>
    <m/>
    <m/>
    <m/>
    <m/>
    <m/>
    <m/>
    <m/>
  </r>
  <r>
    <x v="397"/>
    <x v="2"/>
    <s v="S"/>
    <s v="IMM"/>
    <x v="0"/>
    <n v="60"/>
    <n v="57"/>
    <n v="3.1869999999999998"/>
    <n v="5.0999999999999997E-2"/>
    <n v="3.4000000000000002E-2"/>
    <s v="F22"/>
    <x v="0"/>
    <n v="22"/>
    <n v="0.192"/>
    <n v="0.14000000000000001"/>
    <s v="~100 zoops: 0.012"/>
    <s v="F"/>
    <m/>
    <m/>
    <m/>
    <m/>
    <m/>
    <m/>
    <m/>
    <m/>
    <m/>
    <m/>
    <m/>
    <m/>
    <m/>
    <m/>
    <m/>
    <m/>
    <m/>
    <m/>
    <m/>
    <m/>
    <m/>
    <m/>
    <n v="100"/>
    <n v="1.2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.2E-2"/>
    <d v="2021-09-04T00:00:00"/>
    <n v="9"/>
    <n v="4"/>
    <n v="2021"/>
    <x v="29"/>
    <n v="99"/>
    <x v="6"/>
    <m/>
    <n v="1.0783380907072628"/>
    <n v="1.6262755102040818"/>
    <n v="1.6441005802707929E-2"/>
    <n v="4.5946832950443062"/>
    <n v="1.631628490743646"/>
    <n v="2.008158142453718"/>
    <s v="T"/>
    <n v="3"/>
    <m/>
    <m/>
    <m/>
    <m/>
    <m/>
    <m/>
    <m/>
    <m/>
    <m/>
  </r>
  <r>
    <x v="398"/>
    <x v="2"/>
    <s v="I"/>
    <s v="IMM"/>
    <x v="0"/>
    <n v="63"/>
    <n v="59"/>
    <n v="3.6"/>
    <n v="6.7000000000000004E-2"/>
    <n v="4.0000000000000001E-3"/>
    <s v="M10"/>
    <x v="2"/>
    <n v="10"/>
    <n v="0.221"/>
    <n v="0.20499999999999999"/>
    <s v="inverts: 0.009"/>
    <s v="F"/>
    <m/>
    <m/>
    <m/>
    <n v="8.9999999999999993E-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.9999999999999993E-3"/>
    <d v="2021-09-04T00:00:00"/>
    <n v="9"/>
    <n v="4"/>
    <n v="2021"/>
    <x v="29"/>
    <n v="99"/>
    <x v="6"/>
    <m/>
    <n v="0.11123470522803114"/>
    <n v="1.8964053212567227"/>
    <n v="1.8985548313969966E-2"/>
    <n v="6.0382916053019136"/>
    <n v="0.44444444444444481"/>
    <n v="0.69444444444444486"/>
    <s v="T"/>
    <n v="3"/>
    <m/>
    <m/>
    <m/>
    <m/>
    <m/>
    <m/>
    <m/>
    <m/>
    <m/>
  </r>
  <r>
    <x v="399"/>
    <x v="2"/>
    <s v="S"/>
    <s v="IMM"/>
    <x v="0"/>
    <n v="60"/>
    <n v="56"/>
    <n v="2.952"/>
    <n v="3.7999999999999999E-2"/>
    <n v="4.0000000000000001E-3"/>
    <s v="M20"/>
    <x v="2"/>
    <n v="20"/>
    <n v="0.20100000000000001"/>
    <n v="0.16"/>
    <s v="~200 zoops: 0.027"/>
    <s v="F"/>
    <m/>
    <m/>
    <m/>
    <m/>
    <m/>
    <m/>
    <m/>
    <m/>
    <m/>
    <m/>
    <m/>
    <m/>
    <m/>
    <m/>
    <m/>
    <m/>
    <m/>
    <m/>
    <m/>
    <m/>
    <m/>
    <m/>
    <n v="200"/>
    <n v="2.7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.7E-2"/>
    <d v="2021-09-04T00:00:00"/>
    <n v="9"/>
    <n v="4"/>
    <n v="2021"/>
    <x v="29"/>
    <n v="99"/>
    <x v="6"/>
    <m/>
    <n v="0.135685210312076"/>
    <n v="1.3040494166094714"/>
    <n v="1.3058419243986253E-2"/>
    <n v="5.7306590257879657"/>
    <n v="1.3888888888888891"/>
    <n v="2.3035230352303522"/>
    <s v="T"/>
    <n v="3"/>
    <m/>
    <m/>
    <m/>
    <m/>
    <m/>
    <m/>
    <m/>
    <m/>
    <m/>
  </r>
  <r>
    <x v="400"/>
    <x v="2"/>
    <s v="S"/>
    <s v="IMM"/>
    <x v="0"/>
    <n v="60"/>
    <n v="56"/>
    <n v="2.8969999999999998"/>
    <n v="0.05"/>
    <n v="5.0000000000000001E-3"/>
    <s v="M20"/>
    <x v="2"/>
    <n v="20"/>
    <n v="0.14299999999999999"/>
    <n v="0.115"/>
    <s v="3 chiro: 0.017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1.7000000000000001E-2"/>
    <m/>
    <m/>
    <m/>
    <m/>
    <m/>
    <m/>
    <m/>
    <m/>
    <m/>
    <m/>
    <m/>
    <m/>
    <m/>
    <m/>
    <m/>
    <m/>
    <m/>
    <m/>
    <m/>
    <m/>
    <m/>
    <m/>
    <m/>
    <m/>
    <n v="1.7000000000000001E-2"/>
    <d v="2021-09-04T00:00:00"/>
    <n v="9"/>
    <n v="4"/>
    <n v="2021"/>
    <x v="29"/>
    <n v="99"/>
    <x v="6"/>
    <m/>
    <n v="0.17289073305670818"/>
    <n v="1.7562346329469618"/>
    <n v="1.7593244194229415E-2"/>
    <n v="4.1337167505391816"/>
    <n v="0.96651708664135272"/>
    <n v="1.5533310321021743"/>
    <s v="T"/>
    <n v="2"/>
    <m/>
    <m/>
    <m/>
    <m/>
    <m/>
    <m/>
    <m/>
    <m/>
    <m/>
  </r>
  <r>
    <x v="401"/>
    <x v="2"/>
    <s v="B"/>
    <s v="B"/>
    <x v="1"/>
    <n v="171"/>
    <n v="163"/>
    <n v="112.40300000000001"/>
    <n v="1.68"/>
    <n v="0.53800000000000003"/>
    <s v="M30"/>
    <x v="2"/>
    <n v="30"/>
    <n v="7.4850000000000003"/>
    <n v="5.968"/>
    <s v="11 caddis: 0.667; 4 mayfly: 0.064; 1 odo: 0.283; 8 chiro: 0.11; 5 snail: 0.115; veg: 0.034"/>
    <s v="F"/>
    <m/>
    <m/>
    <m/>
    <m/>
    <m/>
    <m/>
    <m/>
    <m/>
    <m/>
    <m/>
    <m/>
    <m/>
    <m/>
    <m/>
    <m/>
    <m/>
    <m/>
    <m/>
    <n v="5"/>
    <n v="0.115"/>
    <m/>
    <m/>
    <m/>
    <m/>
    <n v="1"/>
    <n v="0.28299999999999997"/>
    <m/>
    <m/>
    <m/>
    <m/>
    <n v="8"/>
    <n v="0.11"/>
    <m/>
    <m/>
    <m/>
    <m/>
    <n v="11"/>
    <n v="0.66700000000000004"/>
    <n v="4"/>
    <n v="6.4000000000000001E-2"/>
    <m/>
    <m/>
    <m/>
    <m/>
    <m/>
    <m/>
    <m/>
    <m/>
    <m/>
    <m/>
    <m/>
    <m/>
    <m/>
    <m/>
    <n v="1"/>
    <n v="3.4000000000000002E-2"/>
    <n v="1.2730000000000001"/>
    <s v="19/4/2021"/>
    <s v="19"/>
    <s v="4"/>
    <s v="2021"/>
    <x v="10"/>
    <n v="109"/>
    <x v="7"/>
    <m/>
    <n v="0.48093684351673893"/>
    <n v="1.5172999286507771"/>
    <n v="1.5247084448881426E-2"/>
    <n v="5.607178089914032"/>
    <n v="1.3496081065451992"/>
    <n v="2.48214015640152"/>
    <s v="A"/>
    <n v="2"/>
    <m/>
    <m/>
    <m/>
    <m/>
    <m/>
    <m/>
    <m/>
    <m/>
    <m/>
  </r>
  <r>
    <x v="402"/>
    <x v="2"/>
    <s v="B"/>
    <s v="B"/>
    <x v="1"/>
    <n v="185"/>
    <n v="175"/>
    <n v="125.44799999999999"/>
    <n v="1.93"/>
    <n v="0.68400000000000005"/>
    <s v="M30"/>
    <x v="2"/>
    <n v="30"/>
    <n v="5.9409999999999998"/>
    <n v="5.5730000000000004"/>
    <s v="~35 chiro: 0.193; 1 mussel: 0.016"/>
    <s v="F"/>
    <m/>
    <m/>
    <m/>
    <m/>
    <m/>
    <m/>
    <m/>
    <m/>
    <m/>
    <m/>
    <m/>
    <m/>
    <m/>
    <m/>
    <m/>
    <m/>
    <n v="1"/>
    <n v="1.6E-2"/>
    <m/>
    <m/>
    <m/>
    <m/>
    <m/>
    <m/>
    <m/>
    <m/>
    <m/>
    <m/>
    <m/>
    <m/>
    <n v="35"/>
    <n v="0.193"/>
    <m/>
    <m/>
    <m/>
    <m/>
    <m/>
    <m/>
    <m/>
    <m/>
    <m/>
    <m/>
    <m/>
    <m/>
    <m/>
    <m/>
    <m/>
    <m/>
    <m/>
    <m/>
    <m/>
    <m/>
    <m/>
    <m/>
    <m/>
    <m/>
    <n v="0.20900000000000002"/>
    <s v="19/4/2021"/>
    <s v="19"/>
    <s v="4"/>
    <s v="2021"/>
    <x v="10"/>
    <n v="109"/>
    <x v="7"/>
    <m/>
    <n v="0.54823506780802156"/>
    <n v="1.5625252999562818"/>
    <n v="1.5712262077275021E-2"/>
    <n v="4.6490093847758081"/>
    <n v="0.29334863847968834"/>
    <n v="0.45995153370320735"/>
    <s v="A"/>
    <n v="2"/>
    <m/>
    <m/>
    <m/>
    <m/>
    <m/>
    <m/>
    <m/>
    <m/>
    <m/>
  </r>
  <r>
    <x v="403"/>
    <x v="2"/>
    <s v="B"/>
    <s v="B"/>
    <x v="1"/>
    <n v="185"/>
    <n v="177"/>
    <n v="136.023"/>
    <n v="1.9159999999999999"/>
    <n v="0.70499999999999996"/>
    <s v="M30"/>
    <x v="2"/>
    <n v="30"/>
    <n v="6.274"/>
    <n v="5.8769999999999998"/>
    <s v="inverts: 0.258"/>
    <s v="F"/>
    <m/>
    <m/>
    <m/>
    <n v="0.25800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25800000000000001"/>
    <s v="19/4/2021"/>
    <s v="19"/>
    <s v="4"/>
    <s v="2021"/>
    <x v="10"/>
    <n v="109"/>
    <x v="7"/>
    <m/>
    <n v="0.52099498958010027"/>
    <n v="1.4287099107429142"/>
    <n v="1.436260325932145E-2"/>
    <n v="4.5156977548291923"/>
    <n v="0.29186240562257876"/>
    <n v="0.48153621078788161"/>
    <s v="A"/>
    <n v="3"/>
    <m/>
    <m/>
    <m/>
    <m/>
    <m/>
    <m/>
    <m/>
    <m/>
    <m/>
  </r>
  <r>
    <x v="404"/>
    <x v="2"/>
    <s v="B"/>
    <s v="B"/>
    <x v="1"/>
    <n v="161"/>
    <n v="153"/>
    <n v="90.927999999999997"/>
    <n v="1.2290000000000001"/>
    <n v="0.39"/>
    <s v="M30"/>
    <x v="2"/>
    <n v="30"/>
    <n v="5.5810000000000004"/>
    <n v="4.4390000000000001"/>
    <s v="inverts: 1.005"/>
    <s v="F"/>
    <m/>
    <m/>
    <m/>
    <n v="1.0049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.0049999999999999"/>
    <s v="19/4/2021"/>
    <s v="19"/>
    <s v="4"/>
    <s v="2021"/>
    <x v="10"/>
    <n v="109"/>
    <x v="7"/>
    <m/>
    <n v="0.43075835560759018"/>
    <n v="1.3701379056622707"/>
    <n v="1.3761211076151341E-2"/>
    <n v="5.1324445883291512"/>
    <n v="1.2559387647369351"/>
    <n v="2.361208868555341"/>
    <s v="A"/>
    <n v="2"/>
    <m/>
    <m/>
    <m/>
    <m/>
    <m/>
    <m/>
    <m/>
    <m/>
    <m/>
  </r>
  <r>
    <x v="405"/>
    <x v="2"/>
    <s v="B"/>
    <s v="B"/>
    <x v="1"/>
    <n v="181"/>
    <n v="174"/>
    <n v="128.78700000000001"/>
    <n v="2.1259999999999999"/>
    <n v="0.77700000000000002"/>
    <s v="M30"/>
    <x v="2"/>
    <n v="30"/>
    <n v="7.1820000000000004"/>
    <n v="6.0019999999999998"/>
    <s v="4 mussel: 0.066; 3 caddis: 0.12; 6 odo: 0.51; 2 snail: 0.038; inverts:0.137; 1 mayfly: 0.022"/>
    <s v="F"/>
    <m/>
    <m/>
    <m/>
    <n v="0.13700000000000001"/>
    <m/>
    <m/>
    <m/>
    <m/>
    <m/>
    <m/>
    <m/>
    <m/>
    <m/>
    <m/>
    <m/>
    <m/>
    <n v="4"/>
    <n v="6.6000000000000003E-2"/>
    <n v="2"/>
    <n v="3.7999999999999999E-2"/>
    <m/>
    <m/>
    <m/>
    <m/>
    <n v="6"/>
    <n v="0.51"/>
    <m/>
    <m/>
    <m/>
    <m/>
    <m/>
    <m/>
    <m/>
    <m/>
    <m/>
    <m/>
    <n v="3"/>
    <n v="0.12"/>
    <n v="1"/>
    <n v="2.1999999999999999E-2"/>
    <m/>
    <m/>
    <m/>
    <m/>
    <m/>
    <m/>
    <m/>
    <m/>
    <m/>
    <m/>
    <m/>
    <m/>
    <m/>
    <m/>
    <m/>
    <m/>
    <n v="0.89300000000000002"/>
    <s v="19/4/2021"/>
    <s v="19"/>
    <s v="4"/>
    <s v="2021"/>
    <x v="10"/>
    <n v="109"/>
    <x v="7"/>
    <m/>
    <n v="0.60698382938832895"/>
    <n v="1.6784961432485135"/>
    <n v="1.6888564074862569E-2"/>
    <n v="4.8882192450217854"/>
    <n v="0.91624154611878572"/>
    <n v="1.6096345128002052"/>
    <s v="A"/>
    <n v="3"/>
    <m/>
    <m/>
    <m/>
    <m/>
    <m/>
    <m/>
    <m/>
    <m/>
    <m/>
  </r>
  <r>
    <x v="406"/>
    <x v="2"/>
    <s v="B"/>
    <s v="B"/>
    <x v="1"/>
    <n v="163"/>
    <n v="156"/>
    <n v="95.649000000000001"/>
    <n v="1.4710000000000001"/>
    <n v="0.46"/>
    <s v="M30"/>
    <x v="2"/>
    <n v="30"/>
    <n v="5.859"/>
    <n v="4.601"/>
    <s v="12 caddis: 0.817; 3 mites: 0.05; 1 mayfly: 0.017; 2 odo: 0.153"/>
    <s v="F"/>
    <m/>
    <m/>
    <m/>
    <m/>
    <m/>
    <m/>
    <m/>
    <m/>
    <m/>
    <m/>
    <m/>
    <m/>
    <m/>
    <m/>
    <m/>
    <m/>
    <m/>
    <m/>
    <m/>
    <m/>
    <n v="3"/>
    <n v="0.05"/>
    <m/>
    <m/>
    <n v="2"/>
    <n v="0.153"/>
    <m/>
    <m/>
    <m/>
    <m/>
    <m/>
    <m/>
    <m/>
    <m/>
    <m/>
    <m/>
    <n v="12"/>
    <n v="0.81699999999999995"/>
    <n v="1"/>
    <n v="1.7000000000000001E-2"/>
    <m/>
    <m/>
    <m/>
    <m/>
    <m/>
    <m/>
    <m/>
    <m/>
    <m/>
    <m/>
    <m/>
    <m/>
    <m/>
    <m/>
    <m/>
    <m/>
    <n v="1.0369999999999999"/>
    <s v="19/4/2021"/>
    <s v="19"/>
    <s v="4"/>
    <s v="2021"/>
    <x v="10"/>
    <n v="109"/>
    <x v="7"/>
    <m/>
    <n v="0.48324911491874056"/>
    <n v="1.5619359085986113"/>
    <n v="1.569602424294159E-2"/>
    <n v="5.0533784377471225"/>
    <n v="1.3152254597538917"/>
    <n v="2.3993977981996673"/>
    <s v="A"/>
    <n v="3"/>
    <m/>
    <m/>
    <m/>
    <m/>
    <m/>
    <m/>
    <m/>
    <m/>
    <m/>
  </r>
  <r>
    <x v="407"/>
    <x v="2"/>
    <s v="I"/>
    <s v="B"/>
    <x v="1"/>
    <n v="148"/>
    <n v="141"/>
    <n v="65.072999999999993"/>
    <n v="0.99099999999999999"/>
    <n v="1"/>
    <s v="F30"/>
    <x v="0"/>
    <n v="30"/>
    <n v="4.431"/>
    <n v="3.5"/>
    <s v="inverts: 0.481; 2 odonate: 0.292"/>
    <s v="F"/>
    <m/>
    <m/>
    <m/>
    <n v="0.48099999999999998"/>
    <m/>
    <m/>
    <m/>
    <m/>
    <m/>
    <m/>
    <m/>
    <m/>
    <m/>
    <m/>
    <m/>
    <m/>
    <m/>
    <m/>
    <m/>
    <m/>
    <m/>
    <m/>
    <m/>
    <m/>
    <n v="2"/>
    <n v="0.29199999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77299999999999991"/>
    <s v="19/4/2021"/>
    <s v="19"/>
    <s v="4"/>
    <s v="2021"/>
    <x v="10"/>
    <n v="109"/>
    <x v="7"/>
    <m/>
    <n v="1.5607198039735928"/>
    <n v="1.5464561031178805"/>
    <n v="1.5709711169588792E-2"/>
    <n v="5.684309681191432"/>
    <n v="1.4307009051373074"/>
    <n v="2.618597575031119"/>
    <s v="A"/>
    <n v="3"/>
    <m/>
    <m/>
    <m/>
    <m/>
    <m/>
    <m/>
    <m/>
    <m/>
    <m/>
  </r>
  <r>
    <x v="408"/>
    <x v="2"/>
    <s v="B"/>
    <s v="B"/>
    <x v="1"/>
    <n v="162"/>
    <n v="155"/>
    <n v="93.001000000000005"/>
    <n v="2.395"/>
    <n v="1.7330000000000001"/>
    <s v="F30"/>
    <x v="0"/>
    <n v="30"/>
    <n v="6.9939999999999998"/>
    <n v="5.5919999999999996"/>
    <s v="4 odo: 0.812; 43 mayfly: 0.422"/>
    <s v="F"/>
    <m/>
    <m/>
    <m/>
    <m/>
    <m/>
    <m/>
    <m/>
    <m/>
    <m/>
    <m/>
    <m/>
    <m/>
    <m/>
    <m/>
    <m/>
    <m/>
    <m/>
    <m/>
    <m/>
    <m/>
    <m/>
    <m/>
    <m/>
    <m/>
    <n v="4"/>
    <n v="0.81200000000000006"/>
    <m/>
    <m/>
    <m/>
    <m/>
    <m/>
    <m/>
    <m/>
    <m/>
    <m/>
    <m/>
    <m/>
    <m/>
    <n v="43"/>
    <n v="0.42199999999999999"/>
    <m/>
    <m/>
    <m/>
    <m/>
    <m/>
    <m/>
    <m/>
    <m/>
    <m/>
    <m/>
    <m/>
    <m/>
    <m/>
    <m/>
    <m/>
    <m/>
    <n v="1.2330000000000001"/>
    <s v="19/4/2021"/>
    <s v="19"/>
    <s v="4"/>
    <s v="2021"/>
    <x v="10"/>
    <n v="109"/>
    <x v="7"/>
    <m/>
    <n v="1.8988035236884779"/>
    <n v="2.643312804891508"/>
    <n v="2.6948567056361325E-2"/>
    <n v="6.3975105538331283"/>
    <n v="1.5075106719282589"/>
    <n v="2.8333028677111001"/>
    <s v="A"/>
    <n v="3"/>
    <m/>
    <m/>
    <m/>
    <m/>
    <m/>
    <m/>
    <m/>
    <m/>
    <m/>
  </r>
  <r>
    <x v="409"/>
    <x v="2"/>
    <s v="I"/>
    <s v="B"/>
    <x v="1"/>
    <n v="134"/>
    <n v="128"/>
    <n v="49.01"/>
    <n v="1.339"/>
    <n v="7.282"/>
    <s v="F30"/>
    <x v="0"/>
    <n v="30"/>
    <n v="1.9339999999999999"/>
    <n v="1.7589999999999999"/>
    <s v="~23 chiro: 0.119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3"/>
    <n v="0.11899999999999999"/>
    <m/>
    <m/>
    <m/>
    <m/>
    <m/>
    <m/>
    <m/>
    <m/>
    <m/>
    <m/>
    <m/>
    <m/>
    <m/>
    <m/>
    <m/>
    <m/>
    <m/>
    <m/>
    <m/>
    <m/>
    <m/>
    <m/>
    <m/>
    <m/>
    <n v="0.11899999999999999"/>
    <s v="19/5/2021"/>
    <s v="19"/>
    <s v="5"/>
    <s v="2021"/>
    <x v="30"/>
    <n v="139"/>
    <x v="9"/>
    <m/>
    <n v="17.451111963190186"/>
    <n v="2.8088355604035997"/>
    <n v="3.3152591052019113E-2"/>
    <n v="3.7226725360309834"/>
    <n v="0.35706998571720067"/>
    <n v="0.599877576004897"/>
    <s v="A"/>
    <n v="2"/>
    <m/>
    <m/>
    <m/>
    <m/>
    <m/>
    <m/>
    <m/>
    <m/>
    <m/>
  </r>
  <r>
    <x v="410"/>
    <x v="2"/>
    <s v="I"/>
    <s v="B"/>
    <x v="1"/>
    <n v="132"/>
    <n v="128"/>
    <n v="50.62"/>
    <n v="1.341"/>
    <n v="3.702"/>
    <s v="F30"/>
    <x v="0"/>
    <n v="30"/>
    <n v="4.1379999999999999"/>
    <n v="2.7250000000000001"/>
    <s v="~45 chiro: 0.434; 1 mayfly: 0.016; 5 odo: 0.664"/>
    <s v="F"/>
    <m/>
    <m/>
    <m/>
    <m/>
    <m/>
    <m/>
    <m/>
    <m/>
    <m/>
    <m/>
    <m/>
    <m/>
    <m/>
    <m/>
    <m/>
    <m/>
    <m/>
    <m/>
    <m/>
    <m/>
    <m/>
    <m/>
    <m/>
    <m/>
    <n v="5"/>
    <n v="0.66400000000000003"/>
    <m/>
    <m/>
    <m/>
    <m/>
    <n v="45"/>
    <n v="0.434"/>
    <m/>
    <m/>
    <m/>
    <m/>
    <m/>
    <m/>
    <n v="1"/>
    <n v="1.6E-2"/>
    <m/>
    <m/>
    <m/>
    <m/>
    <m/>
    <m/>
    <m/>
    <m/>
    <m/>
    <m/>
    <m/>
    <m/>
    <m/>
    <m/>
    <m/>
    <m/>
    <n v="1.1140000000000001"/>
    <s v="19/5/2021"/>
    <s v="19"/>
    <s v="5"/>
    <s v="2021"/>
    <x v="30"/>
    <n v="139"/>
    <x v="9"/>
    <m/>
    <n v="7.8903619080097185"/>
    <n v="2.721240284908379"/>
    <n v="2.9422735151501855E-2"/>
    <n v="5.6895291784111084"/>
    <n v="2.7913868036349267"/>
    <n v="4.992097984986172"/>
    <s v="A"/>
    <n v="2"/>
    <m/>
    <m/>
    <m/>
    <m/>
    <m/>
    <m/>
    <m/>
    <m/>
    <m/>
  </r>
  <r>
    <x v="411"/>
    <x v="2"/>
    <s v="I"/>
    <s v="B"/>
    <x v="1"/>
    <n v="111"/>
    <n v="107"/>
    <n v="25.954999999999998"/>
    <n v="0.33300000000000002"/>
    <n v="0.23400000000000001"/>
    <s v="M30"/>
    <x v="2"/>
    <n v="30"/>
    <n v="1.8149999999999999"/>
    <n v="1.4339999999999999"/>
    <s v="2 odo: 0.276; 5 chiro: 0.035"/>
    <s v="F"/>
    <m/>
    <m/>
    <m/>
    <m/>
    <m/>
    <m/>
    <m/>
    <m/>
    <m/>
    <m/>
    <m/>
    <m/>
    <m/>
    <m/>
    <m/>
    <m/>
    <m/>
    <m/>
    <m/>
    <m/>
    <m/>
    <m/>
    <m/>
    <m/>
    <n v="2"/>
    <n v="0.27600000000000002"/>
    <m/>
    <m/>
    <m/>
    <m/>
    <n v="5"/>
    <n v="3.5000000000000003E-2"/>
    <m/>
    <m/>
    <m/>
    <m/>
    <m/>
    <m/>
    <m/>
    <m/>
    <m/>
    <m/>
    <m/>
    <m/>
    <m/>
    <m/>
    <m/>
    <m/>
    <m/>
    <m/>
    <m/>
    <m/>
    <m/>
    <m/>
    <m/>
    <m/>
    <n v="0.31100000000000005"/>
    <s v="19/5/2021"/>
    <s v="19"/>
    <s v="5"/>
    <s v="2021"/>
    <x v="30"/>
    <n v="139"/>
    <x v="9"/>
    <m/>
    <n v="0.90976245091559449"/>
    <n v="1.2996643509484038"/>
    <n v="1.3116432960453759E-2"/>
    <n v="5.8480486113943151"/>
    <n v="1.4679252552494704"/>
    <n v="2.6661529570410329"/>
    <s v="A"/>
    <n v="2"/>
    <m/>
    <m/>
    <m/>
    <m/>
    <m/>
    <m/>
    <m/>
    <m/>
    <m/>
  </r>
  <r>
    <x v="412"/>
    <x v="2"/>
    <s v="I"/>
    <s v="B"/>
    <x v="1"/>
    <n v="118"/>
    <n v="113"/>
    <n v="33.094000000000001"/>
    <n v="0.93200000000000005"/>
    <n v="2.3879999999999999"/>
    <s v="F30"/>
    <x v="0"/>
    <n v="30"/>
    <n v="2.121"/>
    <n v="1.3480000000000001"/>
    <s v="~20 mussels: 0.099; 1 damsel: 0.01; ~30 chiro: 0.494"/>
    <s v="F"/>
    <m/>
    <m/>
    <m/>
    <m/>
    <m/>
    <m/>
    <m/>
    <m/>
    <m/>
    <m/>
    <m/>
    <m/>
    <m/>
    <m/>
    <m/>
    <m/>
    <n v="20"/>
    <n v="9.9000000000000005E-2"/>
    <m/>
    <m/>
    <m/>
    <m/>
    <m/>
    <m/>
    <m/>
    <m/>
    <n v="1"/>
    <n v="0.01"/>
    <m/>
    <m/>
    <n v="30"/>
    <n v="0.49399999999999999"/>
    <m/>
    <m/>
    <m/>
    <m/>
    <m/>
    <m/>
    <m/>
    <m/>
    <m/>
    <m/>
    <m/>
    <m/>
    <m/>
    <m/>
    <m/>
    <m/>
    <m/>
    <m/>
    <m/>
    <m/>
    <m/>
    <m/>
    <m/>
    <m/>
    <n v="0.60299999999999998"/>
    <s v="19/5/2021"/>
    <s v="19"/>
    <s v="5"/>
    <s v="2021"/>
    <x v="30"/>
    <n v="139"/>
    <x v="9"/>
    <m/>
    <n v="7.7769816973881314"/>
    <n v="2.8978297369566572"/>
    <n v="3.130247867266743E-2"/>
    <n v="4.2462042462042469"/>
    <n v="2.3357708345923727"/>
    <n v="4.157853387320964"/>
    <s v="A"/>
    <n v="2"/>
    <m/>
    <m/>
    <m/>
    <m/>
    <m/>
    <m/>
    <m/>
    <m/>
    <m/>
  </r>
  <r>
    <x v="413"/>
    <x v="2"/>
    <s v="I"/>
    <s v="B"/>
    <x v="1"/>
    <n v="126"/>
    <n v="121"/>
    <n v="37.726999999999997"/>
    <n v="0.624"/>
    <n v="0.48"/>
    <s v="M30"/>
    <x v="2"/>
    <n v="30"/>
    <n v="2.46"/>
    <n v="2.2549999999999999"/>
    <s v="3 odo: 0.024; 1 scud: 0.003; 5 mussels: 0.026; ~10 inverts: 0.049"/>
    <s v="F"/>
    <m/>
    <m/>
    <n v="10"/>
    <n v="4.9000000000000002E-2"/>
    <m/>
    <m/>
    <m/>
    <m/>
    <m/>
    <m/>
    <m/>
    <m/>
    <m/>
    <m/>
    <n v="1"/>
    <n v="3.0000000000000001E-3"/>
    <n v="5"/>
    <n v="2.5999999999999999E-2"/>
    <m/>
    <m/>
    <m/>
    <m/>
    <m/>
    <m/>
    <n v="3"/>
    <n v="2.4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10200000000000001"/>
    <s v="19/5/2021"/>
    <s v="19"/>
    <s v="5"/>
    <s v="2021"/>
    <x v="30"/>
    <n v="139"/>
    <x v="9"/>
    <m/>
    <n v="1.288694391494617"/>
    <n v="1.6818047058189365"/>
    <n v="1.7038473090680722E-2"/>
    <n v="6.3571267478574649"/>
    <n v="0.54337742200546058"/>
    <n v="0.81374082222281152"/>
    <s v="A"/>
    <n v="2"/>
    <m/>
    <m/>
    <m/>
    <m/>
    <m/>
    <m/>
    <m/>
    <m/>
    <m/>
  </r>
  <r>
    <x v="414"/>
    <x v="2"/>
    <s v="B"/>
    <s v="B"/>
    <x v="1"/>
    <n v="150"/>
    <n v="142"/>
    <n v="70.671999999999997"/>
    <n v="1.359"/>
    <n v="6.1660000000000004"/>
    <s v="F30"/>
    <x v="0"/>
    <n v="30"/>
    <n v="2.6"/>
    <n v="2.395"/>
    <s v="~4 arthropod: 0.12"/>
    <s v="F"/>
    <m/>
    <m/>
    <n v="4"/>
    <n v="0.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12"/>
    <s v="20/5/2021"/>
    <s v="20"/>
    <s v="5"/>
    <s v="2021"/>
    <x v="31"/>
    <n v="140"/>
    <x v="9"/>
    <m/>
    <n v="9.5588007317148804"/>
    <n v="1.9606711583685599"/>
    <n v="2.1521212409140573E-2"/>
    <n v="3.5077698199979497"/>
    <n v="0.29007244736246335"/>
    <n v="0.45987095313561255"/>
    <s v="T"/>
    <n v="2"/>
    <m/>
    <m/>
    <m/>
    <m/>
    <m/>
    <m/>
    <m/>
    <m/>
    <m/>
  </r>
  <r>
    <x v="415"/>
    <x v="2"/>
    <s v="I"/>
    <s v="B"/>
    <x v="1"/>
    <n v="128"/>
    <n v="121"/>
    <n v="42.750999999999998"/>
    <n v="0.95899999999999996"/>
    <n v="4.5019999999999998"/>
    <s v="F30"/>
    <x v="0"/>
    <n v="30"/>
    <n v="1.492"/>
    <n v="1.347"/>
    <s v="1 odo: 0.042; 1 caddis: 0.019"/>
    <s v="F"/>
    <m/>
    <m/>
    <m/>
    <m/>
    <m/>
    <m/>
    <m/>
    <m/>
    <m/>
    <m/>
    <m/>
    <m/>
    <m/>
    <m/>
    <m/>
    <m/>
    <m/>
    <m/>
    <m/>
    <m/>
    <m/>
    <m/>
    <m/>
    <m/>
    <n v="1"/>
    <n v="4.2000000000000003E-2"/>
    <m/>
    <m/>
    <m/>
    <m/>
    <m/>
    <m/>
    <m/>
    <m/>
    <m/>
    <m/>
    <n v="1"/>
    <n v="1.9E-2"/>
    <m/>
    <m/>
    <m/>
    <m/>
    <m/>
    <m/>
    <m/>
    <m/>
    <m/>
    <m/>
    <m/>
    <m/>
    <m/>
    <m/>
    <m/>
    <m/>
    <m/>
    <m/>
    <n v="6.0999999999999999E-2"/>
    <s v="20/5/2021"/>
    <s v="20"/>
    <s v="5"/>
    <s v="2021"/>
    <x v="31"/>
    <n v="140"/>
    <x v="9"/>
    <m/>
    <n v="11.770242359277368"/>
    <n v="2.2946975497702913"/>
    <n v="2.5717350496111561E-2"/>
    <n v="3.2533088590474351"/>
    <n v="0.339173352670113"/>
    <n v="0.4818600734485744"/>
    <s v="T"/>
    <n v="2"/>
    <m/>
    <m/>
    <m/>
    <m/>
    <m/>
    <m/>
    <m/>
    <m/>
    <m/>
  </r>
  <r>
    <x v="416"/>
    <x v="2"/>
    <s v="I"/>
    <s v="B"/>
    <x v="1"/>
    <n v="116"/>
    <n v="110"/>
    <n v="29.872"/>
    <n v="0.35799999999999998"/>
    <n v="0.28799999999999998"/>
    <s v="M30"/>
    <x v="2"/>
    <n v="30"/>
    <n v="1.123"/>
    <n v="1.087"/>
    <s v="1 chiro: 0.004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4.0000000000000001E-3"/>
    <m/>
    <m/>
    <m/>
    <m/>
    <m/>
    <m/>
    <m/>
    <m/>
    <m/>
    <m/>
    <m/>
    <m/>
    <m/>
    <m/>
    <m/>
    <m/>
    <m/>
    <m/>
    <m/>
    <m/>
    <m/>
    <m/>
    <m/>
    <m/>
    <n v="4.0000000000000001E-3"/>
    <s v="20/5/2021"/>
    <s v="20"/>
    <s v="5"/>
    <s v="2021"/>
    <x v="31"/>
    <n v="140"/>
    <x v="9"/>
    <m/>
    <n v="0.97349918875067587"/>
    <n v="1.2129836687673647"/>
    <n v="1.2249367001984535E-2"/>
    <n v="3.7762723640785132"/>
    <n v="0.12051419389394762"/>
    <n v="0.13390465988216402"/>
    <s v="T"/>
    <n v="2"/>
    <m/>
    <m/>
    <m/>
    <m/>
    <m/>
    <m/>
    <m/>
    <m/>
    <m/>
  </r>
  <r>
    <x v="417"/>
    <x v="2"/>
    <s v="I"/>
    <s v="B"/>
    <x v="1"/>
    <n v="120"/>
    <n v="114"/>
    <n v="36.953000000000003"/>
    <n v="0.81499999999999995"/>
    <n v="3.5049999999999999"/>
    <s v="F30"/>
    <x v="0"/>
    <n v="30"/>
    <n v="1.163"/>
    <n v="1.093"/>
    <s v="goo: 0.027 (MT)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0/5/2021"/>
    <s v="20"/>
    <s v="5"/>
    <s v="2021"/>
    <x v="31"/>
    <n v="140"/>
    <x v="9"/>
    <m/>
    <n v="10.478952403731165"/>
    <n v="2.2552437877026947"/>
    <n v="2.4974718842889095E-2"/>
    <n v="3.0479643056330175"/>
    <n v="0.18942981625307839"/>
    <n v="0.18942981625307839"/>
    <s v="T"/>
    <n v="2"/>
    <m/>
    <m/>
    <m/>
    <m/>
    <m/>
    <m/>
    <m/>
    <m/>
    <m/>
  </r>
  <r>
    <x v="418"/>
    <x v="2"/>
    <s v="I"/>
    <s v="B"/>
    <x v="1"/>
    <n v="133"/>
    <n v="125"/>
    <n v="50.41"/>
    <n v="0.752"/>
    <n v="1.272"/>
    <s v="F30"/>
    <x v="0"/>
    <n v="30"/>
    <n v="2.0649999999999999"/>
    <n v="1.923"/>
    <s v="~5 inverts: 0.110"/>
    <s v="F"/>
    <m/>
    <m/>
    <n v="5"/>
    <n v="0.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11"/>
    <d v="2021-07-06T00:00:00"/>
    <n v="7"/>
    <n v="6"/>
    <n v="2021"/>
    <x v="32"/>
    <n v="158"/>
    <x v="10"/>
    <m/>
    <n v="2.5886279457853392"/>
    <n v="1.5143582101574773"/>
    <n v="1.554168561154053E-2"/>
    <n v="3.9660115082393226"/>
    <n v="0.28169014084507027"/>
    <n v="0.4999008133306882"/>
    <s v="T"/>
    <n v="3"/>
    <m/>
    <m/>
    <m/>
    <m/>
    <m/>
    <m/>
    <m/>
    <m/>
    <m/>
  </r>
  <r>
    <x v="419"/>
    <x v="2"/>
    <s v="I"/>
    <s v="I"/>
    <x v="0"/>
    <n v="92"/>
    <n v="88"/>
    <n v="15.297000000000001"/>
    <n v="0.23100000000000001"/>
    <n v="1.4530000000000001"/>
    <s v="F30"/>
    <x v="0"/>
    <n v="30"/>
    <n v="0.54400000000000004"/>
    <n v="0.51"/>
    <s v="1 pupa: 0.013"/>
    <s v="F"/>
    <m/>
    <m/>
    <n v="1"/>
    <n v="1.2999999999999999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.2999999999999999E-2"/>
    <d v="2021-07-06T00:00:00"/>
    <n v="7"/>
    <n v="6"/>
    <n v="2021"/>
    <x v="32"/>
    <n v="158"/>
    <x v="10"/>
    <m/>
    <n v="10.495521525570643"/>
    <n v="1.5332536837913182"/>
    <n v="1.6969073679570998E-2"/>
    <n v="3.4489754514100226"/>
    <n v="0.22226580375236993"/>
    <n v="0.30724978754004073"/>
    <s v="T"/>
    <n v="2"/>
    <m/>
    <m/>
    <m/>
    <m/>
    <m/>
    <m/>
    <m/>
    <m/>
    <m/>
  </r>
  <r>
    <x v="420"/>
    <x v="2"/>
    <s v="I"/>
    <s v="I"/>
    <x v="0"/>
    <n v="108"/>
    <n v="103"/>
    <n v="23.236999999999998"/>
    <n v="0.252"/>
    <n v="9.0999999999999998E-2"/>
    <s v="M40"/>
    <x v="2"/>
    <n v="40"/>
    <n v="1.2929999999999999"/>
    <n v="1.2769999999999999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1-07-06T00:00:00"/>
    <n v="7"/>
    <n v="6"/>
    <n v="2021"/>
    <x v="32"/>
    <n v="158"/>
    <x v="10"/>
    <m/>
    <n v="0.39315648492180078"/>
    <n v="1.0963671959973897"/>
    <n v="1.1007250808071984E-2"/>
    <n v="5.8151183970856106"/>
    <n v="6.8855704264750253E-2"/>
    <n v="6.8855704264750253E-2"/>
    <s v="T"/>
    <n v="2"/>
    <m/>
    <m/>
    <m/>
    <m/>
    <m/>
    <m/>
    <m/>
    <m/>
    <m/>
  </r>
  <r>
    <x v="421"/>
    <x v="2"/>
    <s v="I"/>
    <s v="I"/>
    <x v="0"/>
    <n v="107"/>
    <n v="102"/>
    <n v="22.614999999999998"/>
    <n v="0.20699999999999999"/>
    <n v="6.4000000000000001E-2"/>
    <s v="M40"/>
    <x v="2"/>
    <n v="40"/>
    <n v="1.0760000000000001"/>
    <n v="1.046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1-07-06T00:00:00"/>
    <n v="7"/>
    <n v="6"/>
    <n v="2021"/>
    <x v="32"/>
    <n v="158"/>
    <x v="10"/>
    <m/>
    <n v="0.28380116181100618"/>
    <n v="0.92377722242056415"/>
    <n v="9.2642320085929118E-3"/>
    <n v="4.849552598636933"/>
    <n v="0.13265531726730059"/>
    <n v="0.13265531726730059"/>
    <s v="T"/>
    <n v="3"/>
    <m/>
    <m/>
    <m/>
    <m/>
    <m/>
    <m/>
    <m/>
    <m/>
    <m/>
  </r>
  <r>
    <x v="422"/>
    <x v="2"/>
    <s v="I"/>
    <s v="I"/>
    <x v="0"/>
    <n v="90"/>
    <n v="84"/>
    <n v="11.906000000000001"/>
    <n v="0.11600000000000001"/>
    <n v="3.4000000000000002E-2"/>
    <s v="M40"/>
    <x v="2"/>
    <n v="40"/>
    <n v="0.58499999999999996"/>
    <n v="0.55600000000000005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1-07-06T00:00:00"/>
    <n v="7"/>
    <n v="6"/>
    <n v="2021"/>
    <x v="32"/>
    <n v="158"/>
    <x v="10"/>
    <m/>
    <n v="0.28638814016172509"/>
    <n v="0.98388464800678532"/>
    <n v="9.8673018033344686E-3"/>
    <n v="4.8986784140969162"/>
    <n v="0.24357466823450288"/>
    <n v="0.24357466823450288"/>
    <s v="T"/>
    <n v="1"/>
    <m/>
    <m/>
    <m/>
    <m/>
    <m/>
    <m/>
    <m/>
    <m/>
    <m/>
  </r>
  <r>
    <x v="423"/>
    <x v="2"/>
    <s v="I"/>
    <s v="S"/>
    <x v="0"/>
    <n v="83"/>
    <n v="77"/>
    <n v="9.9369999999999994"/>
    <n v="0.13"/>
    <n v="0.26300000000000001"/>
    <s v="F30"/>
    <x v="0"/>
    <n v="30"/>
    <n v="0.4"/>
    <n v="0.38800000000000001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1-07-06T00:00:00"/>
    <n v="7"/>
    <n v="6"/>
    <n v="2021"/>
    <x v="32"/>
    <n v="158"/>
    <x v="10"/>
    <m/>
    <n v="2.7186272482943976"/>
    <n v="1.3255837666972572"/>
    <n v="1.3621123218776197E-2"/>
    <n v="4.0632526966174467"/>
    <n v="0.12076079299587411"/>
    <n v="0.12076079299587411"/>
    <s v="T"/>
    <n v="3"/>
    <m/>
    <m/>
    <m/>
    <m/>
    <m/>
    <m/>
    <m/>
    <m/>
    <m/>
  </r>
  <r>
    <x v="424"/>
    <x v="2"/>
    <s v="S"/>
    <s v="IMM"/>
    <x v="1"/>
    <n v="53"/>
    <n v="51"/>
    <n v="2.3279999999999998"/>
    <n v="2.5000000000000001E-2"/>
    <n v="0"/>
    <s v="M10"/>
    <x v="2"/>
    <n v="10"/>
    <n v="0.124"/>
    <n v="9.6000000000000002E-2"/>
    <s v="~5 inverts: 0.019"/>
    <s v="F"/>
    <m/>
    <m/>
    <n v="5"/>
    <n v="1.9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.9E-2"/>
    <s v="23/6/2021"/>
    <s v="23"/>
    <s v="6"/>
    <s v="2021"/>
    <x v="33"/>
    <n v="174"/>
    <x v="11"/>
    <m/>
    <n v="0"/>
    <n v="1.0855405992184108"/>
    <n v="1.0855405992184109E-2"/>
    <n v="4.3010752688172049"/>
    <n v="1.2027491408934707"/>
    <n v="2.0189003436426116"/>
    <s v="T"/>
    <n v="2"/>
    <m/>
    <m/>
    <m/>
    <m/>
    <m/>
    <m/>
    <m/>
    <m/>
    <m/>
  </r>
  <r>
    <x v="425"/>
    <x v="2"/>
    <s v="S"/>
    <s v="IMM"/>
    <x v="1"/>
    <n v="59"/>
    <n v="55"/>
    <n v="3.202"/>
    <n v="3.1E-2"/>
    <n v="3.1E-2"/>
    <s v="F20"/>
    <x v="0"/>
    <n v="20"/>
    <n v="0.13600000000000001"/>
    <n v="0.106"/>
    <s v="4 inverts: 0.011"/>
    <s v="F"/>
    <m/>
    <m/>
    <n v="4"/>
    <n v="1.0999999999999999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.0999999999999999E-2"/>
    <s v="23/6/2021"/>
    <s v="23"/>
    <s v="6"/>
    <s v="2021"/>
    <x v="33"/>
    <n v="174"/>
    <x v="11"/>
    <m/>
    <n v="0.9776095868811101"/>
    <n v="0.9776095868811101"/>
    <n v="9.8726114649681541E-3"/>
    <n v="3.4237726098191215"/>
    <n v="0.93691442848219897"/>
    <n v="1.2804497189256718"/>
    <s v="T"/>
    <n v="2"/>
    <m/>
    <m/>
    <m/>
    <m/>
    <m/>
    <m/>
    <m/>
    <m/>
    <m/>
  </r>
  <r>
    <x v="426"/>
    <x v="2"/>
    <s v="I"/>
    <s v="S"/>
    <x v="0"/>
    <n v="69"/>
    <n v="65"/>
    <n v="5.3310000000000004"/>
    <n v="4.8000000000000001E-2"/>
    <n v="6.0000000000000001E-3"/>
    <s v="M10"/>
    <x v="2"/>
    <n v="10"/>
    <n v="0.34599999999999997"/>
    <n v="0.27300000000000002"/>
    <s v="1 inverts: 0.057"/>
    <s v="F"/>
    <m/>
    <m/>
    <n v="1"/>
    <n v="5.7000000000000002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.7000000000000002E-2"/>
    <s v="23/6/2021"/>
    <s v="23"/>
    <s v="6"/>
    <s v="2021"/>
    <x v="33"/>
    <n v="174"/>
    <x v="11"/>
    <s v="SC taken"/>
    <n v="0.11267605633802817"/>
    <n v="0.90857467348097676"/>
    <n v="9.0960773166571911E-3"/>
    <n v="5.3973902728351124"/>
    <n v="1.3693490902269734"/>
    <n v="2.4385668730069394"/>
    <s v="T"/>
    <n v="2"/>
    <m/>
    <m/>
    <m/>
    <m/>
    <m/>
    <m/>
    <m/>
    <m/>
    <m/>
  </r>
  <r>
    <x v="427"/>
    <x v="2"/>
    <s v="S"/>
    <s v="IMM"/>
    <x v="1"/>
    <n v="57"/>
    <n v="54"/>
    <n v="3.036"/>
    <n v="2.9000000000000001E-2"/>
    <n v="3.0000000000000001E-3"/>
    <s v="M10"/>
    <x v="2"/>
    <n v="10"/>
    <n v="0.129"/>
    <n v="0.11799999999999999"/>
    <s v="2 chiro: 0.003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3.0000000000000001E-3"/>
    <m/>
    <m/>
    <m/>
    <m/>
    <m/>
    <m/>
    <m/>
    <m/>
    <m/>
    <m/>
    <m/>
    <m/>
    <m/>
    <m/>
    <m/>
    <m/>
    <m/>
    <m/>
    <m/>
    <m/>
    <m/>
    <m/>
    <m/>
    <m/>
    <n v="3.0000000000000001E-3"/>
    <s v="23/6/2021"/>
    <s v="23"/>
    <s v="6"/>
    <s v="2021"/>
    <x v="33"/>
    <n v="174"/>
    <x v="11"/>
    <s v="Gonad not kept"/>
    <n v="9.8911968348170121E-2"/>
    <n v="0.96441636182241441"/>
    <n v="9.6537949400798944E-3"/>
    <n v="4.0438656614119255"/>
    <n v="0.36231884057971048"/>
    <n v="0.46113306982872226"/>
    <s v="T"/>
    <n v="1"/>
    <m/>
    <m/>
    <m/>
    <m/>
    <m/>
    <m/>
    <m/>
    <m/>
    <m/>
  </r>
  <r>
    <x v="428"/>
    <x v="2"/>
    <s v="I"/>
    <s v="I"/>
    <x v="0"/>
    <n v="87"/>
    <n v="83"/>
    <n v="10.853999999999999"/>
    <n v="7.0000000000000007E-2"/>
    <n v="6.0000000000000001E-3"/>
    <s v="M40"/>
    <x v="2"/>
    <n v="40"/>
    <n v="0.46500000000000002"/>
    <n v="0.45800000000000002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3/6/2021"/>
    <s v="23"/>
    <s v="6"/>
    <s v="2021"/>
    <x v="33"/>
    <n v="174"/>
    <x v="11"/>
    <m/>
    <n v="5.5309734513274346E-2"/>
    <n v="0.64910979228486654"/>
    <n v="6.4947114492484703E-3"/>
    <n v="4.4055405925355906"/>
    <n v="6.4492353049567047E-2"/>
    <n v="6.4492353049567047E-2"/>
    <s v="T"/>
    <n v="2"/>
    <m/>
    <m/>
    <m/>
    <m/>
    <m/>
    <m/>
    <m/>
    <m/>
    <m/>
  </r>
  <r>
    <x v="429"/>
    <x v="2"/>
    <s v="I"/>
    <s v="I"/>
    <x v="0"/>
    <n v="90"/>
    <n v="85"/>
    <n v="12.069000000000001"/>
    <n v="0.107"/>
    <n v="1.2E-2"/>
    <s v="M40"/>
    <x v="2"/>
    <n v="40"/>
    <n v="0.56899999999999995"/>
    <n v="0.53700000000000003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4/6/2021"/>
    <s v="24"/>
    <s v="6"/>
    <s v="2021"/>
    <x v="34"/>
    <n v="175"/>
    <x v="11"/>
    <m/>
    <n v="9.9527245583478474E-2"/>
    <n v="0.89449924761745514"/>
    <n v="8.9539748953974888E-3"/>
    <n v="4.6566077003121746"/>
    <n v="0.26514209959400048"/>
    <n v="0.26514209959400048"/>
    <s v="T"/>
    <n v="1"/>
    <m/>
    <m/>
    <m/>
    <m/>
    <m/>
    <m/>
    <m/>
    <m/>
    <m/>
  </r>
  <r>
    <x v="430"/>
    <x v="2"/>
    <s v="I"/>
    <s v="S"/>
    <x v="0"/>
    <n v="77"/>
    <n v="73"/>
    <n v="7.5419999999999998"/>
    <n v="5.8999999999999997E-2"/>
    <n v="5.8999999999999997E-2"/>
    <s v="F20/40"/>
    <x v="0"/>
    <s v="20/40"/>
    <n v="0.314"/>
    <n v="0.30499999999999999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4/6/2021"/>
    <s v="24"/>
    <s v="6"/>
    <s v="2021"/>
    <x v="34"/>
    <n v="175"/>
    <x v="11"/>
    <m/>
    <n v="0.78845382867833746"/>
    <n v="0.78845382867833746"/>
    <n v="7.9471982758620684E-3"/>
    <n v="4.2144535028326651"/>
    <n v="0.11933174224343687"/>
    <n v="0.11933174224343687"/>
    <s v="T"/>
    <n v="2"/>
    <m/>
    <m/>
    <m/>
    <m/>
    <m/>
    <m/>
    <m/>
    <m/>
    <m/>
  </r>
  <r>
    <x v="431"/>
    <x v="2"/>
    <s v="I"/>
    <s v="I"/>
    <x v="0"/>
    <n v="87"/>
    <n v="83"/>
    <n v="10.185"/>
    <n v="7.9000000000000001E-2"/>
    <n v="7.0000000000000001E-3"/>
    <s v="M40"/>
    <x v="2"/>
    <n v="40"/>
    <n v="0.44900000000000001"/>
    <n v="0.435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4/6/2021"/>
    <s v="24"/>
    <s v="6"/>
    <s v="2021"/>
    <x v="34"/>
    <n v="175"/>
    <x v="11"/>
    <m/>
    <n v="6.8775790921595595E-2"/>
    <n v="0.78171383336631717"/>
    <n v="7.8225566887810665E-3"/>
    <n v="4.4615384615384617"/>
    <n v="0.13745704467353964"/>
    <n v="0.13745704467353964"/>
    <s v="T"/>
    <n v="1"/>
    <m/>
    <m/>
    <m/>
    <m/>
    <m/>
    <m/>
    <m/>
    <m/>
    <m/>
  </r>
  <r>
    <x v="432"/>
    <x v="2"/>
    <s v="I"/>
    <s v="S"/>
    <x v="0"/>
    <n v="65"/>
    <n v="62"/>
    <n v="4.2809999999999997"/>
    <n v="3.5999999999999997E-2"/>
    <n v="3.0000000000000001E-3"/>
    <s v="M10/40"/>
    <x v="2"/>
    <n v="10"/>
    <n v="0.17599999999999999"/>
    <n v="0.15"/>
    <s v="1 damsel: 0.015"/>
    <s v="F"/>
    <m/>
    <m/>
    <m/>
    <m/>
    <m/>
    <m/>
    <m/>
    <m/>
    <m/>
    <m/>
    <m/>
    <m/>
    <m/>
    <m/>
    <m/>
    <m/>
    <m/>
    <m/>
    <m/>
    <m/>
    <m/>
    <m/>
    <m/>
    <m/>
    <m/>
    <m/>
    <n v="1"/>
    <n v="1.4999999999999999E-2"/>
    <m/>
    <m/>
    <m/>
    <m/>
    <m/>
    <m/>
    <m/>
    <m/>
    <m/>
    <m/>
    <m/>
    <m/>
    <m/>
    <m/>
    <m/>
    <m/>
    <m/>
    <m/>
    <m/>
    <m/>
    <m/>
    <m/>
    <m/>
    <m/>
    <m/>
    <m/>
    <m/>
    <m/>
    <n v="1.4999999999999999E-2"/>
    <s v="24/6/2021"/>
    <s v="24"/>
    <s v="6"/>
    <s v="2021"/>
    <x v="34"/>
    <n v="175"/>
    <x v="11"/>
    <m/>
    <n v="7.0126227208976169E-2"/>
    <n v="0.84805653710247342"/>
    <n v="8.4865629420084864E-3"/>
    <n v="3.6310820624546118"/>
    <n v="0.60733473487502909"/>
    <n v="0.95772015884139217"/>
    <s v="T"/>
    <n v="1"/>
    <m/>
    <m/>
    <m/>
    <m/>
    <m/>
    <m/>
    <m/>
    <m/>
    <m/>
  </r>
  <r>
    <x v="433"/>
    <x v="2"/>
    <s v="B"/>
    <s v="B"/>
    <x v="1"/>
    <n v="190"/>
    <n v="181"/>
    <n v="145.26599999999999"/>
    <n v="1.381"/>
    <n v="10.717000000000001"/>
    <s v="F40"/>
    <x v="0"/>
    <n v="40"/>
    <n v="4.29"/>
    <n v="4.194"/>
    <s v="1 caddis: 0.057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5.7000000000000002E-2"/>
    <m/>
    <m/>
    <m/>
    <m/>
    <m/>
    <m/>
    <m/>
    <m/>
    <m/>
    <m/>
    <m/>
    <m/>
    <m/>
    <m/>
    <m/>
    <m/>
    <m/>
    <m/>
    <n v="5.7000000000000002E-2"/>
    <d v="2021-08-07T00:00:00"/>
    <n v="8"/>
    <n v="7"/>
    <n v="2021"/>
    <x v="35"/>
    <n v="189"/>
    <x v="12"/>
    <s v="SC kept"/>
    <n v="7.9651279459527764"/>
    <n v="0.95979428015429002"/>
    <n v="1.0370359245464377E-2"/>
    <n v="2.9729499829874104"/>
    <n v="6.6085663541365552E-2"/>
    <n v="0.10532402626905132"/>
    <s v="T"/>
    <n v="3"/>
    <m/>
    <m/>
    <m/>
    <m/>
    <m/>
    <m/>
    <m/>
    <m/>
    <m/>
  </r>
  <r>
    <x v="434"/>
    <x v="2"/>
    <s v="B"/>
    <s v="B"/>
    <x v="1"/>
    <n v="178"/>
    <n v="170"/>
    <n v="121.196"/>
    <n v="0.86599999999999999"/>
    <n v="0.53200000000000003"/>
    <s v="M40"/>
    <x v="2"/>
    <n v="40"/>
    <n v="4.75"/>
    <n v="4.5060000000000002"/>
    <s v="2 inverts: 0.104"/>
    <s v="F"/>
    <m/>
    <m/>
    <n v="2"/>
    <n v="0.1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104"/>
    <d v="2021-08-07T00:00:00"/>
    <n v="8"/>
    <n v="7"/>
    <n v="2021"/>
    <x v="35"/>
    <n v="189"/>
    <x v="12"/>
    <m/>
    <n v="0.44089372140820793"/>
    <n v="0.71968752597024843"/>
    <n v="7.2288352059299817E-3"/>
    <n v="3.861513411603394"/>
    <n v="0.20132677646126917"/>
    <n v="0.28713818937918723"/>
    <s v="T"/>
    <n v="2"/>
    <m/>
    <m/>
    <m/>
    <m/>
    <m/>
    <m/>
    <m/>
    <m/>
    <m/>
  </r>
  <r>
    <x v="435"/>
    <x v="2"/>
    <s v="I"/>
    <s v="B"/>
    <x v="1"/>
    <n v="141"/>
    <n v="134"/>
    <n v="60.462000000000003"/>
    <n v="0.432"/>
    <n v="0.432"/>
    <s v="F40"/>
    <x v="0"/>
    <n v="40"/>
    <n v="2.9580000000000002"/>
    <n v="2.6760000000000002"/>
    <s v="9 snails: 0.202; veg: 0.015"/>
    <s v="F"/>
    <m/>
    <m/>
    <m/>
    <m/>
    <m/>
    <m/>
    <m/>
    <m/>
    <m/>
    <m/>
    <m/>
    <m/>
    <m/>
    <m/>
    <m/>
    <m/>
    <m/>
    <m/>
    <n v="9"/>
    <n v="0.20200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.4999999999999999E-2"/>
    <n v="0.217"/>
    <d v="2021-08-07T00:00:00"/>
    <n v="8"/>
    <n v="7"/>
    <n v="2021"/>
    <x v="35"/>
    <n v="189"/>
    <x v="12"/>
    <m/>
    <n v="0.71964017991004492"/>
    <n v="0.71964017991004492"/>
    <n v="7.2485653881002718E-3"/>
    <n v="4.6308794517703245"/>
    <n v="0.46640865336905823"/>
    <n v="0.82531176606794343"/>
    <s v="T"/>
    <n v="2"/>
    <m/>
    <m/>
    <m/>
    <m/>
    <m/>
    <m/>
    <m/>
    <m/>
    <m/>
  </r>
  <r>
    <x v="436"/>
    <x v="2"/>
    <s v="I"/>
    <s v="I"/>
    <x v="0"/>
    <n v="104"/>
    <n v="98"/>
    <n v="21.353999999999999"/>
    <n v="0.20499999999999999"/>
    <n v="0.16800000000000001"/>
    <s v="F40"/>
    <x v="0"/>
    <n v="40"/>
    <n v="0.98"/>
    <n v="0.93300000000000005"/>
    <s v="5 chiro: 0.015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n v="1.4999999999999999E-2"/>
    <m/>
    <m/>
    <m/>
    <m/>
    <m/>
    <m/>
    <m/>
    <m/>
    <m/>
    <m/>
    <m/>
    <m/>
    <m/>
    <m/>
    <m/>
    <m/>
    <m/>
    <m/>
    <m/>
    <m/>
    <m/>
    <m/>
    <m/>
    <m/>
    <n v="1.4999999999999999E-2"/>
    <d v="2021-08-07T00:00:00"/>
    <n v="8"/>
    <n v="7"/>
    <n v="2021"/>
    <x v="35"/>
    <n v="189"/>
    <x v="12"/>
    <s v="SC kept"/>
    <n v="0.79297649391107339"/>
    <n v="0.96931296988037252"/>
    <n v="9.7707449597254654E-3"/>
    <n v="4.5688262083149702"/>
    <n v="0.2200992788236393"/>
    <n v="0.29034372951203491"/>
    <s v="T"/>
    <n v="2"/>
    <m/>
    <m/>
    <m/>
    <m/>
    <m/>
    <m/>
    <m/>
    <m/>
    <m/>
  </r>
  <r>
    <x v="437"/>
    <x v="3"/>
    <s v="I"/>
    <s v="I"/>
    <x v="0"/>
    <n v="105"/>
    <n v="99"/>
    <n v="15.598000000000001"/>
    <n v="0.12"/>
    <n v="0.02"/>
    <s v="M22"/>
    <x v="2"/>
    <n v="22"/>
    <n v="0.72"/>
    <n v="0.70799999999999996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1/12/2020"/>
    <s v="21"/>
    <s v="12"/>
    <s v="2020"/>
    <x v="18"/>
    <n v="356"/>
    <x v="0"/>
    <s v="NA"/>
    <n v="0.12838618564642446"/>
    <n v="0.77529396562863406"/>
    <n v="0.77629706300944479"/>
    <n v="4.539043467111167"/>
    <n v="7.6932940120528343E-2"/>
    <m/>
    <m/>
    <m/>
    <m/>
    <m/>
    <m/>
    <m/>
    <m/>
    <m/>
    <m/>
    <m/>
    <m/>
  </r>
  <r>
    <x v="438"/>
    <x v="3"/>
    <s v="I"/>
    <s v="I"/>
    <x v="0"/>
    <n v="108"/>
    <n v="97"/>
    <n v="17.803000000000001"/>
    <n v="0.21199999999999999"/>
    <n v="2.1000000000000001E-2"/>
    <s v="M22"/>
    <x v="2"/>
    <n v="22"/>
    <n v="0.83799999999999997"/>
    <n v="0.82499999999999996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1/12/2020"/>
    <s v="21"/>
    <s v="12"/>
    <s v="2020"/>
    <x v="18"/>
    <n v="356"/>
    <x v="0"/>
    <s v="NA"/>
    <n v="0.11809695197390621"/>
    <n v="1.2051617304303337"/>
    <n v="1.2066021627774615"/>
    <n v="4.6340504409369201"/>
    <n v="7.3021400887490928E-2"/>
    <m/>
    <m/>
    <m/>
    <m/>
    <m/>
    <m/>
    <m/>
    <m/>
    <m/>
    <m/>
    <m/>
    <m/>
  </r>
  <r>
    <x v="439"/>
    <x v="3"/>
    <s v="I"/>
    <s v="B"/>
    <x v="1"/>
    <n v="111"/>
    <n v="105"/>
    <n v="19.454999999999998"/>
    <n v="0.26"/>
    <n v="1.6E-2"/>
    <s v="M22"/>
    <x v="2"/>
    <n v="22"/>
    <n v="0.92200000000000004"/>
    <n v="0.81799999999999995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1/12/2020"/>
    <s v="21"/>
    <s v="12"/>
    <s v="2020"/>
    <x v="18"/>
    <n v="356"/>
    <x v="0"/>
    <s v="NA"/>
    <n v="8.2308760738721135E-2"/>
    <n v="1.3545194060953376"/>
    <n v="1.3556494082068931"/>
    <n v="4.2045746594705733"/>
    <n v="0.53456694937034233"/>
    <m/>
    <m/>
    <m/>
    <m/>
    <m/>
    <m/>
    <m/>
    <m/>
    <m/>
    <m/>
    <m/>
    <m/>
  </r>
  <r>
    <x v="440"/>
    <x v="3"/>
    <s v="I"/>
    <s v="I"/>
    <x v="0"/>
    <n v="99"/>
    <n v="92"/>
    <n v="14.106999999999999"/>
    <n v="0.28799999999999998"/>
    <n v="0.192"/>
    <s v="F22"/>
    <x v="0"/>
    <n v="22"/>
    <n v="0.65300000000000002"/>
    <n v="0.56799999999999995"/>
    <s v="Chaoborous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1/12/2020"/>
    <s v="21"/>
    <s v="12"/>
    <s v="2020"/>
    <x v="18"/>
    <n v="356"/>
    <x v="0"/>
    <s v="NA"/>
    <n v="1.379805964786202"/>
    <n v="2.0840871264201462"/>
    <n v="2.1134512365157407"/>
    <n v="4.0263698872899978"/>
    <n v="0.60253774721769393"/>
    <m/>
    <m/>
    <m/>
    <m/>
    <m/>
    <m/>
    <m/>
    <m/>
    <m/>
    <m/>
    <m/>
    <m/>
  </r>
  <r>
    <x v="441"/>
    <x v="3"/>
    <s v="I"/>
    <s v="B"/>
    <x v="0"/>
    <n v="110"/>
    <n v="104"/>
    <n v="19.393999999999998"/>
    <n v="0.28199999999999997"/>
    <n v="0.22"/>
    <s v="F22"/>
    <x v="0"/>
    <n v="22"/>
    <n v="1.034"/>
    <n v="0.97599999999999998"/>
    <s v="Inverts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1/12/2020"/>
    <s v="21"/>
    <s v="12"/>
    <s v="2020"/>
    <x v="18"/>
    <n v="356"/>
    <x v="0"/>
    <s v="NA"/>
    <n v="1.147387086679879"/>
    <n v="1.4755127668480537"/>
    <n v="1.4926953207706963"/>
    <n v="5.0324842734866451"/>
    <n v="0.29906156543260831"/>
    <m/>
    <m/>
    <m/>
    <m/>
    <m/>
    <m/>
    <m/>
    <m/>
    <m/>
    <m/>
    <m/>
    <m/>
  </r>
  <r>
    <x v="442"/>
    <x v="3"/>
    <s v="I"/>
    <s v="S"/>
    <x v="0"/>
    <n v="70"/>
    <n v="66"/>
    <n v="5.2169999999999996"/>
    <n v="0.105"/>
    <n v="7.0000000000000001E-3"/>
    <s v="M22"/>
    <x v="2"/>
    <n v="22"/>
    <n v="0.217"/>
    <n v="0.21099999999999999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1/12/2020"/>
    <s v="21"/>
    <s v="12"/>
    <s v="2020"/>
    <x v="18"/>
    <n v="356"/>
    <x v="0"/>
    <s v="NA"/>
    <n v="0.1343570057581574"/>
    <n v="2.0539906103286385"/>
    <n v="2.0568070519098924"/>
    <n v="4.0444700019168103"/>
    <n v="0.11500862564692363"/>
    <m/>
    <m/>
    <m/>
    <m/>
    <m/>
    <m/>
    <m/>
    <m/>
    <m/>
    <m/>
    <m/>
    <m/>
  </r>
  <r>
    <x v="443"/>
    <x v="3"/>
    <s v="I"/>
    <s v="I"/>
    <x v="0"/>
    <n v="105"/>
    <n v="99"/>
    <n v="16.170000000000002"/>
    <n v="0.20699999999999999"/>
    <n v="2.1000000000000001E-2"/>
    <s v="M22"/>
    <x v="2"/>
    <n v="22"/>
    <n v="0.80100000000000005"/>
    <n v="0.749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1/12/2020"/>
    <s v="21"/>
    <s v="12"/>
    <s v="2020"/>
    <x v="18"/>
    <n v="356"/>
    <x v="0"/>
    <s v="NA"/>
    <n v="0.13003901170351106"/>
    <n v="1.2967487314414583"/>
    <n v="1.298456906285284"/>
    <n v="4.6320346320346317"/>
    <n v="0.32158317872603615"/>
    <m/>
    <m/>
    <m/>
    <m/>
    <m/>
    <m/>
    <m/>
    <m/>
    <m/>
    <m/>
    <m/>
    <m/>
  </r>
  <r>
    <x v="444"/>
    <x v="3"/>
    <s v="I"/>
    <s v="S"/>
    <x v="0"/>
    <n v="72"/>
    <n v="67"/>
    <n v="6.2009999999999996"/>
    <n v="0.112"/>
    <n v="5.0000000000000001E-3"/>
    <s v="M22"/>
    <x v="2"/>
    <n v="22"/>
    <n v="0.26500000000000001"/>
    <n v="0.25600000000000001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1/12/2020"/>
    <s v="21"/>
    <s v="12"/>
    <s v="2020"/>
    <x v="18"/>
    <n v="356"/>
    <x v="0"/>
    <s v="Gonads very small"/>
    <n v="8.0697224015493868E-2"/>
    <n v="1.8393824930202005"/>
    <n v="1.8408941485864565"/>
    <n v="4.1283663925173357"/>
    <n v="0.14513788098693772"/>
    <m/>
    <m/>
    <m/>
    <m/>
    <m/>
    <m/>
    <m/>
    <m/>
    <m/>
    <m/>
    <m/>
    <m/>
  </r>
  <r>
    <x v="445"/>
    <x v="3"/>
    <s v="I"/>
    <s v="S"/>
    <x v="0"/>
    <n v="65"/>
    <n v="60"/>
    <n v="3.8079999999999998"/>
    <n v="0.08"/>
    <n v="6.0000000000000001E-3"/>
    <s v="M22"/>
    <x v="2"/>
    <n v="22"/>
    <n v="0.189"/>
    <n v="0.17100000000000001"/>
    <s v="Inverts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1/12/2020"/>
    <s v="21"/>
    <s v="12"/>
    <s v="2020"/>
    <x v="18"/>
    <n v="356"/>
    <x v="0"/>
    <s v="NA"/>
    <n v="0.15781167806417673"/>
    <n v="2.1459227467811162"/>
    <n v="2.1493820526598602"/>
    <n v="4.4905462184873954"/>
    <n v="0.47268907563025181"/>
    <m/>
    <m/>
    <m/>
    <m/>
    <m/>
    <m/>
    <m/>
    <m/>
    <m/>
    <m/>
    <m/>
    <m/>
  </r>
  <r>
    <x v="446"/>
    <x v="3"/>
    <s v="I"/>
    <s v="I"/>
    <x v="0"/>
    <n v="87"/>
    <n v="81"/>
    <n v="8.49"/>
    <n v="0.14000000000000001"/>
    <n v="6.0000000000000001E-3"/>
    <s v="M22"/>
    <x v="2"/>
    <n v="22"/>
    <n v="0.50800000000000001"/>
    <n v="0.44500000000000001"/>
    <s v="Inverts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1/12/2020"/>
    <s v="21"/>
    <s v="12"/>
    <s v="2020"/>
    <x v="18"/>
    <n v="356"/>
    <x v="0"/>
    <s v="Gonads not kept"/>
    <n v="7.0721357850070721E-2"/>
    <n v="1.6766467065868267"/>
    <n v="1.6778523489932891"/>
    <n v="5.2414605418138986"/>
    <n v="0.74204946996466437"/>
    <m/>
    <m/>
    <m/>
    <m/>
    <m/>
    <m/>
    <m/>
    <m/>
    <m/>
    <m/>
    <m/>
    <m/>
  </r>
  <r>
    <x v="447"/>
    <x v="3"/>
    <s v="I"/>
    <s v="S"/>
    <x v="0"/>
    <n v="66"/>
    <n v="61"/>
    <n v="4.3369999999999997"/>
    <n v="7.3999999999999996E-2"/>
    <n v="6.9000000000000006E-2"/>
    <s v="F22"/>
    <x v="0"/>
    <n v="22"/>
    <n v="0.248"/>
    <n v="0.20899999999999999"/>
    <s v="Inverts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1/12/2020"/>
    <s v="21"/>
    <s v="12"/>
    <s v="2020"/>
    <x v="18"/>
    <n v="356"/>
    <x v="0"/>
    <s v="NA"/>
    <n v="1.6166822867853796"/>
    <n v="1.7358667604973024"/>
    <n v="1.764425369575584"/>
    <n v="4.8189993082776112"/>
    <n v="0.89923910537237739"/>
    <m/>
    <m/>
    <m/>
    <m/>
    <m/>
    <m/>
    <m/>
    <m/>
    <m/>
    <m/>
    <m/>
    <m/>
  </r>
  <r>
    <x v="448"/>
    <x v="3"/>
    <s v="I"/>
    <s v="I"/>
    <x v="0"/>
    <n v="103"/>
    <n v="96"/>
    <n v="15.851000000000001"/>
    <n v="0.23"/>
    <n v="1.7000000000000001E-2"/>
    <s v="M22"/>
    <x v="2"/>
    <n v="22"/>
    <n v="0.57399999999999995"/>
    <n v="0.56799999999999995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1/12/2020"/>
    <s v="21"/>
    <s v="12"/>
    <s v="2020"/>
    <x v="18"/>
    <n v="356"/>
    <x v="0"/>
    <s v="NA"/>
    <n v="0.10736390046734874"/>
    <n v="1.4723769284936943"/>
    <n v="1.4739810305049985"/>
    <n v="3.5833701343763797"/>
    <n v="3.7852501419468831E-2"/>
    <m/>
    <m/>
    <m/>
    <m/>
    <m/>
    <m/>
    <m/>
    <m/>
    <m/>
    <m/>
    <m/>
    <m/>
  </r>
  <r>
    <x v="449"/>
    <x v="3"/>
    <s v="I"/>
    <s v="I"/>
    <x v="0"/>
    <n v="95"/>
    <n v="89"/>
    <n v="12.118"/>
    <n v="0.23499999999999999"/>
    <n v="0.17299999999999999"/>
    <s v="F22"/>
    <x v="0"/>
    <n v="22"/>
    <n v="0.56499999999999995"/>
    <n v="0.53600000000000003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1/12/2020"/>
    <s v="21"/>
    <s v="12"/>
    <s v="2020"/>
    <x v="18"/>
    <n v="356"/>
    <x v="0"/>
    <s v="NA"/>
    <n v="1.4483047300125573"/>
    <n v="1.9776150803669106"/>
    <n v="2.0068317677198975"/>
    <n v="4.4231721406172637"/>
    <n v="0.23931341805578407"/>
    <m/>
    <m/>
    <m/>
    <m/>
    <m/>
    <m/>
    <m/>
    <m/>
    <m/>
    <m/>
    <m/>
    <m/>
  </r>
  <r>
    <x v="450"/>
    <x v="3"/>
    <s v="I"/>
    <s v="S"/>
    <x v="0"/>
    <n v="65"/>
    <n v="62"/>
    <n v="4.0730000000000004"/>
    <n v="9.1999999999999998E-2"/>
    <n v="6.7000000000000004E-2"/>
    <s v="F22"/>
    <x v="0"/>
    <n v="22"/>
    <m/>
    <n v="0.189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1/12/2020"/>
    <s v="21"/>
    <s v="12"/>
    <s v="2020"/>
    <x v="18"/>
    <n v="356"/>
    <x v="0"/>
    <s v="NA"/>
    <n v="1.6724912631053419"/>
    <n v="2.3109771414217528"/>
    <n v="2.350536535513541"/>
    <n v="4.6403142646697759"/>
    <m/>
    <m/>
    <m/>
    <m/>
    <m/>
    <m/>
    <m/>
    <m/>
    <m/>
    <m/>
    <m/>
    <m/>
    <m/>
  </r>
  <r>
    <x v="451"/>
    <x v="3"/>
    <s v="I"/>
    <s v="IMM"/>
    <x v="0"/>
    <n v="63"/>
    <n v="59"/>
    <n v="3.351"/>
    <n v="8.5000000000000006E-2"/>
    <n v="4.0000000000000001E-3"/>
    <s v="M22"/>
    <x v="2"/>
    <n v="22"/>
    <n v="0.17399999999999999"/>
    <n v="0.14499999999999999"/>
    <s v="Inverts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1/12/2020"/>
    <s v="21"/>
    <s v="12"/>
    <s v="2020"/>
    <x v="18"/>
    <n v="356"/>
    <x v="0"/>
    <s v="Gonads not kept"/>
    <n v="0.11951000896325066"/>
    <n v="2.6025719534598899"/>
    <n v="2.6057633353770693"/>
    <n v="4.3270665472993128"/>
    <n v="0.86541330945986272"/>
    <m/>
    <m/>
    <m/>
    <m/>
    <m/>
    <m/>
    <m/>
    <m/>
    <m/>
    <m/>
    <m/>
    <m/>
  </r>
  <r>
    <x v="452"/>
    <x v="3"/>
    <s v="I"/>
    <s v="S"/>
    <x v="0"/>
    <n v="65"/>
    <n v="61"/>
    <n v="3.67"/>
    <n v="8.7999999999999995E-2"/>
    <n v="5.0000000000000001E-3"/>
    <s v="M22"/>
    <x v="2"/>
    <n v="22"/>
    <n v="0.17100000000000001"/>
    <n v="0.16300000000000001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1/12/2020"/>
    <s v="21"/>
    <s v="12"/>
    <s v="2020"/>
    <x v="18"/>
    <n v="356"/>
    <x v="0"/>
    <s v="NA"/>
    <n v="0.13642564802182811"/>
    <n v="2.4567280848687885"/>
    <n v="2.460162147050601"/>
    <n v="4.4414168937329705"/>
    <n v="0.21798365122615823"/>
    <m/>
    <m/>
    <m/>
    <m/>
    <m/>
    <m/>
    <m/>
    <m/>
    <m/>
    <m/>
    <m/>
    <m/>
  </r>
  <r>
    <x v="453"/>
    <x v="3"/>
    <s v="I"/>
    <s v="B"/>
    <x v="1"/>
    <n v="112"/>
    <n v="106"/>
    <n v="23.34"/>
    <n v="0.46300000000000002"/>
    <n v="0.34699999999999998"/>
    <s v="F22"/>
    <x v="0"/>
    <n v="22"/>
    <n v="1.61"/>
    <n v="1.3540000000000001"/>
    <s v="1 caddis, 1 odonate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0/01/2021"/>
    <s v="20"/>
    <s v="01"/>
    <s v="2021"/>
    <x v="36"/>
    <n v="20"/>
    <x v="1"/>
    <s v="Angled, heavily parasitized"/>
    <n v="1.5091549602052798"/>
    <n v="2.0238667657472571"/>
    <n v="2.0550377274744789"/>
    <n v="5.8011996572407885"/>
    <n v="1.0968294772922023"/>
    <m/>
    <s v="A"/>
    <m/>
    <m/>
    <m/>
    <m/>
    <m/>
    <m/>
    <m/>
    <m/>
    <m/>
    <m/>
  </r>
  <r>
    <x v="454"/>
    <x v="3"/>
    <s v="I"/>
    <s v="B"/>
    <x v="1"/>
    <n v="125"/>
    <n v="119"/>
    <n v="30.734000000000002"/>
    <n v="0.68899999999999995"/>
    <n v="4.2000000000000003E-2"/>
    <s v="M22"/>
    <x v="2"/>
    <n v="22"/>
    <n v="2.444"/>
    <n v="1.903"/>
    <s v="3 odonate, 5 damselfly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0/01/2021"/>
    <s v="20"/>
    <s v="01"/>
    <s v="2021"/>
    <x v="36"/>
    <n v="20"/>
    <x v="1"/>
    <s v="Angled"/>
    <n v="0.13684347712759026"/>
    <n v="2.2932268264270257"/>
    <n v="2.29643702296437"/>
    <n v="6.191839656406585"/>
    <n v="1.7602655040020823"/>
    <m/>
    <s v="A"/>
    <m/>
    <m/>
    <m/>
    <m/>
    <m/>
    <m/>
    <m/>
    <m/>
    <m/>
    <m/>
  </r>
  <r>
    <x v="455"/>
    <x v="3"/>
    <s v="I"/>
    <s v="B"/>
    <x v="1"/>
    <n v="114"/>
    <n v="109"/>
    <n v="20.716000000000001"/>
    <n v="0.25700000000000001"/>
    <n v="1.2E-2"/>
    <s v="M22"/>
    <x v="2"/>
    <n v="22"/>
    <n v="0.73899999999999999"/>
    <n v="0.72199999999999998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0/01/2021"/>
    <s v="20"/>
    <s v="01"/>
    <s v="2021"/>
    <x v="36"/>
    <n v="20"/>
    <x v="1"/>
    <s v="Angled, heavily parasitized"/>
    <n v="5.7959814528593508E-2"/>
    <n v="1.25617087834205"/>
    <n v="1.2569081038783196"/>
    <n v="3.485228808650318"/>
    <n v="8.2062174164896778E-2"/>
    <m/>
    <s v="A"/>
    <m/>
    <m/>
    <m/>
    <m/>
    <m/>
    <m/>
    <m/>
    <m/>
    <m/>
    <m/>
  </r>
  <r>
    <x v="456"/>
    <x v="3"/>
    <s v="I"/>
    <s v="I"/>
    <x v="0"/>
    <n v="107"/>
    <n v="102"/>
    <n v="18.945"/>
    <n v="0.371"/>
    <n v="3.3000000000000002E-2"/>
    <s v="M22"/>
    <x v="2"/>
    <n v="22"/>
    <n v="0.80200000000000005"/>
    <n v="0.77200000000000002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0/01/2021"/>
    <s v="20"/>
    <s v="01"/>
    <s v="2021"/>
    <x v="36"/>
    <n v="20"/>
    <x v="1"/>
    <s v="Angled, heavily parasitized"/>
    <n v="0.17449238578680207"/>
    <n v="1.9974157424356624"/>
    <n v="2.0009708214227926"/>
    <n v="4.0749538136711534"/>
    <n v="0.15835312747426777"/>
    <m/>
    <s v="A"/>
    <m/>
    <m/>
    <m/>
    <m/>
    <m/>
    <m/>
    <m/>
    <m/>
    <m/>
    <m/>
  </r>
  <r>
    <x v="457"/>
    <x v="3"/>
    <s v="I"/>
    <s v="B"/>
    <x v="1"/>
    <n v="115"/>
    <n v="109"/>
    <n v="21.064"/>
    <n v="0.34"/>
    <n v="3.3000000000000002E-2"/>
    <s v="M22"/>
    <x v="2"/>
    <n v="22"/>
    <n v="1.466"/>
    <n v="1.26"/>
    <s v="22 mayfly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0/01/2021"/>
    <s v="20"/>
    <s v="01"/>
    <s v="2021"/>
    <x v="36"/>
    <n v="20"/>
    <x v="1"/>
    <s v="Angled, heavily parasitized"/>
    <n v="0.15691122628500787"/>
    <n v="1.6406099208646983"/>
    <n v="1.6432265236092991"/>
    <n v="5.9817698442840861"/>
    <n v="0.97797189517660443"/>
    <m/>
    <s v="A"/>
    <m/>
    <m/>
    <m/>
    <m/>
    <m/>
    <m/>
    <m/>
    <m/>
    <m/>
    <m/>
  </r>
  <r>
    <x v="458"/>
    <x v="3"/>
    <s v="I"/>
    <s v="B"/>
    <x v="1"/>
    <n v="111"/>
    <n v="105"/>
    <n v="14.792999999999999"/>
    <n v="0.125"/>
    <n v="0.127"/>
    <s v="F22"/>
    <x v="0"/>
    <n v="22"/>
    <n v="1.296"/>
    <n v="0.85799999999999998"/>
    <s v="3 odonate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0/01/2021"/>
    <s v="20"/>
    <s v="01"/>
    <s v="2021"/>
    <x v="36"/>
    <n v="20"/>
    <x v="1"/>
    <s v="Angled, heavily parasitized"/>
    <n v="0.86594845220237304"/>
    <n v="0.85219525497682025"/>
    <n v="0.85963826421841705"/>
    <n v="5.8000405597241942"/>
    <n v="2.9608598661529104"/>
    <m/>
    <s v="A"/>
    <m/>
    <m/>
    <m/>
    <m/>
    <m/>
    <m/>
    <m/>
    <m/>
    <m/>
    <m/>
  </r>
  <r>
    <x v="459"/>
    <x v="3"/>
    <s v="I"/>
    <s v="B"/>
    <x v="0"/>
    <n v="110"/>
    <n v="104"/>
    <n v="15.085000000000001"/>
    <n v="0.157"/>
    <n v="0.15"/>
    <s v="F22"/>
    <x v="0"/>
    <n v="22"/>
    <n v="0.81599999999999995"/>
    <n v="0.78400000000000003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0/01/2021"/>
    <s v="20"/>
    <s v="01"/>
    <s v="2021"/>
    <x v="36"/>
    <n v="20"/>
    <x v="1"/>
    <s v="Angled, heavily parasitized"/>
    <n v="1.0043521928356209"/>
    <n v="1.0517148981779207"/>
    <n v="1.0623900392475301"/>
    <n v="5.1972157772621808"/>
    <n v="0.21213125621478232"/>
    <m/>
    <s v="A"/>
    <m/>
    <n v="0"/>
    <n v="56"/>
    <n v="19"/>
    <n v="0"/>
    <n v="5.4999999999998384E-3"/>
    <n v="0.39392637157999127"/>
    <n v="9.4094952557079541"/>
    <m/>
    <m/>
  </r>
  <r>
    <x v="460"/>
    <x v="3"/>
    <s v="I"/>
    <s v="I"/>
    <x v="0"/>
    <n v="107"/>
    <n v="100"/>
    <n v="16.206"/>
    <n v="0.13400000000000001"/>
    <n v="0.153"/>
    <s v="F22"/>
    <x v="0"/>
    <n v="22"/>
    <n v="0.65600000000000003"/>
    <n v="0.58499999999999996"/>
    <s v="1 odonate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0/01/2021"/>
    <s v="20"/>
    <s v="01"/>
    <s v="2021"/>
    <x v="36"/>
    <n v="20"/>
    <x v="1"/>
    <s v="Angled, heavily parasitized"/>
    <n v="0.95309287983554469"/>
    <n v="0.83374813339970144"/>
    <n v="0.84176141717444575"/>
    <n v="3.6097741577193627"/>
    <n v="0.43810934221893166"/>
    <m/>
    <s v="A"/>
    <m/>
    <n v="0"/>
    <n v="132"/>
    <n v="101"/>
    <n v="0"/>
    <n v="2.6999999999999247E-3"/>
    <n v="0.17689838170739206"/>
    <n v="8.4641645017269767"/>
    <m/>
    <m/>
  </r>
  <r>
    <x v="461"/>
    <x v="3"/>
    <s v="I"/>
    <s v="I"/>
    <x v="0"/>
    <n v="99"/>
    <n v="93"/>
    <n v="12.506"/>
    <n v="0.13900000000000001"/>
    <n v="1.7000000000000001E-2"/>
    <s v="M22"/>
    <x v="2"/>
    <n v="22"/>
    <n v="0.77600000000000002"/>
    <n v="0.71899999999999997"/>
    <s v="2 mayfly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0/01/2021"/>
    <s v="20"/>
    <s v="01"/>
    <s v="2021"/>
    <x v="36"/>
    <n v="20"/>
    <x v="1"/>
    <s v="Angled, heavily parasitized"/>
    <n v="0.13611978541116182"/>
    <n v="1.1239589229400824"/>
    <n v="1.1255060728744939"/>
    <n v="5.7492403646249794"/>
    <n v="0.45578122501199458"/>
    <m/>
    <s v="A"/>
    <m/>
    <m/>
    <m/>
    <m/>
    <m/>
    <m/>
    <m/>
    <m/>
    <m/>
    <m/>
  </r>
  <r>
    <x v="462"/>
    <x v="3"/>
    <s v="I"/>
    <s v="IMM"/>
    <x v="0"/>
    <n v="64"/>
    <n v="60"/>
    <n v="3.8050000000000002"/>
    <n v="6.2E-2"/>
    <n v="3.0000000000000001E-3"/>
    <s v="M22"/>
    <x v="2"/>
    <n v="22"/>
    <n v="0.16900000000000001"/>
    <n v="0.13900000000000001"/>
    <s v="Inverts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1/01/2021"/>
    <s v="21"/>
    <s v="01"/>
    <s v="2021"/>
    <x v="20"/>
    <n v="21"/>
    <x v="1"/>
    <s v="Trapped, gonads not kept"/>
    <n v="7.8905839032088365E-2"/>
    <n v="1.6564253272775848"/>
    <n v="1.6577540106951869"/>
    <n v="3.6530880420499345"/>
    <n v="0.78843626806833111"/>
    <m/>
    <s v="T"/>
    <m/>
    <m/>
    <m/>
    <m/>
    <m/>
    <m/>
    <m/>
    <m/>
    <m/>
    <m/>
  </r>
  <r>
    <x v="463"/>
    <x v="3"/>
    <s v="S"/>
    <s v="IMM"/>
    <x v="0"/>
    <n v="60"/>
    <n v="56"/>
    <n v="3.0750000000000002"/>
    <n v="5.5E-2"/>
    <n v="0.04"/>
    <s v="F22"/>
    <x v="0"/>
    <n v="22"/>
    <n v="0.14199999999999999"/>
    <n v="0.115"/>
    <s v="1 odonate, 1 damselfly, 2 chironomids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1/01/2021"/>
    <s v="21"/>
    <s v="01"/>
    <s v="2021"/>
    <x v="20"/>
    <n v="21"/>
    <x v="1"/>
    <s v="Trapped"/>
    <n v="1.3179571663920924"/>
    <n v="1.8211920529801324"/>
    <n v="1.8456375838926176"/>
    <n v="3.7398373983739837"/>
    <n v="0.87804878048780433"/>
    <m/>
    <s v="T"/>
    <m/>
    <n v="0"/>
    <n v="21"/>
    <n v="4"/>
    <n v="0"/>
    <n v="8.9999999999999993E-3"/>
    <n v="3.1712473572938684"/>
    <n v="9.4859601449277875"/>
    <m/>
    <m/>
  </r>
  <r>
    <x v="464"/>
    <x v="3"/>
    <s v="I"/>
    <s v="IMM"/>
    <x v="0"/>
    <n v="63"/>
    <n v="59"/>
    <n v="3.7229999999999999"/>
    <n v="9.5000000000000001E-2"/>
    <n v="7.0000000000000001E-3"/>
    <s v="M22"/>
    <x v="2"/>
    <n v="22"/>
    <n v="0.17199999999999999"/>
    <n v="0.16200000000000001"/>
    <s v="1 chironomid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1/01/2021"/>
    <s v="21"/>
    <s v="01"/>
    <s v="2021"/>
    <x v="20"/>
    <n v="21"/>
    <x v="1"/>
    <s v="Trapped"/>
    <n v="0.18837459634015072"/>
    <n v="2.6185226019845649"/>
    <n v="2.6235846451256561"/>
    <n v="4.3513295729250601"/>
    <n v="0.26860059092129951"/>
    <m/>
    <s v="T"/>
    <m/>
    <m/>
    <m/>
    <m/>
    <m/>
    <m/>
    <m/>
    <m/>
    <m/>
    <m/>
  </r>
  <r>
    <x v="465"/>
    <x v="3"/>
    <s v="I"/>
    <s v="IMM"/>
    <x v="0"/>
    <n v="61"/>
    <n v="57"/>
    <n v="3.355"/>
    <n v="8.8999999999999996E-2"/>
    <n v="0.06"/>
    <s v="F22"/>
    <x v="0"/>
    <n v="22"/>
    <n v="0.15"/>
    <n v="0.11899999999999999"/>
    <s v="3 chironomids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1/01/2021"/>
    <s v="21"/>
    <s v="01"/>
    <s v="2021"/>
    <x v="20"/>
    <n v="21"/>
    <x v="1"/>
    <s v="Trapped"/>
    <n v="1.8209408194233687"/>
    <n v="2.7250459277403549"/>
    <n v="2.776044915782907"/>
    <n v="3.5469448584202681"/>
    <n v="0.92399403874813701"/>
    <m/>
    <s v="T"/>
    <m/>
    <n v="0"/>
    <n v="16"/>
    <n v="4"/>
    <n v="0"/>
    <n v="1.0800000000000001E-2"/>
    <n v="3.5340314136125657"/>
    <n v="9.838869197935697"/>
    <m/>
    <m/>
  </r>
  <r>
    <x v="466"/>
    <x v="3"/>
    <s v="I"/>
    <s v="IMM"/>
    <x v="0"/>
    <n v="63"/>
    <n v="59"/>
    <n v="3.3690000000000002"/>
    <n v="7.3999999999999996E-2"/>
    <n v="2E-3"/>
    <s v="M22"/>
    <x v="2"/>
    <n v="22"/>
    <n v="0.18"/>
    <n v="0.157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1/01/2021"/>
    <s v="21"/>
    <s v="01"/>
    <s v="2021"/>
    <x v="20"/>
    <n v="21"/>
    <x v="1"/>
    <s v="Trapped, gonads not kept"/>
    <n v="5.9400059400059393E-2"/>
    <n v="2.2458270106221545"/>
    <n v="2.2471910112359548"/>
    <n v="4.6601365390323535"/>
    <n v="0.68269516176907075"/>
    <m/>
    <s v="T"/>
    <m/>
    <m/>
    <m/>
    <m/>
    <m/>
    <m/>
    <m/>
    <m/>
    <m/>
    <m/>
  </r>
  <r>
    <x v="467"/>
    <x v="3"/>
    <s v="S"/>
    <s v="IMM"/>
    <x v="1"/>
    <n v="58"/>
    <n v="54"/>
    <n v="3.1080000000000001"/>
    <n v="0.06"/>
    <n v="4.0000000000000001E-3"/>
    <s v="M22"/>
    <x v="2"/>
    <n v="22"/>
    <n v="0.13500000000000001"/>
    <n v="0.11"/>
    <s v="Inverts (bait)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1/01/2021"/>
    <s v="21"/>
    <s v="01"/>
    <s v="2021"/>
    <x v="20"/>
    <n v="21"/>
    <x v="1"/>
    <s v="Trapped"/>
    <n v="0.12886597938144329"/>
    <n v="1.9685039370078741"/>
    <n v="1.971090670170828"/>
    <n v="3.5392535392535387"/>
    <n v="0.80437580437580458"/>
    <m/>
    <s v="T"/>
    <m/>
    <m/>
    <m/>
    <m/>
    <m/>
    <m/>
    <m/>
    <m/>
    <m/>
    <m/>
  </r>
  <r>
    <x v="468"/>
    <x v="3"/>
    <s v="I"/>
    <s v="IMM"/>
    <x v="0"/>
    <n v="61"/>
    <n v="57"/>
    <n v="3.18"/>
    <n v="5.6000000000000001E-2"/>
    <n v="5.7000000000000002E-2"/>
    <s v="F22"/>
    <x v="0"/>
    <n v="22"/>
    <n v="0.115"/>
    <n v="0.107"/>
    <s v="2 chironomids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1/01/2021"/>
    <s v="21"/>
    <s v="01"/>
    <s v="2021"/>
    <x v="20"/>
    <n v="21"/>
    <x v="1"/>
    <s v="Trapped"/>
    <n v="1.8251681075888568"/>
    <n v="1.7925736235595391"/>
    <n v="1.8258884903814803"/>
    <n v="3.3647798742138364"/>
    <n v="0.25157232704402538"/>
    <m/>
    <s v="T"/>
    <m/>
    <n v="0"/>
    <n v="32"/>
    <n v="10"/>
    <n v="0"/>
    <n v="1.4200000000000001E-2"/>
    <n v="4.8102981029810303"/>
    <n v="5.4970267359631038"/>
    <m/>
    <m/>
  </r>
  <r>
    <x v="469"/>
    <x v="3"/>
    <s v="S"/>
    <s v="IMM"/>
    <x v="0"/>
    <n v="60"/>
    <n v="56"/>
    <n v="2.9729999999999999"/>
    <n v="5.1999999999999998E-2"/>
    <n v="7.0000000000000001E-3"/>
    <s v="M22"/>
    <x v="2"/>
    <n v="22"/>
    <n v="0.11899999999999999"/>
    <n v="0.106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1/01/2021"/>
    <s v="21"/>
    <s v="01"/>
    <s v="2021"/>
    <x v="20"/>
    <n v="21"/>
    <x v="1"/>
    <s v="Trapped"/>
    <n v="0.2360080917060014"/>
    <n v="1.780212256076686"/>
    <n v="1.7844886753603295"/>
    <n v="3.5654221325260678"/>
    <n v="0.43726875210225358"/>
    <m/>
    <s v="T"/>
    <m/>
    <m/>
    <m/>
    <m/>
    <m/>
    <m/>
    <m/>
    <m/>
    <m/>
    <m/>
  </r>
  <r>
    <x v="470"/>
    <x v="3"/>
    <s v="S"/>
    <s v="IMM"/>
    <x v="1"/>
    <n v="56"/>
    <n v="53"/>
    <n v="2.76"/>
    <n v="6.3E-2"/>
    <n v="4.1000000000000002E-2"/>
    <s v="F22"/>
    <x v="0"/>
    <n v="22"/>
    <n v="0.112"/>
    <n v="8.8999999999999996E-2"/>
    <s v="Inverts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1/01/2021"/>
    <s v="21"/>
    <s v="01"/>
    <s v="2021"/>
    <x v="20"/>
    <n v="21"/>
    <x v="1"/>
    <s v="Trapped"/>
    <n v="1.5079073188672307"/>
    <n v="2.3359288097886544"/>
    <n v="2.3719879518072293"/>
    <n v="3.22463768115942"/>
    <n v="0.8333333333333337"/>
    <m/>
    <s v="T"/>
    <m/>
    <m/>
    <m/>
    <m/>
    <m/>
    <m/>
    <m/>
    <m/>
    <m/>
    <m/>
  </r>
  <r>
    <x v="471"/>
    <x v="3"/>
    <s v="I"/>
    <s v="IMM"/>
    <x v="0"/>
    <n v="63"/>
    <n v="58"/>
    <n v="3.5350000000000001"/>
    <n v="7.8E-2"/>
    <n v="7.0000000000000001E-3"/>
    <s v="M22"/>
    <x v="2"/>
    <n v="22"/>
    <n v="0.13700000000000001"/>
    <n v="0.126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d v="2021-09-02T00:00:00"/>
    <n v="9"/>
    <n v="2"/>
    <n v="2021"/>
    <x v="37"/>
    <n v="40"/>
    <x v="2"/>
    <s v="Trapped, some parasites"/>
    <n v="0.1984126984126984"/>
    <n v="2.2562915822967886"/>
    <n v="2.2608695652173911"/>
    <n v="3.564356435643564"/>
    <n v="0.31117397454031143"/>
    <n v="0.31117397454031143"/>
    <s v="T"/>
    <n v="2"/>
    <m/>
    <m/>
    <m/>
    <m/>
    <m/>
    <m/>
    <m/>
    <m/>
    <m/>
  </r>
  <r>
    <x v="472"/>
    <x v="3"/>
    <s v="I"/>
    <s v="IMM"/>
    <x v="0"/>
    <n v="64"/>
    <n v="60"/>
    <n v="3.7360000000000002"/>
    <n v="8.5000000000000006E-2"/>
    <n v="4.0000000000000001E-3"/>
    <s v="M10"/>
    <x v="2"/>
    <n v="10"/>
    <n v="0.17799999999999999"/>
    <n v="0.15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d v="2021-09-02T00:00:00"/>
    <n v="9"/>
    <n v="2"/>
    <n v="2021"/>
    <x v="37"/>
    <n v="40"/>
    <x v="2"/>
    <s v="Trapped dead, some parasites"/>
    <n v="0.10718113612004287"/>
    <n v="2.3281292796494113"/>
    <n v="2.3306827529476282"/>
    <n v="4.014989293361884"/>
    <n v="0.7494646680942183"/>
    <n v="0.7494646680942183"/>
    <s v="T"/>
    <n v="2"/>
    <m/>
    <m/>
    <m/>
    <m/>
    <m/>
    <m/>
    <m/>
    <m/>
    <m/>
  </r>
  <r>
    <x v="473"/>
    <x v="3"/>
    <s v="I"/>
    <s v="IMM"/>
    <x v="0"/>
    <n v="64"/>
    <n v="61"/>
    <n v="4.0730000000000004"/>
    <n v="7.3999999999999996E-2"/>
    <n v="4.0000000000000001E-3"/>
    <s v="M10"/>
    <x v="2"/>
    <n v="10"/>
    <n v="0.156"/>
    <n v="0.11899999999999999"/>
    <s v="2 mayflies: 0.015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1.4999999999999999E-2"/>
    <m/>
    <m/>
    <m/>
    <m/>
    <m/>
    <m/>
    <m/>
    <m/>
    <m/>
    <m/>
    <m/>
    <m/>
    <m/>
    <m/>
    <m/>
    <m/>
    <n v="1.4999999999999999E-2"/>
    <d v="2021-09-02T00:00:00"/>
    <n v="9"/>
    <n v="2"/>
    <n v="2021"/>
    <x v="37"/>
    <n v="40"/>
    <x v="2"/>
    <s v="Trapped dead, some parasites"/>
    <n v="9.8304251658884234E-2"/>
    <n v="1.8504626156539132"/>
    <n v="1.8523153942428032"/>
    <n v="2.9216793518291184"/>
    <n v="0.90842131107291924"/>
    <n v="1.2767002209673459"/>
    <s v="T"/>
    <n v="2"/>
    <m/>
    <m/>
    <m/>
    <m/>
    <m/>
    <m/>
    <m/>
    <m/>
    <m/>
  </r>
  <r>
    <x v="474"/>
    <x v="3"/>
    <s v="I"/>
    <s v="IMM"/>
    <x v="0"/>
    <n v="64"/>
    <n v="61"/>
    <n v="4.47"/>
    <n v="0.09"/>
    <n v="7.0000000000000001E-3"/>
    <s v="M22"/>
    <x v="2"/>
    <n v="22"/>
    <n v="0.157"/>
    <n v="0.122"/>
    <s v="Inverts: 0.013"/>
    <s v="F"/>
    <m/>
    <m/>
    <m/>
    <n v="1.2999999999999999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.2999999999999999E-2"/>
    <d v="2021-09-02T00:00:00"/>
    <n v="9"/>
    <n v="2"/>
    <n v="2021"/>
    <x v="37"/>
    <n v="40"/>
    <x v="2"/>
    <s v="Trapped dead, some parasites"/>
    <n v="0.15684517140936591"/>
    <n v="2.054794520547945"/>
    <n v="2.0580836954036128"/>
    <n v="2.7293064876957494"/>
    <n v="0.78299776286353484"/>
    <n v="1.0738255033557049"/>
    <s v="T"/>
    <n v="2"/>
    <m/>
    <m/>
    <m/>
    <m/>
    <m/>
    <m/>
    <m/>
    <m/>
    <m/>
  </r>
  <r>
    <x v="475"/>
    <x v="3"/>
    <s v="S"/>
    <s v="IMM"/>
    <x v="1"/>
    <n v="55"/>
    <n v="52"/>
    <n v="2.4260000000000002"/>
    <n v="5.2999999999999999E-2"/>
    <n v="3.4000000000000002E-2"/>
    <s v="F22"/>
    <x v="0"/>
    <n v="22"/>
    <n v="0.10199999999999999"/>
    <n v="7.0999999999999994E-2"/>
    <s v="9 chiro: 0.015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9"/>
    <n v="1.4999999999999999E-2"/>
    <m/>
    <m/>
    <m/>
    <m/>
    <m/>
    <m/>
    <m/>
    <m/>
    <m/>
    <m/>
    <m/>
    <m/>
    <m/>
    <m/>
    <m/>
    <m/>
    <m/>
    <m/>
    <m/>
    <m/>
    <m/>
    <m/>
    <m/>
    <m/>
    <n v="1.4999999999999999E-2"/>
    <d v="2021-09-02T00:00:00"/>
    <n v="9"/>
    <n v="2"/>
    <n v="2021"/>
    <x v="37"/>
    <n v="40"/>
    <x v="2"/>
    <s v="Trapped dead, heavily parasitized, tail broken but salvaged for length"/>
    <n v="1.4214046822742474"/>
    <n v="2.2334597555836493"/>
    <n v="2.2659256092347153"/>
    <n v="2.9266281945589441"/>
    <n v="1.2778235779060181"/>
    <n v="1.8961253091508656"/>
    <s v="T"/>
    <n v="3"/>
    <m/>
    <m/>
    <m/>
    <m/>
    <m/>
    <m/>
    <m/>
    <m/>
    <m/>
  </r>
  <r>
    <x v="476"/>
    <x v="3"/>
    <s v="S"/>
    <s v="IMM"/>
    <x v="0"/>
    <n v="60"/>
    <n v="57"/>
    <n v="3.36"/>
    <n v="0.06"/>
    <n v="5.6000000000000001E-2"/>
    <s v="F22"/>
    <x v="0"/>
    <n v="22"/>
    <n v="9.7000000000000003E-2"/>
    <n v="8.4000000000000005E-2"/>
    <s v="Inverts: 0.001"/>
    <s v="F"/>
    <m/>
    <m/>
    <m/>
    <n v="1E-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E-3"/>
    <d v="2021-09-02T00:00:00"/>
    <n v="9"/>
    <n v="2"/>
    <n v="2021"/>
    <x v="37"/>
    <n v="40"/>
    <x v="2"/>
    <s v="Trapped dead, heavily parasitized"/>
    <n v="1.6949152542372881"/>
    <n v="1.8181818181818181"/>
    <n v="1.8495684340320593"/>
    <n v="2.5"/>
    <n v="0.38690476190476181"/>
    <n v="0.41666666666666669"/>
    <s v="T"/>
    <n v="3"/>
    <n v="0"/>
    <n v="83"/>
    <n v="14"/>
    <n v="0"/>
    <n v="7.1999999999999998E-3"/>
    <n v="2.28789323164919"/>
    <n v="5.6070946073561094"/>
    <m/>
    <m/>
  </r>
  <r>
    <x v="477"/>
    <x v="3"/>
    <s v="I"/>
    <s v="IMM"/>
    <x v="0"/>
    <n v="61"/>
    <n v="57"/>
    <n v="3.5640000000000001"/>
    <n v="7.0999999999999994E-2"/>
    <n v="6.0000000000000001E-3"/>
    <s v="M22"/>
    <x v="2"/>
    <n v="22"/>
    <n v="0.14499999999999999"/>
    <n v="0.11600000000000001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d v="2021-10-02T00:00:00"/>
    <n v="10"/>
    <n v="2"/>
    <n v="2021"/>
    <x v="38"/>
    <n v="41"/>
    <x v="2"/>
    <s v="Trapped dead, heavily parasitized"/>
    <n v="0.16863406408094433"/>
    <n v="2.0326367019753793"/>
    <n v="2.0361342127903641"/>
    <n v="3.2547699214365884"/>
    <n v="0.81369248035914665"/>
    <n v="0.81369248035914665"/>
    <s v="T"/>
    <n v="3"/>
    <m/>
    <m/>
    <m/>
    <m/>
    <m/>
    <m/>
    <m/>
    <m/>
    <m/>
  </r>
  <r>
    <x v="478"/>
    <x v="3"/>
    <s v="I"/>
    <s v="IMM"/>
    <x v="0"/>
    <n v="61"/>
    <n v="57"/>
    <n v="3.7989999999999999"/>
    <n v="0.09"/>
    <n v="6.7000000000000004E-2"/>
    <s v="F22"/>
    <x v="0"/>
    <n v="22"/>
    <n v="0.13400000000000001"/>
    <n v="0.107"/>
    <s v="2 x chiro: 0.008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8.0000000000000002E-3"/>
    <m/>
    <m/>
    <m/>
    <m/>
    <m/>
    <m/>
    <m/>
    <m/>
    <m/>
    <m/>
    <m/>
    <m/>
    <m/>
    <m/>
    <m/>
    <m/>
    <m/>
    <m/>
    <m/>
    <m/>
    <m/>
    <m/>
    <m/>
    <m/>
    <n v="8.0000000000000002E-3"/>
    <d v="2021-10-02T00:00:00"/>
    <n v="10"/>
    <n v="2"/>
    <n v="2021"/>
    <x v="38"/>
    <n v="41"/>
    <x v="2"/>
    <s v="Trapped dead, heavily parasitized, picture #5"/>
    <n v="1.7952840300107182"/>
    <n v="2.4265300620113237"/>
    <n v="2.4711696869851729"/>
    <n v="2.8165306659647276"/>
    <n v="0.71071334561726807"/>
    <n v="0.92129507765201391"/>
    <s v="T"/>
    <n v="3"/>
    <n v="0"/>
    <n v="48"/>
    <n v="23"/>
    <n v="0"/>
    <n v="1.6400000000000001E-2"/>
    <n v="4.6750285062713806"/>
    <n v="8.9786678393220356"/>
    <m/>
    <m/>
  </r>
  <r>
    <x v="479"/>
    <x v="3"/>
    <s v="S"/>
    <s v="IMM"/>
    <x v="1"/>
    <n v="58"/>
    <n v="55"/>
    <n v="3.23"/>
    <n v="7.6999999999999999E-2"/>
    <n v="6.0999999999999999E-2"/>
    <s v="F22"/>
    <x v="0"/>
    <n v="22"/>
    <n v="0.11700000000000001"/>
    <n v="0.105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d v="2021-10-02T00:00:00"/>
    <n v="10"/>
    <n v="2"/>
    <n v="2021"/>
    <x v="38"/>
    <n v="41"/>
    <x v="2"/>
    <s v="Trapped dead, heavily parasitized"/>
    <n v="1.9248974439886399"/>
    <n v="2.4421186171899776"/>
    <n v="2.4902975420439843"/>
    <n v="3.2507739938080498"/>
    <n v="0.37151702786377744"/>
    <n v="0.37151702786377744"/>
    <s v="T"/>
    <n v="3"/>
    <m/>
    <m/>
    <m/>
    <m/>
    <m/>
    <m/>
    <m/>
    <m/>
    <m/>
  </r>
  <r>
    <x v="480"/>
    <x v="3"/>
    <s v="I"/>
    <s v="IMM"/>
    <x v="0"/>
    <n v="62"/>
    <n v="58"/>
    <n v="3.7789999999999999"/>
    <n v="7.0999999999999994E-2"/>
    <n v="6.0000000000000001E-3"/>
    <s v="M22"/>
    <x v="2"/>
    <n v="22"/>
    <n v="0.156"/>
    <n v="0.13700000000000001"/>
    <s v="Goo: 0.003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d v="2021-10-02T00:00:00"/>
    <n v="10"/>
    <n v="2"/>
    <n v="2021"/>
    <x v="38"/>
    <n v="41"/>
    <x v="2"/>
    <s v="Trapped dead, heavily parasitized"/>
    <n v="0.15902464882056719"/>
    <n v="1.9147788565264292"/>
    <n v="1.917882225823879"/>
    <n v="3.625297697803652"/>
    <n v="0.50277851283408281"/>
    <n v="0.50277851283408281"/>
    <s v="T"/>
    <n v="3"/>
    <m/>
    <m/>
    <m/>
    <m/>
    <m/>
    <m/>
    <m/>
    <m/>
    <m/>
  </r>
  <r>
    <x v="481"/>
    <x v="3"/>
    <s v="S"/>
    <s v="IMM"/>
    <x v="1"/>
    <n v="54"/>
    <n v="51"/>
    <n v="2.3149999999999999"/>
    <n v="6.0999999999999999E-2"/>
    <n v="2.9000000000000001E-2"/>
    <s v="F20"/>
    <x v="0"/>
    <n v="20"/>
    <n v="0.09"/>
    <n v="6.4000000000000001E-2"/>
    <s v="Goo: 0.006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d v="2021-10-02T00:00:00"/>
    <n v="10"/>
    <n v="2"/>
    <n v="2021"/>
    <x v="38"/>
    <n v="41"/>
    <x v="2"/>
    <s v="Trapped dead, heavily parasitized, picture #6"/>
    <n v="1.268591426071741"/>
    <n v="2.7062999112688555"/>
    <n v="2.7415730337078648"/>
    <n v="2.7645788336933044"/>
    <n v="1.1231101511879049"/>
    <n v="1.1231101511879049"/>
    <s v="T"/>
    <n v="3"/>
    <m/>
    <m/>
    <m/>
    <m/>
    <m/>
    <m/>
    <m/>
    <m/>
    <m/>
  </r>
  <r>
    <x v="482"/>
    <x v="3"/>
    <s v="I"/>
    <s v="IMM"/>
    <x v="0"/>
    <n v="64"/>
    <n v="61"/>
    <n v="3.98"/>
    <n v="7.1999999999999995E-2"/>
    <n v="7.0000000000000001E-3"/>
    <s v="M22"/>
    <x v="2"/>
    <n v="22"/>
    <n v="0.16"/>
    <n v="0.13"/>
    <s v="Goo: NW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d v="2021-10-02T00:00:00"/>
    <n v="10"/>
    <n v="2"/>
    <n v="2021"/>
    <x v="38"/>
    <n v="41"/>
    <x v="2"/>
    <s v="Trapped dead, heavily parasitized, picture #7 IMG_2905-07"/>
    <n v="0.17618927762396175"/>
    <n v="1.842374616171955"/>
    <n v="1.8456805947193029"/>
    <n v="3.2663316582914574"/>
    <n v="0.75376884422110546"/>
    <n v="0.75376884422110546"/>
    <s v="T"/>
    <n v="3"/>
    <m/>
    <m/>
    <m/>
    <m/>
    <m/>
    <m/>
    <m/>
    <m/>
    <m/>
  </r>
  <r>
    <x v="483"/>
    <x v="3"/>
    <s v="I"/>
    <s v="S"/>
    <x v="0"/>
    <n v="68"/>
    <n v="63"/>
    <n v="4.5380000000000003"/>
    <n v="0.11700000000000001"/>
    <n v="1.2E-2"/>
    <s v="M22"/>
    <x v="2"/>
    <n v="22"/>
    <n v="0.32800000000000001"/>
    <n v="0.24"/>
    <s v="4 damsel: 0.053; 1 invert: 0.018"/>
    <s v="F"/>
    <m/>
    <m/>
    <n v="1"/>
    <n v="1.7999999999999999E-2"/>
    <m/>
    <m/>
    <m/>
    <m/>
    <m/>
    <m/>
    <m/>
    <m/>
    <m/>
    <m/>
    <m/>
    <m/>
    <m/>
    <m/>
    <m/>
    <m/>
    <m/>
    <m/>
    <m/>
    <m/>
    <m/>
    <m/>
    <n v="4"/>
    <n v="5.2999999999999999E-2"/>
    <m/>
    <m/>
    <m/>
    <m/>
    <m/>
    <m/>
    <m/>
    <m/>
    <m/>
    <m/>
    <m/>
    <m/>
    <m/>
    <m/>
    <m/>
    <m/>
    <m/>
    <m/>
    <m/>
    <m/>
    <m/>
    <m/>
    <m/>
    <m/>
    <m/>
    <m/>
    <m/>
    <m/>
    <n v="7.0999999999999994E-2"/>
    <d v="2021-07-04T00:00:00"/>
    <n v="7"/>
    <n v="4"/>
    <n v="2021"/>
    <x v="28"/>
    <n v="97"/>
    <x v="6"/>
    <m/>
    <n v="0.26513477684489611"/>
    <n v="2.6464600769056776"/>
    <n v="2.65366296212293E-2"/>
    <n v="5.5839925546765938"/>
    <n v="1.9391802556192157"/>
    <n v="3.5037461436756283"/>
    <s v="T"/>
    <n v="3"/>
    <m/>
    <m/>
    <m/>
    <m/>
    <m/>
    <m/>
    <m/>
    <m/>
    <m/>
  </r>
  <r>
    <x v="484"/>
    <x v="3"/>
    <s v="S"/>
    <s v="IMM"/>
    <x v="0"/>
    <n v="60"/>
    <n v="55"/>
    <n v="3.0979999999999999"/>
    <n v="7.4999999999999997E-2"/>
    <n v="7.1999999999999995E-2"/>
    <s v="F23"/>
    <x v="0"/>
    <n v="23"/>
    <n v="0.185"/>
    <n v="0.13700000000000001"/>
    <s v="1 damsel: 0.025; ~4 inverts: 0.004"/>
    <s v="F"/>
    <m/>
    <m/>
    <n v="4"/>
    <n v="4.0000000000000001E-3"/>
    <m/>
    <m/>
    <m/>
    <m/>
    <m/>
    <m/>
    <m/>
    <m/>
    <m/>
    <m/>
    <m/>
    <m/>
    <m/>
    <m/>
    <m/>
    <m/>
    <m/>
    <m/>
    <m/>
    <m/>
    <m/>
    <m/>
    <n v="1"/>
    <n v="2.5000000000000001E-2"/>
    <m/>
    <m/>
    <m/>
    <m/>
    <m/>
    <m/>
    <m/>
    <m/>
    <m/>
    <m/>
    <m/>
    <m/>
    <m/>
    <m/>
    <m/>
    <m/>
    <m/>
    <m/>
    <m/>
    <m/>
    <m/>
    <m/>
    <m/>
    <m/>
    <m/>
    <m/>
    <m/>
    <m/>
    <n v="2.9000000000000001E-2"/>
    <d v="2021-07-04T00:00:00"/>
    <n v="7"/>
    <n v="4"/>
    <n v="2021"/>
    <x v="28"/>
    <n v="97"/>
    <x v="6"/>
    <m/>
    <n v="2.3793787177792467"/>
    <n v="2.4809791597750581"/>
    <n v="2.5415113520840395E-2"/>
    <n v="4.6268152651131373"/>
    <n v="1.549386701097482"/>
    <n v="2.4854744996772107"/>
    <s v="T"/>
    <n v="3"/>
    <n v="0"/>
    <n v="33"/>
    <n v="8"/>
    <n v="0"/>
    <n v="1.18E-2"/>
    <n v="4.2660882140274765"/>
    <n v="7.6583426057783441"/>
    <m/>
    <m/>
  </r>
  <r>
    <x v="485"/>
    <x v="3"/>
    <s v="I"/>
    <s v="IMM"/>
    <x v="0"/>
    <n v="63"/>
    <n v="59"/>
    <n v="3.4249999999999998"/>
    <n v="7.0999999999999994E-2"/>
    <n v="6.5000000000000002E-2"/>
    <s v="F23"/>
    <x v="0"/>
    <n v="23"/>
    <n v="0.16900000000000001"/>
    <n v="0.153"/>
    <s v="inverts: 0.005"/>
    <s v="F"/>
    <m/>
    <m/>
    <m/>
    <n v="5.0000000000000001E-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.0000000000000001E-3"/>
    <d v="2021-07-04T00:00:00"/>
    <n v="7"/>
    <n v="4"/>
    <n v="2021"/>
    <x v="28"/>
    <n v="97"/>
    <x v="6"/>
    <m/>
    <n v="1.9345238095238095"/>
    <n v="2.1168753726893264"/>
    <n v="2.1587108543630284E-2"/>
    <n v="4.6760391198044013"/>
    <n v="0.46715328467153333"/>
    <n v="0.61313868613138733"/>
    <s v="T"/>
    <n v="3"/>
    <n v="0"/>
    <n v="59"/>
    <n v="23"/>
    <n v="0"/>
    <n v="1.38E-2"/>
    <n v="4.4230769230769234"/>
    <n v="5.8613994898559163"/>
    <m/>
    <m/>
  </r>
  <r>
    <x v="486"/>
    <x v="3"/>
    <s v="I"/>
    <s v="IMM"/>
    <x v="0"/>
    <n v="61"/>
    <n v="58"/>
    <n v="3.3730000000000002"/>
    <n v="5.8999999999999997E-2"/>
    <n v="7.4999999999999997E-2"/>
    <s v="F23"/>
    <x v="0"/>
    <n v="23"/>
    <n v="0.151"/>
    <n v="0.13600000000000001"/>
    <s v="inverts: 0.004"/>
    <s v="F"/>
    <m/>
    <m/>
    <m/>
    <n v="4.0000000000000001E-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.0000000000000001E-3"/>
    <d v="2021-07-04T00:00:00"/>
    <n v="7"/>
    <n v="4"/>
    <n v="2021"/>
    <x v="28"/>
    <n v="97"/>
    <x v="6"/>
    <m/>
    <n v="2.2741055184960581"/>
    <n v="1.7803258901629451"/>
    <n v="1.821549861068231E-2"/>
    <n v="4.2014210688909488"/>
    <n v="0.44470797509635296"/>
    <n v="0.56329676845538046"/>
    <s v="T"/>
    <n v="3"/>
    <m/>
    <m/>
    <m/>
    <m/>
    <n v="1.6299999999999999E-2"/>
    <n v="5.2784974093264241"/>
    <m/>
    <m/>
    <m/>
  </r>
  <r>
    <x v="487"/>
    <x v="3"/>
    <s v="I"/>
    <s v="IMM"/>
    <x v="0"/>
    <n v="64"/>
    <n v="61"/>
    <n v="3.835"/>
    <n v="0.10299999999999999"/>
    <n v="1.6E-2"/>
    <s v="M22"/>
    <x v="2"/>
    <n v="22"/>
    <n v="0.221"/>
    <n v="0.19600000000000001"/>
    <s v="1 scud: 0.018"/>
    <s v="F"/>
    <m/>
    <m/>
    <m/>
    <m/>
    <m/>
    <m/>
    <m/>
    <m/>
    <m/>
    <m/>
    <m/>
    <m/>
    <m/>
    <m/>
    <n v="1"/>
    <n v="1.7999999999999999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.7999999999999999E-2"/>
    <d v="2021-08-04T00:00:00"/>
    <n v="8"/>
    <n v="4"/>
    <n v="2021"/>
    <x v="39"/>
    <n v="98"/>
    <x v="6"/>
    <m/>
    <n v="0.41895784236711187"/>
    <n v="2.759914255091104"/>
    <n v="2.7717976318622176E-2"/>
    <n v="5.3860950810662276"/>
    <n v="0.65189048239895686"/>
    <n v="1.1212516297262058"/>
    <s v="T"/>
    <n v="3"/>
    <m/>
    <m/>
    <m/>
    <m/>
    <m/>
    <m/>
    <m/>
    <m/>
    <m/>
  </r>
  <r>
    <x v="488"/>
    <x v="3"/>
    <s v="S"/>
    <s v="IMM"/>
    <x v="0"/>
    <n v="60"/>
    <n v="57"/>
    <n v="3.3980000000000001"/>
    <n v="8.5999999999999993E-2"/>
    <n v="7.1999999999999995E-2"/>
    <s v="F23"/>
    <x v="0"/>
    <n v="23"/>
    <n v="0.17699999999999999"/>
    <n v="0.13900000000000001"/>
    <s v="2 scud: 0.024"/>
    <s v="F"/>
    <m/>
    <m/>
    <m/>
    <m/>
    <m/>
    <m/>
    <m/>
    <m/>
    <m/>
    <m/>
    <m/>
    <m/>
    <m/>
    <m/>
    <n v="2"/>
    <n v="2.4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.4E-2"/>
    <d v="2021-08-04T00:00:00"/>
    <n v="8"/>
    <n v="4"/>
    <n v="2021"/>
    <x v="39"/>
    <n v="98"/>
    <x v="6"/>
    <m/>
    <n v="2.1647624774503904"/>
    <n v="2.5966183574879222"/>
    <n v="2.6543209876543208E-2"/>
    <n v="4.2651119975452598"/>
    <n v="1.1183048852266031"/>
    <n v="1.8246027074749847"/>
    <s v="T"/>
    <n v="3"/>
    <m/>
    <m/>
    <m/>
    <m/>
    <n v="9.7000000000000003E-3"/>
    <n v="3.1668299053215803"/>
    <m/>
    <m/>
    <m/>
  </r>
  <r>
    <x v="489"/>
    <x v="3"/>
    <s v="I"/>
    <s v="IMM"/>
    <x v="0"/>
    <n v="61"/>
    <n v="56"/>
    <n v="3.1059999999999999"/>
    <n v="7.6999999999999999E-2"/>
    <n v="6.3E-2"/>
    <s v="F22"/>
    <x v="0"/>
    <n v="22"/>
    <n v="0.16400000000000001"/>
    <n v="0.156"/>
    <s v="2 mayfly: 0.001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1E-3"/>
    <m/>
    <m/>
    <m/>
    <m/>
    <m/>
    <m/>
    <m/>
    <m/>
    <m/>
    <m/>
    <m/>
    <m/>
    <m/>
    <m/>
    <m/>
    <m/>
    <n v="1E-3"/>
    <d v="2021-08-04T00:00:00"/>
    <n v="8"/>
    <n v="4"/>
    <n v="2021"/>
    <x v="39"/>
    <n v="98"/>
    <x v="6"/>
    <m/>
    <n v="2.0703253368386463"/>
    <n v="2.5420931000330143"/>
    <n v="2.596089008766015E-2"/>
    <n v="5.28813559322034"/>
    <n v="0.25756600128783025"/>
    <n v="0.289761751448809"/>
    <s v="T"/>
    <n v="3"/>
    <m/>
    <m/>
    <m/>
    <m/>
    <m/>
    <m/>
    <m/>
    <m/>
    <m/>
  </r>
  <r>
    <x v="490"/>
    <x v="3"/>
    <s v="I"/>
    <s v="S"/>
    <x v="0"/>
    <n v="65"/>
    <n v="61"/>
    <n v="3.4990000000000001"/>
    <n v="8.2000000000000003E-2"/>
    <n v="1.7000000000000001E-2"/>
    <s v="M22"/>
    <x v="2"/>
    <n v="22"/>
    <n v="0.21299999999999999"/>
    <n v="0.183"/>
    <s v="inverts: 0.016"/>
    <s v="F"/>
    <m/>
    <m/>
    <m/>
    <n v="1.6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.6E-2"/>
    <d v="2021-08-04T00:00:00"/>
    <n v="8"/>
    <n v="4"/>
    <n v="2021"/>
    <x v="39"/>
    <n v="98"/>
    <x v="6"/>
    <m/>
    <n v="0.48822515795519816"/>
    <n v="2.3997658764998535"/>
    <n v="2.4117647058823528E-2"/>
    <n v="5.5186972255729794"/>
    <n v="0.85738782509288369"/>
    <n v="1.3146613318090883"/>
    <s v="T"/>
    <n v="2"/>
    <m/>
    <m/>
    <m/>
    <m/>
    <m/>
    <m/>
    <m/>
    <m/>
    <m/>
  </r>
  <r>
    <x v="491"/>
    <x v="3"/>
    <s v="S"/>
    <s v="IMM"/>
    <x v="0"/>
    <n v="60"/>
    <n v="56"/>
    <n v="3.06"/>
    <n v="5.8999999999999997E-2"/>
    <n v="6.4000000000000001E-2"/>
    <s v="F23"/>
    <x v="0"/>
    <n v="23"/>
    <n v="0.126"/>
    <n v="0.11700000000000001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1-08-04T00:00:00"/>
    <n v="8"/>
    <n v="4"/>
    <n v="2021"/>
    <x v="39"/>
    <n v="98"/>
    <x v="6"/>
    <m/>
    <n v="2.1361815754339117"/>
    <n v="1.9660113295568142"/>
    <n v="2.0088525706503234E-2"/>
    <n v="3.9755351681957185"/>
    <n v="0.29411764705882337"/>
    <n v="0.29411764705882337"/>
    <s v="T"/>
    <n v="2"/>
    <m/>
    <m/>
    <m/>
    <m/>
    <m/>
    <m/>
    <m/>
    <m/>
    <m/>
  </r>
  <r>
    <x v="492"/>
    <x v="3"/>
    <s v="I"/>
    <s v="IMM"/>
    <x v="0"/>
    <n v="61"/>
    <n v="57"/>
    <n v="2.8809999999999998"/>
    <n v="6.7000000000000004E-2"/>
    <n v="5.8999999999999997E-2"/>
    <s v="F23"/>
    <x v="0"/>
    <n v="23"/>
    <n v="0.114"/>
    <n v="0.109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1-08-04T00:00:00"/>
    <n v="8"/>
    <n v="4"/>
    <n v="2021"/>
    <x v="39"/>
    <n v="98"/>
    <x v="6"/>
    <m/>
    <n v="2.0907158043940468"/>
    <n v="2.3809523809523814"/>
    <n v="2.4319419237749551E-2"/>
    <n v="3.9321789321789327"/>
    <n v="0.17355085039916712"/>
    <n v="0.17355085039916712"/>
    <s v="T"/>
    <n v="2"/>
    <m/>
    <m/>
    <m/>
    <m/>
    <n v="5.4000000000000003E-3"/>
    <n v="2.0446800454373348"/>
    <m/>
    <m/>
    <m/>
  </r>
  <r>
    <x v="493"/>
    <x v="3"/>
    <s v="I"/>
    <s v="B"/>
    <x v="1"/>
    <n v="115"/>
    <n v="109"/>
    <n v="26.321000000000002"/>
    <n v="0.48699999999999999"/>
    <n v="0.21299999999999999"/>
    <s v="M30"/>
    <x v="2"/>
    <n v="30"/>
    <n v="1.446"/>
    <n v="1.42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1-06-05T00:00:00"/>
    <n v="6"/>
    <n v="5"/>
    <n v="2021"/>
    <x v="40"/>
    <n v="126"/>
    <x v="8"/>
    <m/>
    <n v="0.81584188754404774"/>
    <n v="1.8851126422543933"/>
    <n v="1.9007845127044218E-2"/>
    <n v="5.702582225613428"/>
    <n v="9.8780441472588507E-2"/>
    <n v="9.8780441472588507E-2"/>
    <s v="T"/>
    <n v="3"/>
    <m/>
    <m/>
    <m/>
    <m/>
    <m/>
    <m/>
    <m/>
    <m/>
    <m/>
  </r>
  <r>
    <x v="494"/>
    <x v="3"/>
    <s v="I"/>
    <s v="S"/>
    <x v="0"/>
    <n v="67"/>
    <n v="64"/>
    <n v="4.875"/>
    <n v="0.17100000000000001"/>
    <n v="0.313"/>
    <s v="F30"/>
    <x v="0"/>
    <n v="30"/>
    <n v="0.25800000000000001"/>
    <n v="0.23699999999999999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1-06-05T00:00:00"/>
    <n v="6"/>
    <n v="5"/>
    <n v="2021"/>
    <x v="40"/>
    <n v="126"/>
    <x v="8"/>
    <m/>
    <n v="6.8610258658483119"/>
    <n v="3.6352040816326534"/>
    <n v="3.8943293099521749E-2"/>
    <n v="5.1099611901681756"/>
    <n v="0.43076923076923118"/>
    <n v="0.43076923076923118"/>
    <s v="T"/>
    <n v="3"/>
    <n v="0"/>
    <n v="26"/>
    <n v="9"/>
    <n v="0"/>
    <n v="1.78E-2"/>
    <n v="4.3067989353980156"/>
    <n v="6.3714773292294042"/>
    <m/>
    <m/>
  </r>
  <r>
    <x v="495"/>
    <x v="3"/>
    <s v="I"/>
    <s v="S"/>
    <x v="0"/>
    <n v="70"/>
    <n v="67"/>
    <n v="5.7030000000000003"/>
    <n v="0.111"/>
    <n v="7.5999999999999998E-2"/>
    <s v="M30"/>
    <x v="2"/>
    <n v="30"/>
    <n v="0.40100000000000002"/>
    <n v="0.37"/>
    <s v="5 chiro: 0.019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n v="1.9E-2"/>
    <m/>
    <m/>
    <m/>
    <m/>
    <m/>
    <m/>
    <m/>
    <m/>
    <m/>
    <m/>
    <m/>
    <m/>
    <m/>
    <m/>
    <m/>
    <m/>
    <m/>
    <m/>
    <m/>
    <m/>
    <m/>
    <m/>
    <m/>
    <m/>
    <n v="1.9E-2"/>
    <d v="2021-08-05T00:00:00"/>
    <n v="8"/>
    <n v="5"/>
    <n v="2021"/>
    <x v="41"/>
    <n v="128"/>
    <x v="8"/>
    <m/>
    <n v="1.3506308867958057"/>
    <n v="1.984978540772532"/>
    <n v="2.0123277737490931E-2"/>
    <n v="6.9379336208513029"/>
    <n v="0.54357355777660921"/>
    <n v="0.87673154480098248"/>
    <s v="T"/>
    <n v="3"/>
    <m/>
    <m/>
    <m/>
    <m/>
    <m/>
    <m/>
    <m/>
    <m/>
    <m/>
  </r>
  <r>
    <x v="496"/>
    <x v="3"/>
    <s v="I"/>
    <s v="S"/>
    <x v="0"/>
    <n v="73"/>
    <n v="70"/>
    <n v="6.6379999999999999"/>
    <n v="8.6999999999999994E-2"/>
    <n v="0.127"/>
    <s v="M30"/>
    <x v="2"/>
    <n v="30"/>
    <n v="0.40799999999999997"/>
    <n v="0.378"/>
    <s v="10 inverts: 0.015"/>
    <s v="F"/>
    <m/>
    <m/>
    <n v="10"/>
    <n v="1.4999999999999999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.4999999999999999E-2"/>
    <d v="2021-08-05T00:00:00"/>
    <n v="8"/>
    <n v="5"/>
    <n v="2021"/>
    <x v="41"/>
    <n v="128"/>
    <x v="8"/>
    <m/>
    <n v="1.9505452311472893"/>
    <n v="1.328041520378568"/>
    <n v="1.3542963885429637E-2"/>
    <n v="6.0383386581469658"/>
    <n v="0.45194335643265998"/>
    <n v="0.67791503464899017"/>
    <s v="T"/>
    <n v="2"/>
    <m/>
    <m/>
    <m/>
    <m/>
    <m/>
    <m/>
    <m/>
    <m/>
    <m/>
  </r>
  <r>
    <x v="497"/>
    <x v="3"/>
    <s v="I"/>
    <s v="S"/>
    <x v="0"/>
    <n v="70"/>
    <n v="67"/>
    <n v="5.5030000000000001"/>
    <n v="0.27200000000000002"/>
    <n v="0.57699999999999996"/>
    <s v="F30"/>
    <x v="0"/>
    <n v="30"/>
    <n v="0.28100000000000003"/>
    <n v="0.27400000000000002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1-08-05T00:00:00"/>
    <n v="8"/>
    <n v="5"/>
    <n v="2021"/>
    <x v="41"/>
    <n v="128"/>
    <x v="8"/>
    <m/>
    <n v="11.713357693869265"/>
    <n v="5.199770598355955"/>
    <n v="5.8444348947142247E-2"/>
    <n v="5.2400076496462038"/>
    <n v="0.12720334363074698"/>
    <n v="0.12720334363074698"/>
    <s v="T"/>
    <n v="3"/>
    <n v="0"/>
    <n v="32"/>
    <n v="11"/>
    <n v="0"/>
    <n v="1.61E-2"/>
    <n v="3.6816830551109074"/>
    <n v="9.3724582078287035"/>
    <m/>
    <m/>
  </r>
  <r>
    <x v="498"/>
    <x v="3"/>
    <s v="I"/>
    <s v="S"/>
    <x v="0"/>
    <n v="69"/>
    <n v="65"/>
    <n v="4.8769999999999998"/>
    <n v="0.11899999999999999"/>
    <n v="0.215"/>
    <s v="F30"/>
    <x v="0"/>
    <n v="30"/>
    <n v="0.371"/>
    <n v="0.25700000000000001"/>
    <s v="17 chiro: 0.098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7"/>
    <n v="9.8000000000000004E-2"/>
    <m/>
    <m/>
    <m/>
    <m/>
    <m/>
    <m/>
    <m/>
    <m/>
    <m/>
    <m/>
    <m/>
    <m/>
    <m/>
    <m/>
    <m/>
    <m/>
    <m/>
    <m/>
    <m/>
    <m/>
    <m/>
    <m/>
    <m/>
    <m/>
    <n v="9.8000000000000004E-2"/>
    <d v="2021-08-05T00:00:00"/>
    <n v="8"/>
    <n v="5"/>
    <n v="2021"/>
    <x v="41"/>
    <n v="128"/>
    <x v="8"/>
    <m/>
    <n v="4.6117546117546118"/>
    <n v="2.5010508617065992"/>
    <n v="2.6194144838212634E-2"/>
    <n v="5.562770562770563"/>
    <n v="2.3375025630510557"/>
    <n v="4.3469345909370514"/>
    <s v="T"/>
    <n v="3"/>
    <n v="0"/>
    <n v="58"/>
    <n v="18"/>
    <n v="0"/>
    <n v="2.4500000000000001E-2"/>
    <n v="5.872483221476509"/>
    <n v="6.3667010416644469"/>
    <m/>
    <m/>
  </r>
  <r>
    <x v="499"/>
    <x v="3"/>
    <s v="I"/>
    <s v="S"/>
    <x v="0"/>
    <n v="68"/>
    <n v="65"/>
    <n v="4.9610000000000003"/>
    <n v="0.14699999999999999"/>
    <n v="0.28399999999999997"/>
    <s v="F30"/>
    <x v="0"/>
    <n v="30"/>
    <n v="0.33500000000000002"/>
    <n v="0.30199999999999999"/>
    <s v="6 chiro: 0.02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"/>
    <n v="0.02"/>
    <m/>
    <m/>
    <m/>
    <m/>
    <m/>
    <m/>
    <m/>
    <m/>
    <m/>
    <m/>
    <m/>
    <m/>
    <m/>
    <m/>
    <m/>
    <m/>
    <m/>
    <m/>
    <m/>
    <m/>
    <m/>
    <m/>
    <m/>
    <m/>
    <n v="0.02"/>
    <d v="2021-08-05T00:00:00"/>
    <n v="8"/>
    <n v="5"/>
    <n v="2021"/>
    <x v="41"/>
    <n v="128"/>
    <x v="8"/>
    <m/>
    <n v="6.0722685482146659"/>
    <n v="3.0535936850851679"/>
    <n v="3.2450331125827812E-2"/>
    <n v="6.4820776990770543"/>
    <n v="0.66518847006651938"/>
    <n v="1.0683329973795612"/>
    <s v="T"/>
    <n v="3"/>
    <m/>
    <m/>
    <m/>
    <m/>
    <n v="3.9199999999999999E-2"/>
    <n v="9.3444576877234802"/>
    <m/>
    <m/>
    <m/>
  </r>
  <r>
    <x v="500"/>
    <x v="3"/>
    <s v="I"/>
    <s v="S"/>
    <x v="0"/>
    <n v="76"/>
    <n v="72"/>
    <n v="8.4540000000000006"/>
    <n v="0.33"/>
    <n v="1.0580000000000001"/>
    <s v="F30"/>
    <x v="0"/>
    <n v="30"/>
    <n v="0.46200000000000002"/>
    <n v="0.45400000000000001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9/5/2021"/>
    <s v="19"/>
    <s v="5"/>
    <s v="2021"/>
    <x v="30"/>
    <n v="139"/>
    <x v="9"/>
    <m/>
    <n v="14.305029745808545"/>
    <n v="4.0620384047267351"/>
    <n v="4.6702519105575997E-2"/>
    <n v="5.6749999999999998"/>
    <n v="9.4629761059853407E-2"/>
    <n v="9.4629761059853407E-2"/>
    <s v="T"/>
    <n v="3"/>
    <m/>
    <m/>
    <m/>
    <m/>
    <n v="1.5800000000000002E-2"/>
    <n v="2.3924894003634161"/>
    <m/>
    <m/>
    <m/>
  </r>
  <r>
    <x v="501"/>
    <x v="3"/>
    <s v="I"/>
    <s v="S"/>
    <x v="0"/>
    <n v="67"/>
    <n v="64"/>
    <n v="5.819"/>
    <n v="0.16700000000000001"/>
    <n v="1.0640000000000001"/>
    <s v="F30"/>
    <x v="0"/>
    <n v="30"/>
    <n v="0.39"/>
    <n v="0.32800000000000001"/>
    <s v="6 chiro: 0.032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"/>
    <n v="3.2000000000000001E-2"/>
    <m/>
    <m/>
    <m/>
    <m/>
    <m/>
    <m/>
    <m/>
    <m/>
    <m/>
    <m/>
    <m/>
    <m/>
    <m/>
    <m/>
    <m/>
    <m/>
    <m/>
    <m/>
    <m/>
    <m/>
    <m/>
    <m/>
    <m/>
    <m/>
    <n v="3.2000000000000001E-2"/>
    <s v="19/5/2021"/>
    <s v="19"/>
    <s v="5"/>
    <s v="2021"/>
    <x v="30"/>
    <n v="139"/>
    <x v="9"/>
    <m/>
    <n v="22.376445846477395"/>
    <n v="2.9547062986553434"/>
    <n v="3.6399302528334787E-2"/>
    <n v="5.9734110362411226"/>
    <n v="1.0654751675545626"/>
    <n v="1.6153978346794982"/>
    <s v="T"/>
    <n v="3"/>
    <m/>
    <m/>
    <m/>
    <m/>
    <m/>
    <m/>
    <m/>
    <m/>
    <m/>
  </r>
  <r>
    <x v="502"/>
    <x v="3"/>
    <s v="I"/>
    <s v="S"/>
    <x v="0"/>
    <n v="76"/>
    <n v="72"/>
    <n v="7.899"/>
    <n v="0.13500000000000001"/>
    <n v="0.20799999999999999"/>
    <s v="M30"/>
    <x v="2"/>
    <n v="30"/>
    <n v="0.84299999999999997"/>
    <n v="0.58299999999999996"/>
    <s v="7 chiro: 0.026; 2 caddis: 0.036; ~20 inverts: 0.146"/>
    <s v="F"/>
    <m/>
    <m/>
    <n v="20"/>
    <n v="0.14599999999999999"/>
    <m/>
    <m/>
    <m/>
    <m/>
    <m/>
    <m/>
    <m/>
    <m/>
    <m/>
    <m/>
    <m/>
    <m/>
    <m/>
    <m/>
    <m/>
    <m/>
    <m/>
    <m/>
    <m/>
    <m/>
    <m/>
    <m/>
    <m/>
    <m/>
    <m/>
    <m/>
    <n v="7"/>
    <n v="2.5999999999999999E-2"/>
    <m/>
    <m/>
    <m/>
    <m/>
    <n v="2"/>
    <n v="3.5999999999999997E-2"/>
    <m/>
    <m/>
    <m/>
    <m/>
    <m/>
    <m/>
    <m/>
    <m/>
    <m/>
    <m/>
    <m/>
    <m/>
    <m/>
    <m/>
    <m/>
    <m/>
    <m/>
    <m/>
    <n v="0.20799999999999999"/>
    <s v="19/5/2021"/>
    <s v="19"/>
    <s v="5"/>
    <s v="2021"/>
    <x v="30"/>
    <n v="139"/>
    <x v="9"/>
    <m/>
    <n v="2.7044597581588872"/>
    <n v="1.7387944358578051"/>
    <n v="1.786659608258338E-2"/>
    <n v="7.9688354291962815"/>
    <n v="3.2915558931510316"/>
    <n v="5.9248006076718571"/>
    <s v="T"/>
    <n v="2"/>
    <m/>
    <m/>
    <m/>
    <m/>
    <m/>
    <m/>
    <m/>
    <m/>
    <m/>
  </r>
  <r>
    <x v="503"/>
    <x v="3"/>
    <s v="I"/>
    <s v="S"/>
    <x v="0"/>
    <n v="71"/>
    <n v="67"/>
    <n v="6.7839999999999998"/>
    <n v="9.5000000000000001E-2"/>
    <n v="0.184"/>
    <s v="M30"/>
    <x v="2"/>
    <n v="30"/>
    <n v="0.53"/>
    <n v="0.39400000000000002"/>
    <s v="1 damsel: 0.048; ~15 inverts: 0.056"/>
    <s v="F"/>
    <m/>
    <m/>
    <n v="15"/>
    <n v="5.6000000000000001E-2"/>
    <m/>
    <m/>
    <m/>
    <m/>
    <m/>
    <m/>
    <m/>
    <m/>
    <m/>
    <m/>
    <m/>
    <m/>
    <m/>
    <m/>
    <m/>
    <m/>
    <m/>
    <m/>
    <m/>
    <m/>
    <m/>
    <m/>
    <n v="1"/>
    <n v="4.8000000000000001E-2"/>
    <m/>
    <m/>
    <m/>
    <m/>
    <m/>
    <m/>
    <m/>
    <m/>
    <m/>
    <m/>
    <m/>
    <m/>
    <m/>
    <m/>
    <m/>
    <m/>
    <m/>
    <m/>
    <m/>
    <m/>
    <m/>
    <m/>
    <m/>
    <m/>
    <m/>
    <m/>
    <m/>
    <m/>
    <n v="0.104"/>
    <s v="19/5/2021"/>
    <s v="19"/>
    <s v="5"/>
    <s v="2021"/>
    <x v="30"/>
    <n v="139"/>
    <x v="9"/>
    <m/>
    <n v="2.7878787878787881"/>
    <n v="1.4202421886679624"/>
    <n v="1.4604150653343582E-2"/>
    <n v="6.1658841940532092"/>
    <n v="2.0047169811320757"/>
    <n v="3.5377358490566038"/>
    <s v="T"/>
    <n v="2"/>
    <m/>
    <m/>
    <m/>
    <m/>
    <m/>
    <m/>
    <m/>
    <m/>
    <m/>
  </r>
  <r>
    <x v="504"/>
    <x v="3"/>
    <s v="I"/>
    <s v="S"/>
    <x v="0"/>
    <n v="77"/>
    <n v="73"/>
    <n v="5.5830000000000002"/>
    <n v="0.14199999999999999"/>
    <n v="1.2230000000000001"/>
    <s v="F30"/>
    <x v="0"/>
    <n v="30"/>
    <n v="0.24399999999999999"/>
    <n v="0.21199999999999999"/>
    <s v="inverts: 0.015"/>
    <s v="F"/>
    <m/>
    <m/>
    <m/>
    <n v="1.4999999999999999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.4999999999999999E-2"/>
    <s v="20/5/2021"/>
    <s v="20"/>
    <s v="5"/>
    <s v="2021"/>
    <x v="31"/>
    <n v="140"/>
    <x v="9"/>
    <m/>
    <n v="28.050458715596331"/>
    <n v="2.6098143723580223"/>
    <n v="3.366524419155998E-2"/>
    <n v="3.9471234407000551"/>
    <n v="0.57316854737596268"/>
    <n v="0.84184130395844536"/>
    <s v="T"/>
    <n v="3"/>
    <m/>
    <m/>
    <m/>
    <m/>
    <n v="2.7000000000000001E-3"/>
    <n v="0.67941620533467539"/>
    <m/>
    <m/>
    <m/>
  </r>
  <r>
    <x v="505"/>
    <x v="3"/>
    <s v="I"/>
    <s v="S"/>
    <x v="0"/>
    <n v="73"/>
    <n v="70"/>
    <n v="7.3410000000000002"/>
    <n v="0.11899999999999999"/>
    <n v="0.23"/>
    <s v="M30"/>
    <x v="2"/>
    <n v="30"/>
    <n v="0.60699999999999998"/>
    <n v="0.40200000000000002"/>
    <s v="2 damsel: 0.041; ~10 inverts: 0.104; 2 mayfly: 0.011"/>
    <s v="F"/>
    <m/>
    <m/>
    <n v="10"/>
    <n v="0.104"/>
    <m/>
    <m/>
    <m/>
    <m/>
    <m/>
    <m/>
    <m/>
    <m/>
    <m/>
    <m/>
    <m/>
    <m/>
    <m/>
    <m/>
    <m/>
    <m/>
    <m/>
    <m/>
    <m/>
    <m/>
    <m/>
    <m/>
    <n v="2"/>
    <n v="4.1000000000000002E-2"/>
    <m/>
    <m/>
    <m/>
    <m/>
    <m/>
    <m/>
    <m/>
    <m/>
    <m/>
    <m/>
    <n v="2"/>
    <n v="1.0999999999999999E-2"/>
    <m/>
    <m/>
    <m/>
    <m/>
    <m/>
    <m/>
    <m/>
    <m/>
    <m/>
    <m/>
    <m/>
    <m/>
    <m/>
    <m/>
    <m/>
    <m/>
    <n v="0.156"/>
    <s v="20/5/2021"/>
    <s v="20"/>
    <s v="5"/>
    <s v="2021"/>
    <x v="31"/>
    <n v="140"/>
    <x v="9"/>
    <m/>
    <n v="3.2344255378990301"/>
    <n v="1.6477430074771531"/>
    <n v="1.7019450800915333E-2"/>
    <n v="5.793341980112408"/>
    <n v="2.7925350769649904"/>
    <n v="4.9175861599237161"/>
    <s v="T"/>
    <n v="3"/>
    <m/>
    <m/>
    <m/>
    <m/>
    <m/>
    <m/>
    <m/>
    <m/>
    <m/>
  </r>
  <r>
    <x v="506"/>
    <x v="3"/>
    <s v="I"/>
    <s v="S"/>
    <x v="0"/>
    <n v="70"/>
    <n v="66"/>
    <n v="6.1929999999999996"/>
    <n v="0.222"/>
    <n v="1.0189999999999999"/>
    <s v="F30"/>
    <x v="0"/>
    <n v="30"/>
    <n v="0.49099999999999999"/>
    <n v="0.32800000000000001"/>
    <s v="~50 inverts: 0.099; 2 mayfly: 0.008"/>
    <s v="F"/>
    <m/>
    <m/>
    <n v="50"/>
    <n v="9.9000000000000005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8.0000000000000002E-3"/>
    <m/>
    <m/>
    <m/>
    <m/>
    <m/>
    <m/>
    <m/>
    <m/>
    <m/>
    <m/>
    <m/>
    <m/>
    <m/>
    <m/>
    <m/>
    <m/>
    <n v="0.107"/>
    <s v="20/5/2021"/>
    <s v="20"/>
    <s v="5"/>
    <s v="2021"/>
    <x v="31"/>
    <n v="140"/>
    <x v="9"/>
    <m/>
    <n v="19.694626981059141"/>
    <n v="3.717970189248033"/>
    <n v="4.4830371567043628E-2"/>
    <n v="5.5924978687127034"/>
    <n v="2.6320038753431292"/>
    <n v="4.3597610205070243"/>
    <s v="T"/>
    <n v="3"/>
    <m/>
    <m/>
    <m/>
    <m/>
    <n v="5.5999999999999999E-3"/>
    <n v="1.2553239184039453"/>
    <m/>
    <m/>
    <m/>
  </r>
  <r>
    <x v="507"/>
    <x v="3"/>
    <s v="I"/>
    <s v="S"/>
    <x v="0"/>
    <n v="79"/>
    <n v="75"/>
    <n v="8.9860000000000007"/>
    <n v="0.13"/>
    <n v="0.218"/>
    <s v="M30"/>
    <x v="2"/>
    <n v="30"/>
    <n v="0.57999999999999996"/>
    <n v="0.46800000000000003"/>
    <s v="~200 zoops: 0.087"/>
    <s v="F"/>
    <m/>
    <m/>
    <m/>
    <m/>
    <m/>
    <m/>
    <m/>
    <m/>
    <m/>
    <m/>
    <m/>
    <m/>
    <m/>
    <m/>
    <m/>
    <m/>
    <m/>
    <m/>
    <m/>
    <m/>
    <m/>
    <m/>
    <n v="200"/>
    <n v="8.6999999999999994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.6999999999999994E-2"/>
    <s v="20/5/2021"/>
    <s v="20"/>
    <s v="5"/>
    <s v="2021"/>
    <x v="31"/>
    <n v="140"/>
    <x v="9"/>
    <m/>
    <n v="2.4863138686131383"/>
    <n v="1.4679313459801266"/>
    <n v="1.5049780041676314E-2"/>
    <n v="5.4942474759333182"/>
    <n v="1.2463832628533267"/>
    <n v="2.2145559759626074"/>
    <s v="T"/>
    <n v="3"/>
    <m/>
    <m/>
    <m/>
    <m/>
    <m/>
    <m/>
    <m/>
    <m/>
    <m/>
  </r>
  <r>
    <x v="508"/>
    <x v="3"/>
    <s v="I"/>
    <s v="S"/>
    <x v="0"/>
    <n v="77"/>
    <n v="73"/>
    <n v="8.0359999999999996"/>
    <n v="0.127"/>
    <n v="0.22800000000000001"/>
    <s v="M30"/>
    <x v="2"/>
    <n v="30"/>
    <n v="0.68700000000000006"/>
    <n v="0.47699999999999998"/>
    <s v="~50 chiro: 0.182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0"/>
    <n v="0.182"/>
    <m/>
    <m/>
    <m/>
    <m/>
    <m/>
    <m/>
    <m/>
    <m/>
    <m/>
    <m/>
    <m/>
    <m/>
    <m/>
    <m/>
    <m/>
    <m/>
    <m/>
    <m/>
    <m/>
    <m/>
    <m/>
    <m/>
    <m/>
    <m/>
    <n v="0.182"/>
    <s v="20/5/2021"/>
    <s v="20"/>
    <s v="5"/>
    <s v="2021"/>
    <x v="31"/>
    <n v="140"/>
    <x v="9"/>
    <m/>
    <n v="2.9200819672131151"/>
    <n v="1.6057655835124542"/>
    <n v="1.65343054289806E-2"/>
    <n v="6.310358513030824"/>
    <n v="2.6132404181184681"/>
    <n v="4.8780487804878057"/>
    <s v="T"/>
    <n v="3"/>
    <m/>
    <m/>
    <m/>
    <m/>
    <m/>
    <m/>
    <m/>
    <m/>
    <m/>
  </r>
  <r>
    <x v="509"/>
    <x v="3"/>
    <s v="I"/>
    <s v="S"/>
    <x v="0"/>
    <n v="73"/>
    <n v="70"/>
    <n v="7.1219999999999999"/>
    <n v="0.20499999999999999"/>
    <n v="1.4219999999999999"/>
    <s v="F30"/>
    <x v="0"/>
    <n v="30"/>
    <n v="0.36099999999999999"/>
    <n v="0.318"/>
    <s v="1 caddis: 0.008; ~15 chiro: 0.018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5"/>
    <n v="1.7999999999999999E-2"/>
    <m/>
    <m/>
    <m/>
    <m/>
    <n v="1"/>
    <n v="8.0000000000000002E-3"/>
    <m/>
    <m/>
    <m/>
    <m/>
    <m/>
    <m/>
    <m/>
    <m/>
    <m/>
    <m/>
    <m/>
    <m/>
    <m/>
    <m/>
    <m/>
    <m/>
    <m/>
    <m/>
    <n v="2.5999999999999999E-2"/>
    <s v="20/5/2021"/>
    <s v="20"/>
    <s v="5"/>
    <s v="2021"/>
    <x v="31"/>
    <n v="140"/>
    <x v="9"/>
    <m/>
    <n v="24.94736842105263"/>
    <n v="2.9637125921642329"/>
    <n v="3.7306642402183801E-2"/>
    <n v="4.6737213403880071"/>
    <n v="0.60376298792473992"/>
    <n v="0.96882898062342004"/>
    <s v="T"/>
    <n v="3"/>
    <m/>
    <m/>
    <m/>
    <m/>
    <n v="8.0000000000000004E-4"/>
    <n v="0.15582391897156211"/>
    <m/>
    <m/>
    <m/>
  </r>
  <r>
    <x v="510"/>
    <x v="3"/>
    <s v="I"/>
    <s v="B"/>
    <x v="0"/>
    <n v="110"/>
    <n v="105"/>
    <n v="24.12"/>
    <n v="0.88200000000000001"/>
    <n v="2.2200000000000002"/>
    <s v="F30"/>
    <x v="0"/>
    <n v="30"/>
    <n v="1.7809999999999999"/>
    <n v="1.4930000000000001"/>
    <s v="1 caddis: 0.08; 1 odo: 0.106"/>
    <s v="F"/>
    <m/>
    <m/>
    <m/>
    <m/>
    <m/>
    <m/>
    <m/>
    <m/>
    <m/>
    <m/>
    <m/>
    <m/>
    <m/>
    <m/>
    <m/>
    <m/>
    <m/>
    <m/>
    <m/>
    <m/>
    <m/>
    <m/>
    <m/>
    <m/>
    <n v="1"/>
    <n v="0.106"/>
    <m/>
    <m/>
    <m/>
    <m/>
    <m/>
    <m/>
    <m/>
    <m/>
    <m/>
    <m/>
    <n v="1"/>
    <n v="0.08"/>
    <m/>
    <m/>
    <m/>
    <m/>
    <m/>
    <m/>
    <m/>
    <m/>
    <m/>
    <m/>
    <m/>
    <m/>
    <m/>
    <m/>
    <m/>
    <m/>
    <m/>
    <m/>
    <n v="0.186"/>
    <s v="20/5/2021"/>
    <s v="20"/>
    <s v="5"/>
    <s v="2021"/>
    <x v="31"/>
    <n v="140"/>
    <x v="9"/>
    <m/>
    <n v="10.136986301369863"/>
    <n v="3.7955073586367156"/>
    <n v="4.196403083071653E-2"/>
    <n v="6.5983117514473859"/>
    <n v="1.1940298507462679"/>
    <n v="1.965174129353233"/>
    <s v="T"/>
    <n v="3"/>
    <m/>
    <m/>
    <m/>
    <m/>
    <n v="1.5599999999999836E-2"/>
    <n v="0.81093725632894076"/>
    <m/>
    <m/>
    <m/>
  </r>
  <r>
    <x v="511"/>
    <x v="3"/>
    <s v="I"/>
    <s v="S"/>
    <x v="0"/>
    <n v="68"/>
    <n v="65"/>
    <n v="6.3639999999999999"/>
    <n v="0.24199999999999999"/>
    <n v="0.83899999999999997"/>
    <s v="F30"/>
    <x v="0"/>
    <n v="30"/>
    <n v="0.68799999999999994"/>
    <n v="0.46800000000000003"/>
    <s v="~30 chiro: 0.163; 3 mayfly: 0.011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"/>
    <n v="0.16300000000000001"/>
    <m/>
    <m/>
    <m/>
    <m/>
    <m/>
    <m/>
    <n v="3"/>
    <n v="1.0999999999999999E-2"/>
    <m/>
    <m/>
    <m/>
    <m/>
    <m/>
    <m/>
    <m/>
    <m/>
    <m/>
    <m/>
    <m/>
    <m/>
    <m/>
    <m/>
    <m/>
    <m/>
    <n v="0.17399999999999999"/>
    <s v="20/5/2021"/>
    <s v="20"/>
    <s v="5"/>
    <s v="2021"/>
    <x v="31"/>
    <n v="140"/>
    <x v="9"/>
    <m/>
    <n v="15.185520361990948"/>
    <n v="3.9529565501470105"/>
    <n v="4.5807306454665915E-2"/>
    <n v="7.9375848032564447"/>
    <n v="3.4569453174104323"/>
    <n v="6.1910747957259575"/>
    <s v="T"/>
    <n v="3"/>
    <m/>
    <m/>
    <m/>
    <m/>
    <n v="4.7999999999999996E-3"/>
    <n v="1.0446137105549511"/>
    <m/>
    <m/>
    <m/>
  </r>
  <r>
    <x v="512"/>
    <x v="3"/>
    <s v="I"/>
    <s v="S"/>
    <x v="0"/>
    <n v="71"/>
    <n v="67"/>
    <n v="6.41"/>
    <n v="0.20499999999999999"/>
    <n v="1.1739999999999999"/>
    <s v="F30"/>
    <x v="0"/>
    <n v="30"/>
    <n v="0.48599999999999999"/>
    <n v="0.31"/>
    <s v="~40 chiro: 0.128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0"/>
    <n v="0.128"/>
    <m/>
    <m/>
    <m/>
    <m/>
    <m/>
    <m/>
    <m/>
    <m/>
    <m/>
    <m/>
    <m/>
    <m/>
    <m/>
    <m/>
    <m/>
    <m/>
    <m/>
    <m/>
    <m/>
    <m/>
    <m/>
    <m/>
    <m/>
    <m/>
    <n v="0.128"/>
    <s v="20/5/2021"/>
    <s v="20"/>
    <s v="5"/>
    <s v="2021"/>
    <x v="31"/>
    <n v="140"/>
    <x v="9"/>
    <m/>
    <n v="22.421695951107711"/>
    <n v="3.3037872683319902"/>
    <n v="4.0747366328761671E-2"/>
    <n v="5.0819672131147531"/>
    <n v="2.7457098283931352"/>
    <n v="4.742589703588143"/>
    <s v="T"/>
    <n v="3"/>
    <m/>
    <m/>
    <m/>
    <m/>
    <m/>
    <m/>
    <m/>
    <m/>
    <m/>
  </r>
  <r>
    <x v="513"/>
    <x v="3"/>
    <s v="I"/>
    <s v="S"/>
    <x v="0"/>
    <n v="83"/>
    <n v="79"/>
    <n v="9.9740000000000002"/>
    <n v="0.1"/>
    <n v="0.39500000000000002"/>
    <s v="M30"/>
    <x v="2"/>
    <n v="30"/>
    <n v="0.42499999999999999"/>
    <n v="0.34399999999999997"/>
    <s v="~30 chaob: 0.055"/>
    <s v="F"/>
    <m/>
    <m/>
    <m/>
    <m/>
    <m/>
    <m/>
    <m/>
    <m/>
    <m/>
    <m/>
    <m/>
    <m/>
    <m/>
    <m/>
    <m/>
    <m/>
    <m/>
    <m/>
    <m/>
    <m/>
    <m/>
    <m/>
    <m/>
    <m/>
    <m/>
    <m/>
    <m/>
    <m/>
    <n v="30"/>
    <n v="5.5E-2"/>
    <m/>
    <m/>
    <m/>
    <m/>
    <m/>
    <m/>
    <m/>
    <m/>
    <m/>
    <m/>
    <m/>
    <m/>
    <m/>
    <m/>
    <m/>
    <m/>
    <m/>
    <m/>
    <m/>
    <m/>
    <m/>
    <m/>
    <m/>
    <m/>
    <m/>
    <m/>
    <n v="5.5E-2"/>
    <d v="2021-07-06T00:00:00"/>
    <n v="7"/>
    <n v="6"/>
    <n v="2021"/>
    <x v="32"/>
    <n v="158"/>
    <x v="10"/>
    <m/>
    <n v="4.1236037164630961"/>
    <n v="1.0127607859023697"/>
    <n v="1.0549636037556704E-2"/>
    <n v="3.5721703011422634"/>
    <n v="0.81211148987367177"/>
    <n v="1.3635452175656708"/>
    <s v="T"/>
    <n v="3"/>
    <m/>
    <m/>
    <m/>
    <m/>
    <m/>
    <m/>
    <m/>
    <m/>
    <m/>
  </r>
  <r>
    <x v="514"/>
    <x v="3"/>
    <s v="I"/>
    <s v="S"/>
    <x v="0"/>
    <n v="83"/>
    <n v="79"/>
    <n v="10.916"/>
    <n v="0.14099999999999999"/>
    <n v="0.30299999999999999"/>
    <s v="M30"/>
    <x v="2"/>
    <n v="30"/>
    <n v="0.54500000000000004"/>
    <n v="0.42899999999999999"/>
    <s v="~10 inverts: 0.093"/>
    <s v="F"/>
    <m/>
    <m/>
    <n v="10"/>
    <n v="9.2999999999999999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9.2999999999999999E-2"/>
    <d v="2021-08-06T00:00:00"/>
    <n v="8"/>
    <n v="6"/>
    <n v="2021"/>
    <x v="42"/>
    <n v="159"/>
    <x v="10"/>
    <m/>
    <n v="2.8549891642325451"/>
    <n v="1.308584686774942"/>
    <n v="1.3464476699770817E-2"/>
    <n v="4.0907790597883089"/>
    <n v="1.062660315133749"/>
    <n v="1.914620740197875"/>
    <s v="T"/>
    <n v="1"/>
    <m/>
    <m/>
    <m/>
    <m/>
    <m/>
    <m/>
    <m/>
    <m/>
    <m/>
  </r>
  <r>
    <x v="515"/>
    <x v="3"/>
    <s v="I"/>
    <s v="S"/>
    <x v="0"/>
    <n v="81"/>
    <n v="77"/>
    <n v="10.263999999999999"/>
    <n v="0.156"/>
    <n v="0.182"/>
    <s v="M30"/>
    <x v="2"/>
    <n v="30"/>
    <n v="0.503"/>
    <n v="0.49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1-08-06T00:00:00"/>
    <n v="8"/>
    <n v="6"/>
    <n v="2021"/>
    <x v="42"/>
    <n v="159"/>
    <x v="10"/>
    <m/>
    <n v="1.8051973814719302"/>
    <n v="1.5433320142461417"/>
    <n v="1.5716300624622207E-2"/>
    <n v="5.013300593411091"/>
    <n v="0.12665627435697596"/>
    <n v="0.12665627435697596"/>
    <s v="T"/>
    <n v="2"/>
    <m/>
    <m/>
    <m/>
    <m/>
    <m/>
    <m/>
    <m/>
    <m/>
    <m/>
  </r>
  <r>
    <x v="516"/>
    <x v="3"/>
    <s v="I"/>
    <s v="S"/>
    <x v="0"/>
    <n v="83"/>
    <n v="78"/>
    <n v="9.6609999999999996"/>
    <n v="0.14000000000000001"/>
    <n v="7.2999999999999995E-2"/>
    <s v="M30"/>
    <x v="2"/>
    <n v="30"/>
    <n v="0.51900000000000002"/>
    <n v="0.46800000000000003"/>
    <s v="~10 inverts: 0.024"/>
    <s v="F"/>
    <m/>
    <m/>
    <n v="10"/>
    <n v="2.4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.4E-2"/>
    <s v="23/6/2021"/>
    <s v="23"/>
    <s v="6"/>
    <s v="2021"/>
    <x v="33"/>
    <n v="174"/>
    <x v="11"/>
    <s v="SC taken"/>
    <n v="0.76136837713808925"/>
    <n v="1.4704337779644998"/>
    <n v="1.4817950889077057E-2"/>
    <n v="5.090829979332101"/>
    <n v="0.52789566297484725"/>
    <n v="0.77631715143359892"/>
    <s v="T"/>
    <n v="2"/>
    <m/>
    <m/>
    <m/>
    <m/>
    <m/>
    <m/>
    <m/>
    <m/>
    <m/>
  </r>
  <r>
    <x v="517"/>
    <x v="3"/>
    <s v="I"/>
    <s v="I"/>
    <x v="0"/>
    <n v="94"/>
    <n v="89"/>
    <n v="15.752000000000001"/>
    <n v="0.36499999999999999"/>
    <n v="1.9410000000000001"/>
    <s v="F30"/>
    <x v="0"/>
    <n v="30"/>
    <n v="0.84799999999999998"/>
    <n v="0.82499999999999996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4/6/2021"/>
    <s v="24"/>
    <s v="6"/>
    <s v="2021"/>
    <x v="34"/>
    <n v="175"/>
    <x v="11"/>
    <m/>
    <n v="14.054014915646947"/>
    <n v="2.3721323194904791"/>
    <n v="2.7145619515097426E-2"/>
    <n v="5.5268975681650696"/>
    <n v="0.14601320467242268"/>
    <n v="0.14601320467242268"/>
    <s v="T"/>
    <n v="2"/>
    <m/>
    <m/>
    <m/>
    <m/>
    <n v="0.23039999999999999"/>
    <n v="18.288617240831879"/>
    <m/>
    <m/>
    <m/>
  </r>
  <r>
    <x v="518"/>
    <x v="3"/>
    <s v="I"/>
    <s v="I"/>
    <x v="0"/>
    <n v="88"/>
    <n v="83"/>
    <n v="13.566000000000001"/>
    <n v="0.254"/>
    <n v="0.66400000000000003"/>
    <s v="F30"/>
    <x v="0"/>
    <n v="30"/>
    <n v="1.111"/>
    <n v="0.96499999999999997"/>
    <s v="~25 zoops: 0.066"/>
    <s v="F"/>
    <m/>
    <m/>
    <m/>
    <m/>
    <m/>
    <m/>
    <m/>
    <m/>
    <m/>
    <m/>
    <m/>
    <m/>
    <m/>
    <m/>
    <m/>
    <m/>
    <m/>
    <m/>
    <m/>
    <m/>
    <m/>
    <m/>
    <n v="25"/>
    <n v="6.6000000000000003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.6000000000000003E-2"/>
    <s v="24/6/2021"/>
    <s v="24"/>
    <s v="6"/>
    <s v="2021"/>
    <x v="34"/>
    <n v="175"/>
    <x v="11"/>
    <s v="SC kept"/>
    <n v="5.1464889164470629"/>
    <n v="1.9080528846153844"/>
    <n v="2.008222643896268E-2"/>
    <n v="7.6581223712403768"/>
    <n v="1.0762199616688781"/>
    <n v="1.5627303553000147"/>
    <s v="T"/>
    <n v="2"/>
    <m/>
    <m/>
    <m/>
    <m/>
    <n v="0.17979999999999999"/>
    <n v="15.58464072115801"/>
    <m/>
    <m/>
    <m/>
  </r>
  <r>
    <x v="519"/>
    <x v="3"/>
    <s v="I"/>
    <s v="I"/>
    <x v="0"/>
    <n v="100"/>
    <n v="95"/>
    <n v="20.733000000000001"/>
    <n v="0.378"/>
    <n v="3.3000000000000002E-2"/>
    <s v="M40"/>
    <x v="2"/>
    <n v="40"/>
    <n v="2.4260000000000002"/>
    <n v="1.4670000000000001"/>
    <s v="3 pump YOY: 0.799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0.79900000000000004"/>
    <m/>
    <m/>
    <m/>
    <m/>
    <n v="0.79900000000000004"/>
    <d v="2021-08-07T00:00:00"/>
    <n v="8"/>
    <n v="7"/>
    <n v="2021"/>
    <x v="35"/>
    <n v="189"/>
    <x v="12"/>
    <s v="SC kept"/>
    <n v="0.15942028985507248"/>
    <n v="1.8570375829034635"/>
    <n v="1.8600531443755536E-2"/>
    <n v="7.6144503270009336"/>
    <n v="4.6254762938310909"/>
    <n v="8.479236000578787"/>
    <s v="T"/>
    <n v="2"/>
    <m/>
    <m/>
    <m/>
    <m/>
    <m/>
    <m/>
    <m/>
    <m/>
    <m/>
  </r>
  <r>
    <x v="520"/>
    <x v="3"/>
    <s v="I"/>
    <s v="I"/>
    <x v="0"/>
    <n v="102"/>
    <n v="97"/>
    <n v="21.998999999999999"/>
    <n v="0.307"/>
    <n v="6.0999999999999999E-2"/>
    <s v="M40"/>
    <x v="2"/>
    <n v="40"/>
    <n v="3.411"/>
    <n v="1.4550000000000001"/>
    <s v="6 pump YOY: 1.824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"/>
    <n v="1.8240000000000001"/>
    <m/>
    <m/>
    <m/>
    <m/>
    <n v="1.8240000000000001"/>
    <d v="2021-08-07T00:00:00"/>
    <n v="8"/>
    <n v="7"/>
    <n v="2021"/>
    <x v="35"/>
    <n v="189"/>
    <x v="12"/>
    <s v="SC kept"/>
    <n v="0.27805634059622575"/>
    <n v="1.4152683016780381"/>
    <n v="1.4192593962368822E-2"/>
    <n v="7.0823598130841132"/>
    <n v="8.8913132415109786"/>
    <n v="17.182599209054956"/>
    <s v="T"/>
    <n v="3"/>
    <m/>
    <m/>
    <m/>
    <m/>
    <m/>
    <m/>
    <m/>
    <m/>
    <m/>
  </r>
  <r>
    <x v="521"/>
    <x v="3"/>
    <s v="I"/>
    <s v="I"/>
    <x v="0"/>
    <n v="98"/>
    <n v="93"/>
    <n v="21.863"/>
    <n v="0.26100000000000001"/>
    <n v="5.8999999999999997E-2"/>
    <s v="M40"/>
    <x v="2"/>
    <n v="40"/>
    <n v="2.1070000000000002"/>
    <n v="1.0589999999999999"/>
    <s v="2 pump YOY: 0.976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0.97599999999999998"/>
    <m/>
    <m/>
    <m/>
    <m/>
    <n v="0.97599999999999998"/>
    <d v="2021-08-07T00:00:00"/>
    <n v="8"/>
    <n v="7"/>
    <n v="2021"/>
    <x v="35"/>
    <n v="189"/>
    <x v="12"/>
    <s v="SC kept"/>
    <n v="0.27059255182535313"/>
    <n v="1.2082214609758355"/>
    <n v="1.211530427517059E-2"/>
    <n v="5.0903672370697945"/>
    <n v="4.7934867127109735"/>
    <n v="9.2576499108082153"/>
    <s v="T"/>
    <n v="3"/>
    <m/>
    <m/>
    <m/>
    <m/>
    <m/>
    <m/>
    <m/>
    <m/>
    <m/>
  </r>
  <r>
    <x v="522"/>
    <x v="3"/>
    <s v="I"/>
    <s v="I"/>
    <x v="0"/>
    <n v="97"/>
    <n v="92"/>
    <n v="18.148"/>
    <n v="0.23899999999999999"/>
    <n v="0.442"/>
    <s v="F40"/>
    <x v="0"/>
    <n v="40"/>
    <n v="1.286"/>
    <n v="1.2709999999999999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1-08-07T00:00:00"/>
    <n v="8"/>
    <n v="7"/>
    <n v="2021"/>
    <x v="35"/>
    <n v="189"/>
    <x v="12"/>
    <m/>
    <n v="2.4963289280469896"/>
    <n v="1.3345245407337094"/>
    <n v="1.3682944981965994E-2"/>
    <n v="7.5309592937133383"/>
    <n v="8.2653735948865575E-2"/>
    <n v="8.2653735948865575E-2"/>
    <s v="T"/>
    <n v="2"/>
    <m/>
    <m/>
    <m/>
    <m/>
    <n v="0.38669999999999999"/>
    <n v="23.898399357270875"/>
    <m/>
    <m/>
    <m/>
  </r>
  <r>
    <x v="523"/>
    <x v="3"/>
    <s v="I"/>
    <s v="I"/>
    <x v="0"/>
    <n v="100"/>
    <n v="95"/>
    <n v="20.562999999999999"/>
    <n v="0.308"/>
    <n v="8.6999999999999994E-2"/>
    <s v="M40"/>
    <x v="2"/>
    <n v="40"/>
    <n v="2.8969999999999998"/>
    <n v="0.997"/>
    <s v="4 PU: 1.855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1.855"/>
    <m/>
    <m/>
    <m/>
    <m/>
    <n v="1.855"/>
    <s v="16/7/2021"/>
    <s v="16"/>
    <s v="7"/>
    <s v="2021"/>
    <x v="43"/>
    <n v="197"/>
    <x v="14"/>
    <m/>
    <n v="0.42488767337370575"/>
    <n v="1.5206121945198718"/>
    <n v="1.5271717572391909E-2"/>
    <n v="5.0955739548195851"/>
    <n v="9.239896902202986"/>
    <n v="18.260954140932746"/>
    <s v="T"/>
    <n v="3"/>
    <m/>
    <m/>
    <m/>
    <m/>
    <m/>
    <m/>
    <m/>
    <m/>
    <m/>
  </r>
  <r>
    <x v="524"/>
    <x v="3"/>
    <s v="I"/>
    <s v="I"/>
    <x v="0"/>
    <n v="95"/>
    <n v="90"/>
    <n v="16.884"/>
    <n v="0.23400000000000001"/>
    <n v="1.8029999999999999"/>
    <s v="F30"/>
    <x v="0"/>
    <n v="30"/>
    <n v="1.014"/>
    <n v="0.997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6/7/2021"/>
    <s v="16"/>
    <s v="7"/>
    <s v="2021"/>
    <x v="43"/>
    <n v="197"/>
    <x v="14"/>
    <m/>
    <n v="11.955440620648499"/>
    <n v="1.4054054054054057"/>
    <n v="1.5760759749444336E-2"/>
    <n v="6.2755712217536352"/>
    <n v="0.10068704098554852"/>
    <n v="0.10068704098554852"/>
    <s v="T"/>
    <n v="2"/>
    <m/>
    <m/>
    <m/>
    <m/>
    <n v="0.28889999999999999"/>
    <n v="20.884840598568641"/>
    <m/>
    <m/>
    <m/>
  </r>
  <r>
    <x v="525"/>
    <x v="3"/>
    <s v="I"/>
    <s v="I"/>
    <x v="0"/>
    <n v="99"/>
    <n v="94"/>
    <n v="20.556999999999999"/>
    <n v="0.29899999999999999"/>
    <n v="0.54600000000000004"/>
    <s v="F30"/>
    <x v="0"/>
    <n v="30"/>
    <n v="1.9339999999999999"/>
    <n v="1.5429999999999999"/>
    <s v="~20 snails: 0.352"/>
    <s v="F"/>
    <m/>
    <m/>
    <m/>
    <m/>
    <m/>
    <m/>
    <m/>
    <m/>
    <m/>
    <m/>
    <m/>
    <m/>
    <m/>
    <m/>
    <m/>
    <m/>
    <m/>
    <m/>
    <n v="20"/>
    <n v="0.35199999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35199999999999998"/>
    <s v="16/7/2021"/>
    <s v="16"/>
    <s v="7"/>
    <s v="2021"/>
    <x v="43"/>
    <n v="197"/>
    <x v="14"/>
    <m/>
    <n v="2.7284993253710463"/>
    <n v="1.4759601145226577"/>
    <n v="1.5168425324675324E-2"/>
    <n v="8.1150731040286104"/>
    <n v="1.9020285061049766"/>
    <n v="3.6143406139028071"/>
    <s v="T"/>
    <n v="3"/>
    <m/>
    <m/>
    <m/>
    <m/>
    <n v="0.36759999999999998"/>
    <n v="20.677241534480821"/>
    <m/>
    <m/>
    <m/>
  </r>
  <r>
    <x v="526"/>
    <x v="3"/>
    <s v="I"/>
    <s v="B"/>
    <x v="1"/>
    <n v="111"/>
    <n v="105"/>
    <n v="22.468"/>
    <n v="0.29099999999999998"/>
    <n v="2.9000000000000001E-2"/>
    <s v="M40"/>
    <x v="2"/>
    <n v="40"/>
    <n v="1.03"/>
    <n v="1.0249999999999999"/>
    <s v="NA (missed)"/>
    <s v="N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1-01-08T00:00:00"/>
    <n v="1"/>
    <n v="8"/>
    <n v="2021"/>
    <x v="17"/>
    <n v="213"/>
    <x v="13"/>
    <m/>
    <n v="0.12923927091225099"/>
    <n v="1.3121702664923118"/>
    <n v="1.3138883872132924E-2"/>
    <n v="4.7801147227533454"/>
    <n v="2.2253872173758748E-2"/>
    <n v="2.2253872173758748E-2"/>
    <s v="T"/>
    <n v="1"/>
    <m/>
    <m/>
    <m/>
    <m/>
    <m/>
    <m/>
    <m/>
    <m/>
    <m/>
  </r>
  <r>
    <x v="527"/>
    <x v="3"/>
    <s v="I"/>
    <s v="I"/>
    <x v="0"/>
    <n v="108"/>
    <n v="103"/>
    <n v="23.565999999999999"/>
    <n v="0.28499999999999998"/>
    <n v="0.04"/>
    <s v="M40"/>
    <x v="2"/>
    <n v="40"/>
    <n v="1.45"/>
    <n v="1.429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1-01-08T00:00:00"/>
    <n v="1"/>
    <n v="8"/>
    <n v="2021"/>
    <x v="17"/>
    <n v="213"/>
    <x v="13"/>
    <m/>
    <n v="0.17002465357476834"/>
    <n v="1.2241742193204759"/>
    <n v="1.2262811410868723E-2"/>
    <n v="6.4552559064010486"/>
    <n v="8.9111431723669296E-2"/>
    <n v="8.9111431723669296E-2"/>
    <s v="T"/>
    <n v="3"/>
    <m/>
    <m/>
    <m/>
    <m/>
    <m/>
    <m/>
    <m/>
    <m/>
    <m/>
  </r>
  <r>
    <x v="528"/>
    <x v="3"/>
    <s v="I"/>
    <s v="I"/>
    <x v="0"/>
    <n v="104"/>
    <n v="99"/>
    <n v="20.353999999999999"/>
    <n v="0.19600000000000001"/>
    <n v="5.1999999999999998E-2"/>
    <s v="M40"/>
    <x v="2"/>
    <n v="40"/>
    <n v="0.85099999999999998"/>
    <n v="0.83499999999999996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1-01-08T00:00:00"/>
    <n v="1"/>
    <n v="8"/>
    <n v="2021"/>
    <x v="17"/>
    <n v="213"/>
    <x v="13"/>
    <m/>
    <n v="0.2561324007486947"/>
    <n v="0.97231868240896924"/>
    <n v="9.7483338306973057E-3"/>
    <n v="4.277883088272965"/>
    <n v="7.8608627296845895E-2"/>
    <n v="7.8608627296845895E-2"/>
    <s v="T"/>
    <n v="3"/>
    <m/>
    <m/>
    <m/>
    <m/>
    <m/>
    <m/>
    <m/>
    <m/>
    <m/>
  </r>
  <r>
    <x v="529"/>
    <x v="3"/>
    <s v="I"/>
    <s v="I"/>
    <x v="0"/>
    <n v="104"/>
    <n v="98"/>
    <n v="21.302"/>
    <n v="0.24299999999999999"/>
    <n v="4.2000000000000003E-2"/>
    <s v="M40"/>
    <x v="2"/>
    <n v="40"/>
    <n v="1.175"/>
    <n v="1.08"/>
    <s v="INVERTS: 0.037"/>
    <s v="F"/>
    <m/>
    <m/>
    <m/>
    <n v="3.6999999999999998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.6999999999999998E-2"/>
    <d v="2021-01-08T00:00:00"/>
    <n v="1"/>
    <n v="8"/>
    <n v="2021"/>
    <x v="17"/>
    <n v="213"/>
    <x v="13"/>
    <m/>
    <n v="0.1975540921919097"/>
    <n v="1.1539009449641484"/>
    <n v="1.1562068801446447E-2"/>
    <n v="5.3407180298684604"/>
    <n v="0.44596751478734381"/>
    <n v="0.61966012580978302"/>
    <s v="T"/>
    <n v="3"/>
    <m/>
    <m/>
    <m/>
    <m/>
    <m/>
    <m/>
    <m/>
    <m/>
    <m/>
  </r>
  <r>
    <x v="530"/>
    <x v="3"/>
    <s v="I"/>
    <s v="B"/>
    <x v="1"/>
    <n v="112"/>
    <n v="106"/>
    <n v="25.58"/>
    <n v="0.32600000000000001"/>
    <n v="0.14399999999999999"/>
    <s v="M30"/>
    <x v="2"/>
    <n v="30"/>
    <n v="1.367"/>
    <n v="1.26"/>
    <s v="1 pumpkinseed: 0.062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6.2E-2"/>
    <m/>
    <m/>
    <m/>
    <m/>
    <n v="6.2E-2"/>
    <d v="2021-01-08T00:00:00"/>
    <n v="1"/>
    <n v="8"/>
    <n v="2021"/>
    <x v="17"/>
    <n v="213"/>
    <x v="13"/>
    <m/>
    <n v="0.56612674948891328"/>
    <n v="1.2908846123386397"/>
    <n v="1.2982875348466746E-2"/>
    <n v="5.1809210526315796"/>
    <n v="0.41829554339327601"/>
    <n v="0.66067240031274432"/>
    <s v="T"/>
    <n v="3"/>
    <m/>
    <m/>
    <m/>
    <m/>
    <m/>
    <m/>
    <m/>
    <m/>
    <m/>
  </r>
  <r>
    <x v="531"/>
    <x v="3"/>
    <s v="I"/>
    <s v="I"/>
    <x v="0"/>
    <n v="103"/>
    <n v="96"/>
    <n v="20.265999999999998"/>
    <n v="0.21299999999999999"/>
    <n v="0.23100000000000001"/>
    <s v="F30"/>
    <x v="0"/>
    <n v="30"/>
    <n v="1.3160000000000001"/>
    <n v="1.298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1-01-08T00:00:00"/>
    <n v="1"/>
    <n v="8"/>
    <n v="2021"/>
    <x v="17"/>
    <n v="213"/>
    <x v="13"/>
    <m/>
    <n v="1.152982281008236"/>
    <n v="1.0621852091956316"/>
    <n v="1.0745636161840381E-2"/>
    <n v="6.8431041754533961"/>
    <n v="8.8818711141813958E-2"/>
    <n v="8.8818711141813958E-2"/>
    <s v="T"/>
    <n v="3"/>
    <m/>
    <m/>
    <m/>
    <m/>
    <n v="0.65189999999999992"/>
    <n v="35.226413055225336"/>
    <m/>
    <m/>
    <m/>
  </r>
  <r>
    <x v="532"/>
    <x v="3"/>
    <s v="I"/>
    <s v="I"/>
    <x v="0"/>
    <n v="106"/>
    <n v="101"/>
    <n v="22.02"/>
    <n v="0.245"/>
    <n v="0.64100000000000001"/>
    <s v="F30"/>
    <x v="0"/>
    <n v="30"/>
    <n v="1.1719999999999999"/>
    <n v="1.159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1-01-08T00:00:00"/>
    <n v="1"/>
    <n v="8"/>
    <n v="2021"/>
    <x v="17"/>
    <n v="213"/>
    <x v="13"/>
    <m/>
    <n v="2.9982693297160767"/>
    <n v="1.1251435132032148"/>
    <n v="1.1592694236774864E-2"/>
    <n v="5.5558218685585539"/>
    <n v="5.9037238873750682E-2"/>
    <n v="5.9037238873750682E-2"/>
    <s v="T"/>
    <n v="2"/>
    <m/>
    <m/>
    <m/>
    <m/>
    <n v="0.43779999999999997"/>
    <n v="21.931670173329323"/>
    <m/>
    <m/>
    <m/>
  </r>
  <r>
    <x v="533"/>
    <x v="3"/>
    <s v="I"/>
    <s v="I"/>
    <x v="0"/>
    <n v="104"/>
    <n v="99"/>
    <n v="19.808"/>
    <n v="0.20899999999999999"/>
    <n v="0.35199999999999998"/>
    <s v="F30"/>
    <x v="0"/>
    <n v="30"/>
    <n v="0.98899999999999999"/>
    <n v="0.97599999999999998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1-01-08T00:00:00"/>
    <n v="1"/>
    <n v="8"/>
    <n v="2021"/>
    <x v="17"/>
    <n v="213"/>
    <x v="13"/>
    <m/>
    <n v="1.8092105263157896"/>
    <n v="1.0663809378029492"/>
    <n v="1.085883514313919E-2"/>
    <n v="5.182667799490229"/>
    <n v="6.5630048465266613E-2"/>
    <n v="6.5630048465266613E-2"/>
    <s v="T"/>
    <n v="2"/>
    <m/>
    <m/>
    <m/>
    <m/>
    <n v="0.34729999999999994"/>
    <n v="19.021798663599515"/>
    <m/>
    <m/>
    <m/>
  </r>
  <r>
    <x v="534"/>
    <x v="3"/>
    <s v="I"/>
    <s v="I"/>
    <x v="0"/>
    <n v="95"/>
    <n v="89"/>
    <n v="13.87"/>
    <n v="0.14499999999999999"/>
    <n v="0.03"/>
    <s v="M40"/>
    <x v="2"/>
    <n v="40"/>
    <n v="0.81399999999999995"/>
    <n v="0.79800000000000004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1-01-08T00:00:00"/>
    <n v="1"/>
    <n v="8"/>
    <n v="2021"/>
    <x v="17"/>
    <n v="213"/>
    <x v="13"/>
    <m/>
    <n v="0.2167630057803468"/>
    <n v="1.0564663023679417"/>
    <n v="1.058780576852866E-2"/>
    <n v="6.1046511627906979"/>
    <n v="0.11535688536409448"/>
    <n v="0.11535688536409448"/>
    <s v="T"/>
    <n v="3"/>
    <m/>
    <m/>
    <m/>
    <m/>
    <m/>
    <m/>
    <m/>
    <m/>
    <m/>
  </r>
  <r>
    <x v="535"/>
    <x v="3"/>
    <s v="I"/>
    <s v="I"/>
    <x v="0"/>
    <n v="104"/>
    <n v="98"/>
    <n v="20.257999999999999"/>
    <n v="0.33300000000000002"/>
    <n v="0.68"/>
    <s v="F30"/>
    <x v="0"/>
    <n v="30"/>
    <n v="2.028"/>
    <n v="1.284"/>
    <s v="2 PU: 0.62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0.62"/>
    <m/>
    <m/>
    <m/>
    <m/>
    <n v="0.62"/>
    <d v="2021-01-08T00:00:00"/>
    <n v="1"/>
    <n v="8"/>
    <n v="2021"/>
    <x v="17"/>
    <n v="213"/>
    <x v="13"/>
    <m/>
    <n v="3.4732863418122388"/>
    <n v="1.6712672521957339"/>
    <n v="1.7303195635229932E-2"/>
    <n v="6.7671550542848111"/>
    <n v="3.6726231612202587"/>
    <n v="6.7331424622371401"/>
    <s v="T"/>
    <n v="3"/>
    <m/>
    <m/>
    <m/>
    <m/>
    <n v="0.24160000000000004"/>
    <n v="14.032642156008597"/>
    <m/>
    <m/>
    <m/>
  </r>
  <r>
    <x v="536"/>
    <x v="3"/>
    <s v="I"/>
    <s v="I"/>
    <x v="0"/>
    <n v="106"/>
    <n v="100"/>
    <n v="24.538"/>
    <n v="0.32300000000000001"/>
    <n v="4.1000000000000002E-2"/>
    <s v="M40"/>
    <x v="2"/>
    <n v="40"/>
    <n v="2.8050000000000002"/>
    <n v="1.3480000000000001"/>
    <s v="2 PU: 1.229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1.2290000000000001"/>
    <m/>
    <m/>
    <m/>
    <m/>
    <n v="1.2290000000000001"/>
    <d v="2021-01-08T00:00:00"/>
    <n v="1"/>
    <n v="8"/>
    <n v="2021"/>
    <x v="17"/>
    <n v="213"/>
    <x v="13"/>
    <m/>
    <n v="0.16736743274686697"/>
    <n v="1.3338839562254801"/>
    <n v="1.3361462728551337E-2"/>
    <n v="5.8128503665373001"/>
    <n v="5.9377292362865761"/>
    <n v="10.946287390985409"/>
    <s v="T"/>
    <n v="2"/>
    <m/>
    <m/>
    <m/>
    <m/>
    <m/>
    <m/>
    <m/>
    <m/>
    <m/>
  </r>
  <r>
    <x v="537"/>
    <x v="4"/>
    <s v="B"/>
    <s v="B"/>
    <x v="1"/>
    <n v="201"/>
    <n v="192"/>
    <n v="181.53"/>
    <n v="2.5619999999999998"/>
    <n v="1.026"/>
    <s v="F22"/>
    <x v="0"/>
    <n v="22"/>
    <n v="6.6950000000000003"/>
    <n v="6.6130000000000004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8/12/2020"/>
    <s v="18"/>
    <s v="12"/>
    <s v="2020"/>
    <x v="0"/>
    <n v="353"/>
    <x v="0"/>
    <s v="NA"/>
    <n v="0.56840845632229764"/>
    <n v="1.4315408341155962"/>
    <n v="1.4397949893785618"/>
    <n v="3.6429240345948326"/>
    <n v="4.5171596981215145E-2"/>
    <m/>
    <m/>
    <m/>
    <m/>
    <m/>
    <m/>
    <m/>
    <m/>
    <m/>
    <m/>
    <m/>
    <m/>
  </r>
  <r>
    <x v="538"/>
    <x v="4"/>
    <s v="I"/>
    <s v="B"/>
    <x v="1"/>
    <n v="132"/>
    <n v="126"/>
    <n v="42.06"/>
    <n v="0.57899999999999996"/>
    <n v="6.8000000000000005E-2"/>
    <s v="M22"/>
    <x v="2"/>
    <n v="22"/>
    <n v="1.853"/>
    <n v="1.68"/>
    <s v="Inverts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8/12/2020"/>
    <s v="18"/>
    <s v="12"/>
    <s v="2020"/>
    <x v="0"/>
    <n v="353"/>
    <x v="0"/>
    <s v="NA"/>
    <n v="0.16193560678224422"/>
    <n v="1.3958197729080781"/>
    <n v="1.3981117040542823"/>
    <n v="3.9942938659058487"/>
    <n v="0.41131716595340001"/>
    <m/>
    <m/>
    <m/>
    <m/>
    <m/>
    <m/>
    <m/>
    <m/>
    <m/>
    <m/>
    <m/>
    <m/>
  </r>
  <r>
    <x v="539"/>
    <x v="4"/>
    <s v="I"/>
    <s v="B"/>
    <x v="1"/>
    <n v="144"/>
    <n v="138"/>
    <n v="53.354999999999997"/>
    <n v="0.79700000000000004"/>
    <n v="0.72899999999999998"/>
    <s v="F22"/>
    <x v="0"/>
    <n v="22"/>
    <n v="2.7280000000000002"/>
    <n v="2.4780000000000002"/>
    <s v="Caddisfly, odonate larvae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8/12/2020"/>
    <s v="18"/>
    <s v="12"/>
    <s v="2020"/>
    <x v="0"/>
    <n v="353"/>
    <x v="0"/>
    <s v="NA"/>
    <n v="1.3852468361646335"/>
    <n v="1.5164199550972262"/>
    <n v="1.5377491365837659"/>
    <n v="4.6443632274388538"/>
    <n v="0.46855964764314501"/>
    <m/>
    <m/>
    <m/>
    <m/>
    <m/>
    <m/>
    <m/>
    <m/>
    <m/>
    <m/>
    <m/>
    <m/>
  </r>
  <r>
    <x v="540"/>
    <x v="4"/>
    <s v="I"/>
    <s v="B"/>
    <x v="1"/>
    <n v="126"/>
    <n v="120"/>
    <n v="39.960999999999999"/>
    <n v="0.54"/>
    <n v="5.2999999999999999E-2"/>
    <s v="M22"/>
    <x v="2"/>
    <n v="22"/>
    <n v="1.87"/>
    <n v="1.518"/>
    <s v="Worm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8/12/2020"/>
    <s v="18"/>
    <s v="12"/>
    <s v="2020"/>
    <x v="0"/>
    <n v="353"/>
    <x v="0"/>
    <s v="Heart parasite"/>
    <n v="0.13280545254084394"/>
    <n v="1.3698282641231831"/>
    <n v="1.3716724243040033"/>
    <n v="3.7987037361427398"/>
    <n v="0.88085883736643256"/>
    <m/>
    <m/>
    <m/>
    <m/>
    <m/>
    <m/>
    <m/>
    <m/>
    <m/>
    <m/>
    <m/>
    <m/>
  </r>
  <r>
    <x v="541"/>
    <x v="4"/>
    <s v="B"/>
    <s v="B"/>
    <x v="1"/>
    <n v="153"/>
    <n v="144"/>
    <n v="69.599000000000004"/>
    <n v="0.84499999999999997"/>
    <n v="0.47899999999999998"/>
    <s v="F22"/>
    <x v="0"/>
    <n v="22"/>
    <n v="3.03"/>
    <n v="2.5489999999999999"/>
    <s v="Worm, inverts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8/12/2020"/>
    <s v="18"/>
    <s v="12"/>
    <s v="2020"/>
    <x v="0"/>
    <n v="353"/>
    <x v="0"/>
    <s v="Gut not kept"/>
    <n v="0.69299768518518512"/>
    <n v="1.2290194025074903"/>
    <n v="1.2376418894177956"/>
    <n v="3.6624089426572222"/>
    <n v="0.69110188364775338"/>
    <m/>
    <m/>
    <m/>
    <m/>
    <m/>
    <m/>
    <m/>
    <m/>
    <m/>
    <m/>
    <m/>
    <m/>
  </r>
  <r>
    <x v="542"/>
    <x v="4"/>
    <s v="I"/>
    <s v="I"/>
    <x v="0"/>
    <n v="92"/>
    <n v="85"/>
    <n v="12.739000000000001"/>
    <n v="0.219"/>
    <n v="0.156"/>
    <s v="F22"/>
    <x v="0"/>
    <n v="22"/>
    <n v="0.53900000000000003"/>
    <n v="0.52800000000000002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8/12/2020"/>
    <s v="18"/>
    <s v="12"/>
    <s v="2020"/>
    <x v="0"/>
    <n v="353"/>
    <x v="0"/>
    <s v="NA"/>
    <n v="1.2397679408726059"/>
    <n v="1.7492012779552715"/>
    <n v="1.7712714331931414"/>
    <n v="4.1447523353481435"/>
    <n v="8.634900698641973E-2"/>
    <m/>
    <m/>
    <m/>
    <m/>
    <m/>
    <m/>
    <m/>
    <m/>
    <m/>
    <m/>
    <m/>
    <m/>
  </r>
  <r>
    <x v="543"/>
    <x v="4"/>
    <s v="I"/>
    <s v="I"/>
    <x v="0"/>
    <n v="87"/>
    <n v="82"/>
    <n v="11.138999999999999"/>
    <n v="0.186"/>
    <n v="0.183"/>
    <s v="F22"/>
    <x v="0"/>
    <n v="22"/>
    <n v="0.41699999999999998"/>
    <n v="0.40699999999999997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8/12/2020"/>
    <s v="18"/>
    <s v="12"/>
    <s v="2020"/>
    <x v="0"/>
    <n v="353"/>
    <x v="0"/>
    <s v="NA"/>
    <n v="1.6703176341730561"/>
    <n v="1.6981648863325118"/>
    <n v="1.7270194986072425"/>
    <n v="3.6538288894873863"/>
    <n v="8.9774665589370764E-2"/>
    <m/>
    <m/>
    <m/>
    <m/>
    <m/>
    <m/>
    <m/>
    <m/>
    <m/>
    <m/>
    <m/>
    <m/>
  </r>
  <r>
    <x v="544"/>
    <x v="4"/>
    <s v="I"/>
    <s v="I"/>
    <x v="0"/>
    <n v="91"/>
    <n v="86"/>
    <n v="13.618"/>
    <n v="0.23599999999999999"/>
    <n v="0.20300000000000001"/>
    <s v="F22"/>
    <x v="0"/>
    <n v="22"/>
    <n v="0.61499999999999999"/>
    <n v="0.47099999999999997"/>
    <s v="Inverts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8/12/2020"/>
    <s v="18"/>
    <s v="12"/>
    <s v="2020"/>
    <x v="0"/>
    <n v="353"/>
    <x v="0"/>
    <s v="NA"/>
    <n v="1.5132314573238912"/>
    <n v="1.7635629950680016"/>
    <n v="1.7907276728128081"/>
    <n v="3.4586576589807607"/>
    <n v="1.0574239976501689"/>
    <m/>
    <m/>
    <m/>
    <m/>
    <m/>
    <m/>
    <m/>
    <m/>
    <m/>
    <m/>
    <m/>
    <m/>
  </r>
  <r>
    <x v="545"/>
    <x v="4"/>
    <s v="I"/>
    <s v="I"/>
    <x v="0"/>
    <n v="94"/>
    <n v="89"/>
    <n v="13.477"/>
    <n v="0.22"/>
    <n v="1.9E-2"/>
    <s v="M22"/>
    <x v="2"/>
    <n v="22"/>
    <n v="0.60499999999999998"/>
    <n v="0.55900000000000005"/>
    <s v="Inverts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8/12/2020"/>
    <s v="18"/>
    <s v="12"/>
    <s v="2020"/>
    <x v="0"/>
    <n v="353"/>
    <x v="0"/>
    <s v="NA"/>
    <n v="0.14117996730569177"/>
    <n v="1.6595006411707021"/>
    <n v="1.6618824595860404"/>
    <n v="4.1478073755286786"/>
    <n v="0.34132225272686745"/>
    <m/>
    <m/>
    <m/>
    <m/>
    <m/>
    <m/>
    <m/>
    <m/>
    <m/>
    <m/>
    <m/>
    <m/>
  </r>
  <r>
    <x v="546"/>
    <x v="4"/>
    <s v="I"/>
    <s v="I"/>
    <x v="0"/>
    <n v="96"/>
    <n v="90"/>
    <n v="13.984"/>
    <n v="0.22900000000000001"/>
    <n v="0.02"/>
    <s v="M22"/>
    <x v="2"/>
    <n v="22"/>
    <n v="0.52500000000000002"/>
    <n v="0.50600000000000001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8/12/2020"/>
    <s v="18"/>
    <s v="12"/>
    <s v="2020"/>
    <x v="0"/>
    <n v="353"/>
    <x v="0"/>
    <s v="NA"/>
    <n v="0.14322543683758235"/>
    <n v="1.6648491457651762"/>
    <n v="1.6672733891518017"/>
    <n v="3.6184210526315792"/>
    <n v="0.13586956521739144"/>
    <m/>
    <m/>
    <m/>
    <m/>
    <m/>
    <m/>
    <m/>
    <m/>
    <m/>
    <m/>
    <m/>
    <m/>
  </r>
  <r>
    <x v="547"/>
    <x v="4"/>
    <s v="I"/>
    <s v="B"/>
    <x v="1"/>
    <n v="129"/>
    <n v="123"/>
    <n v="38.223999999999997"/>
    <n v="0.76300000000000001"/>
    <n v="0.51400000000000001"/>
    <s v="F22"/>
    <x v="0"/>
    <n v="22"/>
    <n v="1.571"/>
    <n v="1.5369999999999999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8/12/2020"/>
    <s v="18"/>
    <s v="12"/>
    <s v="2020"/>
    <x v="0"/>
    <n v="353"/>
    <x v="0"/>
    <s v="NA"/>
    <n v="1.3630336780694778"/>
    <n v="2.0367849229865729"/>
    <n v="2.0651203074674536"/>
    <n v="4.021033905399749"/>
    <n v="8.894935119296786E-2"/>
    <m/>
    <m/>
    <m/>
    <m/>
    <m/>
    <m/>
    <m/>
    <m/>
    <m/>
    <m/>
    <m/>
    <m/>
  </r>
  <r>
    <x v="548"/>
    <x v="4"/>
    <s v="I"/>
    <s v="I"/>
    <x v="0"/>
    <n v="90"/>
    <n v="86"/>
    <n v="11.832000000000001"/>
    <n v="0.248"/>
    <n v="2.1000000000000001E-2"/>
    <s v="M22"/>
    <x v="2"/>
    <n v="22"/>
    <n v="0.74099999999999999"/>
    <n v="0.623"/>
    <s v="Chironomids, inverts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8/12/2020"/>
    <s v="18"/>
    <s v="12"/>
    <s v="2020"/>
    <x v="0"/>
    <n v="353"/>
    <x v="0"/>
    <s v="NA"/>
    <n v="0.17780035560071122"/>
    <n v="2.1408839779005522"/>
    <n v="2.1447721179624666"/>
    <n v="5.2653820148749153"/>
    <n v="0.99729546991210261"/>
    <m/>
    <m/>
    <m/>
    <m/>
    <m/>
    <m/>
    <m/>
    <m/>
    <m/>
    <m/>
    <m/>
    <m/>
  </r>
  <r>
    <x v="549"/>
    <x v="4"/>
    <s v="I"/>
    <s v="I"/>
    <x v="0"/>
    <n v="94"/>
    <n v="89"/>
    <n v="13.984"/>
    <n v="0.26300000000000001"/>
    <n v="2.1999999999999999E-2"/>
    <s v="M22"/>
    <x v="2"/>
    <n v="22"/>
    <n v="0.504"/>
    <n v="0.44700000000000001"/>
    <s v="Inverts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8/12/2020"/>
    <s v="18"/>
    <s v="12"/>
    <s v="2020"/>
    <x v="0"/>
    <n v="353"/>
    <x v="0"/>
    <s v="NA"/>
    <n v="0.15757054863200112"/>
    <n v="1.9167699147292474"/>
    <n v="1.9198481640995695"/>
    <n v="3.1965102974828374"/>
    <n v="0.40760869565217389"/>
    <m/>
    <m/>
    <m/>
    <m/>
    <m/>
    <m/>
    <m/>
    <m/>
    <m/>
    <m/>
    <m/>
    <m/>
  </r>
  <r>
    <x v="550"/>
    <x v="4"/>
    <s v="I"/>
    <s v="B"/>
    <x v="1"/>
    <n v="130"/>
    <n v="123"/>
    <n v="44.478000000000002"/>
    <n v="0.72199999999999998"/>
    <n v="0.61699999999999999"/>
    <s v="F22"/>
    <x v="0"/>
    <n v="22"/>
    <n v="2.169"/>
    <n v="2.0390000000000001"/>
    <s v="Inverts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8/12/2020"/>
    <s v="18"/>
    <s v="12"/>
    <s v="2020"/>
    <x v="0"/>
    <n v="353"/>
    <x v="0"/>
    <s v="NA"/>
    <n v="1.4067166731264675"/>
    <n v="1.650059420422342"/>
    <n v="1.6736595655903008"/>
    <n v="4.5842888619092586"/>
    <n v="0.29227932910652432"/>
    <m/>
    <m/>
    <m/>
    <m/>
    <m/>
    <m/>
    <m/>
    <m/>
    <m/>
    <m/>
    <m/>
    <m/>
  </r>
  <r>
    <x v="551"/>
    <x v="4"/>
    <s v="I"/>
    <s v="S"/>
    <x v="0"/>
    <n v="73"/>
    <n v="68"/>
    <n v="6.1890000000000001"/>
    <n v="0.11600000000000001"/>
    <n v="0.04"/>
    <s v="M22"/>
    <x v="2"/>
    <n v="22"/>
    <n v="0.30399999999999999"/>
    <n v="0.28699999999999998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8/12/2020"/>
    <s v="18"/>
    <s v="12"/>
    <s v="2020"/>
    <x v="0"/>
    <n v="353"/>
    <x v="0"/>
    <s v="Gonads very small"/>
    <n v="0.65051227841925519"/>
    <n v="1.9100938580602669"/>
    <n v="1.9227581634344439"/>
    <n v="4.6372596542252378"/>
    <n v="0.27468088544191333"/>
    <m/>
    <m/>
    <m/>
    <m/>
    <m/>
    <m/>
    <m/>
    <m/>
    <m/>
    <m/>
    <m/>
    <m/>
  </r>
  <r>
    <x v="552"/>
    <x v="4"/>
    <s v="I"/>
    <s v="I"/>
    <x v="0"/>
    <n v="96"/>
    <n v="89"/>
    <n v="13.691000000000001"/>
    <n v="0.217"/>
    <n v="0.19500000000000001"/>
    <s v="F22"/>
    <x v="0"/>
    <n v="22"/>
    <n v="0.58099999999999996"/>
    <n v="0.53800000000000003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8/12/2020"/>
    <s v="18"/>
    <s v="12"/>
    <s v="2020"/>
    <x v="0"/>
    <n v="353"/>
    <x v="0"/>
    <s v="NA"/>
    <n v="1.444872554831061"/>
    <n v="1.6105091286922963"/>
    <n v="1.6341591987348445"/>
    <n v="3.92958878095099"/>
    <n v="0.31407493974143547"/>
    <m/>
    <m/>
    <m/>
    <m/>
    <m/>
    <m/>
    <m/>
    <m/>
    <m/>
    <m/>
    <m/>
    <m/>
  </r>
  <r>
    <x v="553"/>
    <x v="4"/>
    <s v="I"/>
    <s v="I"/>
    <x v="0"/>
    <n v="106"/>
    <n v="95"/>
    <n v="18.916"/>
    <n v="0.313"/>
    <n v="2.1000000000000001E-2"/>
    <s v="M22"/>
    <x v="2"/>
    <n v="22"/>
    <n v="0.92400000000000004"/>
    <n v="0.80400000000000005"/>
    <s v="Odonate larvae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8/12/2020"/>
    <s v="18"/>
    <s v="12"/>
    <s v="2020"/>
    <x v="0"/>
    <n v="353"/>
    <x v="0"/>
    <s v="NA"/>
    <n v="0.11114051336332365"/>
    <n v="1.682524324033758"/>
    <n v="1.6844257883973737"/>
    <n v="4.2503700570945231"/>
    <n v="0.63438359061112282"/>
    <m/>
    <m/>
    <m/>
    <m/>
    <m/>
    <m/>
    <m/>
    <m/>
    <m/>
    <m/>
    <m/>
    <m/>
  </r>
  <r>
    <x v="554"/>
    <x v="4"/>
    <s v="I"/>
    <s v="I"/>
    <x v="0"/>
    <n v="87"/>
    <n v="82"/>
    <n v="8.2100000000000009"/>
    <n v="0.11700000000000001"/>
    <n v="0.01"/>
    <s v="M22"/>
    <x v="2"/>
    <n v="22"/>
    <n v="0.41499999999999998"/>
    <n v="0.35299999999999998"/>
    <s v="Inverts (orange)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6/01/2021"/>
    <s v="16"/>
    <s v="01"/>
    <s v="2021"/>
    <x v="4"/>
    <n v="16"/>
    <x v="1"/>
    <s v="Trapped"/>
    <n v="0.12195121951219511"/>
    <n v="1.4456938094649698"/>
    <n v="1.4474823704070272"/>
    <n v="4.2996345919610226"/>
    <n v="0.75517661388550539"/>
    <m/>
    <s v="T"/>
    <m/>
    <m/>
    <m/>
    <m/>
    <m/>
    <m/>
    <m/>
    <m/>
    <m/>
    <m/>
  </r>
  <r>
    <x v="555"/>
    <x v="4"/>
    <s v="I"/>
    <s v="B"/>
    <x v="0"/>
    <n v="110"/>
    <n v="105"/>
    <n v="22.722000000000001"/>
    <n v="0.47799999999999998"/>
    <n v="0.40200000000000002"/>
    <s v="F22"/>
    <x v="0"/>
    <n v="22"/>
    <n v="1.121"/>
    <n v="1.087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6/01/2021"/>
    <s v="16"/>
    <s v="01"/>
    <s v="2021"/>
    <x v="4"/>
    <n v="16"/>
    <x v="1"/>
    <s v="Angled"/>
    <n v="1.8010752688172045"/>
    <n v="2.1488940837978783"/>
    <n v="2.1884442816591889"/>
    <n v="4.7839098670891644"/>
    <n v="0.14963471525393904"/>
    <m/>
    <s v="A"/>
    <m/>
    <n v="0"/>
    <n v="136"/>
    <n v="21"/>
    <n v="0"/>
    <n v="2.3999999999999998E-3"/>
    <n v="0.11582452584334732"/>
    <n v="4.5209999999999999"/>
    <n v="84.306704046447152"/>
    <n v="103.42883622407382"/>
  </r>
  <r>
    <x v="556"/>
    <x v="4"/>
    <s v="I"/>
    <s v="B"/>
    <x v="1"/>
    <n v="127"/>
    <n v="121"/>
    <n v="35.207000000000001"/>
    <n v="0.58199999999999996"/>
    <n v="0.498"/>
    <s v="F22"/>
    <x v="0"/>
    <n v="22"/>
    <n v="1.4490000000000001"/>
    <n v="1.41"/>
    <s v="Chironomids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6/01/2021"/>
    <s v="16"/>
    <s v="01"/>
    <s v="2021"/>
    <x v="4"/>
    <n v="16"/>
    <x v="1"/>
    <s v="Angled"/>
    <n v="1.4347863666484197"/>
    <n v="1.6808664259927795"/>
    <n v="1.7053945556304388"/>
    <n v="4.0048853921095233"/>
    <n v="0.1107734257392"/>
    <m/>
    <s v="A"/>
    <m/>
    <m/>
    <m/>
    <m/>
    <m/>
    <m/>
    <m/>
    <m/>
    <m/>
    <m/>
  </r>
  <r>
    <x v="557"/>
    <x v="4"/>
    <s v="I"/>
    <s v="S"/>
    <x v="0"/>
    <n v="80"/>
    <n v="75"/>
    <n v="7.601"/>
    <n v="0.183"/>
    <n v="0.154"/>
    <s v="F22"/>
    <x v="0"/>
    <n v="22"/>
    <n v="0.30099999999999999"/>
    <n v="0.28499999999999998"/>
    <s v="Inverts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6/01/2021"/>
    <s v="16"/>
    <s v="01"/>
    <s v="2021"/>
    <x v="4"/>
    <n v="16"/>
    <x v="1"/>
    <s v="Angled"/>
    <n v="2.0679468242245198"/>
    <n v="2.4669722297115126"/>
    <n v="2.5192731277533036"/>
    <n v="3.7495066438626496"/>
    <n v="0.2104986186028156"/>
    <m/>
    <s v="A"/>
    <m/>
    <n v="1"/>
    <n v="78"/>
    <n v="12"/>
    <n v="0"/>
    <n v="1.5E-3"/>
    <n v="0.21542438604049979"/>
    <n v="6.2670000000000003"/>
    <n v="80.227151439264617"/>
    <n v="98.427799849446345"/>
  </r>
  <r>
    <x v="558"/>
    <x v="4"/>
    <s v="I"/>
    <s v="S"/>
    <x v="0"/>
    <n v="83"/>
    <n v="79"/>
    <n v="8.4220000000000006"/>
    <n v="0.30099999999999999"/>
    <n v="1.2E-2"/>
    <s v="M22"/>
    <x v="2"/>
    <n v="22"/>
    <n v="0.46500000000000002"/>
    <n v="0.42899999999999999"/>
    <s v="Chironomids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6/01/2021"/>
    <s v="16"/>
    <s v="01"/>
    <s v="2021"/>
    <x v="4"/>
    <n v="16"/>
    <x v="1"/>
    <s v="Angled, heavily parasitized"/>
    <n v="0.1426872770511296"/>
    <n v="3.7064400935845336"/>
    <n v="3.7119250215809592"/>
    <n v="5.0938019472809311"/>
    <n v="0.42745191165993862"/>
    <m/>
    <s v="A"/>
    <m/>
    <m/>
    <m/>
    <m/>
    <m/>
    <m/>
    <m/>
    <m/>
    <m/>
    <m/>
  </r>
  <r>
    <x v="559"/>
    <x v="4"/>
    <s v="I"/>
    <s v="B"/>
    <x v="0"/>
    <n v="110"/>
    <n v="104"/>
    <n v="20.286999999999999"/>
    <n v="0.41699999999999998"/>
    <n v="0.34"/>
    <s v="F22"/>
    <x v="0"/>
    <n v="22"/>
    <m/>
    <n v="1.242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6/01/2021"/>
    <s v="16"/>
    <s v="01"/>
    <s v="2021"/>
    <x v="4"/>
    <n v="16"/>
    <x v="1"/>
    <s v="Angled, heavily parasitized"/>
    <n v="1.7045169699704217"/>
    <n v="2.0986411675893306"/>
    <n v="2.1351766513056836"/>
    <n v="6.1221471878542912"/>
    <m/>
    <m/>
    <s v="A"/>
    <m/>
    <n v="0"/>
    <n v="422"/>
    <n v="115"/>
    <n v="0"/>
    <n v="2.2000000000000001E-3"/>
    <n v="0.11264720942140299"/>
    <n v="5.7279999999999998"/>
    <n v="78.702764504193837"/>
    <n v="90.829117011920204"/>
  </r>
  <r>
    <x v="560"/>
    <x v="4"/>
    <s v="I"/>
    <s v="I"/>
    <x v="0"/>
    <n v="96"/>
    <n v="91"/>
    <n v="14.311"/>
    <n v="0.29199999999999998"/>
    <n v="2.7E-2"/>
    <s v="M22"/>
    <x v="2"/>
    <n v="22"/>
    <n v="0.55600000000000005"/>
    <n v="0.54100000000000004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6/01/2021"/>
    <s v="16"/>
    <s v="01"/>
    <s v="2021"/>
    <x v="4"/>
    <n v="16"/>
    <x v="1"/>
    <s v="Angled, heavily parasitized"/>
    <n v="0.18902268272192663"/>
    <n v="2.0828875098081174"/>
    <n v="2.0869068038879357"/>
    <n v="3.7803088533296068"/>
    <n v="0.1048144783732794"/>
    <m/>
    <s v="Angled"/>
    <m/>
    <m/>
    <m/>
    <m/>
    <m/>
    <m/>
    <m/>
    <m/>
    <m/>
    <m/>
  </r>
  <r>
    <x v="561"/>
    <x v="4"/>
    <s v="I"/>
    <s v="I"/>
    <x v="0"/>
    <n v="104"/>
    <n v="99"/>
    <n v="20.332999999999998"/>
    <n v="0.45100000000000001"/>
    <n v="0.03"/>
    <s v="M22"/>
    <x v="2"/>
    <n v="22"/>
    <n v="1.1459999999999999"/>
    <n v="1.071"/>
    <s v="Chironomids, 1 Caddisfly larva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6/01/2021"/>
    <s v="16"/>
    <s v="01"/>
    <s v="2021"/>
    <x v="4"/>
    <n v="16"/>
    <x v="1"/>
    <s v="Angled, heavily parasitized"/>
    <n v="0.1477614145692755"/>
    <n v="2.2683834624283272"/>
    <n v="2.2718114043925048"/>
    <n v="5.2672994639256387"/>
    <n v="0.3688585058771453"/>
    <m/>
    <s v="A"/>
    <m/>
    <m/>
    <m/>
    <m/>
    <m/>
    <m/>
    <m/>
    <m/>
    <m/>
    <m/>
  </r>
  <r>
    <x v="562"/>
    <x v="4"/>
    <s v="I"/>
    <s v="I"/>
    <x v="0"/>
    <n v="101"/>
    <n v="95"/>
    <n v="16.57"/>
    <n v="0.32900000000000001"/>
    <n v="2.1000000000000001E-2"/>
    <s v="M22"/>
    <x v="2"/>
    <n v="22"/>
    <n v="1.329"/>
    <n v="0.88800000000000001"/>
    <s v="1 Pumpkinseed YOY, chironomids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6/01/2021"/>
    <s v="16"/>
    <s v="01"/>
    <s v="2021"/>
    <x v="4"/>
    <n v="16"/>
    <x v="1"/>
    <s v="Angled, heavily parasitized"/>
    <n v="0.12689588494773099"/>
    <n v="2.0257373314451081"/>
    <n v="2.028360049321825"/>
    <n v="5.3590826795413395"/>
    <n v="2.661436330718165"/>
    <m/>
    <s v="A"/>
    <m/>
    <m/>
    <m/>
    <m/>
    <m/>
    <m/>
    <m/>
    <m/>
    <m/>
    <m/>
  </r>
  <r>
    <x v="563"/>
    <x v="4"/>
    <s v="I"/>
    <s v="S"/>
    <x v="0"/>
    <n v="78"/>
    <n v="74"/>
    <n v="6.8810000000000002"/>
    <n v="0.20200000000000001"/>
    <n v="1.0999999999999999E-2"/>
    <s v="M22"/>
    <x v="2"/>
    <n v="22"/>
    <n v="0.33"/>
    <n v="0.29299999999999998"/>
    <s v="1 Odonate, chironomids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6/01/2021"/>
    <s v="16"/>
    <s v="01"/>
    <s v="2021"/>
    <x v="4"/>
    <n v="16"/>
    <x v="1"/>
    <s v="Angled, heavily parasitized"/>
    <n v="0.16011644832605532"/>
    <n v="3.0244048510256025"/>
    <n v="3.0293941211757649"/>
    <n v="4.2581020200552242"/>
    <n v="0.53771254178171823"/>
    <m/>
    <s v="A"/>
    <m/>
    <m/>
    <m/>
    <m/>
    <m/>
    <m/>
    <m/>
    <m/>
    <m/>
    <m/>
  </r>
  <r>
    <x v="564"/>
    <x v="4"/>
    <s v="I"/>
    <s v="B"/>
    <x v="1"/>
    <n v="148"/>
    <n v="141"/>
    <n v="61.792000000000002"/>
    <n v="0.89300000000000002"/>
    <n v="0.871"/>
    <s v="F22"/>
    <x v="0"/>
    <n v="22"/>
    <n v="2.415"/>
    <n v="2.3290000000000002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6/01/2021"/>
    <s v="16"/>
    <s v="01"/>
    <s v="2021"/>
    <x v="4"/>
    <n v="16"/>
    <x v="1"/>
    <s v="Angled, heavily parasitized"/>
    <n v="1.4297204576418641"/>
    <n v="1.4663623376410122"/>
    <n v="1.4876391017525157"/>
    <n v="3.7690963231486276"/>
    <n v="0.13917659243915045"/>
    <m/>
    <s v="A"/>
    <m/>
    <m/>
    <m/>
    <m/>
    <m/>
    <m/>
    <m/>
    <m/>
    <m/>
    <m/>
  </r>
  <r>
    <x v="565"/>
    <x v="4"/>
    <s v="I"/>
    <s v="S"/>
    <x v="0"/>
    <n v="78"/>
    <n v="74"/>
    <n v="7.548"/>
    <n v="0.17699999999999999"/>
    <n v="1.4E-2"/>
    <s v="M22"/>
    <x v="2"/>
    <n v="22"/>
    <n v="0.376"/>
    <n v="0.34499999999999997"/>
    <s v="1 Damselfly larva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6/01/2021"/>
    <s v="16"/>
    <s v="01"/>
    <s v="2021"/>
    <x v="4"/>
    <n v="16"/>
    <x v="1"/>
    <s v="Angled, heavily parasitized"/>
    <n v="0.18582426333952748"/>
    <n v="2.4013024013024009"/>
    <n v="2.4058719586788091"/>
    <n v="4.5707472178060415"/>
    <n v="0.41070482246952872"/>
    <m/>
    <s v="A"/>
    <m/>
    <m/>
    <m/>
    <m/>
    <m/>
    <m/>
    <m/>
    <m/>
    <m/>
    <m/>
  </r>
  <r>
    <x v="566"/>
    <x v="4"/>
    <s v="I"/>
    <s v="S"/>
    <x v="0"/>
    <n v="82"/>
    <n v="75"/>
    <n v="8.4760000000000009"/>
    <n v="0.18"/>
    <n v="1.7999999999999999E-2"/>
    <s v="M22"/>
    <x v="2"/>
    <n v="22"/>
    <n v="0.33500000000000002"/>
    <n v="0.32300000000000001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6/01/2021"/>
    <s v="16"/>
    <s v="01"/>
    <s v="2021"/>
    <x v="4"/>
    <n v="16"/>
    <x v="1"/>
    <s v="Angled, heavily parasitized"/>
    <n v="0.2128162686214235"/>
    <n v="2.1697203471552551"/>
    <n v="2.1744382701135536"/>
    <n v="3.8107597923548839"/>
    <n v="0.1415762151958472"/>
    <m/>
    <s v="A"/>
    <m/>
    <m/>
    <m/>
    <m/>
    <m/>
    <m/>
    <m/>
    <m/>
    <m/>
    <m/>
  </r>
  <r>
    <x v="567"/>
    <x v="4"/>
    <s v="I"/>
    <s v="I"/>
    <x v="0"/>
    <n v="107"/>
    <n v="102"/>
    <n v="19.765000000000001"/>
    <n v="0.41799999999999998"/>
    <n v="0.27200000000000002"/>
    <s v="F22"/>
    <x v="0"/>
    <n v="22"/>
    <n v="1.484"/>
    <n v="1.4259999999999999"/>
    <s v="White goo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6/01/2021"/>
    <s v="16"/>
    <s v="01"/>
    <s v="2021"/>
    <x v="4"/>
    <n v="16"/>
    <x v="1"/>
    <s v="Angled, heavily parasitized"/>
    <n v="1.3953726978915508"/>
    <n v="2.1605416860495161"/>
    <n v="2.1913499344692"/>
    <n v="7.2147735896787246"/>
    <n v="0.29344801416645611"/>
    <m/>
    <s v="A"/>
    <m/>
    <n v="0"/>
    <n v="178"/>
    <n v="70"/>
    <n v="0"/>
    <n v="2E-3"/>
    <n v="0.25179403248143023"/>
    <n v="5.9649999999999999"/>
    <n v="74.955159164652912"/>
    <n v="102.26219154077999"/>
  </r>
  <r>
    <x v="568"/>
    <x v="4"/>
    <s v="I"/>
    <s v="S"/>
    <x v="0"/>
    <n v="82"/>
    <n v="77"/>
    <n v="7.6020000000000003"/>
    <n v="0.104"/>
    <n v="1.7000000000000001E-2"/>
    <s v="M22"/>
    <x v="2"/>
    <n v="22"/>
    <n v="0.47099999999999997"/>
    <n v="0.44800000000000001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6/01/2021"/>
    <s v="16"/>
    <s v="01"/>
    <s v="2021"/>
    <x v="4"/>
    <n v="16"/>
    <x v="1"/>
    <s v="Angled, heavily parasitized"/>
    <n v="0.22412656558998023"/>
    <n v="1.3870365430781542"/>
    <n v="1.3901884774762732"/>
    <n v="5.8931860036832413"/>
    <n v="0.30255196001052309"/>
    <m/>
    <s v="A"/>
    <m/>
    <m/>
    <m/>
    <m/>
    <m/>
    <m/>
    <m/>
    <m/>
    <m/>
    <m/>
  </r>
  <r>
    <x v="569"/>
    <x v="4"/>
    <s v="I"/>
    <s v="I"/>
    <x v="0"/>
    <n v="96"/>
    <n v="91"/>
    <n v="12.577999999999999"/>
    <n v="0.22800000000000001"/>
    <n v="2.1999999999999999E-2"/>
    <s v="M22"/>
    <x v="2"/>
    <n v="22"/>
    <n v="0.54"/>
    <n v="0.50800000000000001"/>
    <s v="Chironomids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6/01/2021"/>
    <s v="16"/>
    <s v="01"/>
    <s v="2021"/>
    <x v="4"/>
    <n v="16"/>
    <x v="1"/>
    <s v="Angled, heavily parasitized"/>
    <n v="0.17521503663587129"/>
    <n v="1.8461538461538463"/>
    <n v="1.8494484101232969"/>
    <n v="4.038797901097154"/>
    <n v="0.25441246621084457"/>
    <m/>
    <s v="A"/>
    <m/>
    <m/>
    <m/>
    <m/>
    <m/>
    <m/>
    <m/>
    <m/>
    <m/>
    <m/>
  </r>
  <r>
    <x v="570"/>
    <x v="4"/>
    <s v="I"/>
    <s v="I"/>
    <x v="0"/>
    <n v="93"/>
    <n v="87"/>
    <n v="12.227"/>
    <n v="0.249"/>
    <n v="2.9000000000000001E-2"/>
    <s v="M22"/>
    <x v="2"/>
    <n v="22"/>
    <n v="0.81499999999999995"/>
    <n v="0.69199999999999995"/>
    <s v="1 Odonate larva, chironomids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6/01/2021"/>
    <s v="16"/>
    <s v="01"/>
    <s v="2021"/>
    <x v="4"/>
    <n v="16"/>
    <x v="1"/>
    <s v="Angled, heavily parasitized"/>
    <n v="0.23774389244138383"/>
    <n v="2.0788111537819334"/>
    <n v="2.083856389656038"/>
    <n v="5.6596057904637274"/>
    <n v="1.0059703933916742"/>
    <m/>
    <s v="A"/>
    <m/>
    <m/>
    <m/>
    <m/>
    <m/>
    <m/>
    <m/>
    <m/>
    <m/>
    <m/>
  </r>
  <r>
    <x v="571"/>
    <x v="4"/>
    <s v="I"/>
    <s v="I"/>
    <x v="0"/>
    <n v="85"/>
    <n v="81"/>
    <n v="9.6370000000000005"/>
    <n v="0.193"/>
    <n v="1.6E-2"/>
    <s v="M22"/>
    <x v="2"/>
    <n v="22"/>
    <n v="0.434"/>
    <n v="0.375"/>
    <s v="Chironomids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6/01/2021"/>
    <s v="16"/>
    <s v="01"/>
    <s v="2021"/>
    <x v="4"/>
    <n v="16"/>
    <x v="1"/>
    <s v="Angled, heavily parasitized"/>
    <n v="0.16630287911859473"/>
    <n v="2.0436255823803471"/>
    <n v="2.0470937632583794"/>
    <n v="3.8912524644598943"/>
    <n v="0.61222372107502332"/>
    <m/>
    <s v="A"/>
    <m/>
    <m/>
    <m/>
    <m/>
    <m/>
    <m/>
    <m/>
    <m/>
    <m/>
    <m/>
  </r>
  <r>
    <x v="572"/>
    <x v="4"/>
    <s v="I"/>
    <s v="B"/>
    <x v="1"/>
    <n v="113"/>
    <n v="107"/>
    <n v="23.742000000000001"/>
    <n v="0.45500000000000002"/>
    <n v="4.5999999999999999E-2"/>
    <s v="M22"/>
    <x v="2"/>
    <n v="22"/>
    <n v="1.0029999999999999"/>
    <n v="0.93100000000000005"/>
    <s v="1 caddisfly: 0.05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0.05"/>
    <m/>
    <m/>
    <m/>
    <m/>
    <m/>
    <m/>
    <m/>
    <m/>
    <m/>
    <m/>
    <m/>
    <m/>
    <m/>
    <m/>
    <m/>
    <m/>
    <m/>
    <m/>
    <n v="0.05"/>
    <d v="2021-05-02T00:00:00"/>
    <n v="5"/>
    <n v="2"/>
    <n v="2021"/>
    <x v="5"/>
    <n v="36"/>
    <x v="2"/>
    <s v="Angled, some parasites"/>
    <n v="0.19412559081701553"/>
    <n v="1.9538798471250052"/>
    <n v="1.9577470848930765"/>
    <n v="3.921320865975908"/>
    <n v="0.30326004548900615"/>
    <n v="0.51385729930081647"/>
    <s v="A"/>
    <n v="2"/>
    <m/>
    <m/>
    <m/>
    <m/>
    <m/>
    <m/>
    <m/>
    <m/>
    <m/>
  </r>
  <r>
    <x v="573"/>
    <x v="4"/>
    <s v="I"/>
    <s v="I"/>
    <x v="0"/>
    <n v="86"/>
    <n v="81"/>
    <n v="9.5660000000000007"/>
    <n v="0.19500000000000001"/>
    <n v="0.125"/>
    <s v="F22"/>
    <x v="0"/>
    <n v="22"/>
    <n v="0.48"/>
    <n v="0.36699999999999999"/>
    <s v="bait: 0.089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.8999999999999996E-2"/>
    <d v="2021-05-02T00:00:00"/>
    <n v="5"/>
    <n v="2"/>
    <n v="2021"/>
    <x v="5"/>
    <n v="36"/>
    <x v="2"/>
    <s v="Angled, no parasites"/>
    <n v="1.3240122868340218"/>
    <n v="2.0808878454807385"/>
    <n v="2.109020116807268"/>
    <n v="3.8365042860129623"/>
    <n v="1.1812669872464978"/>
    <n v="2.1116454108300227"/>
    <s v="A"/>
    <n v="1"/>
    <m/>
    <m/>
    <m/>
    <m/>
    <n v="8.2000000000000007E-3"/>
    <n v="0.93543235227013466"/>
    <m/>
    <m/>
    <m/>
  </r>
  <r>
    <x v="574"/>
    <x v="4"/>
    <s v="I"/>
    <s v="S"/>
    <x v="0"/>
    <n v="72"/>
    <n v="69"/>
    <n v="5.202"/>
    <n v="9.7000000000000003E-2"/>
    <n v="0.01"/>
    <s v="M22"/>
    <x v="2"/>
    <n v="22"/>
    <n v="0.27500000000000002"/>
    <n v="0.25"/>
    <s v="3 chironomids: 0.003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3.0000000000000001E-3"/>
    <m/>
    <m/>
    <m/>
    <m/>
    <m/>
    <m/>
    <m/>
    <m/>
    <m/>
    <m/>
    <m/>
    <m/>
    <m/>
    <m/>
    <m/>
    <m/>
    <m/>
    <m/>
    <m/>
    <m/>
    <m/>
    <m/>
    <m/>
    <m/>
    <n v="3.0000000000000001E-3"/>
    <d v="2021-05-02T00:00:00"/>
    <n v="5"/>
    <n v="2"/>
    <n v="2021"/>
    <x v="5"/>
    <n v="36"/>
    <x v="2"/>
    <s v="Angled, heavily parasitized"/>
    <n v="0.19260400616332821"/>
    <n v="1.9000979431929483"/>
    <n v="1.9038272816486752"/>
    <n v="4.805843906189927"/>
    <n v="0.48058439061899311"/>
    <n v="0.53825451749327224"/>
    <s v="A"/>
    <n v="3"/>
    <m/>
    <m/>
    <m/>
    <m/>
    <m/>
    <m/>
    <m/>
    <m/>
    <m/>
  </r>
  <r>
    <x v="575"/>
    <x v="4"/>
    <s v="I"/>
    <s v="I"/>
    <x v="0"/>
    <n v="89"/>
    <n v="85"/>
    <n v="10.445"/>
    <n v="0.153"/>
    <n v="1.0999999999999999E-2"/>
    <s v="M22"/>
    <x v="2"/>
    <n v="22"/>
    <n v="0.42099999999999999"/>
    <n v="0.40699999999999997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d v="2021-05-02T00:00:00"/>
    <n v="5"/>
    <n v="2"/>
    <n v="2021"/>
    <x v="5"/>
    <n v="36"/>
    <x v="2"/>
    <s v="Angled, heavily parasitized"/>
    <n v="0.10542457350967989"/>
    <n v="1.4865915273999224"/>
    <n v="1.4881820834549169"/>
    <n v="3.8966012446146476"/>
    <n v="0.13403542364767843"/>
    <n v="0.13403542364767843"/>
    <s v="A"/>
    <n v="3"/>
    <m/>
    <m/>
    <m/>
    <m/>
    <m/>
    <m/>
    <m/>
    <m/>
    <m/>
  </r>
  <r>
    <x v="576"/>
    <x v="4"/>
    <s v="I"/>
    <s v="I"/>
    <x v="0"/>
    <n v="100"/>
    <n v="95"/>
    <n v="16.885999999999999"/>
    <n v="0.33600000000000002"/>
    <n v="0.22800000000000001"/>
    <s v="F22"/>
    <x v="0"/>
    <n v="22"/>
    <n v="0.747"/>
    <n v="0.72599999999999998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d v="2021-05-02T00:00:00"/>
    <n v="5"/>
    <n v="2"/>
    <n v="2021"/>
    <x v="5"/>
    <n v="36"/>
    <x v="2"/>
    <s v="Angled, some parasites"/>
    <n v="1.3687117300996521"/>
    <n v="2.0302114803625377"/>
    <n v="2.0585712535228526"/>
    <n v="4.2994196375695841"/>
    <n v="0.12436337794622776"/>
    <n v="0.12436337794622776"/>
    <s v="A"/>
    <n v="2"/>
    <m/>
    <m/>
    <m/>
    <m/>
    <n v="6.4600000000000005E-2"/>
    <n v="4.1476725521669344"/>
    <m/>
    <m/>
    <m/>
  </r>
  <r>
    <x v="577"/>
    <x v="4"/>
    <s v="I"/>
    <s v="I"/>
    <x v="0"/>
    <n v="85"/>
    <n v="81"/>
    <n v="9.5190000000000001"/>
    <n v="0.34799999999999998"/>
    <n v="2.5000000000000001E-2"/>
    <s v="M22"/>
    <x v="2"/>
    <n v="22"/>
    <n v="0.41599999999999998"/>
    <n v="0.39500000000000002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d v="2021-05-02T00:00:00"/>
    <n v="5"/>
    <n v="2"/>
    <n v="2021"/>
    <x v="5"/>
    <n v="36"/>
    <x v="2"/>
    <s v="Angled, heavily parasitized"/>
    <n v="0.26332420476090168"/>
    <n v="3.7945698397121363"/>
    <n v="3.8049420511699106"/>
    <n v="4.1495955457506044"/>
    <n v="0.22061140876142413"/>
    <n v="0.22061140876142413"/>
    <s v="A"/>
    <n v="3"/>
    <m/>
    <m/>
    <m/>
    <m/>
    <m/>
    <m/>
    <m/>
    <m/>
    <m/>
  </r>
  <r>
    <x v="578"/>
    <x v="4"/>
    <s v="I"/>
    <s v="B"/>
    <x v="1"/>
    <n v="121"/>
    <n v="115"/>
    <n v="29.242000000000001"/>
    <n v="0.61099999999999999"/>
    <n v="0.44500000000000001"/>
    <s v="F22"/>
    <x v="0"/>
    <n v="22"/>
    <n v="2.1429999999999998"/>
    <n v="1.766"/>
    <s v="2 odonate: 0.266"/>
    <s v="F"/>
    <m/>
    <m/>
    <m/>
    <m/>
    <m/>
    <m/>
    <m/>
    <m/>
    <m/>
    <m/>
    <m/>
    <m/>
    <m/>
    <m/>
    <m/>
    <m/>
    <m/>
    <m/>
    <m/>
    <m/>
    <m/>
    <m/>
    <m/>
    <m/>
    <n v="2"/>
    <n v="0.26600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26600000000000001"/>
    <d v="2021-05-02T00:00:00"/>
    <n v="5"/>
    <n v="2"/>
    <n v="2021"/>
    <x v="5"/>
    <n v="36"/>
    <x v="2"/>
    <s v="Angled, heavily parasitized, gonads: one overdeveloped, one underdeveloped"/>
    <n v="1.545299857624058"/>
    <n v="2.1340505046977052"/>
    <n v="2.1677428510608103"/>
    <n v="6.0392586006429108"/>
    <n v="1.2892415019492502"/>
    <n v="2.198892004650844"/>
    <s v="A"/>
    <n v="3"/>
    <m/>
    <m/>
    <m/>
    <m/>
    <m/>
    <m/>
    <m/>
    <m/>
    <m/>
  </r>
  <r>
    <x v="579"/>
    <x v="4"/>
    <s v="I"/>
    <s v="I"/>
    <x v="0"/>
    <n v="86"/>
    <n v="82"/>
    <n v="9.2840000000000007"/>
    <n v="0.20499999999999999"/>
    <n v="1.7000000000000001E-2"/>
    <s v="M22"/>
    <x v="2"/>
    <n v="22"/>
    <n v="0.39"/>
    <n v="0.33300000000000002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d v="2021-06-02T00:00:00"/>
    <n v="5"/>
    <n v="2"/>
    <n v="2021"/>
    <x v="5"/>
    <n v="36"/>
    <x v="2"/>
    <s v="Angled, some parasites"/>
    <n v="0.18344663861012192"/>
    <n v="2.2579579248815946"/>
    <n v="2.2621937762083424"/>
    <n v="3.5868160275743217"/>
    <n v="0.61395950021542434"/>
    <n v="0.61395950021542434"/>
    <s v="A"/>
    <n v="2"/>
    <m/>
    <m/>
    <m/>
    <m/>
    <m/>
    <m/>
    <m/>
    <m/>
    <m/>
  </r>
  <r>
    <x v="580"/>
    <x v="4"/>
    <s v="I"/>
    <s v="I"/>
    <x v="0"/>
    <n v="90"/>
    <n v="86"/>
    <n v="9.843"/>
    <n v="0.12"/>
    <n v="1.4E-2"/>
    <s v="M22"/>
    <x v="2"/>
    <n v="22"/>
    <n v="0.38200000000000001"/>
    <n v="0.36599999999999999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d v="2021-06-02T00:00:00"/>
    <n v="5"/>
    <n v="2"/>
    <n v="2021"/>
    <x v="5"/>
    <n v="36"/>
    <x v="2"/>
    <s v="Angled, heavily parasitized"/>
    <n v="0.14243564960830196"/>
    <n v="1.2341869793273679"/>
    <n v="1.2359666289010194"/>
    <n v="3.7183785431270953"/>
    <n v="0.16255206745910813"/>
    <n v="0.16255206745910813"/>
    <s v="A"/>
    <n v="3"/>
    <m/>
    <m/>
    <m/>
    <m/>
    <m/>
    <m/>
    <m/>
    <m/>
    <m/>
  </r>
  <r>
    <x v="581"/>
    <x v="4"/>
    <s v="I"/>
    <s v="I"/>
    <x v="0"/>
    <n v="87"/>
    <n v="82"/>
    <n v="10.141"/>
    <n v="0.17299999999999999"/>
    <n v="1.9E-2"/>
    <s v="M22"/>
    <x v="2"/>
    <n v="22"/>
    <n v="0.41499999999999998"/>
    <n v="0.33700000000000002"/>
    <s v="Inverts: 0.048"/>
    <s v="F"/>
    <m/>
    <m/>
    <m/>
    <n v="4.8000000000000001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.8000000000000001E-2"/>
    <d v="2021-06-02T00:00:00"/>
    <n v="5"/>
    <n v="2"/>
    <n v="2021"/>
    <x v="5"/>
    <n v="36"/>
    <x v="2"/>
    <s v="Angled, heavily parasitized"/>
    <n v="0.18770993874728314"/>
    <n v="1.735553772070626"/>
    <n v="1.7388682279626093"/>
    <n v="3.3231436741938665"/>
    <n v="0.76915491568878769"/>
    <n v="1.2424810176511187"/>
    <s v="A"/>
    <n v="3"/>
    <m/>
    <m/>
    <m/>
    <m/>
    <m/>
    <m/>
    <m/>
    <m/>
    <m/>
  </r>
  <r>
    <x v="582"/>
    <x v="4"/>
    <s v="I"/>
    <s v="I"/>
    <x v="0"/>
    <n v="96"/>
    <n v="91"/>
    <n v="12.842000000000001"/>
    <n v="0.23"/>
    <n v="2.1000000000000001E-2"/>
    <s v="M22"/>
    <x v="2"/>
    <n v="22"/>
    <n v="0.497"/>
    <n v="0.498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d v="2021-07-02T00:00:00"/>
    <n v="5"/>
    <n v="2"/>
    <n v="2021"/>
    <x v="5"/>
    <n v="36"/>
    <x v="2"/>
    <s v="Angled, heavily parasitized"/>
    <n v="0.16379377583651822"/>
    <n v="1.8236600063431654"/>
    <n v="1.8267016122627278"/>
    <n v="3.8779006385298236"/>
    <m/>
    <m/>
    <s v="A"/>
    <n v="3"/>
    <m/>
    <m/>
    <m/>
    <m/>
    <m/>
    <m/>
    <m/>
    <m/>
    <m/>
  </r>
  <r>
    <x v="583"/>
    <x v="4"/>
    <s v="I"/>
    <s v="I"/>
    <x v="0"/>
    <n v="89"/>
    <n v="85"/>
    <n v="11.677"/>
    <n v="0.22700000000000001"/>
    <n v="0.16400000000000001"/>
    <s v="F22"/>
    <x v="0"/>
    <n v="22"/>
    <n v="0.47"/>
    <n v="0.42699999999999999"/>
    <s v="2 damselfly larvae: 0.017"/>
    <s v="F"/>
    <m/>
    <m/>
    <m/>
    <m/>
    <m/>
    <m/>
    <m/>
    <m/>
    <m/>
    <m/>
    <m/>
    <m/>
    <m/>
    <m/>
    <m/>
    <m/>
    <m/>
    <m/>
    <m/>
    <m/>
    <m/>
    <m/>
    <m/>
    <m/>
    <m/>
    <m/>
    <n v="2"/>
    <n v="1.7000000000000001E-2"/>
    <m/>
    <m/>
    <m/>
    <m/>
    <m/>
    <m/>
    <m/>
    <m/>
    <m/>
    <m/>
    <m/>
    <m/>
    <m/>
    <m/>
    <m/>
    <m/>
    <m/>
    <m/>
    <m/>
    <m/>
    <m/>
    <m/>
    <m/>
    <m/>
    <m/>
    <m/>
    <m/>
    <m/>
    <n v="1.7000000000000001E-2"/>
    <d v="2021-07-02T00:00:00"/>
    <n v="5"/>
    <n v="2"/>
    <n v="2021"/>
    <x v="5"/>
    <n v="36"/>
    <x v="2"/>
    <s v="Angled, heavily parasitized"/>
    <n v="1.4244766785373058"/>
    <n v="1.982532751091703"/>
    <n v="2.0113414850256959"/>
    <n v="3.6567611544060976"/>
    <n v="0.36824526847649208"/>
    <n v="0.51383060717650064"/>
    <s v="A"/>
    <n v="3"/>
    <m/>
    <m/>
    <m/>
    <m/>
    <n v="3.73E-2"/>
    <n v="3.4485946745562135"/>
    <m/>
    <m/>
    <m/>
  </r>
  <r>
    <x v="584"/>
    <x v="4"/>
    <s v="I"/>
    <s v="S"/>
    <x v="0"/>
    <n v="84"/>
    <n v="79"/>
    <n v="8.3209999999999997"/>
    <n v="0.17599999999999999"/>
    <n v="0.13"/>
    <s v="F22"/>
    <x v="0"/>
    <n v="22"/>
    <n v="0.26400000000000001"/>
    <n v="0.24299999999999999"/>
    <s v="1 chironomid: 0.004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4.0000000000000001E-3"/>
    <m/>
    <m/>
    <m/>
    <m/>
    <m/>
    <m/>
    <m/>
    <m/>
    <m/>
    <m/>
    <m/>
    <m/>
    <m/>
    <m/>
    <m/>
    <m/>
    <m/>
    <m/>
    <m/>
    <m/>
    <m/>
    <m/>
    <m/>
    <m/>
    <n v="4.0000000000000001E-3"/>
    <d v="2021-07-02T00:00:00"/>
    <n v="5"/>
    <n v="2"/>
    <n v="2021"/>
    <x v="5"/>
    <n v="36"/>
    <x v="2"/>
    <s v="Angled, heavily parasitized"/>
    <n v="1.5871078012452695"/>
    <n v="2.1608348680171883"/>
    <n v="2.1958827199001876"/>
    <n v="2.920322076673477"/>
    <n v="0.25237351279894266"/>
    <n v="0.3004446580939793"/>
    <s v="A"/>
    <n v="3"/>
    <m/>
    <m/>
    <m/>
    <m/>
    <n v="5.7999999999999996E-3"/>
    <n v="0.74829054315572185"/>
    <m/>
    <m/>
    <m/>
  </r>
  <r>
    <x v="585"/>
    <x v="4"/>
    <s v="I"/>
    <s v="S"/>
    <x v="0"/>
    <n v="82"/>
    <n v="77"/>
    <n v="7.9329999999999998"/>
    <n v="0.191"/>
    <n v="1.2999999999999999E-2"/>
    <s v="M22"/>
    <x v="2"/>
    <n v="22"/>
    <n v="0.38800000000000001"/>
    <n v="0.28100000000000003"/>
    <s v="1 Inverts: 0.075, bait?"/>
    <s v="F"/>
    <m/>
    <m/>
    <n v="1"/>
    <n v="7.4999999999999997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.4999999999999997E-2"/>
    <d v="2021-07-02T00:00:00"/>
    <n v="5"/>
    <n v="2"/>
    <n v="2021"/>
    <x v="5"/>
    <n v="36"/>
    <x v="2"/>
    <s v="Angled, heavily parasitized"/>
    <n v="0.16414141414141414"/>
    <n v="2.4670627744768794"/>
    <n v="2.4712123172467333"/>
    <n v="3.5421656372116481"/>
    <n v="1.3487961679062144"/>
    <n v="2.2942140426068325"/>
    <s v="A"/>
    <n v="3"/>
    <m/>
    <m/>
    <m/>
    <m/>
    <m/>
    <m/>
    <m/>
    <m/>
    <m/>
  </r>
  <r>
    <x v="586"/>
    <x v="4"/>
    <s v="I"/>
    <s v="S"/>
    <x v="0"/>
    <n v="71"/>
    <n v="67"/>
    <n v="5.1319999999999997"/>
    <n v="0.151"/>
    <n v="8.7999999999999995E-2"/>
    <s v="F22"/>
    <x v="0"/>
    <n v="22"/>
    <n v="0.23"/>
    <n v="0.19500000000000001"/>
    <s v="10 chiro: 0.02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0"/>
    <n v="0.02"/>
    <m/>
    <m/>
    <m/>
    <m/>
    <m/>
    <m/>
    <m/>
    <m/>
    <m/>
    <m/>
    <m/>
    <m/>
    <m/>
    <m/>
    <m/>
    <m/>
    <m/>
    <m/>
    <m/>
    <m/>
    <m/>
    <m/>
    <m/>
    <m/>
    <n v="0.02"/>
    <s v="20/2/2021"/>
    <s v="20"/>
    <s v="2"/>
    <s v="2021"/>
    <x v="44"/>
    <n v="51"/>
    <x v="3"/>
    <s v="Trapped, some parasites"/>
    <n v="1.7446471054718478"/>
    <n v="3.0315197751455534"/>
    <n v="3.0860412834661766"/>
    <n v="3.7996882307092759"/>
    <n v="0.68199532346063929"/>
    <n v="1.0717069368667187"/>
    <s v="T"/>
    <n v="2"/>
    <n v="0"/>
    <n v="20"/>
    <n v="8"/>
    <n v="0"/>
    <n v="5.9999999999999995E-4"/>
    <n v="0.12867252841518337"/>
    <n v="8.6859999999999999"/>
    <n v="76.674824233397487"/>
    <n v="98.659513632018374"/>
  </r>
  <r>
    <x v="587"/>
    <x v="4"/>
    <s v="I"/>
    <s v="S"/>
    <x v="0"/>
    <n v="75"/>
    <n v="71"/>
    <n v="5.2649999999999997"/>
    <n v="8.5000000000000006E-2"/>
    <n v="0.01"/>
    <s v="M22"/>
    <x v="2"/>
    <n v="22"/>
    <n v="0.255"/>
    <n v="0.22500000000000001"/>
    <s v="7 chiro: 0.019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"/>
    <n v="1.9E-2"/>
    <m/>
    <m/>
    <m/>
    <m/>
    <m/>
    <m/>
    <m/>
    <m/>
    <m/>
    <m/>
    <m/>
    <m/>
    <m/>
    <m/>
    <m/>
    <m/>
    <m/>
    <m/>
    <m/>
    <m/>
    <m/>
    <m/>
    <m/>
    <m/>
    <n v="1.9E-2"/>
    <s v="20/2/2021"/>
    <s v="20"/>
    <s v="2"/>
    <s v="2021"/>
    <x v="44"/>
    <n v="51"/>
    <x v="3"/>
    <s v="Trapped, heavily parasitized"/>
    <n v="0.19029495718363465"/>
    <n v="1.6409266409266412"/>
    <n v="1.6441005802707933"/>
    <n v="4.2735042735042734"/>
    <n v="0.56980056980056981"/>
    <n v="0.93067426400759745"/>
    <s v="T"/>
    <n v="3"/>
    <m/>
    <m/>
    <m/>
    <m/>
    <m/>
    <m/>
    <m/>
    <m/>
    <m/>
  </r>
  <r>
    <x v="588"/>
    <x v="4"/>
    <s v="S"/>
    <s v="IMM"/>
    <x v="1"/>
    <n v="59"/>
    <n v="56"/>
    <n v="2.9849999999999999"/>
    <n v="0.12"/>
    <n v="5.0000000000000001E-3"/>
    <s v="M22"/>
    <x v="2"/>
    <n v="22"/>
    <n v="0.16200000000000001"/>
    <n v="0.158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20/2/2021"/>
    <s v="20"/>
    <s v="2"/>
    <s v="2021"/>
    <x v="44"/>
    <n v="51"/>
    <x v="3"/>
    <s v="Trapped, heavily parasitized"/>
    <n v="0.16778523489932887"/>
    <n v="4.1884816753926701"/>
    <n v="4.1958041958041958"/>
    <n v="5.2931323283082081"/>
    <n v="0.13400335008375222"/>
    <n v="0.13400335008375222"/>
    <s v="T"/>
    <n v="3"/>
    <m/>
    <m/>
    <m/>
    <m/>
    <m/>
    <m/>
    <m/>
    <m/>
    <m/>
  </r>
  <r>
    <x v="589"/>
    <x v="4"/>
    <s v="I"/>
    <s v="IMM"/>
    <x v="0"/>
    <n v="62"/>
    <n v="59"/>
    <n v="3.4420000000000002"/>
    <n v="0.10299999999999999"/>
    <n v="7.0000000000000001E-3"/>
    <s v="M22"/>
    <x v="2"/>
    <n v="22"/>
    <n v="0.15"/>
    <n v="0.125"/>
    <s v="4 chiro: 0.013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1.2999999999999999E-2"/>
    <m/>
    <m/>
    <m/>
    <m/>
    <m/>
    <m/>
    <m/>
    <m/>
    <m/>
    <m/>
    <m/>
    <m/>
    <m/>
    <m/>
    <m/>
    <m/>
    <m/>
    <m/>
    <m/>
    <m/>
    <m/>
    <m/>
    <m/>
    <m/>
    <n v="1.2999999999999999E-2"/>
    <s v="20/2/2021"/>
    <s v="20"/>
    <s v="2"/>
    <s v="2021"/>
    <x v="44"/>
    <n v="51"/>
    <x v="3"/>
    <s v="Trapped, heavily parasitized"/>
    <n v="0.20378457059679767"/>
    <n v="3.0847559149445942"/>
    <n v="3.091236494597839"/>
    <n v="3.6316095293434048"/>
    <n v="0.72632190586868073"/>
    <n v="1.1040092969203947"/>
    <s v="T"/>
    <n v="3"/>
    <m/>
    <m/>
    <m/>
    <m/>
    <m/>
    <m/>
    <m/>
    <m/>
    <m/>
  </r>
  <r>
    <x v="590"/>
    <x v="4"/>
    <s v="S"/>
    <s v="IMM"/>
    <x v="0"/>
    <n v="60"/>
    <n v="56"/>
    <n v="3.1040000000000001"/>
    <n v="6.5000000000000002E-2"/>
    <n v="1.0999999999999999E-2"/>
    <s v="M22"/>
    <x v="2"/>
    <n v="22"/>
    <n v="0.14799999999999999"/>
    <n v="0.10100000000000001"/>
    <s v="10 chiro: 0.02; 1 odo: 0.005"/>
    <s v="F"/>
    <m/>
    <m/>
    <m/>
    <m/>
    <m/>
    <m/>
    <m/>
    <m/>
    <m/>
    <m/>
    <m/>
    <m/>
    <m/>
    <m/>
    <m/>
    <m/>
    <m/>
    <m/>
    <m/>
    <m/>
    <m/>
    <m/>
    <m/>
    <m/>
    <n v="1"/>
    <n v="5.0000000000000001E-3"/>
    <m/>
    <m/>
    <m/>
    <m/>
    <n v="10"/>
    <n v="0.02"/>
    <m/>
    <m/>
    <m/>
    <m/>
    <m/>
    <m/>
    <m/>
    <m/>
    <m/>
    <m/>
    <m/>
    <m/>
    <m/>
    <m/>
    <m/>
    <m/>
    <m/>
    <m/>
    <m/>
    <m/>
    <m/>
    <m/>
    <m/>
    <m/>
    <n v="2.5000000000000001E-2"/>
    <s v="20/2/2021"/>
    <s v="20"/>
    <s v="2"/>
    <s v="2021"/>
    <x v="44"/>
    <n v="51"/>
    <x v="3"/>
    <s v="Trapped, heavily parasitized"/>
    <n v="0.35564177174264466"/>
    <n v="2.1388614675880224"/>
    <n v="2.1466314398943198"/>
    <n v="3.2538659793814437"/>
    <n v="1.5141752577319583"/>
    <n v="2.3195876288659787"/>
    <s v="T"/>
    <n v="3"/>
    <m/>
    <m/>
    <m/>
    <m/>
    <m/>
    <m/>
    <m/>
    <m/>
    <m/>
  </r>
  <r>
    <x v="591"/>
    <x v="4"/>
    <s v="I"/>
    <s v="IMM"/>
    <x v="0"/>
    <n v="64"/>
    <n v="60"/>
    <n v="3.9340000000000002"/>
    <n v="8.5999999999999993E-2"/>
    <n v="6.2E-2"/>
    <s v="F22"/>
    <x v="0"/>
    <n v="22"/>
    <n v="0.13800000000000001"/>
    <n v="0.13300000000000001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20/2/2021"/>
    <s v="20"/>
    <s v="2"/>
    <s v="2021"/>
    <x v="44"/>
    <n v="51"/>
    <x v="3"/>
    <s v="Trapped, heavily parasitized, 1 UNDEV gonad"/>
    <n v="1.6012396694214874"/>
    <n v="2.2349272349272349"/>
    <n v="2.2715266772319063"/>
    <n v="3.3807829181494666"/>
    <n v="0.12709710218607026"/>
    <n v="0.12709710218607026"/>
    <s v="T"/>
    <n v="3"/>
    <n v="0"/>
    <n v="31"/>
    <n v="5"/>
    <n v="0"/>
    <n v="1.5E-3"/>
    <n v="0.41118421052631571"/>
    <n v="9.1280000000000001"/>
    <n v="87.842481685800053"/>
    <m/>
  </r>
  <r>
    <x v="592"/>
    <x v="4"/>
    <s v="I"/>
    <s v="IMM"/>
    <x v="0"/>
    <n v="64"/>
    <n v="60"/>
    <n v="3.851"/>
    <n v="0.107"/>
    <n v="5.1999999999999998E-2"/>
    <s v="F22"/>
    <x v="0"/>
    <n v="22"/>
    <n v="0.192"/>
    <n v="0.16"/>
    <s v="3 damsel: 0.018"/>
    <s v="F"/>
    <m/>
    <m/>
    <m/>
    <m/>
    <m/>
    <m/>
    <m/>
    <m/>
    <m/>
    <m/>
    <m/>
    <m/>
    <m/>
    <m/>
    <m/>
    <m/>
    <m/>
    <m/>
    <m/>
    <m/>
    <m/>
    <m/>
    <m/>
    <m/>
    <m/>
    <m/>
    <n v="3"/>
    <n v="1.7999999999999999E-2"/>
    <m/>
    <m/>
    <m/>
    <m/>
    <m/>
    <m/>
    <m/>
    <m/>
    <m/>
    <m/>
    <m/>
    <m/>
    <m/>
    <m/>
    <m/>
    <m/>
    <m/>
    <m/>
    <m/>
    <m/>
    <m/>
    <m/>
    <m/>
    <m/>
    <m/>
    <m/>
    <m/>
    <m/>
    <n v="1.7999999999999999E-2"/>
    <s v="20/2/2021"/>
    <s v="20"/>
    <s v="2"/>
    <s v="2021"/>
    <x v="44"/>
    <n v="51"/>
    <x v="3"/>
    <s v="Trapped, some parasites"/>
    <n v="1.368781258225849"/>
    <n v="2.857905982905983"/>
    <n v="2.8981581798483211"/>
    <n v="4.154764996104908"/>
    <n v="0.83095299922098154"/>
    <n v="1.2983640612827838"/>
    <s v="T"/>
    <n v="2"/>
    <n v="0"/>
    <n v="22"/>
    <n v="6"/>
    <n v="0"/>
    <n v="6.7999999999999996E-3"/>
    <n v="1.9428571428571431"/>
    <n v="9.8089999999999993"/>
    <n v="90.77549445814671"/>
    <m/>
  </r>
  <r>
    <x v="593"/>
    <x v="4"/>
    <s v="I"/>
    <s v="S"/>
    <x v="0"/>
    <n v="81"/>
    <n v="76"/>
    <n v="7.51"/>
    <n v="0.16900000000000001"/>
    <n v="1.4E-2"/>
    <s v="M22"/>
    <x v="2"/>
    <n v="22"/>
    <n v="0.33100000000000002"/>
    <n v="0.28699999999999998"/>
    <s v="9 chiro: 0.03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9"/>
    <n v="0.03"/>
    <m/>
    <m/>
    <m/>
    <m/>
    <m/>
    <m/>
    <m/>
    <m/>
    <m/>
    <m/>
    <m/>
    <m/>
    <m/>
    <m/>
    <m/>
    <m/>
    <m/>
    <m/>
    <m/>
    <m/>
    <m/>
    <m/>
    <m/>
    <m/>
    <n v="0.03"/>
    <s v="20/2/2021"/>
    <s v="20"/>
    <s v="2"/>
    <s v="2021"/>
    <x v="44"/>
    <n v="51"/>
    <x v="3"/>
    <s v="Trapped, heavily parasitized"/>
    <n v="0.18676627534685167"/>
    <n v="2.3021386732052855"/>
    <n v="2.3065374641736045"/>
    <n v="3.8215712383488678"/>
    <n v="0.58588548601864232"/>
    <n v="0.98535286284953449"/>
    <s v="T"/>
    <n v="3"/>
    <m/>
    <m/>
    <m/>
    <m/>
    <m/>
    <m/>
    <m/>
    <m/>
    <m/>
  </r>
  <r>
    <x v="594"/>
    <x v="4"/>
    <s v="I"/>
    <s v="IMM"/>
    <x v="0"/>
    <n v="62"/>
    <n v="58"/>
    <n v="3.415"/>
    <n v="6.7000000000000004E-2"/>
    <n v="8.9999999999999993E-3"/>
    <s v="M22"/>
    <x v="2"/>
    <n v="22"/>
    <n v="0.14799999999999999"/>
    <n v="0.128"/>
    <s v="5 chiro: 0.006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n v="6.0000000000000001E-3"/>
    <m/>
    <m/>
    <m/>
    <m/>
    <m/>
    <m/>
    <m/>
    <m/>
    <m/>
    <m/>
    <m/>
    <m/>
    <m/>
    <m/>
    <m/>
    <m/>
    <m/>
    <m/>
    <m/>
    <m/>
    <m/>
    <m/>
    <m/>
    <m/>
    <n v="6.0000000000000001E-3"/>
    <s v="20/2/2021"/>
    <s v="20"/>
    <s v="2"/>
    <s v="2021"/>
    <x v="44"/>
    <n v="51"/>
    <x v="3"/>
    <s v="Trapped, heavily parasitized"/>
    <n v="0.2642395772166764"/>
    <n v="2.001194743130227"/>
    <n v="2.0065887990416296"/>
    <n v="3.7481698389458273"/>
    <n v="0.58565153733528519"/>
    <n v="0.76134699853587084"/>
    <s v="T"/>
    <n v="3"/>
    <m/>
    <m/>
    <m/>
    <m/>
    <m/>
    <m/>
    <m/>
    <m/>
    <m/>
  </r>
  <r>
    <x v="595"/>
    <x v="4"/>
    <s v="S"/>
    <s v="IMM"/>
    <x v="1"/>
    <n v="53"/>
    <n v="50"/>
    <n v="2.1469999999999998"/>
    <n v="6.3E-2"/>
    <s v="&lt;0.001"/>
    <s v="M10"/>
    <x v="2"/>
    <n v="10"/>
    <n v="0.1"/>
    <n v="9.6000000000000002E-2"/>
    <s v="2 chiro: 0.001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1E-3"/>
    <m/>
    <m/>
    <m/>
    <m/>
    <m/>
    <m/>
    <m/>
    <m/>
    <m/>
    <m/>
    <m/>
    <m/>
    <m/>
    <m/>
    <m/>
    <m/>
    <m/>
    <m/>
    <m/>
    <m/>
    <m/>
    <m/>
    <m/>
    <m/>
    <n v="1E-3"/>
    <s v="20/2/2021"/>
    <s v="20"/>
    <s v="2"/>
    <s v="2021"/>
    <x v="44"/>
    <n v="51"/>
    <x v="3"/>
    <s v="Trapped, heavily parasitized, gonads not kept"/>
    <m/>
    <n v="3.0230326295585419"/>
    <m/>
    <n v="4.4713553795994416"/>
    <n v="0.18630647414997689"/>
    <n v="0.23288309268747107"/>
    <s v="T"/>
    <n v="3"/>
    <m/>
    <m/>
    <m/>
    <m/>
    <m/>
    <m/>
    <m/>
    <m/>
    <m/>
  </r>
  <r>
    <x v="596"/>
    <x v="4"/>
    <s v="S"/>
    <s v="IMM"/>
    <x v="1"/>
    <n v="34"/>
    <n v="32"/>
    <n v="0.48699999999999999"/>
    <n v="1.0999999999999999E-2"/>
    <n v="2E-3"/>
    <s v="F10"/>
    <x v="0"/>
    <n v="10"/>
    <n v="2.1000000000000001E-2"/>
    <n v="1.4E-2"/>
    <s v="6 chiro: 0.002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"/>
    <n v="2E-3"/>
    <m/>
    <m/>
    <m/>
    <m/>
    <m/>
    <m/>
    <m/>
    <m/>
    <m/>
    <m/>
    <m/>
    <m/>
    <m/>
    <m/>
    <m/>
    <m/>
    <m/>
    <m/>
    <m/>
    <m/>
    <m/>
    <m/>
    <m/>
    <m/>
    <n v="2E-3"/>
    <s v="20/2/2021"/>
    <s v="20"/>
    <s v="2"/>
    <s v="2021"/>
    <x v="44"/>
    <n v="51"/>
    <x v="3"/>
    <s v="Trapped, some parasites"/>
    <n v="0.41237113402061859"/>
    <n v="2.3109243697478994"/>
    <n v="2.3206751054852321"/>
    <n v="2.8747433264887068"/>
    <n v="1.4373716632443534"/>
    <n v="1.8480492813141687"/>
    <s v="T"/>
    <n v="2"/>
    <m/>
    <m/>
    <m/>
    <m/>
    <m/>
    <m/>
    <m/>
    <m/>
    <m/>
  </r>
  <r>
    <x v="597"/>
    <x v="4"/>
    <s v="S"/>
    <s v="IMM"/>
    <x v="1"/>
    <n v="30"/>
    <n v="29"/>
    <n v="0.41499999999999998"/>
    <n v="1.6E-2"/>
    <s v="&lt;0.001"/>
    <s v="M10"/>
    <x v="2"/>
    <n v="10"/>
    <n v="1.7000000000000001E-2"/>
    <n v="1.2E-2"/>
    <s v="~4 zoops: &lt;0.001"/>
    <s v="F"/>
    <m/>
    <m/>
    <m/>
    <m/>
    <m/>
    <m/>
    <m/>
    <m/>
    <m/>
    <m/>
    <m/>
    <m/>
    <m/>
    <m/>
    <m/>
    <m/>
    <m/>
    <m/>
    <m/>
    <m/>
    <m/>
    <m/>
    <n v="4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20/2/2021"/>
    <s v="20"/>
    <s v="2"/>
    <s v="2021"/>
    <x v="44"/>
    <n v="51"/>
    <x v="3"/>
    <s v="Trapped, heavily parasitized, gonads not kept"/>
    <m/>
    <n v="4.0100250626566423"/>
    <m/>
    <n v="2.8915662650602409"/>
    <n v="1.2048192771084341"/>
    <n v="1.2048192771084341"/>
    <s v="T"/>
    <n v="3"/>
    <m/>
    <m/>
    <m/>
    <m/>
    <m/>
    <m/>
    <m/>
    <m/>
    <m/>
  </r>
  <r>
    <x v="598"/>
    <x v="4"/>
    <s v="S"/>
    <s v="IMM"/>
    <x v="1"/>
    <n v="33"/>
    <n v="31"/>
    <n v="0.48499999999999999"/>
    <n v="1.2E-2"/>
    <n v="1E-3"/>
    <s v="M10"/>
    <x v="2"/>
    <n v="10"/>
    <n v="0.02"/>
    <n v="1.6E-2"/>
    <s v="~2 zoops: &lt;0.001"/>
    <s v="F"/>
    <m/>
    <m/>
    <m/>
    <m/>
    <m/>
    <m/>
    <m/>
    <m/>
    <m/>
    <m/>
    <m/>
    <m/>
    <m/>
    <m/>
    <m/>
    <m/>
    <m/>
    <m/>
    <m/>
    <m/>
    <m/>
    <m/>
    <n v="2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20/2/2021"/>
    <s v="20"/>
    <s v="2"/>
    <s v="2021"/>
    <x v="44"/>
    <n v="51"/>
    <x v="3"/>
    <s v="Trapped, some parasites, gonads not kept"/>
    <n v="0.20661157024793389"/>
    <n v="2.5369978858350954"/>
    <n v="2.5423728813559325"/>
    <n v="3.2989690721649487"/>
    <n v="0.82474226804123718"/>
    <n v="0.82474226804123718"/>
    <s v="T"/>
    <n v="2"/>
    <m/>
    <m/>
    <m/>
    <m/>
    <m/>
    <m/>
    <m/>
    <m/>
    <m/>
  </r>
  <r>
    <x v="599"/>
    <x v="4"/>
    <s v="I"/>
    <s v="S"/>
    <x v="0"/>
    <n v="72"/>
    <n v="68"/>
    <n v="5.851"/>
    <n v="0.13300000000000001"/>
    <n v="8.2000000000000003E-2"/>
    <s v="F22"/>
    <x v="0"/>
    <n v="22"/>
    <n v="0.27"/>
    <n v="0.19900000000000001"/>
    <s v="6 damsel: 0.045"/>
    <s v="F"/>
    <m/>
    <m/>
    <m/>
    <m/>
    <m/>
    <m/>
    <m/>
    <m/>
    <m/>
    <m/>
    <m/>
    <m/>
    <m/>
    <m/>
    <m/>
    <m/>
    <m/>
    <m/>
    <m/>
    <m/>
    <m/>
    <m/>
    <m/>
    <m/>
    <m/>
    <m/>
    <n v="6"/>
    <n v="4.4999999999999998E-2"/>
    <m/>
    <m/>
    <m/>
    <m/>
    <m/>
    <m/>
    <m/>
    <m/>
    <m/>
    <m/>
    <m/>
    <m/>
    <m/>
    <m/>
    <m/>
    <m/>
    <m/>
    <m/>
    <m/>
    <m/>
    <m/>
    <m/>
    <m/>
    <m/>
    <m/>
    <m/>
    <m/>
    <m/>
    <n v="4.4999999999999998E-2"/>
    <s v="21/02/2021"/>
    <s v="21"/>
    <s v="2"/>
    <s v="2021"/>
    <x v="23"/>
    <n v="52"/>
    <x v="3"/>
    <s v="Trapped, heavily parasitized"/>
    <n v="1.4213901889408911"/>
    <n v="2.3259881077299758"/>
    <n v="2.3598296664300924"/>
    <n v="3.4011280123055889"/>
    <n v="1.2134677832849086"/>
    <n v="1.9825670825499915"/>
    <s v="T"/>
    <n v="3"/>
    <m/>
    <m/>
    <m/>
    <m/>
    <m/>
    <m/>
    <m/>
    <m/>
    <m/>
  </r>
  <r>
    <x v="600"/>
    <x v="4"/>
    <s v="I"/>
    <s v="S"/>
    <x v="0"/>
    <n v="74"/>
    <n v="70"/>
    <n v="5.67"/>
    <n v="0.17799999999999999"/>
    <n v="9.4E-2"/>
    <s v="F22"/>
    <x v="0"/>
    <n v="22"/>
    <n v="0.29499999999999998"/>
    <n v="0.24099999999999999"/>
    <s v="9 chiro: 0.039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9"/>
    <n v="3.9E-2"/>
    <m/>
    <m/>
    <m/>
    <m/>
    <m/>
    <m/>
    <m/>
    <m/>
    <m/>
    <m/>
    <m/>
    <m/>
    <m/>
    <m/>
    <m/>
    <m/>
    <m/>
    <m/>
    <m/>
    <m/>
    <m/>
    <m/>
    <m/>
    <m/>
    <n v="3.9E-2"/>
    <s v="21/2/21"/>
    <s v="21"/>
    <s v="2"/>
    <s v="2021"/>
    <x v="23"/>
    <n v="52"/>
    <x v="3"/>
    <s v="Trapped, heavily parasitized"/>
    <n v="1.6857962697274034"/>
    <n v="3.2410779315367808"/>
    <n v="3.2975175991107815"/>
    <n v="4.250440917107583"/>
    <n v="0.95238095238095233"/>
    <n v="1.64021164021164"/>
    <s v="T"/>
    <n v="3"/>
    <m/>
    <m/>
    <m/>
    <m/>
    <m/>
    <m/>
    <m/>
    <m/>
    <m/>
  </r>
  <r>
    <x v="601"/>
    <x v="4"/>
    <s v="I"/>
    <s v="S"/>
    <x v="0"/>
    <n v="75"/>
    <n v="70"/>
    <n v="7.5609999999999999"/>
    <n v="0.15"/>
    <n v="0.124"/>
    <s v="F22"/>
    <x v="0"/>
    <n v="22"/>
    <n v="0.28799999999999998"/>
    <n v="0.27100000000000002"/>
    <s v="1 chiro: &lt;0.001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0"/>
    <m/>
    <m/>
    <m/>
    <m/>
    <m/>
    <m/>
    <m/>
    <m/>
    <m/>
    <m/>
    <m/>
    <m/>
    <m/>
    <m/>
    <m/>
    <m/>
    <m/>
    <m/>
    <m/>
    <m/>
    <m/>
    <m/>
    <m/>
    <m/>
    <n v="0"/>
    <s v="21/2/21"/>
    <s v="21"/>
    <s v="2"/>
    <s v="2021"/>
    <x v="23"/>
    <n v="52"/>
    <x v="3"/>
    <s v="Trapped, heavily parasitized"/>
    <n v="1.6673389807718166"/>
    <n v="2.0240183510997167"/>
    <n v="2.0584602717167559"/>
    <n v="3.5841819865097211"/>
    <n v="0.2248379843935982"/>
    <n v="0.2248379843935982"/>
    <s v="T"/>
    <n v="3"/>
    <n v="0"/>
    <n v="123"/>
    <n v="28"/>
    <n v="0"/>
    <n v="2.3999999999999998E-3"/>
    <n v="0.34290612944706383"/>
    <n v="6.6790000000000003"/>
    <n v="74.248146494964018"/>
    <n v="108.23533936651751"/>
  </r>
  <r>
    <x v="602"/>
    <x v="4"/>
    <s v="S"/>
    <s v="IMM"/>
    <x v="0"/>
    <n v="60"/>
    <n v="56"/>
    <n v="2.9740000000000002"/>
    <n v="5.6000000000000001E-2"/>
    <n v="4.2000000000000003E-2"/>
    <s v="F22"/>
    <x v="0"/>
    <n v="22"/>
    <n v="0.13"/>
    <n v="0.11700000000000001"/>
    <s v="3 inverts: 0.004"/>
    <s v="F"/>
    <m/>
    <m/>
    <n v="3"/>
    <n v="4.0000000000000001E-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.0000000000000001E-3"/>
    <s v="21/2/21"/>
    <s v="21"/>
    <s v="2"/>
    <s v="2021"/>
    <x v="23"/>
    <n v="52"/>
    <x v="3"/>
    <s v="Trapped, some parasites"/>
    <n v="1.4324693042291952"/>
    <n v="1.9191226867717615"/>
    <n v="1.9471488178025034"/>
    <n v="3.9340954942837931"/>
    <n v="0.43712172158708795"/>
    <n v="0.57162071284465354"/>
    <s v="T"/>
    <n v="2"/>
    <m/>
    <m/>
    <m/>
    <m/>
    <m/>
    <m/>
    <m/>
    <m/>
    <m/>
  </r>
  <r>
    <x v="603"/>
    <x v="4"/>
    <s v="I"/>
    <s v="S"/>
    <x v="0"/>
    <n v="84"/>
    <n v="79"/>
    <n v="8.2520000000000007"/>
    <n v="0.186"/>
    <n v="2.3E-2"/>
    <s v="M22"/>
    <x v="2"/>
    <n v="22"/>
    <n v="0.34399999999999997"/>
    <n v="0.28499999999999998"/>
    <s v="9 chiro: 0.023, 1 damsel: 0.007"/>
    <s v="F"/>
    <m/>
    <m/>
    <m/>
    <m/>
    <m/>
    <m/>
    <m/>
    <m/>
    <m/>
    <m/>
    <m/>
    <m/>
    <m/>
    <m/>
    <m/>
    <m/>
    <m/>
    <m/>
    <m/>
    <m/>
    <m/>
    <m/>
    <m/>
    <m/>
    <m/>
    <m/>
    <n v="1"/>
    <n v="7.0000000000000001E-3"/>
    <m/>
    <m/>
    <n v="9"/>
    <n v="2.3E-2"/>
    <m/>
    <m/>
    <m/>
    <m/>
    <m/>
    <m/>
    <m/>
    <m/>
    <m/>
    <m/>
    <m/>
    <m/>
    <m/>
    <m/>
    <m/>
    <m/>
    <m/>
    <m/>
    <m/>
    <m/>
    <m/>
    <m/>
    <m/>
    <m/>
    <n v="0.03"/>
    <s v="21/2/21"/>
    <s v="21"/>
    <s v="2"/>
    <s v="2021"/>
    <x v="23"/>
    <n v="52"/>
    <x v="3"/>
    <s v="Trapped, heavily parasitized"/>
    <n v="0.279499331632033"/>
    <n v="2.3059757004711132"/>
    <n v="2.3125699365908239"/>
    <n v="3.4537081919534653"/>
    <n v="0.71497818710615602"/>
    <n v="1.0785264178380998"/>
    <s v="T"/>
    <n v="3"/>
    <m/>
    <m/>
    <m/>
    <m/>
    <m/>
    <m/>
    <m/>
    <m/>
    <m/>
  </r>
  <r>
    <x v="604"/>
    <x v="4"/>
    <s v="I"/>
    <s v="S"/>
    <x v="0"/>
    <n v="71"/>
    <n v="64"/>
    <n v="5.3"/>
    <n v="0.14699999999999999"/>
    <n v="7.5999999999999998E-2"/>
    <s v="F22"/>
    <x v="0"/>
    <n v="22"/>
    <n v="0.20100000000000001"/>
    <n v="0.19500000000000001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21/2/21"/>
    <s v="21"/>
    <s v="2"/>
    <s v="2021"/>
    <x v="23"/>
    <n v="52"/>
    <x v="3"/>
    <s v="Trapped, heavily parasitized"/>
    <n v="1.454823889739663"/>
    <n v="2.8527071608771588"/>
    <n v="2.8954106755958242"/>
    <n v="3.6792452830188687"/>
    <n v="0.11320754716981143"/>
    <n v="0.11320754716981143"/>
    <s v="T"/>
    <n v="3"/>
    <n v="0"/>
    <n v="89"/>
    <n v="9"/>
    <n v="0"/>
    <n v="1E-3"/>
    <n v="0.2050861361771944"/>
    <n v="6.9130000000000003"/>
    <n v="80.176290939721625"/>
    <m/>
  </r>
  <r>
    <x v="605"/>
    <x v="4"/>
    <s v="I"/>
    <s v="S"/>
    <x v="0"/>
    <n v="80"/>
    <n v="75"/>
    <n v="8.077"/>
    <n v="0.151"/>
    <n v="1.2E-2"/>
    <s v="M22"/>
    <x v="2"/>
    <n v="22"/>
    <n v="0.28899999999999998"/>
    <n v="0.28000000000000003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21/2/21"/>
    <s v="21"/>
    <s v="2"/>
    <s v="2021"/>
    <x v="23"/>
    <n v="52"/>
    <x v="3"/>
    <s v="Trapped, heavily parasitized"/>
    <n v="0.14879107253564788"/>
    <n v="1.9051223820338126"/>
    <n v="1.9080111195350011"/>
    <n v="3.4666336511080851"/>
    <n v="0.11142751021418786"/>
    <n v="0.11142751021418786"/>
    <s v="T"/>
    <n v="3"/>
    <m/>
    <m/>
    <m/>
    <m/>
    <m/>
    <m/>
    <m/>
    <m/>
    <m/>
  </r>
  <r>
    <x v="606"/>
    <x v="4"/>
    <s v="I"/>
    <s v="S"/>
    <x v="0"/>
    <n v="71"/>
    <n v="65"/>
    <n v="4.7969999999999997"/>
    <n v="0.10299999999999999"/>
    <n v="8.5000000000000006E-2"/>
    <s v="F22"/>
    <x v="0"/>
    <n v="22"/>
    <n v="0.214"/>
    <n v="0.188"/>
    <s v="4 chiro: 0.011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1.0999999999999999E-2"/>
    <m/>
    <m/>
    <m/>
    <m/>
    <m/>
    <m/>
    <m/>
    <m/>
    <m/>
    <m/>
    <m/>
    <m/>
    <m/>
    <m/>
    <m/>
    <m/>
    <m/>
    <m/>
    <m/>
    <m/>
    <m/>
    <m/>
    <m/>
    <m/>
    <n v="1.0999999999999999E-2"/>
    <s v="21/2/21"/>
    <s v="21"/>
    <s v="2"/>
    <s v="2021"/>
    <x v="23"/>
    <n v="52"/>
    <x v="3"/>
    <s v="Trapped, some parasites"/>
    <n v="1.8039049235993212"/>
    <n v="2.1942905837239026"/>
    <n v="2.2347580820134518"/>
    <n v="3.9191161142380659"/>
    <n v="0.54200542005420049"/>
    <n v="0.77131540546174671"/>
    <s v="T"/>
    <n v="2"/>
    <m/>
    <m/>
    <m/>
    <m/>
    <m/>
    <m/>
    <m/>
    <m/>
    <m/>
  </r>
  <r>
    <x v="607"/>
    <x v="4"/>
    <s v="I"/>
    <s v="S"/>
    <x v="0"/>
    <n v="76"/>
    <n v="71"/>
    <n v="6.7050000000000001"/>
    <n v="0.29699999999999999"/>
    <n v="1.9E-2"/>
    <s v="M22"/>
    <x v="2"/>
    <n v="22"/>
    <n v="0.25900000000000001"/>
    <n v="0.22900000000000001"/>
    <s v="goo: 0.006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21/2/21"/>
    <s v="21"/>
    <s v="2"/>
    <s v="2021"/>
    <x v="23"/>
    <n v="52"/>
    <x v="3"/>
    <s v="Trapped, heavily parasitized"/>
    <n v="0.28417588991923426"/>
    <n v="4.6348314606741567"/>
    <n v="4.6486148066990136"/>
    <n v="3.4153616703952276"/>
    <n v="0.44742729306487694"/>
    <n v="0.44742729306487694"/>
    <s v="T"/>
    <n v="3"/>
    <m/>
    <m/>
    <m/>
    <m/>
    <m/>
    <m/>
    <m/>
    <m/>
    <m/>
  </r>
  <r>
    <x v="608"/>
    <x v="4"/>
    <s v="I"/>
    <s v="IMM"/>
    <x v="0"/>
    <n v="61"/>
    <n v="57"/>
    <n v="3.1819999999999999"/>
    <n v="6.3E-2"/>
    <n v="6.0000000000000001E-3"/>
    <s v="M22"/>
    <x v="2"/>
    <n v="22"/>
    <n v="0.11799999999999999"/>
    <n v="0.105"/>
    <s v="2 chiro: 0.004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4.0000000000000001E-3"/>
    <m/>
    <m/>
    <m/>
    <m/>
    <m/>
    <m/>
    <m/>
    <m/>
    <m/>
    <m/>
    <m/>
    <m/>
    <m/>
    <m/>
    <m/>
    <m/>
    <m/>
    <m/>
    <m/>
    <m/>
    <m/>
    <m/>
    <m/>
    <m/>
    <n v="4.0000000000000001E-3"/>
    <s v="21/2/21"/>
    <s v="21"/>
    <s v="2"/>
    <s v="2021"/>
    <x v="23"/>
    <n v="52"/>
    <x v="3"/>
    <s v="Trapped, some parasites"/>
    <n v="0.18891687657430731"/>
    <n v="2.0198781660788714"/>
    <n v="2.0237712817218116"/>
    <n v="3.2998114393463229"/>
    <n v="0.4085480829666876"/>
    <n v="0.53425518541797612"/>
    <s v="T"/>
    <n v="2"/>
    <m/>
    <m/>
    <m/>
    <m/>
    <m/>
    <m/>
    <m/>
    <m/>
    <m/>
  </r>
  <r>
    <x v="609"/>
    <x v="4"/>
    <s v="I"/>
    <s v="S"/>
    <x v="0"/>
    <n v="77"/>
    <n v="68"/>
    <n v="6.9379999999999997"/>
    <n v="0.156"/>
    <n v="1.2E-2"/>
    <s v="M22"/>
    <x v="2"/>
    <n v="22"/>
    <n v="0.311"/>
    <n v="0.30299999999999999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d v="2021-05-03T00:00:00"/>
    <n v="5"/>
    <n v="3"/>
    <n v="2021"/>
    <x v="7"/>
    <n v="64"/>
    <x v="4"/>
    <m/>
    <n v="0.17326017903551832"/>
    <n v="2.30020642878207"/>
    <n v="2.3042836041358936"/>
    <n v="4.3672528106082442"/>
    <n v="0.11530700490054782"/>
    <n v="0.11530700490054782"/>
    <s v="T"/>
    <n v="4"/>
    <m/>
    <m/>
    <m/>
    <m/>
    <m/>
    <m/>
    <m/>
    <m/>
    <m/>
  </r>
  <r>
    <x v="610"/>
    <x v="4"/>
    <s v="I"/>
    <s v="S"/>
    <x v="0"/>
    <n v="83"/>
    <n v="80"/>
    <n v="8.43"/>
    <n v="0.154"/>
    <n v="1.7000000000000001E-2"/>
    <s v="M22"/>
    <x v="2"/>
    <n v="22"/>
    <n v="0.33600000000000002"/>
    <n v="0.32700000000000001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d v="2021-05-03T00:00:00"/>
    <n v="5"/>
    <n v="3"/>
    <n v="2021"/>
    <x v="7"/>
    <n v="64"/>
    <x v="4"/>
    <s v="Damaged tail"/>
    <n v="0.20206822774277905"/>
    <n v="1.8608023199613342"/>
    <n v="1.8646325220971058"/>
    <n v="3.8790035587188618"/>
    <n v="0.10676156583629903"/>
    <n v="0.10676156583629903"/>
    <s v="T"/>
    <n v="3"/>
    <m/>
    <m/>
    <m/>
    <m/>
    <m/>
    <m/>
    <m/>
    <m/>
    <m/>
  </r>
  <r>
    <x v="611"/>
    <x v="4"/>
    <s v="I"/>
    <s v="S"/>
    <x v="0"/>
    <n v="76"/>
    <n v="70"/>
    <n v="6.4850000000000003"/>
    <n v="0.156"/>
    <n v="1.2999999999999999E-2"/>
    <s v="M22"/>
    <x v="2"/>
    <n v="22"/>
    <n v="0.32600000000000001"/>
    <n v="0.29599999999999999"/>
    <s v="3 chiro: 0.012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1.2E-2"/>
    <m/>
    <m/>
    <m/>
    <m/>
    <m/>
    <m/>
    <m/>
    <m/>
    <m/>
    <m/>
    <m/>
    <m/>
    <m/>
    <m/>
    <m/>
    <m/>
    <m/>
    <m/>
    <m/>
    <m/>
    <m/>
    <m/>
    <m/>
    <m/>
    <n v="1.2E-2"/>
    <d v="2021-05-03T00:00:00"/>
    <n v="5"/>
    <n v="3"/>
    <n v="2021"/>
    <x v="7"/>
    <n v="64"/>
    <x v="4"/>
    <m/>
    <n v="0.20086526576019778"/>
    <n v="2.4648443671986096"/>
    <n v="2.4699176694110192"/>
    <n v="4.5643793369313794"/>
    <n v="0.46260601387818079"/>
    <n v="0.64764841942945295"/>
    <s v="T"/>
    <n v="3"/>
    <m/>
    <m/>
    <m/>
    <m/>
    <m/>
    <m/>
    <m/>
    <m/>
    <m/>
  </r>
  <r>
    <x v="612"/>
    <x v="4"/>
    <s v="I"/>
    <s v="S"/>
    <x v="0"/>
    <n v="80"/>
    <n v="76"/>
    <n v="7.5720000000000001"/>
    <n v="0.126"/>
    <n v="1.2999999999999999E-2"/>
    <s v="M22"/>
    <x v="2"/>
    <n v="22"/>
    <n v="0.34300000000000003"/>
    <n v="0.30399999999999999"/>
    <s v="5 chiro: 0.019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n v="1.9E-2"/>
    <m/>
    <m/>
    <m/>
    <m/>
    <m/>
    <m/>
    <m/>
    <m/>
    <m/>
    <m/>
    <m/>
    <m/>
    <m/>
    <m/>
    <m/>
    <m/>
    <m/>
    <m/>
    <m/>
    <m/>
    <m/>
    <m/>
    <m/>
    <m/>
    <n v="1.9E-2"/>
    <d v="2021-05-03T00:00:00"/>
    <n v="5"/>
    <n v="3"/>
    <n v="2021"/>
    <x v="7"/>
    <n v="64"/>
    <x v="4"/>
    <m/>
    <n v="0.17198042069056751"/>
    <n v="1.6921837228041903"/>
    <n v="1.6951432799677115"/>
    <n v="4.0147913365029053"/>
    <n v="0.51505546751188636"/>
    <n v="0.76597992604331799"/>
    <s v="T"/>
    <n v="3"/>
    <m/>
    <m/>
    <m/>
    <m/>
    <m/>
    <m/>
    <m/>
    <m/>
    <m/>
  </r>
  <r>
    <x v="613"/>
    <x v="4"/>
    <s v="I"/>
    <s v="S"/>
    <x v="0"/>
    <n v="77"/>
    <n v="73"/>
    <n v="6.3689999999999998"/>
    <n v="0.14299999999999999"/>
    <n v="1.2E-2"/>
    <s v="M22"/>
    <x v="2"/>
    <n v="22"/>
    <n v="0.29899999999999999"/>
    <n v="0.26700000000000002"/>
    <s v="3 chiro: 0.014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1.4E-2"/>
    <m/>
    <m/>
    <m/>
    <m/>
    <m/>
    <m/>
    <m/>
    <m/>
    <m/>
    <m/>
    <m/>
    <m/>
    <m/>
    <m/>
    <m/>
    <m/>
    <m/>
    <m/>
    <m/>
    <m/>
    <m/>
    <m/>
    <m/>
    <m/>
    <n v="1.4E-2"/>
    <d v="2021-05-03T00:00:00"/>
    <n v="5"/>
    <n v="3"/>
    <n v="2021"/>
    <x v="7"/>
    <n v="64"/>
    <x v="4"/>
    <m/>
    <n v="0.18876828692779613"/>
    <n v="2.2968197879858652"/>
    <n v="2.3012552301255229"/>
    <n v="4.1921808761186998"/>
    <n v="0.50243366305542436"/>
    <n v="0.72224839064217261"/>
    <s v="T"/>
    <n v="3"/>
    <m/>
    <m/>
    <m/>
    <m/>
    <m/>
    <m/>
    <m/>
    <m/>
    <m/>
  </r>
  <r>
    <x v="614"/>
    <x v="4"/>
    <s v="I"/>
    <s v="S"/>
    <x v="0"/>
    <n v="81"/>
    <n v="77"/>
    <n v="7.7690000000000001"/>
    <n v="0.314"/>
    <n v="1.6E-2"/>
    <s v="M22"/>
    <x v="2"/>
    <n v="22"/>
    <n v="0.35199999999999998"/>
    <n v="0.34300000000000003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d v="2021-05-03T00:00:00"/>
    <n v="5"/>
    <n v="3"/>
    <n v="2021"/>
    <x v="7"/>
    <n v="64"/>
    <x v="4"/>
    <m/>
    <n v="0.20637172707339094"/>
    <n v="4.2119382964453393"/>
    <n v="4.2209974458932651"/>
    <n v="4.4149826232462352"/>
    <n v="0.11584502509975482"/>
    <n v="0.11584502509975482"/>
    <s v="T"/>
    <n v="3"/>
    <m/>
    <m/>
    <m/>
    <m/>
    <m/>
    <m/>
    <m/>
    <m/>
    <m/>
  </r>
  <r>
    <x v="615"/>
    <x v="4"/>
    <s v="I"/>
    <s v="S"/>
    <x v="0"/>
    <n v="71"/>
    <n v="68"/>
    <n v="5.218"/>
    <n v="0.16200000000000001"/>
    <n v="1.4999999999999999E-2"/>
    <s v="M22"/>
    <x v="2"/>
    <n v="22"/>
    <n v="0.188"/>
    <n v="0.185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d v="2021-05-03T00:00:00"/>
    <n v="5"/>
    <n v="3"/>
    <n v="2021"/>
    <x v="7"/>
    <n v="64"/>
    <x v="4"/>
    <m/>
    <n v="0.2882952142994426"/>
    <n v="3.2041139240506324"/>
    <n v="3.2136480856972822"/>
    <n v="3.5454197010348789"/>
    <n v="5.7493292449214313E-2"/>
    <n v="5.7493292449214313E-2"/>
    <s v="T"/>
    <n v="4"/>
    <m/>
    <m/>
    <m/>
    <m/>
    <m/>
    <m/>
    <m/>
    <m/>
    <m/>
  </r>
  <r>
    <x v="616"/>
    <x v="4"/>
    <s v="I"/>
    <s v="S"/>
    <x v="0"/>
    <n v="72"/>
    <n v="67"/>
    <n v="5.593"/>
    <n v="0.159"/>
    <n v="9.2999999999999999E-2"/>
    <s v="F22"/>
    <x v="0"/>
    <n v="22"/>
    <n v="0.247"/>
    <n v="0.216"/>
    <s v="3 chiro: 0.009; 1 odo: 0.003"/>
    <s v="F"/>
    <m/>
    <m/>
    <m/>
    <m/>
    <m/>
    <m/>
    <m/>
    <m/>
    <m/>
    <m/>
    <m/>
    <m/>
    <m/>
    <m/>
    <m/>
    <m/>
    <m/>
    <m/>
    <m/>
    <m/>
    <m/>
    <m/>
    <m/>
    <m/>
    <n v="1"/>
    <n v="3.0000000000000001E-3"/>
    <m/>
    <m/>
    <m/>
    <m/>
    <n v="3"/>
    <n v="8.9999999999999993E-3"/>
    <m/>
    <m/>
    <m/>
    <m/>
    <m/>
    <m/>
    <m/>
    <m/>
    <m/>
    <m/>
    <m/>
    <m/>
    <m/>
    <m/>
    <m/>
    <m/>
    <m/>
    <m/>
    <m/>
    <m/>
    <m/>
    <m/>
    <m/>
    <m/>
    <n v="1.2E-2"/>
    <d v="2021-05-03T00:00:00"/>
    <n v="5"/>
    <n v="3"/>
    <n v="2021"/>
    <x v="7"/>
    <n v="64"/>
    <x v="4"/>
    <s v="Damaged tail"/>
    <n v="1.6909090909090909"/>
    <n v="2.9260213470739789"/>
    <n v="2.9769706047556634"/>
    <n v="3.8619703200429107"/>
    <n v="0.55426425889504738"/>
    <n v="0.76881816556409799"/>
    <s v="T"/>
    <n v="3"/>
    <m/>
    <m/>
    <m/>
    <m/>
    <n v="3.0999999999999999E-3"/>
    <n v="0.60855908912446011"/>
    <m/>
    <m/>
    <m/>
  </r>
  <r>
    <x v="617"/>
    <x v="4"/>
    <s v="I"/>
    <s v="S"/>
    <x v="0"/>
    <n v="73"/>
    <m/>
    <n v="6.1159999999999997"/>
    <n v="0.16800000000000001"/>
    <n v="1.2999999999999999E-2"/>
    <s v="M22"/>
    <x v="2"/>
    <n v="22"/>
    <n v="0.29799999999999999"/>
    <n v="0.245"/>
    <s v="4 chiro: 0.022; 1 odo: 0.008"/>
    <s v="F"/>
    <m/>
    <m/>
    <m/>
    <m/>
    <m/>
    <m/>
    <m/>
    <m/>
    <m/>
    <m/>
    <m/>
    <m/>
    <m/>
    <m/>
    <m/>
    <m/>
    <m/>
    <m/>
    <m/>
    <m/>
    <m/>
    <m/>
    <m/>
    <m/>
    <n v="1"/>
    <n v="8.0000000000000002E-3"/>
    <m/>
    <m/>
    <m/>
    <m/>
    <n v="4"/>
    <n v="2.1999999999999999E-2"/>
    <m/>
    <m/>
    <m/>
    <m/>
    <m/>
    <m/>
    <m/>
    <m/>
    <m/>
    <m/>
    <m/>
    <m/>
    <m/>
    <m/>
    <m/>
    <m/>
    <m/>
    <m/>
    <m/>
    <m/>
    <m/>
    <m/>
    <m/>
    <m/>
    <n v="0.03"/>
    <d v="2021-05-03T00:00:00"/>
    <n v="5"/>
    <n v="3"/>
    <n v="2021"/>
    <x v="7"/>
    <n v="64"/>
    <x v="4"/>
    <m/>
    <n v="0.2130099950843847"/>
    <n v="2.8244788164088774"/>
    <n v="2.8306655433866892"/>
    <n v="4.0058862001308047"/>
    <n v="0.86657946370176586"/>
    <n v="1.3570961412688032"/>
    <s v="T"/>
    <n v="3"/>
    <m/>
    <m/>
    <m/>
    <m/>
    <m/>
    <m/>
    <m/>
    <m/>
    <m/>
  </r>
  <r>
    <x v="618"/>
    <x v="4"/>
    <s v="I"/>
    <s v="S"/>
    <x v="0"/>
    <n v="75"/>
    <n v="71"/>
    <n v="5.843"/>
    <n v="0.123"/>
    <n v="0.115"/>
    <s v="F22"/>
    <x v="0"/>
    <n v="22"/>
    <n v="0.22900000000000001"/>
    <n v="0.222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d v="2021-05-03T00:00:00"/>
    <n v="5"/>
    <n v="3"/>
    <n v="2021"/>
    <x v="7"/>
    <n v="64"/>
    <x v="4"/>
    <m/>
    <n v="2.0076815642458103"/>
    <n v="2.1503496503496504"/>
    <n v="2.1944692239072259"/>
    <n v="3.799418107136745"/>
    <n v="0.11980147184665421"/>
    <n v="0.11980147184665421"/>
    <s v="T"/>
    <n v="4"/>
    <m/>
    <m/>
    <m/>
    <m/>
    <n v="2.9999999999999997E-4"/>
    <n v="5.5803571428571425E-2"/>
    <m/>
    <m/>
    <m/>
  </r>
  <r>
    <x v="619"/>
    <x v="4"/>
    <s v="I"/>
    <s v="S"/>
    <x v="0"/>
    <n v="69"/>
    <n v="66"/>
    <n v="5.0960000000000001"/>
    <n v="8.6999999999999994E-2"/>
    <n v="7.9000000000000001E-2"/>
    <s v="F22"/>
    <x v="0"/>
    <n v="22"/>
    <n v="0.214"/>
    <n v="0.17799999999999999"/>
    <s v="2 chiro: 0.012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1.2E-2"/>
    <m/>
    <m/>
    <m/>
    <m/>
    <m/>
    <m/>
    <m/>
    <m/>
    <m/>
    <m/>
    <m/>
    <m/>
    <m/>
    <m/>
    <m/>
    <m/>
    <m/>
    <m/>
    <m/>
    <m/>
    <m/>
    <m/>
    <m/>
    <m/>
    <n v="1.2E-2"/>
    <d v="2021-05-03T00:00:00"/>
    <n v="5"/>
    <n v="3"/>
    <n v="2021"/>
    <x v="7"/>
    <n v="64"/>
    <x v="4"/>
    <m/>
    <n v="1.5746462029101054"/>
    <n v="1.7368736274705527"/>
    <n v="1.7647058823529409"/>
    <n v="3.4929356357927785"/>
    <n v="0.70643642072213508"/>
    <n v="0.9419152276295133"/>
    <s v="T"/>
    <n v="3"/>
    <m/>
    <m/>
    <m/>
    <m/>
    <n v="2.2000000000000001E-3"/>
    <n v="0.46649703138252757"/>
    <m/>
    <m/>
    <m/>
  </r>
  <r>
    <x v="620"/>
    <x v="4"/>
    <s v="I"/>
    <s v="S"/>
    <x v="0"/>
    <n v="65"/>
    <n v="62"/>
    <n v="4.3239999999999998"/>
    <n v="9.2999999999999999E-2"/>
    <n v="1.0999999999999999E-2"/>
    <s v="M22"/>
    <x v="2"/>
    <n v="22"/>
    <n v="0.23"/>
    <m/>
    <s v="2 chiro: 0.007; 1 odo: 0.01"/>
    <s v="F"/>
    <m/>
    <m/>
    <m/>
    <m/>
    <m/>
    <m/>
    <m/>
    <m/>
    <m/>
    <m/>
    <m/>
    <m/>
    <m/>
    <m/>
    <m/>
    <m/>
    <m/>
    <m/>
    <m/>
    <m/>
    <m/>
    <m/>
    <m/>
    <m/>
    <n v="1"/>
    <n v="0.01"/>
    <m/>
    <m/>
    <m/>
    <m/>
    <n v="2"/>
    <n v="7.0000000000000001E-3"/>
    <m/>
    <m/>
    <m/>
    <m/>
    <m/>
    <m/>
    <m/>
    <m/>
    <m/>
    <m/>
    <m/>
    <m/>
    <m/>
    <m/>
    <m/>
    <m/>
    <m/>
    <m/>
    <m/>
    <m/>
    <m/>
    <m/>
    <m/>
    <m/>
    <n v="1.7000000000000001E-2"/>
    <d v="2021-05-03T00:00:00"/>
    <n v="5"/>
    <n v="3"/>
    <n v="2021"/>
    <x v="7"/>
    <n v="64"/>
    <x v="4"/>
    <m/>
    <n v="0.25504289357755622"/>
    <n v="2.1980619238950601"/>
    <n v="2.203791469194313"/>
    <m/>
    <m/>
    <m/>
    <s v="T"/>
    <n v="3"/>
    <m/>
    <m/>
    <m/>
    <m/>
    <m/>
    <m/>
    <m/>
    <m/>
    <m/>
  </r>
  <r>
    <x v="621"/>
    <x v="4"/>
    <s v="I"/>
    <s v="S"/>
    <x v="0"/>
    <n v="70"/>
    <n v="66"/>
    <n v="4.7489999999999997"/>
    <n v="0.13"/>
    <n v="1.0999999999999999E-2"/>
    <s v="M22"/>
    <x v="2"/>
    <n v="22"/>
    <n v="0.17499999999999999"/>
    <n v="0.159"/>
    <s v="1 chiro: 0.002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s v="chiro"/>
    <m/>
    <m/>
    <m/>
    <m/>
    <m/>
    <m/>
    <m/>
    <m/>
    <m/>
    <m/>
    <m/>
    <m/>
    <m/>
    <m/>
    <m/>
    <m/>
    <m/>
    <m/>
    <m/>
    <m/>
    <m/>
    <m/>
    <m/>
    <m/>
    <n v="2E-3"/>
    <d v="2021-05-03T00:00:00"/>
    <n v="5"/>
    <n v="3"/>
    <n v="2021"/>
    <x v="7"/>
    <n v="64"/>
    <x v="4"/>
    <m/>
    <n v="0.23216547066272691"/>
    <n v="2.8144620047629361"/>
    <n v="2.8211805555555558"/>
    <n v="3.3480732785849656"/>
    <n v="0.33691303432301511"/>
    <n v="0.37902716361339206"/>
    <s v="T"/>
    <n v="3"/>
    <m/>
    <m/>
    <m/>
    <m/>
    <m/>
    <m/>
    <m/>
    <m/>
    <m/>
  </r>
  <r>
    <x v="622"/>
    <x v="4"/>
    <s v="I"/>
    <s v="S"/>
    <x v="0"/>
    <n v="65"/>
    <n v="63"/>
    <n v="3.944"/>
    <n v="0.10100000000000001"/>
    <n v="5.3999999999999999E-2"/>
    <s v="F22"/>
    <x v="0"/>
    <n v="22"/>
    <n v="0.14499999999999999"/>
    <n v="0.14000000000000001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d v="2021-05-03T00:00:00"/>
    <n v="5"/>
    <n v="3"/>
    <n v="2021"/>
    <x v="7"/>
    <n v="64"/>
    <x v="4"/>
    <m/>
    <n v="1.3881748071979434"/>
    <n v="2.6281550871714807"/>
    <n v="2.6656109791501716"/>
    <n v="3.5496957403651122"/>
    <n v="0.12677484787018198"/>
    <n v="0.12677484787018198"/>
    <s v="T"/>
    <n v="2"/>
    <m/>
    <m/>
    <m/>
    <m/>
    <n v="5.1999999999999998E-3"/>
    <n v="1.4270032930845225"/>
    <m/>
    <m/>
    <m/>
  </r>
  <r>
    <x v="623"/>
    <x v="4"/>
    <s v="I"/>
    <s v="IMM"/>
    <x v="0"/>
    <n v="62"/>
    <n v="59"/>
    <n v="3.5"/>
    <n v="8.8999999999999996E-2"/>
    <n v="4.3999999999999997E-2"/>
    <s v="F22"/>
    <x v="0"/>
    <n v="22"/>
    <n v="0.11600000000000001"/>
    <n v="0.112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d v="2021-05-03T00:00:00"/>
    <n v="5"/>
    <n v="3"/>
    <n v="2021"/>
    <x v="7"/>
    <n v="64"/>
    <x v="4"/>
    <m/>
    <n v="1.2731481481481481"/>
    <n v="2.6092055115801815"/>
    <n v="2.6433026433026434"/>
    <n v="3.2"/>
    <n v="0.11428571428571438"/>
    <n v="0.11428571428571438"/>
    <s v="T"/>
    <n v="2"/>
    <m/>
    <m/>
    <m/>
    <m/>
    <n v="5.1000000000000004E-3"/>
    <n v="1.568748077514611"/>
    <m/>
    <m/>
    <m/>
  </r>
  <r>
    <x v="624"/>
    <x v="4"/>
    <s v="S"/>
    <s v="IMM"/>
    <x v="1"/>
    <n v="58"/>
    <n v="54"/>
    <n v="2.5750000000000002"/>
    <n v="5.8999999999999997E-2"/>
    <n v="0.04"/>
    <s v="F22"/>
    <x v="0"/>
    <n v="22"/>
    <n v="8.5000000000000006E-2"/>
    <n v="7.9000000000000001E-2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d v="2021-05-03T00:00:00"/>
    <n v="5"/>
    <n v="3"/>
    <n v="2021"/>
    <x v="7"/>
    <n v="64"/>
    <x v="4"/>
    <m/>
    <n v="1.5779092702169626"/>
    <n v="2.3449920508744038"/>
    <n v="2.3828756058158316"/>
    <n v="3.0679611650485437"/>
    <n v="0.23300970873786428"/>
    <n v="0.23300970873786428"/>
    <s v="T"/>
    <n v="3"/>
    <m/>
    <m/>
    <m/>
    <m/>
    <m/>
    <m/>
    <m/>
    <m/>
    <m/>
  </r>
  <r>
    <x v="625"/>
    <x v="4"/>
    <s v="S"/>
    <s v="IMM"/>
    <x v="1"/>
    <n v="57"/>
    <n v="54"/>
    <n v="2.82"/>
    <n v="8.7999999999999995E-2"/>
    <n v="5.0000000000000001E-3"/>
    <s v="M20"/>
    <x v="2"/>
    <n v="20"/>
    <n v="0.113"/>
    <n v="0.105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d v="2021-05-03T00:00:00"/>
    <n v="5"/>
    <n v="3"/>
    <n v="2021"/>
    <x v="7"/>
    <n v="64"/>
    <x v="4"/>
    <m/>
    <n v="0.17761989342806395"/>
    <n v="3.2210834553440701"/>
    <n v="3.2269893656032269"/>
    <n v="3.7234042553191489"/>
    <n v="0.28368794326241165"/>
    <n v="0.28368794326241165"/>
    <s v="T"/>
    <n v="3"/>
    <m/>
    <m/>
    <m/>
    <m/>
    <m/>
    <m/>
    <m/>
    <m/>
    <m/>
  </r>
  <r>
    <x v="626"/>
    <x v="4"/>
    <s v="I"/>
    <s v="I"/>
    <x v="0"/>
    <n v="88"/>
    <n v="83"/>
    <n v="11.516"/>
    <n v="0.30199999999999999"/>
    <n v="3.5000000000000003E-2"/>
    <s v="M22"/>
    <x v="2"/>
    <n v="22"/>
    <n v="0.84699999999999998"/>
    <n v="0.70199999999999996"/>
    <s v="1 fish: 0.117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0.11700000000000001"/>
    <m/>
    <m/>
    <n v="0.11700000000000001"/>
    <s v="18/3/2021"/>
    <s v="18"/>
    <s v="3"/>
    <s v="2021"/>
    <x v="26"/>
    <n v="77"/>
    <x v="5"/>
    <m/>
    <n v="0.30485149377231952"/>
    <n v="2.6930622436240412"/>
    <n v="2.701493872439395E-2"/>
    <n v="6.491584982430183"/>
    <n v="1.2591177492184789"/>
    <n v="2.2750955192775271"/>
    <s v="T"/>
    <n v="3"/>
    <m/>
    <m/>
    <m/>
    <m/>
    <m/>
    <m/>
    <m/>
    <m/>
    <m/>
  </r>
  <r>
    <x v="627"/>
    <x v="4"/>
    <s v="I"/>
    <s v="S"/>
    <x v="0"/>
    <n v="68"/>
    <n v="63"/>
    <n v="4.1929999999999996"/>
    <n v="0.11799999999999999"/>
    <n v="6.9000000000000006E-2"/>
    <s v="F22"/>
    <x v="0"/>
    <n v="22"/>
    <n v="0.17100000000000001"/>
    <n v="0.16600000000000001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18/3/2021"/>
    <s v="18"/>
    <s v="3"/>
    <s v="2021"/>
    <x v="26"/>
    <n v="77"/>
    <x v="5"/>
    <m/>
    <n v="1.6731328806983514"/>
    <n v="2.8957055214723928"/>
    <n v="2.9455816275586622E-2"/>
    <n v="4.1221753166128643"/>
    <n v="0.11924636298592906"/>
    <n v="0.11924636298592906"/>
    <s v="T"/>
    <n v="3"/>
    <n v="0"/>
    <n v="58"/>
    <n v="12"/>
    <n v="0"/>
    <n v="1.6000000000000001E-3"/>
    <n v="0.41720990873533254"/>
    <n v="9.3160000000000007"/>
    <n v="73.128402302353535"/>
    <n v="102.26219154077999"/>
  </r>
  <r>
    <x v="628"/>
    <x v="4"/>
    <s v="I"/>
    <s v="I"/>
    <x v="0"/>
    <n v="105"/>
    <n v="100"/>
    <n v="19.23"/>
    <n v="0.318"/>
    <n v="4.2999999999999997E-2"/>
    <s v="M22"/>
    <x v="2"/>
    <n v="22"/>
    <n v="0.97799999999999998"/>
    <n v="0.96199999999999997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18/3/2021"/>
    <s v="18"/>
    <s v="3"/>
    <s v="2021"/>
    <x v="26"/>
    <n v="77"/>
    <x v="5"/>
    <m/>
    <n v="0.22411007452962942"/>
    <n v="1.6814720812182742"/>
    <n v="1.6853039376755526E-2"/>
    <n v="5.2660389752572794"/>
    <n v="8.3203328133125407E-2"/>
    <n v="8.3203328133125407E-2"/>
    <s v="T"/>
    <n v="2"/>
    <m/>
    <m/>
    <m/>
    <m/>
    <m/>
    <m/>
    <m/>
    <m/>
    <m/>
  </r>
  <r>
    <x v="629"/>
    <x v="4"/>
    <s v="I"/>
    <s v="I"/>
    <x v="0"/>
    <n v="92"/>
    <n v="86"/>
    <n v="11.992000000000001"/>
    <n v="0.24199999999999999"/>
    <n v="2.7E-2"/>
    <s v="M22"/>
    <x v="2"/>
    <n v="22"/>
    <n v="0.64900000000000002"/>
    <n v="0.59499999999999997"/>
    <s v="7 chiro: 0.026; inverts: 0.01"/>
    <s v="F"/>
    <m/>
    <m/>
    <m/>
    <n v="0.01"/>
    <m/>
    <m/>
    <m/>
    <m/>
    <m/>
    <m/>
    <m/>
    <m/>
    <m/>
    <m/>
    <m/>
    <m/>
    <m/>
    <m/>
    <m/>
    <m/>
    <m/>
    <m/>
    <m/>
    <m/>
    <m/>
    <m/>
    <m/>
    <m/>
    <m/>
    <m/>
    <n v="7"/>
    <n v="2.5999999999999999E-2"/>
    <m/>
    <m/>
    <m/>
    <m/>
    <m/>
    <m/>
    <m/>
    <m/>
    <m/>
    <m/>
    <m/>
    <m/>
    <m/>
    <m/>
    <m/>
    <m/>
    <m/>
    <m/>
    <m/>
    <m/>
    <m/>
    <m/>
    <m/>
    <m/>
    <n v="2.7E-2"/>
    <s v="18/3/2021"/>
    <s v="18"/>
    <s v="3"/>
    <s v="2021"/>
    <x v="26"/>
    <n v="77"/>
    <x v="5"/>
    <m/>
    <n v="0.22565816966151273"/>
    <n v="2.0595744680851062"/>
    <n v="2.0643180073360058E-2"/>
    <n v="5.2206721066947441"/>
    <n v="0.4503002001334227"/>
    <n v="0.67545030020013375"/>
    <s v="T"/>
    <n v="3"/>
    <m/>
    <m/>
    <m/>
    <m/>
    <m/>
    <m/>
    <m/>
    <m/>
    <m/>
  </r>
  <r>
    <x v="630"/>
    <x v="4"/>
    <s v="I"/>
    <s v="I"/>
    <x v="0"/>
    <n v="85"/>
    <n v="80"/>
    <n v="8.6509999999999998"/>
    <n v="0.21299999999999999"/>
    <n v="2.3E-2"/>
    <s v="M22"/>
    <x v="2"/>
    <n v="22"/>
    <n v="0.51500000000000001"/>
    <n v="0.44600000000000001"/>
    <s v="11 chiro: 0.034; inverts: 0.013"/>
    <s v="F"/>
    <m/>
    <m/>
    <m/>
    <n v="1.2999999999999999E-2"/>
    <m/>
    <m/>
    <m/>
    <m/>
    <m/>
    <m/>
    <m/>
    <m/>
    <m/>
    <m/>
    <m/>
    <m/>
    <m/>
    <m/>
    <m/>
    <m/>
    <m/>
    <m/>
    <m/>
    <m/>
    <m/>
    <m/>
    <m/>
    <m/>
    <m/>
    <m/>
    <n v="11"/>
    <n v="3.4000000000000002E-2"/>
    <m/>
    <m/>
    <m/>
    <m/>
    <m/>
    <m/>
    <m/>
    <m/>
    <m/>
    <m/>
    <m/>
    <m/>
    <m/>
    <m/>
    <m/>
    <m/>
    <m/>
    <m/>
    <m/>
    <m/>
    <m/>
    <m/>
    <m/>
    <m/>
    <n v="4.7E-2"/>
    <s v="18/3/2021"/>
    <s v="18"/>
    <s v="3"/>
    <s v="2021"/>
    <x v="26"/>
    <n v="77"/>
    <x v="5"/>
    <m/>
    <n v="0.26657394529439038"/>
    <n v="2.5242948566010899"/>
    <n v="2.5311942959001778E-2"/>
    <n v="5.4357099329677023"/>
    <n v="0.79759565368165541"/>
    <n v="1.3408854467691598"/>
    <s v="T"/>
    <n v="3"/>
    <m/>
    <m/>
    <m/>
    <m/>
    <m/>
    <m/>
    <m/>
    <m/>
    <m/>
  </r>
  <r>
    <x v="631"/>
    <x v="4"/>
    <s v="I"/>
    <s v="I"/>
    <x v="0"/>
    <n v="90"/>
    <n v="84"/>
    <n v="10.723000000000001"/>
    <n v="0.22800000000000001"/>
    <n v="0.17399999999999999"/>
    <s v="F22"/>
    <x v="0"/>
    <n v="22"/>
    <n v="0.66600000000000004"/>
    <n v="0.51900000000000002"/>
    <s v="13 chiro: 0.051; 2 giant chiro: 0.063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3"/>
    <n v="5.0999999999999997E-2"/>
    <n v="2"/>
    <n v="6.3E-2"/>
    <m/>
    <m/>
    <m/>
    <m/>
    <m/>
    <m/>
    <m/>
    <m/>
    <m/>
    <m/>
    <m/>
    <m/>
    <m/>
    <m/>
    <m/>
    <m/>
    <m/>
    <m/>
    <m/>
    <m/>
    <m/>
    <m/>
    <n v="0.114"/>
    <s v="18/3/2021"/>
    <s v="18"/>
    <s v="3"/>
    <s v="2021"/>
    <x v="26"/>
    <n v="77"/>
    <x v="5"/>
    <m/>
    <n v="1.6494454450658829"/>
    <n v="2.1724630776560265"/>
    <n v="2.2090882666408292E-2"/>
    <n v="5.0862406899255186"/>
    <n v="1.3708850135223354"/>
    <n v="2.4340203301314931"/>
    <s v="T"/>
    <n v="3"/>
    <n v="0"/>
    <n v="135"/>
    <n v="58"/>
    <n v="0"/>
    <n v="8.9999999999999998E-4"/>
    <n v="9.3215950284826501E-2"/>
    <n v="8.0540000000000003"/>
    <n v="68.45586060830243"/>
    <n v="101.7961501252196"/>
  </r>
  <r>
    <x v="632"/>
    <x v="4"/>
    <s v="I"/>
    <s v="I"/>
    <x v="0"/>
    <n v="91"/>
    <n v="86"/>
    <n v="11.068"/>
    <n v="0.22800000000000001"/>
    <n v="1.4999999999999999E-2"/>
    <s v="M22"/>
    <x v="2"/>
    <n v="22"/>
    <n v="0.875"/>
    <n v="0.60799999999999998"/>
    <s v="24 chiro: 0.134; 1 giant chiro: 0.023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4"/>
    <n v="0.13400000000000001"/>
    <n v="1"/>
    <n v="2.3E-2"/>
    <m/>
    <m/>
    <m/>
    <m/>
    <m/>
    <m/>
    <m/>
    <m/>
    <m/>
    <m/>
    <m/>
    <m/>
    <m/>
    <m/>
    <m/>
    <m/>
    <m/>
    <m/>
    <m/>
    <m/>
    <m/>
    <m/>
    <n v="0.157"/>
    <s v="18/3/2021"/>
    <s v="18"/>
    <s v="3"/>
    <s v="2021"/>
    <x v="26"/>
    <n v="77"/>
    <x v="5"/>
    <m/>
    <n v="0.13570976205555055"/>
    <n v="2.103321033210332"/>
    <n v="2.1062355658198615E-2"/>
    <n v="5.8126195028680696"/>
    <n v="2.4123599566317315"/>
    <n v="3.8308637513552588"/>
    <s v="T"/>
    <n v="2"/>
    <m/>
    <m/>
    <m/>
    <m/>
    <m/>
    <m/>
    <m/>
    <m/>
    <m/>
  </r>
  <r>
    <x v="633"/>
    <x v="4"/>
    <s v="I"/>
    <s v="I"/>
    <x v="0"/>
    <n v="90"/>
    <n v="85"/>
    <n v="11.105"/>
    <n v="0.25600000000000001"/>
    <n v="0.02"/>
    <s v="M22"/>
    <x v="2"/>
    <n v="22"/>
    <n v="0.623"/>
    <n v="0.57499999999999996"/>
    <s v="2 chiro: 0.013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1.2999999999999999E-2"/>
    <m/>
    <m/>
    <m/>
    <m/>
    <m/>
    <m/>
    <m/>
    <m/>
    <m/>
    <m/>
    <m/>
    <m/>
    <m/>
    <m/>
    <m/>
    <m/>
    <m/>
    <m/>
    <m/>
    <m/>
    <m/>
    <m/>
    <m/>
    <m/>
    <n v="1.2999999999999999E-2"/>
    <s v="18/3/2021"/>
    <s v="18"/>
    <s v="3"/>
    <s v="2021"/>
    <x v="26"/>
    <n v="77"/>
    <x v="5"/>
    <m/>
    <n v="0.18042399639152007"/>
    <n v="2.3596644852060096"/>
    <n v="2.3640225320897591E-2"/>
    <n v="5.4605887939221258"/>
    <n v="0.43223773075191391"/>
    <n v="0.54930211616389057"/>
    <s v="T"/>
    <n v="3"/>
    <m/>
    <m/>
    <m/>
    <m/>
    <m/>
    <m/>
    <m/>
    <m/>
    <m/>
  </r>
  <r>
    <x v="634"/>
    <x v="4"/>
    <s v="I"/>
    <s v="I"/>
    <x v="0"/>
    <n v="88"/>
    <n v="82"/>
    <n v="9.5109999999999992"/>
    <n v="0.32"/>
    <n v="2.1000000000000001E-2"/>
    <s v="M22"/>
    <x v="2"/>
    <n v="22"/>
    <n v="0.52800000000000002"/>
    <n v="0.44700000000000001"/>
    <s v="9 chiro: 0.042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9"/>
    <n v="4.2000000000000003E-2"/>
    <m/>
    <m/>
    <m/>
    <m/>
    <m/>
    <m/>
    <m/>
    <m/>
    <m/>
    <m/>
    <m/>
    <m/>
    <m/>
    <m/>
    <m/>
    <m/>
    <m/>
    <m/>
    <m/>
    <m/>
    <m/>
    <m/>
    <m/>
    <m/>
    <n v="4.2000000000000003E-2"/>
    <s v="18/3/2021"/>
    <s v="18"/>
    <s v="3"/>
    <s v="2021"/>
    <x v="26"/>
    <n v="77"/>
    <x v="5"/>
    <m/>
    <n v="0.22128556375131722"/>
    <n v="3.4816668480034818"/>
    <n v="3.4896401308615058E-2"/>
    <n v="4.9315975286849074"/>
    <n v="0.85164546314793421"/>
    <n v="1.2932394070024187"/>
    <s v="T"/>
    <n v="2"/>
    <m/>
    <m/>
    <m/>
    <m/>
    <m/>
    <m/>
    <m/>
    <m/>
    <m/>
  </r>
  <r>
    <x v="635"/>
    <x v="4"/>
    <s v="I"/>
    <s v="I"/>
    <x v="0"/>
    <n v="87"/>
    <n v="82"/>
    <n v="9.1110000000000007"/>
    <n v="0.161"/>
    <n v="1.4999999999999999E-2"/>
    <s v="M22"/>
    <x v="2"/>
    <n v="22"/>
    <n v="0.58799999999999997"/>
    <n v="0.51"/>
    <s v="9 chiro: 0.043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9"/>
    <n v="4.2999999999999997E-2"/>
    <m/>
    <m/>
    <m/>
    <m/>
    <m/>
    <m/>
    <m/>
    <m/>
    <m/>
    <m/>
    <m/>
    <m/>
    <m/>
    <m/>
    <m/>
    <m/>
    <m/>
    <m/>
    <m/>
    <m/>
    <m/>
    <m/>
    <m/>
    <m/>
    <n v="4.2999999999999997E-2"/>
    <s v="18/3/2021"/>
    <s v="18"/>
    <s v="3"/>
    <s v="2021"/>
    <x v="26"/>
    <n v="77"/>
    <x v="5"/>
    <m/>
    <n v="0.16490765171503957"/>
    <n v="1.7988826815642456"/>
    <n v="1.8019026301063234E-2"/>
    <n v="5.9295430763864658"/>
    <n v="0.85610800131708864"/>
    <n v="1.3280649764021506"/>
    <s v="T"/>
    <n v="3"/>
    <m/>
    <m/>
    <m/>
    <m/>
    <m/>
    <m/>
    <m/>
    <m/>
    <m/>
  </r>
  <r>
    <x v="636"/>
    <x v="4"/>
    <s v="I"/>
    <s v="S"/>
    <x v="0"/>
    <n v="77"/>
    <n v="73"/>
    <n v="6.5810000000000004"/>
    <n v="0.14499999999999999"/>
    <n v="0.106"/>
    <s v="F22"/>
    <x v="0"/>
    <n v="22"/>
    <n v="0.30499999999999999"/>
    <n v="0.29299999999999998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18/3/2021"/>
    <s v="18"/>
    <s v="3"/>
    <s v="2021"/>
    <x v="26"/>
    <n v="77"/>
    <x v="5"/>
    <m/>
    <n v="1.6370656370656367"/>
    <n v="2.2529521441889369"/>
    <n v="2.290679304897314E-2"/>
    <n v="4.6596692111959284"/>
    <n v="0.18234310895000774"/>
    <n v="0.18234310895000774"/>
    <s v="T"/>
    <n v="3"/>
    <m/>
    <m/>
    <m/>
    <m/>
    <m/>
    <m/>
    <m/>
    <m/>
    <m/>
  </r>
  <r>
    <x v="637"/>
    <x v="4"/>
    <s v="I"/>
    <s v="S"/>
    <x v="0"/>
    <n v="70"/>
    <n v="66"/>
    <n v="4.8780000000000001"/>
    <n v="8.3000000000000004E-2"/>
    <n v="7.5999999999999998E-2"/>
    <s v="F22"/>
    <x v="0"/>
    <n v="22"/>
    <n v="0.158"/>
    <n v="0.153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18/3/2021"/>
    <s v="18"/>
    <s v="3"/>
    <s v="2021"/>
    <x v="26"/>
    <n v="77"/>
    <x v="5"/>
    <m/>
    <n v="1.5826738858808826"/>
    <n v="1.7309697601668406"/>
    <n v="1.758847213392668E-2"/>
    <n v="3.2380952380952377"/>
    <n v="0.10250102501025019"/>
    <n v="0.10250102501025019"/>
    <s v="T"/>
    <n v="3"/>
    <m/>
    <m/>
    <m/>
    <m/>
    <m/>
    <m/>
    <m/>
    <m/>
    <m/>
  </r>
  <r>
    <x v="638"/>
    <x v="4"/>
    <s v="I"/>
    <s v="S"/>
    <x v="0"/>
    <n v="80"/>
    <n v="76"/>
    <n v="6.7249999999999996"/>
    <n v="0.14199999999999999"/>
    <n v="1.4E-2"/>
    <s v="M22"/>
    <x v="2"/>
    <n v="22"/>
    <n v="0.31900000000000001"/>
    <n v="0.311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18/3/2021"/>
    <s v="18"/>
    <s v="3"/>
    <s v="2021"/>
    <x v="26"/>
    <n v="77"/>
    <x v="5"/>
    <m/>
    <n v="0.20861272537624798"/>
    <n v="2.1570712441136264"/>
    <n v="2.1616684426853404E-2"/>
    <n v="4.8487683193015281"/>
    <n v="0.11895910780669156"/>
    <n v="0.11895910780669156"/>
    <s v="T"/>
    <n v="3"/>
    <m/>
    <m/>
    <m/>
    <m/>
    <m/>
    <m/>
    <m/>
    <m/>
    <m/>
  </r>
  <r>
    <x v="639"/>
    <x v="4"/>
    <s v="I"/>
    <s v="S"/>
    <x v="0"/>
    <n v="72"/>
    <n v="67"/>
    <n v="5.4909999999999997"/>
    <n v="0.1"/>
    <n v="1.7000000000000001E-2"/>
    <s v="M22"/>
    <x v="2"/>
    <n v="22"/>
    <n v="0.32100000000000001"/>
    <n v="0.20699999999999999"/>
    <s v="6 chiro: 0.029; 2 giant chiro: 0.035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"/>
    <n v="2.9000000000000001E-2"/>
    <n v="2"/>
    <n v="3.5000000000000003E-2"/>
    <m/>
    <m/>
    <m/>
    <m/>
    <m/>
    <m/>
    <m/>
    <m/>
    <m/>
    <m/>
    <m/>
    <m/>
    <m/>
    <m/>
    <m/>
    <m/>
    <m/>
    <m/>
    <m/>
    <m/>
    <m/>
    <m/>
    <n v="6.4000000000000001E-2"/>
    <s v="18/3/2021"/>
    <s v="18"/>
    <s v="3"/>
    <s v="2021"/>
    <x v="26"/>
    <n v="77"/>
    <x v="5"/>
    <m/>
    <n v="0.31055900621118021"/>
    <n v="1.8549434242255611"/>
    <n v="1.8608113137327877E-2"/>
    <n v="3.917486752460257"/>
    <n v="2.0761245674740492"/>
    <n v="3.2416681843015849"/>
    <s v="T"/>
    <n v="3"/>
    <m/>
    <m/>
    <m/>
    <m/>
    <m/>
    <m/>
    <m/>
    <m/>
    <m/>
  </r>
  <r>
    <x v="640"/>
    <x v="4"/>
    <s v="I"/>
    <s v="S"/>
    <x v="0"/>
    <n v="83"/>
    <n v="78"/>
    <n v="9.7859999999999996"/>
    <n v="0.23799999999999999"/>
    <n v="0.14000000000000001"/>
    <s v="F22"/>
    <x v="0"/>
    <n v="22"/>
    <n v="0.74199999999999999"/>
    <n v="0.52800000000000002"/>
    <s v="1 fish: 0.15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0.15"/>
    <m/>
    <m/>
    <n v="0.15"/>
    <s v="18/3/2021"/>
    <s v="18"/>
    <s v="3"/>
    <s v="2021"/>
    <x v="26"/>
    <n v="77"/>
    <x v="5"/>
    <m/>
    <n v="1.4513788098693761"/>
    <n v="2.4926686217008798"/>
    <n v="2.5297619047619048E-2"/>
    <n v="5.7031756318859372"/>
    <n v="2.1867974657674227"/>
    <n v="3.7195994277539342"/>
    <s v="T"/>
    <n v="3"/>
    <m/>
    <m/>
    <m/>
    <m/>
    <m/>
    <m/>
    <m/>
    <m/>
    <m/>
  </r>
  <r>
    <x v="641"/>
    <x v="4"/>
    <s v="I"/>
    <s v="S"/>
    <x v="0"/>
    <n v="74"/>
    <n v="70"/>
    <n v="5.6740000000000004"/>
    <n v="0.11600000000000001"/>
    <n v="1.2999999999999999E-2"/>
    <s v="M22"/>
    <x v="2"/>
    <n v="22"/>
    <n v="0.35499999999999998"/>
    <n v="0.25700000000000001"/>
    <s v="10 chiro: 0.03; inverts: 0.012"/>
    <s v="F"/>
    <m/>
    <m/>
    <m/>
    <n v="1.2E-2"/>
    <m/>
    <m/>
    <m/>
    <m/>
    <m/>
    <m/>
    <m/>
    <m/>
    <m/>
    <m/>
    <m/>
    <m/>
    <m/>
    <m/>
    <m/>
    <m/>
    <m/>
    <m/>
    <m/>
    <m/>
    <m/>
    <m/>
    <m/>
    <m/>
    <m/>
    <m/>
    <n v="10"/>
    <n v="0.03"/>
    <m/>
    <m/>
    <m/>
    <m/>
    <m/>
    <m/>
    <m/>
    <m/>
    <m/>
    <m/>
    <m/>
    <m/>
    <m/>
    <m/>
    <m/>
    <m/>
    <m/>
    <m/>
    <m/>
    <m/>
    <m/>
    <m/>
    <m/>
    <m/>
    <n v="4.2000000000000003E-2"/>
    <s v="18/3/2021"/>
    <s v="18"/>
    <s v="3"/>
    <s v="2021"/>
    <x v="26"/>
    <n v="77"/>
    <x v="5"/>
    <m/>
    <n v="0.2296414061119943"/>
    <n v="2.0870816840590138"/>
    <n v="2.0919747520288547E-2"/>
    <n v="4.7443234262506921"/>
    <n v="1.7271765949947122"/>
    <n v="2.4673951357067319"/>
    <s v="T"/>
    <n v="2"/>
    <m/>
    <m/>
    <m/>
    <m/>
    <m/>
    <m/>
    <m/>
    <m/>
    <m/>
  </r>
  <r>
    <x v="642"/>
    <x v="4"/>
    <s v="I"/>
    <s v="S"/>
    <x v="0"/>
    <n v="73"/>
    <n v="70"/>
    <n v="5.6109999999999998"/>
    <n v="0.109"/>
    <n v="9.8000000000000004E-2"/>
    <s v="F22"/>
    <x v="0"/>
    <n v="22"/>
    <n v="0.22800000000000001"/>
    <n v="0.218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18/3/2021"/>
    <s v="18"/>
    <s v="3"/>
    <s v="2021"/>
    <x v="26"/>
    <n v="77"/>
    <x v="5"/>
    <m/>
    <n v="1.7776165427172137"/>
    <n v="1.9810977826245004"/>
    <n v="2.0170244263508514E-2"/>
    <n v="4.042277025774152"/>
    <n v="0.17822135091784011"/>
    <n v="0.17822135091784011"/>
    <s v="T"/>
    <n v="2"/>
    <n v="0"/>
    <n v="32"/>
    <n v="9"/>
    <n v="0"/>
    <n v="6.9999999999999999E-4"/>
    <n v="0.13523956723338484"/>
    <n v="7.9359999999999999"/>
    <n v="85.306580480968577"/>
    <n v="105.6515646638302"/>
  </r>
  <r>
    <x v="643"/>
    <x v="4"/>
    <s v="I"/>
    <s v="S"/>
    <x v="0"/>
    <n v="69"/>
    <n v="63"/>
    <n v="5.093"/>
    <n v="0.11"/>
    <n v="9.1999999999999998E-2"/>
    <s v="F22"/>
    <x v="0"/>
    <n v="22"/>
    <n v="0.22600000000000001"/>
    <n v="0.183"/>
    <s v="4 chiro: 0.028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2.8000000000000001E-2"/>
    <m/>
    <m/>
    <m/>
    <m/>
    <m/>
    <m/>
    <m/>
    <m/>
    <m/>
    <m/>
    <m/>
    <m/>
    <m/>
    <m/>
    <m/>
    <m/>
    <m/>
    <m/>
    <m/>
    <m/>
    <m/>
    <m/>
    <m/>
    <m/>
    <n v="2.8000000000000001E-2"/>
    <s v="18/3/2021"/>
    <s v="18"/>
    <s v="3"/>
    <s v="2021"/>
    <x v="26"/>
    <n v="77"/>
    <x v="5"/>
    <m/>
    <n v="1.8396320735852827"/>
    <n v="2.2075055187637971"/>
    <n v="2.2490288284604375E-2"/>
    <n v="3.7270875763747449"/>
    <n v="0.84429609267622252"/>
    <n v="1.3940702925584136"/>
    <s v="T"/>
    <n v="3"/>
    <m/>
    <m/>
    <m/>
    <m/>
    <m/>
    <m/>
    <m/>
    <m/>
    <m/>
  </r>
  <r>
    <x v="644"/>
    <x v="4"/>
    <s v="I"/>
    <s v="S"/>
    <x v="0"/>
    <n v="71"/>
    <n v="66"/>
    <n v="5.0819999999999999"/>
    <n v="0.123"/>
    <n v="8.9999999999999993E-3"/>
    <s v="M22"/>
    <x v="2"/>
    <n v="22"/>
    <n v="0.23300000000000001"/>
    <n v="0.22900000000000001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18/3/2021"/>
    <s v="18"/>
    <s v="3"/>
    <s v="2021"/>
    <x v="26"/>
    <n v="77"/>
    <x v="5"/>
    <m/>
    <n v="0.17740981667652278"/>
    <n v="2.4803387779794317"/>
    <n v="2.4848484848484852E-2"/>
    <n v="4.7187306820523389"/>
    <n v="7.8709169618260605E-2"/>
    <n v="7.8709169618260605E-2"/>
    <s v="T"/>
    <n v="3"/>
    <m/>
    <m/>
    <m/>
    <m/>
    <m/>
    <m/>
    <m/>
    <m/>
    <m/>
  </r>
  <r>
    <x v="645"/>
    <x v="4"/>
    <s v="I"/>
    <s v="S"/>
    <x v="0"/>
    <n v="65"/>
    <n v="61"/>
    <n v="4.0750000000000002"/>
    <n v="0.11700000000000001"/>
    <n v="0.01"/>
    <s v="M22"/>
    <x v="2"/>
    <n v="22"/>
    <n v="0.17100000000000001"/>
    <n v="0.11600000000000001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18/3/2021"/>
    <s v="18"/>
    <s v="3"/>
    <s v="2021"/>
    <x v="26"/>
    <n v="77"/>
    <x v="5"/>
    <m/>
    <n v="0.24600246002460022"/>
    <n v="2.9560384032339568"/>
    <n v="2.9635258358662611E-2"/>
    <n v="2.9300328365748927"/>
    <n v="1.3496932515337425"/>
    <n v="1.3496932515337425"/>
    <s v="T"/>
    <n v="3"/>
    <m/>
    <m/>
    <m/>
    <m/>
    <m/>
    <m/>
    <m/>
    <m/>
    <m/>
  </r>
  <r>
    <x v="646"/>
    <x v="4"/>
    <s v="I"/>
    <s v="S"/>
    <x v="0"/>
    <n v="65"/>
    <n v="62"/>
    <n v="4.1319999999999997"/>
    <n v="0.11899999999999999"/>
    <n v="5.5E-2"/>
    <s v="F22"/>
    <x v="0"/>
    <n v="22"/>
    <n v="0.16400000000000001"/>
    <n v="0.157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18/3/2021"/>
    <s v="18"/>
    <s v="3"/>
    <s v="2021"/>
    <x v="26"/>
    <n v="77"/>
    <x v="5"/>
    <m/>
    <n v="1.3490311503556536"/>
    <n v="2.9653625716421628"/>
    <n v="3.0065689742294087E-2"/>
    <n v="3.9496855345911954"/>
    <n v="0.16940948693126831"/>
    <n v="0.16940948693126831"/>
    <s v="T"/>
    <n v="2"/>
    <n v="0"/>
    <n v="30"/>
    <n v="1"/>
    <n v="0"/>
    <n v="3.0000000000000001E-3"/>
    <n v="0.79072219293621515"/>
    <n v="8.8759999999999994"/>
    <n v="77.450403582172427"/>
    <n v="117.36578258449353"/>
  </r>
  <r>
    <x v="647"/>
    <x v="4"/>
    <s v="I"/>
    <s v="IMM"/>
    <x v="0"/>
    <n v="63"/>
    <n v="59"/>
    <n v="3.5449999999999999"/>
    <n v="0.1"/>
    <n v="0"/>
    <s v="M10"/>
    <x v="2"/>
    <n v="10"/>
    <n v="0.186"/>
    <n v="0.16900000000000001"/>
    <s v="2 chiro: 0.002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2E-3"/>
    <m/>
    <m/>
    <m/>
    <m/>
    <m/>
    <m/>
    <m/>
    <m/>
    <m/>
    <m/>
    <m/>
    <m/>
    <m/>
    <m/>
    <m/>
    <m/>
    <m/>
    <m/>
    <m/>
    <m/>
    <m/>
    <m/>
    <m/>
    <m/>
    <n v="2E-3"/>
    <s v="18/3/2021"/>
    <s v="18"/>
    <s v="3"/>
    <s v="2021"/>
    <x v="26"/>
    <n v="77"/>
    <x v="5"/>
    <m/>
    <n v="0"/>
    <n v="2.9027576197387521"/>
    <n v="2.9027576197387522E-2"/>
    <n v="5.0059241706161144"/>
    <n v="0.47954866008462588"/>
    <n v="0.53596614950634669"/>
    <s v="T"/>
    <n v="2"/>
    <m/>
    <m/>
    <m/>
    <m/>
    <m/>
    <m/>
    <m/>
    <m/>
    <m/>
  </r>
  <r>
    <x v="648"/>
    <x v="4"/>
    <s v="I"/>
    <s v="IMM"/>
    <x v="0"/>
    <n v="64"/>
    <n v="60"/>
    <n v="3.5449999999999999"/>
    <n v="9.7000000000000003E-2"/>
    <n v="5.6000000000000001E-2"/>
    <s v="F22"/>
    <x v="0"/>
    <n v="22"/>
    <n v="0.16700000000000001"/>
    <n v="0.121"/>
    <s v="7 chiro: 0.03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"/>
    <n v="0.03"/>
    <m/>
    <m/>
    <m/>
    <m/>
    <m/>
    <m/>
    <m/>
    <m/>
    <m/>
    <m/>
    <m/>
    <m/>
    <m/>
    <m/>
    <m/>
    <m/>
    <m/>
    <m/>
    <m/>
    <m/>
    <m/>
    <m/>
    <m/>
    <m/>
    <n v="0.03"/>
    <s v="18/3/2021"/>
    <s v="18"/>
    <s v="3"/>
    <s v="2021"/>
    <x v="26"/>
    <n v="77"/>
    <x v="5"/>
    <m/>
    <n v="1.6050444253367726"/>
    <n v="2.8132250580046403"/>
    <n v="2.8596698113207548E-2"/>
    <n v="3.5338785046728973"/>
    <n v="1.2976022566995773"/>
    <n v="2.1438645980253885"/>
    <s v="T"/>
    <n v="2"/>
    <n v="0"/>
    <n v="13"/>
    <n v="2"/>
    <n v="0"/>
    <n v="8.6999999999999994E-3"/>
    <n v="2.6976744186046511"/>
    <n v="9.9"/>
    <n v="74.086267925043828"/>
    <n v="107.76475109644338"/>
  </r>
  <r>
    <x v="649"/>
    <x v="4"/>
    <s v="S"/>
    <s v="IMM"/>
    <x v="0"/>
    <n v="60"/>
    <n v="57"/>
    <n v="3.1549999999999998"/>
    <n v="7.0999999999999994E-2"/>
    <n v="1.2E-2"/>
    <s v="M22"/>
    <x v="2"/>
    <n v="22"/>
    <n v="0.105"/>
    <n v="9.8000000000000004E-2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18/3/2021"/>
    <s v="18"/>
    <s v="3"/>
    <s v="2021"/>
    <x v="26"/>
    <n v="77"/>
    <x v="5"/>
    <m/>
    <n v="0.38180082723512571"/>
    <n v="2.3022049286640729"/>
    <n v="2.3111979166666668E-2"/>
    <n v="3.2057572783774946"/>
    <n v="0.22187004754358142"/>
    <n v="0.22187004754358142"/>
    <s v="T"/>
    <n v="2"/>
    <m/>
    <m/>
    <m/>
    <m/>
    <m/>
    <m/>
    <m/>
    <m/>
    <m/>
  </r>
  <r>
    <x v="650"/>
    <x v="4"/>
    <s v="I"/>
    <s v="IMM"/>
    <x v="0"/>
    <n v="64"/>
    <n v="60"/>
    <n v="3.69"/>
    <n v="8.7999999999999995E-2"/>
    <n v="8.0000000000000002E-3"/>
    <s v="M22"/>
    <x v="2"/>
    <n v="22"/>
    <n v="0.218"/>
    <n v="0.16"/>
    <s v="2 chiro: 0.007; 1 odo: 0.029"/>
    <s v="F"/>
    <m/>
    <m/>
    <m/>
    <m/>
    <m/>
    <m/>
    <m/>
    <m/>
    <m/>
    <m/>
    <m/>
    <m/>
    <m/>
    <m/>
    <m/>
    <m/>
    <m/>
    <m/>
    <m/>
    <m/>
    <m/>
    <m/>
    <m/>
    <m/>
    <n v="1"/>
    <n v="2.9000000000000001E-2"/>
    <m/>
    <m/>
    <m/>
    <m/>
    <n v="2"/>
    <n v="7.0000000000000001E-3"/>
    <m/>
    <m/>
    <m/>
    <m/>
    <m/>
    <m/>
    <m/>
    <m/>
    <m/>
    <m/>
    <m/>
    <m/>
    <m/>
    <m/>
    <m/>
    <m/>
    <m/>
    <m/>
    <m/>
    <m/>
    <m/>
    <m/>
    <m/>
    <m/>
    <n v="3.5999999999999997E-2"/>
    <s v="18/3/2021"/>
    <s v="18"/>
    <s v="3"/>
    <s v="2021"/>
    <x v="26"/>
    <n v="77"/>
    <x v="5"/>
    <m/>
    <n v="0.21727322107550245"/>
    <n v="2.4430871737923376"/>
    <n v="2.4485253199777405E-2"/>
    <n v="4.5325779036827196"/>
    <n v="1.5718157181571817"/>
    <n v="2.5474254742547426"/>
    <s v="T"/>
    <n v="3"/>
    <m/>
    <m/>
    <m/>
    <m/>
    <m/>
    <m/>
    <m/>
    <m/>
    <m/>
  </r>
  <r>
    <x v="651"/>
    <x v="4"/>
    <s v="S"/>
    <s v="IMM"/>
    <x v="0"/>
    <n v="60"/>
    <n v="56"/>
    <n v="2.8759999999999999"/>
    <n v="6.9000000000000006E-2"/>
    <n v="3.5999999999999997E-2"/>
    <s v="F22"/>
    <x v="0"/>
    <n v="22"/>
    <n v="0.129"/>
    <n v="0.112"/>
    <s v="2 chiro: 0.007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7.0000000000000001E-3"/>
    <m/>
    <m/>
    <m/>
    <m/>
    <m/>
    <m/>
    <m/>
    <m/>
    <m/>
    <m/>
    <m/>
    <m/>
    <m/>
    <m/>
    <m/>
    <m/>
    <m/>
    <m/>
    <m/>
    <m/>
    <m/>
    <m/>
    <m/>
    <m/>
    <n v="7.0000000000000001E-3"/>
    <s v="18/3/2021"/>
    <s v="18"/>
    <s v="3"/>
    <s v="2021"/>
    <x v="26"/>
    <n v="77"/>
    <x v="5"/>
    <m/>
    <n v="1.267605633802817"/>
    <n v="2.4581403633772712"/>
    <n v="2.4900757849151935E-2"/>
    <n v="4.0520984081041975"/>
    <n v="0.59109874826147435"/>
    <n v="0.83449235048678716"/>
    <s v="T"/>
    <n v="3"/>
    <m/>
    <m/>
    <m/>
    <m/>
    <m/>
    <m/>
    <m/>
    <m/>
    <m/>
  </r>
  <r>
    <x v="652"/>
    <x v="4"/>
    <s v="S"/>
    <s v="IMM"/>
    <x v="1"/>
    <n v="59"/>
    <n v="54"/>
    <n v="2.9660000000000002"/>
    <m/>
    <m/>
    <m/>
    <x v="1"/>
    <m/>
    <m/>
    <m/>
    <m/>
    <s v="N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8/3/2021"/>
    <s v="18"/>
    <s v="3"/>
    <s v="2021"/>
    <x v="26"/>
    <n v="77"/>
    <x v="5"/>
    <s v="Frozen whole"/>
    <m/>
    <m/>
    <m/>
    <m/>
    <m/>
    <m/>
    <s v="T"/>
    <n v="3"/>
    <m/>
    <m/>
    <m/>
    <m/>
    <m/>
    <m/>
    <m/>
    <m/>
    <m/>
  </r>
  <r>
    <x v="653"/>
    <x v="4"/>
    <s v="I"/>
    <s v="I"/>
    <x v="0"/>
    <n v="109"/>
    <n v="103"/>
    <n v="20.297000000000001"/>
    <n v="0.33300000000000002"/>
    <n v="6.7000000000000004E-2"/>
    <s v="M22"/>
    <x v="2"/>
    <n v="22"/>
    <n v="1.173"/>
    <n v="1.091"/>
    <s v="1 mayfly: 0.012; 1 pupa: 0.041"/>
    <s v="F"/>
    <m/>
    <m/>
    <n v="1"/>
    <n v="4.1000000000000002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.2E-2"/>
    <m/>
    <m/>
    <m/>
    <m/>
    <m/>
    <m/>
    <m/>
    <m/>
    <m/>
    <m/>
    <m/>
    <m/>
    <m/>
    <m/>
    <m/>
    <m/>
    <n v="5.2999999999999999E-2"/>
    <s v="15/4/2021"/>
    <s v="15"/>
    <s v="4"/>
    <s v="2021"/>
    <x v="45"/>
    <n v="105"/>
    <x v="7"/>
    <m/>
    <n v="0.33119130004943154"/>
    <n v="1.6680024043277901"/>
    <n v="1.6736191385636024E-2"/>
    <n v="5.6805165052587734"/>
    <n v="0.40400059122037768"/>
    <n v="0.66512292457013389"/>
    <s v="T"/>
    <n v="3"/>
    <m/>
    <m/>
    <m/>
    <m/>
    <m/>
    <m/>
    <m/>
    <m/>
    <m/>
  </r>
  <r>
    <x v="654"/>
    <x v="4"/>
    <s v="I"/>
    <s v="I"/>
    <x v="0"/>
    <n v="87"/>
    <n v="83"/>
    <n v="10.239000000000001"/>
    <n v="0.3"/>
    <n v="3.4000000000000002E-2"/>
    <s v="M22"/>
    <x v="2"/>
    <n v="22"/>
    <n v="0.64100000000000001"/>
    <n v="0.623"/>
    <s v="1 invert: 0.007"/>
    <s v="F"/>
    <m/>
    <m/>
    <n v="1"/>
    <n v="7.0000000000000001E-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.0000000000000001E-3"/>
    <s v="15/4/2021"/>
    <s v="15"/>
    <s v="4"/>
    <s v="2021"/>
    <x v="45"/>
    <n v="105"/>
    <x v="7"/>
    <m/>
    <n v="0.33317001469867713"/>
    <n v="3.0184123151222453"/>
    <n v="3.0287733467945482E-2"/>
    <n v="6.4787853577371033"/>
    <n v="0.17579841781423983"/>
    <n v="0.24416446918644413"/>
    <s v="T"/>
    <n v="3"/>
    <m/>
    <m/>
    <m/>
    <m/>
    <m/>
    <m/>
    <m/>
    <m/>
    <m/>
  </r>
  <r>
    <x v="655"/>
    <x v="4"/>
    <s v="I"/>
    <s v="I"/>
    <x v="0"/>
    <n v="101"/>
    <n v="96"/>
    <n v="16.774999999999999"/>
    <n v="0.247"/>
    <n v="6.2E-2"/>
    <s v="M22"/>
    <x v="2"/>
    <n v="22"/>
    <n v="0.98699999999999999"/>
    <n v="0.96899999999999997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5/4/2021"/>
    <s v="15"/>
    <s v="4"/>
    <s v="2021"/>
    <x v="45"/>
    <n v="105"/>
    <x v="7"/>
    <m/>
    <n v="0.3709687069945552"/>
    <n v="1.4944336882865441"/>
    <n v="1.5000607312036927E-2"/>
    <n v="6.130583322788814"/>
    <n v="0.10730253353204183"/>
    <n v="0.10730253353204183"/>
    <s v="T"/>
    <n v="3"/>
    <m/>
    <m/>
    <m/>
    <m/>
    <m/>
    <m/>
    <m/>
    <m/>
    <m/>
  </r>
  <r>
    <x v="656"/>
    <x v="4"/>
    <s v="I"/>
    <s v="I"/>
    <x v="0"/>
    <n v="105"/>
    <n v="101"/>
    <n v="22.081"/>
    <n v="0.49299999999999999"/>
    <n v="7.1999999999999995E-2"/>
    <s v="M22"/>
    <x v="2"/>
    <n v="22"/>
    <n v="1.349"/>
    <n v="1.1060000000000001"/>
    <s v="~40 chiro: 0.165; 2 mussel: 0.004"/>
    <s v="F"/>
    <m/>
    <m/>
    <m/>
    <m/>
    <m/>
    <m/>
    <m/>
    <m/>
    <m/>
    <m/>
    <m/>
    <m/>
    <m/>
    <m/>
    <m/>
    <m/>
    <n v="2"/>
    <n v="4.0000000000000001E-3"/>
    <m/>
    <m/>
    <m/>
    <m/>
    <m/>
    <m/>
    <m/>
    <m/>
    <m/>
    <m/>
    <m/>
    <m/>
    <n v="40"/>
    <n v="0.16500000000000001"/>
    <m/>
    <m/>
    <m/>
    <m/>
    <m/>
    <m/>
    <m/>
    <m/>
    <m/>
    <m/>
    <m/>
    <m/>
    <m/>
    <m/>
    <m/>
    <m/>
    <m/>
    <m/>
    <m/>
    <m/>
    <m/>
    <m/>
    <m/>
    <m/>
    <n v="0.16900000000000001"/>
    <s v="15/4/2021"/>
    <s v="15"/>
    <s v="4"/>
    <s v="2021"/>
    <x v="45"/>
    <n v="105"/>
    <x v="7"/>
    <m/>
    <n v="0.32713889772365845"/>
    <n v="2.2836761163609411"/>
    <n v="2.291318088864101E-2"/>
    <n v="5.2729439809296794"/>
    <n v="1.1004936370635383"/>
    <n v="1.8658575245686333"/>
    <s v="T"/>
    <n v="3"/>
    <m/>
    <m/>
    <m/>
    <m/>
    <m/>
    <m/>
    <m/>
    <m/>
    <m/>
  </r>
  <r>
    <x v="657"/>
    <x v="4"/>
    <s v="I"/>
    <s v="S"/>
    <x v="0"/>
    <n v="71"/>
    <n v="65"/>
    <n v="6.1529999999999996"/>
    <n v="0.308"/>
    <n v="0.13"/>
    <s v="F23"/>
    <x v="0"/>
    <n v="23"/>
    <n v="0.54700000000000004"/>
    <n v="0.41799999999999998"/>
    <s v="~50 chiro: 0.085; 1 damsel: 0.019"/>
    <s v="F"/>
    <m/>
    <m/>
    <m/>
    <m/>
    <m/>
    <m/>
    <m/>
    <m/>
    <m/>
    <m/>
    <m/>
    <m/>
    <m/>
    <m/>
    <m/>
    <m/>
    <m/>
    <m/>
    <m/>
    <m/>
    <m/>
    <m/>
    <m/>
    <m/>
    <m/>
    <m/>
    <n v="1"/>
    <n v="1.9E-2"/>
    <m/>
    <m/>
    <n v="50"/>
    <n v="8.5000000000000006E-2"/>
    <m/>
    <m/>
    <m/>
    <m/>
    <m/>
    <m/>
    <m/>
    <m/>
    <m/>
    <m/>
    <m/>
    <m/>
    <m/>
    <m/>
    <m/>
    <m/>
    <m/>
    <m/>
    <m/>
    <m/>
    <m/>
    <m/>
    <m/>
    <m/>
    <n v="0.10400000000000001"/>
    <s v="15/4/2021"/>
    <s v="15"/>
    <s v="4"/>
    <s v="2021"/>
    <x v="45"/>
    <n v="105"/>
    <x v="7"/>
    <m/>
    <n v="2.158392827494604"/>
    <n v="5.2694610778443121"/>
    <n v="5.3893263342082241E-2"/>
    <n v="7.2885789014821274"/>
    <n v="2.0965382740126777"/>
    <n v="3.7867706809686346"/>
    <s v="T"/>
    <n v="2"/>
    <m/>
    <m/>
    <m/>
    <m/>
    <m/>
    <m/>
    <m/>
    <m/>
    <m/>
  </r>
  <r>
    <x v="658"/>
    <x v="4"/>
    <s v="I"/>
    <s v="I"/>
    <x v="0"/>
    <n v="85"/>
    <n v="80"/>
    <n v="8.6069999999999993"/>
    <n v="0.189"/>
    <n v="0.16200000000000001"/>
    <s v="F22"/>
    <x v="0"/>
    <n v="22"/>
    <n v="0.36"/>
    <n v="0.35199999999999998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5/4/2021"/>
    <s v="15"/>
    <s v="4"/>
    <s v="2021"/>
    <x v="45"/>
    <n v="105"/>
    <x v="7"/>
    <m/>
    <n v="1.9182948490230909"/>
    <n v="2.2451888809693519"/>
    <n v="2.2892441860465122E-2"/>
    <n v="4.2640823743185949"/>
    <n v="9.2947600790054707E-2"/>
    <n v="9.2947600790054707E-2"/>
    <s v="T"/>
    <n v="3"/>
    <n v="0"/>
    <n v="130"/>
    <n v="36"/>
    <n v="0"/>
    <n v="2.24E-2"/>
    <n v="2.836879432624114"/>
    <n v="7.3940000000000001"/>
    <n v="77.643189159144811"/>
    <m/>
  </r>
  <r>
    <x v="659"/>
    <x v="4"/>
    <s v="I"/>
    <s v="S"/>
    <x v="0"/>
    <n v="83"/>
    <n v="79"/>
    <n v="9.8049999999999997"/>
    <n v="0.28699999999999998"/>
    <n v="0.23699999999999999"/>
    <s v="F23"/>
    <x v="0"/>
    <n v="23"/>
    <n v="0.503"/>
    <n v="0.38100000000000001"/>
    <s v="14 damsel: 0.082"/>
    <s v="F"/>
    <m/>
    <m/>
    <m/>
    <m/>
    <m/>
    <m/>
    <m/>
    <m/>
    <m/>
    <m/>
    <m/>
    <m/>
    <m/>
    <m/>
    <m/>
    <m/>
    <m/>
    <m/>
    <m/>
    <m/>
    <m/>
    <m/>
    <m/>
    <m/>
    <m/>
    <m/>
    <n v="14"/>
    <n v="8.2000000000000003E-2"/>
    <m/>
    <m/>
    <m/>
    <m/>
    <m/>
    <m/>
    <m/>
    <m/>
    <m/>
    <m/>
    <m/>
    <m/>
    <m/>
    <m/>
    <m/>
    <m/>
    <m/>
    <m/>
    <m/>
    <m/>
    <m/>
    <m/>
    <m/>
    <m/>
    <m/>
    <m/>
    <m/>
    <m/>
    <n v="8.2000000000000003E-2"/>
    <s v="15/4/2021"/>
    <s v="15"/>
    <s v="4"/>
    <s v="2021"/>
    <x v="45"/>
    <n v="105"/>
    <x v="7"/>
    <m/>
    <n v="2.4770066889632107"/>
    <n v="3.0153393570077749"/>
    <n v="3.0923391875875447E-2"/>
    <n v="4.0428692699490663"/>
    <n v="1.2442631310555838"/>
    <n v="2.0805711371749109"/>
    <s v="T"/>
    <n v="3"/>
    <m/>
    <m/>
    <m/>
    <m/>
    <m/>
    <m/>
    <m/>
    <m/>
    <m/>
  </r>
  <r>
    <x v="660"/>
    <x v="4"/>
    <s v="I"/>
    <s v="I"/>
    <x v="0"/>
    <n v="102"/>
    <n v="95"/>
    <n v="17.774000000000001"/>
    <n v="0.36399999999999999"/>
    <n v="7.3999999999999996E-2"/>
    <s v="M22"/>
    <x v="2"/>
    <n v="22"/>
    <n v="0.98"/>
    <n v="0.96199999999999997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5/4/2021"/>
    <s v="15"/>
    <s v="4"/>
    <s v="2021"/>
    <x v="45"/>
    <n v="105"/>
    <x v="7"/>
    <m/>
    <n v="0.41807909604519777"/>
    <n v="2.0907524411257894"/>
    <n v="2.0996769727734194E-2"/>
    <n v="5.7221032595764925"/>
    <n v="0.10127152019804217"/>
    <n v="0.10127152019804217"/>
    <s v="T"/>
    <n v="3"/>
    <m/>
    <m/>
    <m/>
    <m/>
    <m/>
    <m/>
    <m/>
    <m/>
    <m/>
  </r>
  <r>
    <x v="661"/>
    <x v="4"/>
    <s v="I"/>
    <s v="I"/>
    <x v="0"/>
    <n v="87"/>
    <n v="83"/>
    <n v="10.148"/>
    <n v="0.311"/>
    <n v="4.2000000000000003E-2"/>
    <s v="M22"/>
    <x v="2"/>
    <n v="22"/>
    <n v="0.47199999999999998"/>
    <n v="0.46400000000000002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5/4/2021"/>
    <s v="15"/>
    <s v="4"/>
    <s v="2021"/>
    <x v="45"/>
    <n v="105"/>
    <x v="7"/>
    <m/>
    <n v="0.41559469622006728"/>
    <n v="3.1615329876995024"/>
    <n v="3.1750893312914752E-2"/>
    <n v="4.791408508880628"/>
    <n v="7.8833267638943161E-2"/>
    <n v="7.8833267638943161E-2"/>
    <s v="T"/>
    <n v="3"/>
    <m/>
    <m/>
    <m/>
    <m/>
    <m/>
    <m/>
    <m/>
    <m/>
    <m/>
  </r>
  <r>
    <x v="662"/>
    <x v="4"/>
    <s v="I"/>
    <s v="S"/>
    <x v="0"/>
    <n v="75"/>
    <n v="72"/>
    <n v="6.859"/>
    <n v="0.16500000000000001"/>
    <n v="3.1E-2"/>
    <s v="M22"/>
    <x v="2"/>
    <n v="22"/>
    <n v="0.42099999999999999"/>
    <n v="0.32500000000000001"/>
    <s v="~30 chiro: 0.063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"/>
    <n v="6.3E-2"/>
    <m/>
    <m/>
    <m/>
    <m/>
    <m/>
    <m/>
    <m/>
    <m/>
    <m/>
    <m/>
    <m/>
    <m/>
    <m/>
    <m/>
    <m/>
    <m/>
    <m/>
    <m/>
    <m/>
    <m/>
    <m/>
    <m/>
    <m/>
    <m/>
    <n v="6.3E-2"/>
    <s v="15/4/2021"/>
    <s v="15"/>
    <s v="4"/>
    <s v="2021"/>
    <x v="45"/>
    <n v="105"/>
    <x v="7"/>
    <m/>
    <n v="0.45401288810779145"/>
    <n v="2.4648939348670451"/>
    <n v="2.4763619990995047E-2"/>
    <n v="4.9739822467095198"/>
    <n v="1.3996209359965006"/>
    <n v="2.3181221752442043"/>
    <s v="T"/>
    <n v="2"/>
    <m/>
    <m/>
    <m/>
    <m/>
    <m/>
    <m/>
    <m/>
    <m/>
    <m/>
  </r>
  <r>
    <x v="663"/>
    <x v="4"/>
    <s v="I"/>
    <s v="S"/>
    <x v="0"/>
    <n v="76"/>
    <n v="70"/>
    <n v="7.4589999999999996"/>
    <n v="0.187"/>
    <n v="0.14399999999999999"/>
    <s v="F23"/>
    <x v="0"/>
    <n v="23"/>
    <n v="0.33600000000000002"/>
    <n v="0.33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5/4/2021"/>
    <s v="15"/>
    <s v="4"/>
    <s v="2021"/>
    <x v="45"/>
    <n v="105"/>
    <x v="7"/>
    <m/>
    <n v="1.9685577580314422"/>
    <n v="2.5715071507150715"/>
    <n v="2.623456790123457E-2"/>
    <n v="4.6289802216299627"/>
    <n v="8.0439737230191793E-2"/>
    <n v="8.0439737230191793E-2"/>
    <s v="T"/>
    <n v="2"/>
    <n v="0"/>
    <n v="57"/>
    <n v="24"/>
    <n v="0"/>
    <n v="4.99E-2"/>
    <n v="7.3468786808009439"/>
    <n v="7.7549999999999999"/>
    <n v="97.830588621441237"/>
    <m/>
  </r>
  <r>
    <x v="664"/>
    <x v="4"/>
    <s v="I"/>
    <s v="S"/>
    <x v="0"/>
    <n v="70"/>
    <n v="66"/>
    <n v="5.3819999999999997"/>
    <n v="0.186"/>
    <n v="0.112"/>
    <s v="F23"/>
    <x v="0"/>
    <n v="23"/>
    <n v="0.255"/>
    <n v="0.23300000000000001"/>
    <s v="3 inverts: 0.008"/>
    <s v="F"/>
    <m/>
    <m/>
    <n v="3"/>
    <n v="8.0000000000000002E-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.0000000000000002E-3"/>
    <s v="15/4/2021"/>
    <s v="15"/>
    <s v="4"/>
    <s v="2021"/>
    <x v="45"/>
    <n v="105"/>
    <x v="7"/>
    <m/>
    <n v="2.1252371916508541"/>
    <n v="3.5796766743648964"/>
    <n v="3.6585365853658541E-2"/>
    <n v="4.5251505146630411"/>
    <n v="0.40876997398736514"/>
    <n v="0.55741360089186165"/>
    <s v="T"/>
    <n v="3"/>
    <n v="1"/>
    <n v="42"/>
    <n v="10"/>
    <n v="0"/>
    <n v="2.0899999999999998E-2"/>
    <n v="4.3280182232346238"/>
    <n v="7.7249999999999996"/>
    <n v="77.739604345576254"/>
    <m/>
  </r>
  <r>
    <x v="665"/>
    <x v="4"/>
    <s v="I"/>
    <s v="IMM"/>
    <x v="0"/>
    <n v="64"/>
    <n v="60"/>
    <n v="4"/>
    <n v="9.6000000000000002E-2"/>
    <n v="7.3999999999999996E-2"/>
    <s v="F23"/>
    <x v="0"/>
    <n v="23"/>
    <n v="0.23300000000000001"/>
    <n v="0.188"/>
    <s v="5 chiro: 0.013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n v="1.2999999999999999E-2"/>
    <m/>
    <m/>
    <m/>
    <m/>
    <m/>
    <m/>
    <m/>
    <m/>
    <m/>
    <m/>
    <m/>
    <m/>
    <m/>
    <m/>
    <m/>
    <m/>
    <m/>
    <m/>
    <m/>
    <m/>
    <m/>
    <m/>
    <m/>
    <m/>
    <n v="1.2999999999999999E-2"/>
    <s v="15/4/2021"/>
    <s v="15"/>
    <s v="4"/>
    <s v="2021"/>
    <x v="45"/>
    <n v="105"/>
    <x v="7"/>
    <m/>
    <n v="1.8848700967906264"/>
    <n v="2.459016393442623"/>
    <n v="2.5065274151436032E-2"/>
    <n v="4.931794333683106"/>
    <n v="1.1250000000000002"/>
    <n v="1.4500000000000002"/>
    <s v="T"/>
    <n v="2"/>
    <n v="0"/>
    <n v="21"/>
    <n v="5"/>
    <n v="0"/>
    <n v="3.2000000000000002E-3"/>
    <n v="0.88963024742841257"/>
    <n v="8.6969999999999992"/>
    <n v="82.968396271309388"/>
    <m/>
  </r>
  <r>
    <x v="666"/>
    <x v="4"/>
    <s v="I"/>
    <s v="IMM"/>
    <x v="0"/>
    <n v="63"/>
    <n v="60"/>
    <n v="4.0060000000000002"/>
    <n v="0.112"/>
    <n v="8.4000000000000005E-2"/>
    <s v="F23"/>
    <x v="0"/>
    <n v="23"/>
    <n v="0.28899999999999998"/>
    <n v="0.192"/>
    <s v="15 chiro: 0.053; 2 scud: 0.011"/>
    <s v="F"/>
    <m/>
    <m/>
    <m/>
    <m/>
    <m/>
    <m/>
    <m/>
    <m/>
    <m/>
    <m/>
    <m/>
    <m/>
    <m/>
    <m/>
    <n v="2"/>
    <n v="1.0999999999999999E-2"/>
    <m/>
    <m/>
    <m/>
    <m/>
    <m/>
    <m/>
    <m/>
    <m/>
    <m/>
    <m/>
    <m/>
    <m/>
    <m/>
    <m/>
    <n v="15"/>
    <n v="5.2999999999999999E-2"/>
    <m/>
    <m/>
    <m/>
    <m/>
    <m/>
    <m/>
    <m/>
    <m/>
    <m/>
    <m/>
    <m/>
    <m/>
    <m/>
    <m/>
    <m/>
    <m/>
    <m/>
    <m/>
    <m/>
    <m/>
    <m/>
    <m/>
    <m/>
    <m/>
    <n v="6.4000000000000001E-2"/>
    <s v="15/4/2021"/>
    <s v="15"/>
    <s v="4"/>
    <s v="2021"/>
    <x v="45"/>
    <n v="105"/>
    <x v="7"/>
    <m/>
    <n v="2.1417644059153496"/>
    <n v="2.8762198253723676"/>
    <n v="2.9396325459317585E-2"/>
    <n v="5.0340849501835345"/>
    <n v="2.4213679480778825"/>
    <n v="4.0189715426859705"/>
    <s v="T"/>
    <n v="3"/>
    <n v="0"/>
    <n v="132"/>
    <n v="33"/>
    <n v="0"/>
    <n v="5.8999999999999999E-3"/>
    <n v="1.6756603237716559"/>
    <n v="9.2759999999999998"/>
    <n v="79.574339666709164"/>
    <m/>
  </r>
  <r>
    <x v="667"/>
    <x v="4"/>
    <s v="I"/>
    <s v="S"/>
    <x v="0"/>
    <n v="65"/>
    <n v="60"/>
    <n v="3.8090000000000002"/>
    <n v="7.0999999999999994E-2"/>
    <n v="7.2999999999999995E-2"/>
    <s v="F23"/>
    <x v="0"/>
    <n v="23"/>
    <n v="0.18099999999999999"/>
    <n v="0.15"/>
    <s v="zoops: 0.008"/>
    <s v="F"/>
    <m/>
    <m/>
    <m/>
    <m/>
    <m/>
    <m/>
    <m/>
    <m/>
    <m/>
    <m/>
    <m/>
    <m/>
    <m/>
    <m/>
    <m/>
    <m/>
    <m/>
    <m/>
    <m/>
    <m/>
    <m/>
    <m/>
    <m/>
    <n v="8.0000000000000002E-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.0000000000000002E-3"/>
    <s v="15/4/2021"/>
    <s v="15"/>
    <s v="4"/>
    <s v="2021"/>
    <x v="45"/>
    <n v="105"/>
    <x v="7"/>
    <m/>
    <n v="1.9539614561027836"/>
    <n v="1.8994114499732477"/>
    <n v="1.937244201909959E-2"/>
    <n v="4.0994807324405569"/>
    <n v="0.81386190601207653"/>
    <n v="1.0238907849829351"/>
    <s v="T"/>
    <n v="2"/>
    <m/>
    <m/>
    <m/>
    <m/>
    <m/>
    <m/>
    <m/>
    <m/>
    <m/>
  </r>
  <r>
    <x v="668"/>
    <x v="4"/>
    <s v="I"/>
    <s v="B"/>
    <x v="1"/>
    <n v="146"/>
    <n v="139"/>
    <n v="61.750999999999998"/>
    <n v="1.627"/>
    <n v="1.1120000000000001"/>
    <s v="F30"/>
    <x v="0"/>
    <n v="30"/>
    <n v="6.1459999999999999"/>
    <n v="4.5190000000000001"/>
    <s v="2 fish: 0.699; 2 worms: 0.46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0.69899999999999995"/>
    <m/>
    <m/>
    <m/>
    <m/>
    <m/>
    <m/>
    <m/>
    <m/>
    <n v="2"/>
    <n v="0.69899999999999995"/>
    <m/>
    <m/>
    <n v="1.159"/>
    <d v="2021-05-05T00:00:00"/>
    <n v="5"/>
    <n v="5"/>
    <n v="2021"/>
    <x v="46"/>
    <n v="125"/>
    <x v="8"/>
    <m/>
    <n v="1.8338033278912913"/>
    <n v="2.7060741134987696"/>
    <n v="2.7570663593845322E-2"/>
    <n v="7.8959323455409569"/>
    <n v="2.6347751453417758"/>
    <n v="4.5116678272416637"/>
    <s v="T"/>
    <n v="2"/>
    <m/>
    <m/>
    <m/>
    <m/>
    <m/>
    <m/>
    <m/>
    <m/>
    <m/>
  </r>
  <r>
    <x v="669"/>
    <x v="4"/>
    <s v="I"/>
    <s v="B"/>
    <x v="1"/>
    <n v="124"/>
    <n v="119"/>
    <n v="38.53"/>
    <n v="1.1080000000000001"/>
    <n v="0.877"/>
    <s v="F30"/>
    <x v="0"/>
    <n v="30"/>
    <n v="3.032"/>
    <n v="2.391"/>
    <s v="2 caddis: 0.276; 1 snail: 0.04"/>
    <s v="F"/>
    <m/>
    <m/>
    <m/>
    <m/>
    <m/>
    <m/>
    <m/>
    <m/>
    <m/>
    <m/>
    <m/>
    <m/>
    <m/>
    <m/>
    <m/>
    <m/>
    <m/>
    <m/>
    <n v="1"/>
    <n v="0.04"/>
    <m/>
    <m/>
    <m/>
    <m/>
    <m/>
    <m/>
    <m/>
    <m/>
    <m/>
    <m/>
    <m/>
    <m/>
    <m/>
    <m/>
    <m/>
    <m/>
    <n v="2"/>
    <n v="0.27600000000000002"/>
    <m/>
    <m/>
    <m/>
    <m/>
    <m/>
    <m/>
    <m/>
    <m/>
    <m/>
    <m/>
    <m/>
    <m/>
    <m/>
    <m/>
    <m/>
    <m/>
    <m/>
    <m/>
    <n v="0.316"/>
    <d v="2021-05-05T00:00:00"/>
    <n v="5"/>
    <n v="5"/>
    <n v="2021"/>
    <x v="46"/>
    <n v="125"/>
    <x v="8"/>
    <m/>
    <n v="2.3291636788569305"/>
    <n v="2.9608251830474055"/>
    <n v="3.0318785059515668E-2"/>
    <n v="6.6161210880212513"/>
    <n v="1.6636387230729304"/>
    <n v="2.4837788736049831"/>
    <s v="T"/>
    <n v="2"/>
    <m/>
    <m/>
    <m/>
    <m/>
    <m/>
    <m/>
    <m/>
    <m/>
    <m/>
  </r>
  <r>
    <x v="670"/>
    <x v="4"/>
    <s v="I"/>
    <s v="B"/>
    <x v="1"/>
    <n v="136"/>
    <n v="130"/>
    <n v="45.906999999999996"/>
    <n v="1.8149999999999999"/>
    <n v="1.409"/>
    <s v="F30"/>
    <x v="0"/>
    <n v="30"/>
    <n v="3.0609999999999999"/>
    <n v="2.78"/>
    <s v="inverts: 0.215"/>
    <s v="F"/>
    <m/>
    <m/>
    <m/>
    <n v="0.2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215"/>
    <d v="2021-05-05T00:00:00"/>
    <n v="5"/>
    <n v="5"/>
    <n v="2021"/>
    <x v="46"/>
    <n v="125"/>
    <x v="8"/>
    <m/>
    <n v="3.1664344464919774"/>
    <n v="4.1163929964619435"/>
    <n v="4.2522784246655579E-2"/>
    <n v="6.4460778630556268"/>
    <n v="0.61210708606530628"/>
    <n v="1.0804452480013944"/>
    <s v="T"/>
    <n v="2"/>
    <m/>
    <m/>
    <m/>
    <m/>
    <m/>
    <m/>
    <m/>
    <m/>
    <m/>
  </r>
  <r>
    <x v="671"/>
    <x v="4"/>
    <s v="I"/>
    <s v="B"/>
    <x v="1"/>
    <n v="134"/>
    <n v="128"/>
    <n v="39.892000000000003"/>
    <n v="0.84099999999999997"/>
    <n v="0.85899999999999999"/>
    <s v="F30"/>
    <x v="0"/>
    <n v="30"/>
    <n v="2.1230000000000002"/>
    <n v="2.0169999999999999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1-05-05T00:00:00"/>
    <n v="5"/>
    <n v="5"/>
    <n v="2021"/>
    <x v="46"/>
    <n v="125"/>
    <x v="8"/>
    <m/>
    <n v="2.2007019701278407"/>
    <n v="2.1535940180789224"/>
    <n v="2.2020318391286132E-2"/>
    <n v="5.3254125412541251"/>
    <n v="0.26571743708011708"/>
    <n v="0.26571743708011708"/>
    <s v="T"/>
    <n v="3"/>
    <m/>
    <m/>
    <m/>
    <m/>
    <m/>
    <m/>
    <m/>
    <m/>
    <m/>
  </r>
  <r>
    <x v="672"/>
    <x v="4"/>
    <s v="I"/>
    <s v="B"/>
    <x v="1"/>
    <n v="114"/>
    <n v="108"/>
    <n v="27.562000000000001"/>
    <n v="0.51400000000000001"/>
    <n v="0.19400000000000001"/>
    <s v="M30"/>
    <x v="2"/>
    <n v="30"/>
    <n v="3.335"/>
    <n v="1.6890000000000001"/>
    <s v="2 fish: 1.209; 1 earwig: 0.089"/>
    <s v="F"/>
    <m/>
    <m/>
    <m/>
    <m/>
    <n v="1"/>
    <n v="8.8999999999999996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1.2090000000000001"/>
    <m/>
    <m/>
    <n v="1.298"/>
    <d v="2021-05-05T00:00:00"/>
    <n v="5"/>
    <n v="5"/>
    <n v="2021"/>
    <x v="46"/>
    <n v="125"/>
    <x v="8"/>
    <m/>
    <n v="0.70885705933937448"/>
    <n v="1.9003253475303163"/>
    <n v="1.9140537722499441E-2"/>
    <n v="6.5280408147489659"/>
    <n v="5.9719904215949491"/>
    <n v="10.681372904723894"/>
    <s v="T"/>
    <n v="3"/>
    <m/>
    <m/>
    <m/>
    <m/>
    <m/>
    <m/>
    <m/>
    <m/>
    <m/>
  </r>
  <r>
    <x v="673"/>
    <x v="4"/>
    <s v="I"/>
    <s v="I"/>
    <x v="0"/>
    <n v="93"/>
    <n v="89"/>
    <n v="12.808"/>
    <n v="0.32700000000000001"/>
    <n v="0.309"/>
    <s v="F30"/>
    <x v="0"/>
    <n v="30"/>
    <n v="0.68300000000000005"/>
    <m/>
    <s v="1 odo: 0.023"/>
    <s v="F"/>
    <m/>
    <m/>
    <m/>
    <m/>
    <m/>
    <m/>
    <m/>
    <m/>
    <m/>
    <m/>
    <m/>
    <m/>
    <m/>
    <m/>
    <m/>
    <m/>
    <m/>
    <m/>
    <m/>
    <m/>
    <m/>
    <m/>
    <m/>
    <m/>
    <n v="1"/>
    <n v="2.3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.3E-2"/>
    <d v="2021-05-05T00:00:00"/>
    <n v="5"/>
    <n v="5"/>
    <n v="2021"/>
    <x v="46"/>
    <n v="125"/>
    <x v="8"/>
    <m/>
    <n v="2.4721977758220657"/>
    <n v="2.6199823732072751"/>
    <n v="2.6864935918501479E-2"/>
    <n v="0"/>
    <n v="5.3326046221111811"/>
    <n v="5.5121798875702694"/>
    <s v="T"/>
    <n v="2"/>
    <m/>
    <m/>
    <m/>
    <m/>
    <n v="6.5699999999999995E-2"/>
    <n v="5.7185133606057956"/>
    <m/>
    <m/>
    <m/>
  </r>
  <r>
    <x v="674"/>
    <x v="4"/>
    <s v="I"/>
    <s v="S"/>
    <x v="0"/>
    <n v="81"/>
    <n v="75"/>
    <n v="8.5039999999999996"/>
    <n v="0.20699999999999999"/>
    <n v="0.125"/>
    <s v="M30"/>
    <x v="2"/>
    <n v="30"/>
    <n v="0.69299999999999995"/>
    <n v="0.39800000000000002"/>
    <s v="8 chiro: 0.068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"/>
    <n v="6.8000000000000005E-2"/>
    <m/>
    <m/>
    <m/>
    <m/>
    <m/>
    <m/>
    <m/>
    <m/>
    <m/>
    <m/>
    <m/>
    <m/>
    <m/>
    <m/>
    <m/>
    <m/>
    <m/>
    <m/>
    <m/>
    <m/>
    <m/>
    <m/>
    <m/>
    <m/>
    <n v="6.8000000000000005E-2"/>
    <d v="2021-05-05T00:00:00"/>
    <n v="5"/>
    <n v="5"/>
    <n v="2021"/>
    <x v="46"/>
    <n v="125"/>
    <x v="8"/>
    <m/>
    <n v="1.491824800095477"/>
    <n v="2.4948776666264916"/>
    <n v="2.5330396475770928E-2"/>
    <n v="4.9099432519121642"/>
    <n v="3.4689557855126991"/>
    <n v="4.2685794920037621"/>
    <s v="T"/>
    <n v="2"/>
    <m/>
    <m/>
    <m/>
    <m/>
    <m/>
    <m/>
    <m/>
    <m/>
    <m/>
  </r>
  <r>
    <x v="675"/>
    <x v="4"/>
    <s v="I"/>
    <s v="S"/>
    <x v="0"/>
    <n v="80"/>
    <n v="75"/>
    <n v="9.1989999999999998"/>
    <n v="0.19800000000000001"/>
    <n v="5.3999999999999999E-2"/>
    <s v="M30"/>
    <x v="2"/>
    <n v="30"/>
    <n v="0.68899999999999995"/>
    <n v="0.51"/>
    <s v="13 chiro: 0.146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3"/>
    <n v="0.14599999999999999"/>
    <m/>
    <m/>
    <m/>
    <m/>
    <m/>
    <m/>
    <m/>
    <m/>
    <m/>
    <m/>
    <m/>
    <m/>
    <m/>
    <m/>
    <m/>
    <m/>
    <m/>
    <m/>
    <m/>
    <m/>
    <m/>
    <m/>
    <m/>
    <m/>
    <n v="0.14599999999999999"/>
    <d v="2021-05-05T00:00:00"/>
    <n v="5"/>
    <n v="5"/>
    <n v="2021"/>
    <x v="46"/>
    <n v="125"/>
    <x v="8"/>
    <m/>
    <n v="0.59048660470202297"/>
    <n v="2.1997555827130322"/>
    <n v="2.2130323013300552E-2"/>
    <n v="5.8694901599723792"/>
    <n v="1.9458636808348726"/>
    <n v="3.5329927165996295"/>
    <s v="T"/>
    <n v="3"/>
    <m/>
    <m/>
    <m/>
    <m/>
    <m/>
    <m/>
    <m/>
    <m/>
    <m/>
  </r>
  <r>
    <x v="676"/>
    <x v="4"/>
    <s v="I"/>
    <s v="I"/>
    <x v="0"/>
    <n v="87"/>
    <n v="83"/>
    <n v="10.349"/>
    <n v="0.27500000000000002"/>
    <n v="6.4000000000000001E-2"/>
    <s v="M30"/>
    <x v="2"/>
    <n v="30"/>
    <n v="0.70199999999999996"/>
    <n v="0.623"/>
    <s v="8 chiro: 0.052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"/>
    <n v="5.1999999999999998E-2"/>
    <m/>
    <m/>
    <m/>
    <m/>
    <m/>
    <m/>
    <m/>
    <m/>
    <m/>
    <m/>
    <m/>
    <m/>
    <m/>
    <m/>
    <m/>
    <m/>
    <m/>
    <m/>
    <m/>
    <m/>
    <m/>
    <m/>
    <m/>
    <m/>
    <n v="5.1999999999999998E-2"/>
    <d v="2021-05-05T00:00:00"/>
    <n v="5"/>
    <n v="5"/>
    <n v="2021"/>
    <x v="46"/>
    <n v="125"/>
    <x v="8"/>
    <m/>
    <n v="0.6222654350996597"/>
    <n v="2.7297994838197344"/>
    <n v="2.7472527472527476E-2"/>
    <n v="6.4055110014394403"/>
    <n v="0.7633587786259538"/>
    <n v="1.265822784810126"/>
    <s v="T"/>
    <n v="3"/>
    <m/>
    <m/>
    <m/>
    <m/>
    <m/>
    <m/>
    <m/>
    <m/>
    <m/>
  </r>
  <r>
    <x v="677"/>
    <x v="4"/>
    <s v="I"/>
    <s v="S"/>
    <x v="0"/>
    <n v="81"/>
    <n v="76"/>
    <n v="9.4640000000000004"/>
    <n v="0.33"/>
    <n v="0.25900000000000001"/>
    <s v="F30"/>
    <x v="0"/>
    <n v="30"/>
    <n v="0.65600000000000003"/>
    <n v="0.55400000000000005"/>
    <s v="6 chiro: 0.014; inverts: 0.054"/>
    <s v="F"/>
    <m/>
    <m/>
    <m/>
    <n v="5.3999999999999999E-2"/>
    <m/>
    <m/>
    <m/>
    <m/>
    <m/>
    <m/>
    <m/>
    <m/>
    <m/>
    <m/>
    <m/>
    <m/>
    <m/>
    <m/>
    <m/>
    <m/>
    <m/>
    <m/>
    <m/>
    <m/>
    <m/>
    <m/>
    <m/>
    <m/>
    <m/>
    <m/>
    <n v="6"/>
    <n v="1.4E-2"/>
    <m/>
    <m/>
    <m/>
    <m/>
    <m/>
    <m/>
    <m/>
    <m/>
    <m/>
    <m/>
    <m/>
    <m/>
    <m/>
    <m/>
    <m/>
    <m/>
    <m/>
    <m/>
    <m/>
    <m/>
    <m/>
    <m/>
    <m/>
    <m/>
    <n v="6.8000000000000005E-2"/>
    <d v="2021-05-05T00:00:00"/>
    <n v="5"/>
    <n v="5"/>
    <n v="2021"/>
    <x v="46"/>
    <n v="125"/>
    <x v="8"/>
    <m/>
    <n v="2.8136882129277567"/>
    <n v="3.6128749726297351"/>
    <n v="3.71830985915493E-2"/>
    <n v="6.2177328843995516"/>
    <n v="1.0777683854606928"/>
    <n v="1.7962806424344884"/>
    <s v="T"/>
    <n v="3"/>
    <m/>
    <m/>
    <m/>
    <m/>
    <n v="7.1300000000000002E-2"/>
    <n v="8.6750212921279974"/>
    <m/>
    <m/>
    <m/>
  </r>
  <r>
    <x v="678"/>
    <x v="4"/>
    <s v="I"/>
    <s v="S"/>
    <x v="0"/>
    <n v="79"/>
    <n v="76"/>
    <n v="7.3760000000000003"/>
    <n v="0.192"/>
    <n v="8.2000000000000003E-2"/>
    <s v="M30"/>
    <x v="2"/>
    <n v="30"/>
    <n v="0.36499999999999999"/>
    <n v="0.36099999999999999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1-05-05T00:00:00"/>
    <n v="5"/>
    <n v="5"/>
    <n v="2021"/>
    <x v="46"/>
    <n v="125"/>
    <x v="8"/>
    <m/>
    <n v="1.1242116808335618"/>
    <n v="2.6726057906458798"/>
    <n v="2.7034638130104195E-2"/>
    <n v="5.1461154668567346"/>
    <n v="5.4229934924078134E-2"/>
    <n v="5.4229934924078134E-2"/>
    <s v="T"/>
    <n v="2"/>
    <m/>
    <m/>
    <m/>
    <m/>
    <m/>
    <m/>
    <m/>
    <m/>
    <m/>
  </r>
  <r>
    <x v="679"/>
    <x v="4"/>
    <s v="I"/>
    <s v="I"/>
    <x v="0"/>
    <n v="88"/>
    <n v="84"/>
    <n v="13.343"/>
    <n v="0.29899999999999999"/>
    <n v="0.23799999999999999"/>
    <s v="M30"/>
    <x v="2"/>
    <n v="30"/>
    <n v="1.0900000000000001"/>
    <n v="0.97599999999999998"/>
    <s v="20 chiro: 0.064; 1 snail: 0.003"/>
    <s v="F"/>
    <m/>
    <m/>
    <m/>
    <m/>
    <m/>
    <m/>
    <m/>
    <m/>
    <m/>
    <m/>
    <m/>
    <m/>
    <m/>
    <m/>
    <m/>
    <m/>
    <m/>
    <m/>
    <n v="1"/>
    <n v="3.0000000000000001E-3"/>
    <m/>
    <m/>
    <m/>
    <m/>
    <m/>
    <m/>
    <m/>
    <m/>
    <m/>
    <m/>
    <n v="20"/>
    <n v="6.4000000000000001E-2"/>
    <m/>
    <m/>
    <m/>
    <m/>
    <m/>
    <m/>
    <m/>
    <m/>
    <m/>
    <m/>
    <m/>
    <m/>
    <m/>
    <m/>
    <m/>
    <m/>
    <m/>
    <m/>
    <m/>
    <m/>
    <m/>
    <m/>
    <m/>
    <m/>
    <n v="6.7000000000000004E-2"/>
    <d v="2021-05-05T00:00:00"/>
    <n v="5"/>
    <n v="5"/>
    <n v="2021"/>
    <x v="46"/>
    <n v="125"/>
    <x v="8"/>
    <s v="nematode worm"/>
    <n v="1.8161007249141548"/>
    <n v="2.2922416436675865"/>
    <n v="2.3348430423239103E-2"/>
    <n v="7.8919705668310813"/>
    <n v="0.85438057408378998"/>
    <n v="1.3565165255189995"/>
    <s v="T"/>
    <n v="3"/>
    <m/>
    <m/>
    <m/>
    <m/>
    <m/>
    <m/>
    <m/>
    <m/>
    <m/>
  </r>
  <r>
    <x v="680"/>
    <x v="4"/>
    <s v="I"/>
    <s v="S"/>
    <x v="0"/>
    <n v="80"/>
    <n v="76"/>
    <n v="8.5990000000000002"/>
    <n v="0.255"/>
    <n v="0.28799999999999998"/>
    <s v="F30"/>
    <x v="0"/>
    <n v="30"/>
    <n v="0.40600000000000003"/>
    <n v="0.39200000000000002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1-05-05T00:00:00"/>
    <n v="5"/>
    <n v="5"/>
    <n v="2021"/>
    <x v="46"/>
    <n v="125"/>
    <x v="8"/>
    <m/>
    <n v="3.4652869690771264"/>
    <n v="3.0560882070949189"/>
    <n v="3.1653426017874881E-2"/>
    <n v="4.7764103813817469"/>
    <n v="0.16280962902663115"/>
    <n v="0.16280962902663115"/>
    <s v="T"/>
    <m/>
    <m/>
    <m/>
    <m/>
    <m/>
    <n v="3.9300000000000002E-2"/>
    <n v="5.1372549019607847"/>
    <m/>
    <m/>
    <m/>
  </r>
  <r>
    <x v="681"/>
    <x v="4"/>
    <s v="I"/>
    <s v="S"/>
    <x v="0"/>
    <n v="81"/>
    <n v="76"/>
    <n v="8.4760000000000009"/>
    <n v="0.18"/>
    <n v="8.2000000000000003E-2"/>
    <s v="M30"/>
    <x v="2"/>
    <n v="30"/>
    <n v="0.49"/>
    <n v="0.41499999999999998"/>
    <s v="inverts: 0.054"/>
    <s v="F"/>
    <m/>
    <m/>
    <m/>
    <n v="5.3999999999999999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.3999999999999999E-2"/>
    <d v="2021-05-05T00:00:00"/>
    <n v="5"/>
    <n v="5"/>
    <n v="2021"/>
    <x v="46"/>
    <n v="125"/>
    <x v="8"/>
    <m/>
    <n v="0.97688825351441511"/>
    <n v="2.1697203471552551"/>
    <n v="2.1913805697589481E-2"/>
    <n v="5.1482446346607107"/>
    <n v="0.88485134497404438"/>
    <n v="1.5219443133553561"/>
    <s v="T"/>
    <n v="2"/>
    <m/>
    <m/>
    <m/>
    <m/>
    <m/>
    <m/>
    <m/>
    <m/>
    <m/>
  </r>
  <r>
    <x v="682"/>
    <x v="4"/>
    <s v="I"/>
    <s v="S"/>
    <x v="0"/>
    <n v="66"/>
    <n v="63"/>
    <n v="4.6529999999999996"/>
    <n v="8.8999999999999996E-2"/>
    <n v="5.8000000000000003E-2"/>
    <s v="M30"/>
    <x v="2"/>
    <n v="30"/>
    <n v="0.27300000000000002"/>
    <n v="0.26300000000000001"/>
    <s v="1 chiro: 0.003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3.0000000000000001E-3"/>
    <m/>
    <m/>
    <m/>
    <m/>
    <m/>
    <m/>
    <m/>
    <m/>
    <m/>
    <m/>
    <m/>
    <m/>
    <m/>
    <m/>
    <m/>
    <m/>
    <m/>
    <m/>
    <m/>
    <m/>
    <m/>
    <m/>
    <m/>
    <m/>
    <n v="3.0000000000000001E-3"/>
    <d v="2021-05-05T00:00:00"/>
    <n v="5"/>
    <n v="5"/>
    <n v="2021"/>
    <x v="46"/>
    <n v="125"/>
    <x v="8"/>
    <m/>
    <n v="1.262241566920566"/>
    <n v="1.9500438212094657"/>
    <n v="1.9751442521083004E-2"/>
    <n v="5.9908883826879276"/>
    <n v="0.21491510853213"/>
    <n v="0.27938964109176895"/>
    <s v="T"/>
    <n v="2"/>
    <m/>
    <m/>
    <m/>
    <m/>
    <m/>
    <m/>
    <m/>
    <m/>
    <m/>
  </r>
  <r>
    <x v="683"/>
    <x v="4"/>
    <s v="I"/>
    <s v="S"/>
    <x v="0"/>
    <n v="69"/>
    <n v="65"/>
    <n v="5.5250000000000004"/>
    <n v="0.11600000000000001"/>
    <n v="2.8000000000000001E-2"/>
    <s v="M30"/>
    <x v="2"/>
    <n v="30"/>
    <n v="0.30399999999999999"/>
    <n v="0.29899999999999999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1-05-05T00:00:00"/>
    <n v="5"/>
    <n v="5"/>
    <n v="2021"/>
    <x v="46"/>
    <n v="125"/>
    <x v="8"/>
    <m/>
    <n v="0.50936874658904852"/>
    <n v="2.1445738583841747"/>
    <n v="2.1557331351049987E-2"/>
    <n v="5.7213930348258701"/>
    <n v="9.0497737556561167E-2"/>
    <n v="9.0497737556561167E-2"/>
    <s v="T"/>
    <n v="2"/>
    <m/>
    <m/>
    <m/>
    <m/>
    <m/>
    <m/>
    <m/>
    <m/>
    <m/>
  </r>
  <r>
    <x v="684"/>
    <x v="4"/>
    <s v="I"/>
    <s v="S"/>
    <x v="0"/>
    <n v="73"/>
    <n v="68"/>
    <n v="6.2789999999999999"/>
    <n v="0.216"/>
    <n v="0.161"/>
    <s v="F30"/>
    <x v="0"/>
    <n v="30"/>
    <n v="0.34399999999999997"/>
    <n v="0.33300000000000002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1-05-05T00:00:00"/>
    <n v="5"/>
    <n v="5"/>
    <n v="2021"/>
    <x v="46"/>
    <n v="125"/>
    <x v="8"/>
    <m/>
    <n v="2.6315789473684208"/>
    <n v="3.5625927758535383"/>
    <n v="3.6597763470010168E-2"/>
    <n v="5.600403632694249"/>
    <n v="0.17518713170887013"/>
    <n v="0.17518713170887013"/>
    <s v="T"/>
    <n v="3"/>
    <m/>
    <m/>
    <m/>
    <m/>
    <n v="4.1399999999999999E-2"/>
    <n v="7.448722562072688"/>
    <m/>
    <m/>
    <m/>
  </r>
  <r>
    <x v="685"/>
    <x v="4"/>
    <s v="I"/>
    <s v="B"/>
    <x v="1"/>
    <n v="146"/>
    <n v="140"/>
    <n v="68.997"/>
    <n v="0.81399999999999995"/>
    <n v="1.0609999999999999"/>
    <s v="M30"/>
    <x v="2"/>
    <n v="30"/>
    <n v="3.5190000000000001"/>
    <n v="3.2789999999999999"/>
    <s v="veg: 0.064; 1 odo: 0.015; 2 mussels: 0.047"/>
    <s v="F"/>
    <m/>
    <m/>
    <m/>
    <m/>
    <m/>
    <m/>
    <m/>
    <m/>
    <m/>
    <m/>
    <m/>
    <m/>
    <m/>
    <m/>
    <m/>
    <m/>
    <n v="2"/>
    <n v="4.7E-2"/>
    <m/>
    <m/>
    <m/>
    <m/>
    <m/>
    <m/>
    <n v="1"/>
    <n v="1.4999999999999999E-2"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6.4000000000000001E-2"/>
    <n v="0.126"/>
    <s v="18/5/2021"/>
    <s v="18"/>
    <s v="5"/>
    <s v="2021"/>
    <x v="13"/>
    <n v="138"/>
    <x v="9"/>
    <m/>
    <n v="1.5617640131888832"/>
    <n v="1.1938459733364619"/>
    <n v="1.2127171419206814E-2"/>
    <n v="4.9895005934447179"/>
    <n v="0.34784121048741284"/>
    <n v="0.53045784599330437"/>
    <s v="T"/>
    <n v="3"/>
    <m/>
    <m/>
    <m/>
    <m/>
    <m/>
    <m/>
    <m/>
    <m/>
    <m/>
  </r>
  <r>
    <x v="686"/>
    <x v="4"/>
    <s v="I"/>
    <s v="B"/>
    <x v="1"/>
    <n v="126"/>
    <n v="120"/>
    <n v="39.484000000000002"/>
    <n v="0.55000000000000004"/>
    <n v="0.40400000000000003"/>
    <s v="M30"/>
    <x v="2"/>
    <n v="30"/>
    <n v="3.903"/>
    <n v="1.5720000000000001"/>
    <s v="2 dace: 1.928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1.9279999999999999"/>
    <m/>
    <m/>
    <m/>
    <m/>
    <m/>
    <m/>
    <n v="1.9279999999999999"/>
    <s v="18/5/2021"/>
    <s v="18"/>
    <s v="5"/>
    <s v="2021"/>
    <x v="13"/>
    <n v="138"/>
    <x v="9"/>
    <m/>
    <n v="1.0337768679631525"/>
    <n v="1.4126470437150047"/>
    <n v="1.4274591227614847E-2"/>
    <n v="4.1464443975522265"/>
    <n v="5.9036571775909232"/>
    <n v="10.786647756053085"/>
    <s v="T"/>
    <n v="3"/>
    <m/>
    <m/>
    <m/>
    <m/>
    <m/>
    <m/>
    <m/>
    <m/>
    <m/>
  </r>
  <r>
    <x v="687"/>
    <x v="4"/>
    <s v="I"/>
    <s v="S"/>
    <x v="0"/>
    <n v="81"/>
    <n v="77"/>
    <n v="8.9939999999999998"/>
    <n v="0.14399999999999999"/>
    <n v="0.18099999999999999"/>
    <s v="M30"/>
    <x v="2"/>
    <n v="30"/>
    <n v="0.41299999999999998"/>
    <n v="0.31900000000000001"/>
    <s v="4 inverts: 0.036"/>
    <s v="F"/>
    <m/>
    <m/>
    <n v="4"/>
    <n v="3.5999999999999997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.5999999999999997E-2"/>
    <s v="18/5/2021"/>
    <s v="18"/>
    <s v="5"/>
    <s v="2021"/>
    <x v="13"/>
    <n v="138"/>
    <x v="9"/>
    <m/>
    <n v="2.0537841824577328"/>
    <n v="1.6271186440677967"/>
    <n v="1.6610912446648977E-2"/>
    <n v="3.6772334293948132"/>
    <n v="1.0451412052479427"/>
    <n v="1.4454080498109849"/>
    <s v="T"/>
    <n v="3"/>
    <m/>
    <m/>
    <m/>
    <m/>
    <m/>
    <m/>
    <m/>
    <m/>
    <m/>
  </r>
  <r>
    <x v="688"/>
    <x v="4"/>
    <s v="I"/>
    <s v="I"/>
    <x v="0"/>
    <n v="96"/>
    <n v="91"/>
    <n v="17.521000000000001"/>
    <n v="0.28699999999999998"/>
    <n v="0.36899999999999999"/>
    <s v="M30"/>
    <x v="2"/>
    <n v="30"/>
    <n v="1.415"/>
    <n v="1.2829999999999999"/>
    <s v="11 chiro: 0.057; 1 snail: 0.008; 1 ant: 0.007 "/>
    <s v="F"/>
    <m/>
    <m/>
    <m/>
    <m/>
    <n v="1"/>
    <n v="7.0000000000000001E-3"/>
    <m/>
    <m/>
    <m/>
    <m/>
    <m/>
    <m/>
    <m/>
    <m/>
    <m/>
    <m/>
    <m/>
    <m/>
    <n v="1"/>
    <n v="8.0000000000000002E-3"/>
    <m/>
    <m/>
    <m/>
    <m/>
    <m/>
    <m/>
    <m/>
    <m/>
    <m/>
    <m/>
    <n v="11"/>
    <n v="5.7000000000000002E-2"/>
    <m/>
    <m/>
    <m/>
    <m/>
    <m/>
    <m/>
    <m/>
    <m/>
    <m/>
    <m/>
    <m/>
    <m/>
    <m/>
    <m/>
    <m/>
    <m/>
    <m/>
    <m/>
    <m/>
    <m/>
    <m/>
    <m/>
    <m/>
    <m/>
    <n v="7.1999999999999995E-2"/>
    <s v="18/5/2021"/>
    <s v="18"/>
    <s v="5"/>
    <s v="2021"/>
    <x v="13"/>
    <n v="138"/>
    <x v="9"/>
    <m/>
    <n v="2.1513526119402981"/>
    <n v="1.6653127538586512"/>
    <n v="1.7017491847020453E-2"/>
    <n v="7.9012193619903925"/>
    <n v="0.75338165629815712"/>
    <n v="1.1643171051880608"/>
    <s v="T"/>
    <n v="3"/>
    <m/>
    <m/>
    <m/>
    <m/>
    <m/>
    <m/>
    <m/>
    <m/>
    <m/>
  </r>
  <r>
    <x v="689"/>
    <x v="4"/>
    <s v="I"/>
    <s v="I"/>
    <x v="0"/>
    <n v="85"/>
    <n v="81"/>
    <n v="11.147"/>
    <n v="0.28000000000000003"/>
    <n v="0.52"/>
    <s v="F30"/>
    <x v="0"/>
    <n v="30"/>
    <n v="0.65100000000000002"/>
    <n v="0.47599999999999998"/>
    <s v="15 chiro: 0.068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5"/>
    <n v="6.8000000000000005E-2"/>
    <m/>
    <m/>
    <m/>
    <m/>
    <m/>
    <m/>
    <m/>
    <m/>
    <m/>
    <m/>
    <m/>
    <m/>
    <m/>
    <m/>
    <m/>
    <m/>
    <m/>
    <m/>
    <m/>
    <m/>
    <m/>
    <m/>
    <m/>
    <m/>
    <n v="6.8000000000000005E-2"/>
    <s v="18/5/2021"/>
    <s v="18"/>
    <s v="5"/>
    <s v="2021"/>
    <x v="13"/>
    <n v="138"/>
    <x v="9"/>
    <m/>
    <n v="4.8931965747623973"/>
    <n v="2.5766080795067636"/>
    <n v="2.7060983860056054E-2"/>
    <n v="4.4606878455627399"/>
    <n v="1.5699291289136095"/>
    <n v="2.1799587332914689"/>
    <s v="T"/>
    <n v="3"/>
    <m/>
    <m/>
    <m/>
    <m/>
    <m/>
    <m/>
    <m/>
    <m/>
    <m/>
  </r>
  <r>
    <x v="690"/>
    <x v="4"/>
    <s v="I"/>
    <s v="S"/>
    <x v="0"/>
    <n v="76"/>
    <n v="71"/>
    <n v="7.3230000000000004"/>
    <n v="0.188"/>
    <n v="0.36"/>
    <s v="F30"/>
    <x v="0"/>
    <n v="30"/>
    <n v="0.38"/>
    <n v="0.34599999999999997"/>
    <s v="~4 inverts: 0.01"/>
    <s v="F"/>
    <m/>
    <m/>
    <n v="4"/>
    <n v="0.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01"/>
    <s v="18/5/2021"/>
    <s v="18"/>
    <s v="5"/>
    <s v="2021"/>
    <x v="13"/>
    <n v="138"/>
    <x v="9"/>
    <m/>
    <n v="5.1701852649719946"/>
    <n v="2.6348983882270494"/>
    <n v="2.7749077490774907E-2"/>
    <n v="4.9591514977784144"/>
    <n v="0.46429059128772399"/>
    <n v="0.60084664754881922"/>
    <s v="T"/>
    <n v="3"/>
    <n v="0"/>
    <n v="16"/>
    <n v="3"/>
    <n v="0"/>
    <n v="2.86E-2"/>
    <n v="4.4722439405785765"/>
    <n v="6.8410000000000002"/>
    <n v="97.579095121911379"/>
    <m/>
  </r>
  <r>
    <x v="691"/>
    <x v="4"/>
    <s v="I"/>
    <s v="I"/>
    <x v="0"/>
    <n v="103"/>
    <n v="98"/>
    <n v="21.411000000000001"/>
    <n v="0.49099999999999999"/>
    <n v="0.73499999999999999"/>
    <s v="F30"/>
    <x v="0"/>
    <n v="30"/>
    <n v="1.048"/>
    <n v="0.97599999999999998"/>
    <s v="6 chiro: 0.016; 2 inverts: 0.071"/>
    <s v="F"/>
    <m/>
    <m/>
    <n v="2"/>
    <n v="7.0999999999999994E-2"/>
    <m/>
    <m/>
    <m/>
    <m/>
    <m/>
    <m/>
    <m/>
    <m/>
    <m/>
    <m/>
    <m/>
    <m/>
    <m/>
    <m/>
    <m/>
    <m/>
    <m/>
    <m/>
    <m/>
    <m/>
    <m/>
    <m/>
    <m/>
    <m/>
    <m/>
    <m/>
    <n v="6"/>
    <n v="1.6E-2"/>
    <m/>
    <m/>
    <m/>
    <m/>
    <m/>
    <m/>
    <m/>
    <m/>
    <m/>
    <m/>
    <m/>
    <m/>
    <m/>
    <m/>
    <m/>
    <m/>
    <m/>
    <m/>
    <m/>
    <m/>
    <m/>
    <m/>
    <m/>
    <m/>
    <n v="8.6999999999999994E-2"/>
    <s v="18/5/2021"/>
    <s v="18"/>
    <s v="5"/>
    <s v="2021"/>
    <x v="13"/>
    <n v="138"/>
    <x v="9"/>
    <m/>
    <n v="3.554846198491004"/>
    <n v="2.347036328871893"/>
    <n v="2.4324993807282633E-2"/>
    <n v="4.7761194029850742"/>
    <n v="0.33627574611181194"/>
    <n v="0.74260893933025107"/>
    <s v="T"/>
    <n v="3"/>
    <n v="0"/>
    <n v="110"/>
    <n v="23"/>
    <n v="0"/>
    <m/>
    <m/>
    <m/>
    <m/>
    <m/>
  </r>
  <r>
    <x v="692"/>
    <x v="4"/>
    <s v="I"/>
    <s v="IMM"/>
    <x v="0"/>
    <n v="64"/>
    <n v="62"/>
    <n v="4.6100000000000003"/>
    <n v="9.7000000000000003E-2"/>
    <n v="0.23899999999999999"/>
    <s v="F30"/>
    <x v="0"/>
    <n v="30"/>
    <n v="0.22500000000000001"/>
    <n v="0.19800000000000001"/>
    <s v="1 invert: 0.011"/>
    <s v="F"/>
    <m/>
    <m/>
    <n v="1"/>
    <n v="1.0999999999999999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.0999999999999999E-2"/>
    <s v="18/5/2021"/>
    <s v="18"/>
    <s v="5"/>
    <s v="2021"/>
    <x v="13"/>
    <n v="138"/>
    <x v="9"/>
    <m/>
    <n v="5.4678563257835728"/>
    <n v="2.1493463328163083"/>
    <n v="2.2695367337388864E-2"/>
    <n v="4.4877606527651857"/>
    <n v="0.58568329718004331"/>
    <n v="0.82429501084598666"/>
    <s v="T"/>
    <n v="3"/>
    <n v="0"/>
    <n v="32"/>
    <n v="19"/>
    <n v="0"/>
    <n v="1.1000000000000001E-3"/>
    <n v="0.27167201778216843"/>
    <n v="7.2469999999999999"/>
    <n v="132.28480304574498"/>
    <m/>
  </r>
  <r>
    <x v="693"/>
    <x v="4"/>
    <s v="I"/>
    <s v="B"/>
    <x v="0"/>
    <n v="110"/>
    <n v="102"/>
    <n v="24.774999999999999"/>
    <n v="0.57799999999999996"/>
    <n v="0.97199999999999998"/>
    <s v="F30"/>
    <x v="0"/>
    <n v="30"/>
    <n v="1.496"/>
    <n v="1.3979999999999999"/>
    <s v="2 inverts: 0.037"/>
    <s v="F"/>
    <m/>
    <m/>
    <n v="2"/>
    <n v="3.6999999999999998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.6999999999999998E-2"/>
    <s v="18/5/2021"/>
    <s v="18"/>
    <s v="5"/>
    <s v="2021"/>
    <x v="13"/>
    <n v="138"/>
    <x v="9"/>
    <m/>
    <n v="4.0835188841742642"/>
    <n v="2.3887258751084843"/>
    <n v="2.4886975242195911E-2"/>
    <n v="5.9802369850707953"/>
    <n v="0.39556004036326975"/>
    <n v="0.54490413723511644"/>
    <s v="T"/>
    <n v="3"/>
    <n v="0"/>
    <n v="91"/>
    <n v="10"/>
    <n v="0"/>
    <m/>
    <m/>
    <m/>
    <m/>
    <m/>
  </r>
  <r>
    <x v="694"/>
    <x v="4"/>
    <s v="I"/>
    <s v="I"/>
    <x v="0"/>
    <n v="99"/>
    <n v="94"/>
    <n v="18.667999999999999"/>
    <n v="0.50700000000000001"/>
    <n v="0.64"/>
    <s v="F30"/>
    <x v="0"/>
    <n v="30"/>
    <n v="2.327"/>
    <n v="0.95899999999999996"/>
    <s v="1 fathead: 0.872; 1 stickleback: 0.222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0.222"/>
    <n v="1"/>
    <n v="0.872"/>
    <m/>
    <m/>
    <m/>
    <m/>
    <m/>
    <m/>
    <m/>
    <m/>
    <n v="1.0940000000000001"/>
    <s v="18/5/2021"/>
    <s v="18"/>
    <s v="5"/>
    <s v="2021"/>
    <x v="13"/>
    <n v="138"/>
    <x v="9"/>
    <m/>
    <n v="3.550033281562015"/>
    <n v="2.7916964924838945"/>
    <n v="2.8936704525997378E-2"/>
    <n v="5.4153255406855267"/>
    <n v="7.3280479965716721"/>
    <n v="13.188343689736445"/>
    <s v="T"/>
    <n v="3"/>
    <n v="4"/>
    <n v="47"/>
    <n v="26"/>
    <n v="1"/>
    <n v="3.1099999999999999E-2"/>
    <n v="2.046860602869554"/>
    <n v="5.649"/>
    <n v="84.266713714421613"/>
    <m/>
  </r>
  <r>
    <x v="695"/>
    <x v="4"/>
    <s v="I"/>
    <s v="S"/>
    <x v="0"/>
    <n v="71"/>
    <n v="67"/>
    <n v="6.4660000000000002"/>
    <n v="0.17"/>
    <n v="0.39600000000000002"/>
    <s v="F30"/>
    <x v="0"/>
    <n v="30"/>
    <n v="0.34699999999999998"/>
    <n v="0.29799999999999999"/>
    <s v="~20 zoops: 0.019; 3 rocks: 0.008"/>
    <s v="F"/>
    <n v="3"/>
    <n v="8.0000000000000002E-3"/>
    <m/>
    <m/>
    <m/>
    <m/>
    <m/>
    <m/>
    <m/>
    <m/>
    <m/>
    <m/>
    <m/>
    <m/>
    <m/>
    <m/>
    <m/>
    <m/>
    <m/>
    <m/>
    <m/>
    <m/>
    <n v="20"/>
    <n v="1.9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.7E-2"/>
    <s v="18/5/2021"/>
    <s v="18"/>
    <s v="5"/>
    <s v="2021"/>
    <x v="13"/>
    <n v="138"/>
    <x v="9"/>
    <m/>
    <n v="6.523887973640857"/>
    <n v="2.7001270648030493"/>
    <n v="2.8813559322033899E-2"/>
    <n v="4.8313878080415043"/>
    <n v="0.75781008351376411"/>
    <n v="1.1753789050417567"/>
    <s v="T"/>
    <n v="3"/>
    <n v="0"/>
    <n v="31"/>
    <n v="7"/>
    <n v="0"/>
    <n v="5.7999999999999996E-3"/>
    <n v="1.0444804610120653"/>
    <n v="8.1920000000000002"/>
    <n v="113.80663732033469"/>
    <m/>
  </r>
  <r>
    <x v="696"/>
    <x v="4"/>
    <s v="I"/>
    <s v="IMM"/>
    <x v="0"/>
    <n v="62"/>
    <n v="60"/>
    <n v="3.9129999999999998"/>
    <n v="6.2E-2"/>
    <n v="0.19"/>
    <s v="M30"/>
    <x v="2"/>
    <n v="30"/>
    <n v="0.214"/>
    <n v="0.191"/>
    <s v="4 chiro: 0.015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1.4999999999999999E-2"/>
    <m/>
    <m/>
    <m/>
    <m/>
    <m/>
    <m/>
    <m/>
    <m/>
    <m/>
    <m/>
    <m/>
    <m/>
    <m/>
    <m/>
    <m/>
    <m/>
    <m/>
    <m/>
    <m/>
    <m/>
    <m/>
    <m/>
    <m/>
    <m/>
    <n v="1.4999999999999999E-2"/>
    <s v="18/5/2021"/>
    <s v="18"/>
    <s v="5"/>
    <s v="2021"/>
    <x v="13"/>
    <n v="138"/>
    <x v="9"/>
    <m/>
    <n v="5.1034112275047008"/>
    <n v="1.6099714359906518"/>
    <n v="1.6935263589183285E-2"/>
    <n v="5.1316496507254161"/>
    <n v="0.58778430871454113"/>
    <n v="0.9711219013544593"/>
    <s v="T"/>
    <n v="3"/>
    <m/>
    <m/>
    <m/>
    <m/>
    <m/>
    <m/>
    <m/>
    <m/>
    <m/>
  </r>
  <r>
    <x v="697"/>
    <x v="4"/>
    <s v="I"/>
    <s v="IMM"/>
    <x v="0"/>
    <n v="64"/>
    <n v="61"/>
    <n v="4.7569999999999997"/>
    <n v="0.114"/>
    <n v="0.20799999999999999"/>
    <s v="F30"/>
    <x v="0"/>
    <n v="30"/>
    <n v="0.254"/>
    <n v="0.22700000000000001"/>
    <s v="9 chiro: 0.012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9"/>
    <n v="1.2E-2"/>
    <m/>
    <m/>
    <m/>
    <m/>
    <m/>
    <m/>
    <m/>
    <m/>
    <m/>
    <m/>
    <m/>
    <m/>
    <m/>
    <m/>
    <m/>
    <m/>
    <m/>
    <m/>
    <m/>
    <m/>
    <m/>
    <m/>
    <m/>
    <m/>
    <n v="1.2E-2"/>
    <s v="18/5/2021"/>
    <s v="18"/>
    <s v="5"/>
    <s v="2021"/>
    <x v="13"/>
    <n v="138"/>
    <x v="9"/>
    <m/>
    <n v="4.5724335018685425"/>
    <n v="2.4553090674133107"/>
    <n v="2.5704622322435179E-2"/>
    <n v="5.0110375275938202"/>
    <n v="0.56758461215051492"/>
    <n v="0.81984443977296606"/>
    <s v="T"/>
    <n v="3"/>
    <n v="0"/>
    <n v="199"/>
    <n v="22"/>
    <n v="0"/>
    <n v="8.0000000000000002E-3"/>
    <n v="1.9134178426213828"/>
    <n v="8.7629999999999999"/>
    <m/>
    <m/>
  </r>
  <r>
    <x v="698"/>
    <x v="4"/>
    <s v="S"/>
    <s v="IMM"/>
    <x v="1"/>
    <n v="58"/>
    <n v="54"/>
    <n v="3.5649999999999999"/>
    <n v="7.8E-2"/>
    <n v="0.112"/>
    <s v="M30"/>
    <x v="2"/>
    <n v="30"/>
    <n v="0.183"/>
    <n v="0.159"/>
    <s v="3 chiro: 0.015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1.4999999999999999E-2"/>
    <m/>
    <m/>
    <m/>
    <m/>
    <m/>
    <m/>
    <m/>
    <m/>
    <m/>
    <m/>
    <m/>
    <m/>
    <m/>
    <m/>
    <m/>
    <m/>
    <m/>
    <m/>
    <m/>
    <m/>
    <m/>
    <m/>
    <m/>
    <m/>
    <n v="1.4999999999999999E-2"/>
    <s v="18/5/2021"/>
    <s v="18"/>
    <s v="5"/>
    <s v="2021"/>
    <x v="13"/>
    <n v="138"/>
    <x v="9"/>
    <m/>
    <n v="3.2435563278308717"/>
    <n v="2.2368798394034988"/>
    <n v="2.311111111111111E-2"/>
    <n v="4.6682325308279502"/>
    <n v="0.67321178120617098"/>
    <n v="1.0939691444600279"/>
    <s v="T"/>
    <n v="3"/>
    <m/>
    <m/>
    <m/>
    <m/>
    <m/>
    <m/>
    <m/>
    <m/>
    <m/>
  </r>
  <r>
    <x v="699"/>
    <x v="4"/>
    <s v="I"/>
    <s v="S"/>
    <x v="0"/>
    <n v="83"/>
    <n v="79"/>
    <n v="10.318"/>
    <n v="0.13100000000000001"/>
    <n v="0.19800000000000001"/>
    <s v="M30"/>
    <x v="2"/>
    <n v="30"/>
    <n v="0.56699999999999995"/>
    <n v="0.51400000000000001"/>
    <s v="~10 inverts: 0.026"/>
    <s v="F"/>
    <m/>
    <m/>
    <n v="10"/>
    <n v="2.5999999999999999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.5999999999999999E-2"/>
    <s v="18/5/2021"/>
    <s v="18"/>
    <s v="5"/>
    <s v="2021"/>
    <x v="13"/>
    <n v="138"/>
    <x v="9"/>
    <m/>
    <n v="1.956521739130435"/>
    <n v="1.2859526847943459"/>
    <n v="1.3114425868455303E-2"/>
    <n v="5.2427580579355366"/>
    <n v="0.51366543903857276"/>
    <n v="0.76565225818957106"/>
    <s v="T"/>
    <n v="3"/>
    <m/>
    <m/>
    <m/>
    <m/>
    <m/>
    <m/>
    <m/>
    <m/>
    <m/>
  </r>
  <r>
    <x v="700"/>
    <x v="4"/>
    <s v="I"/>
    <s v="I"/>
    <x v="0"/>
    <n v="85"/>
    <n v="80"/>
    <n v="11.395"/>
    <n v="0.219"/>
    <n v="0.20499999999999999"/>
    <s v="M30"/>
    <x v="2"/>
    <n v="30"/>
    <n v="0.69299999999999995"/>
    <n v="0.57699999999999996"/>
    <s v="~25 chiro: 0.073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5"/>
    <n v="7.2999999999999995E-2"/>
    <m/>
    <m/>
    <m/>
    <m/>
    <m/>
    <m/>
    <m/>
    <m/>
    <m/>
    <m/>
    <m/>
    <m/>
    <m/>
    <m/>
    <m/>
    <m/>
    <m/>
    <m/>
    <m/>
    <m/>
    <m/>
    <m/>
    <m/>
    <m/>
    <n v="7.2999999999999995E-2"/>
    <s v="18/5/2021"/>
    <s v="18"/>
    <s v="5"/>
    <s v="2021"/>
    <x v="13"/>
    <n v="138"/>
    <x v="9"/>
    <m/>
    <n v="1.8319928507596068"/>
    <n v="1.9595561918396565"/>
    <n v="1.9961717254580257E-2"/>
    <n v="5.3337030874468478"/>
    <n v="1.0179903466432645"/>
    <n v="1.6586222027204918"/>
    <s v="T"/>
    <n v="3"/>
    <m/>
    <m/>
    <m/>
    <m/>
    <m/>
    <m/>
    <m/>
    <m/>
    <m/>
  </r>
  <r>
    <x v="701"/>
    <x v="4"/>
    <s v="I"/>
    <s v="S"/>
    <x v="0"/>
    <n v="80"/>
    <n v="75"/>
    <n v="9.4710000000000001"/>
    <n v="0.158"/>
    <n v="0.183"/>
    <s v="M30"/>
    <x v="2"/>
    <n v="30"/>
    <n v="0.57899999999999996"/>
    <n v="0.52100000000000002"/>
    <s v="1 wasp: 0.005; 2 inverts: 0.017"/>
    <s v="F"/>
    <m/>
    <m/>
    <n v="2"/>
    <n v="1.7000000000000001E-2"/>
    <n v="1"/>
    <n v="5.0000000000000001E-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.1999999999999999E-2"/>
    <s v="18/5/2021"/>
    <s v="18"/>
    <s v="5"/>
    <s v="2021"/>
    <x v="13"/>
    <n v="138"/>
    <x v="9"/>
    <m/>
    <n v="1.9702842377260981"/>
    <n v="1.6965532051970365"/>
    <n v="1.7305585980284775E-2"/>
    <n v="5.8212290502793298"/>
    <n v="0.61239573434695327"/>
    <n v="0.84468377151303908"/>
    <s v="T"/>
    <n v="3"/>
    <m/>
    <m/>
    <m/>
    <m/>
    <m/>
    <m/>
    <m/>
    <m/>
    <m/>
  </r>
  <r>
    <x v="702"/>
    <x v="4"/>
    <s v="I"/>
    <s v="B"/>
    <x v="1"/>
    <n v="148"/>
    <n v="142"/>
    <n v="69.778999999999996"/>
    <n v="1.8839999999999999"/>
    <n v="3.0739999999999998"/>
    <s v="F30"/>
    <x v="0"/>
    <n v="30"/>
    <n v="2.782"/>
    <n v="2.762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1-08-06T00:00:00"/>
    <n v="8"/>
    <n v="6"/>
    <n v="2021"/>
    <x v="42"/>
    <n v="159"/>
    <x v="10"/>
    <m/>
    <n v="4.608350198635784"/>
    <n v="2.7748729656086604"/>
    <n v="2.906465497292544E-2"/>
    <n v="4.1213423459719181"/>
    <n v="2.866191834219467E-2"/>
    <n v="2.866191834219467E-2"/>
    <s v="T"/>
    <n v="4"/>
    <m/>
    <m/>
    <m/>
    <m/>
    <m/>
    <m/>
    <m/>
    <m/>
    <m/>
  </r>
  <r>
    <x v="703"/>
    <x v="4"/>
    <s v="B"/>
    <s v="B"/>
    <x v="1"/>
    <n v="156"/>
    <n v="147"/>
    <n v="70.730999999999995"/>
    <n v="0.82599999999999996"/>
    <n v="0.63400000000000001"/>
    <s v="M30"/>
    <x v="2"/>
    <n v="30"/>
    <n v="4.5179999999999998"/>
    <n v="3.8330000000000002"/>
    <s v="1 cray: 0.59"/>
    <s v="F"/>
    <m/>
    <m/>
    <m/>
    <m/>
    <m/>
    <m/>
    <n v="1"/>
    <n v="0.5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59"/>
    <d v="2021-08-06T00:00:00"/>
    <n v="8"/>
    <n v="6"/>
    <n v="2021"/>
    <x v="42"/>
    <n v="159"/>
    <x v="10"/>
    <m/>
    <n v="0.90446096123942532"/>
    <n v="1.1816036048923539"/>
    <n v="1.1924181836554979E-2"/>
    <n v="5.7296182247600829"/>
    <n v="0.96845796044167287"/>
    <n v="1.8026042329388803"/>
    <s v="T"/>
    <n v="3"/>
    <m/>
    <m/>
    <m/>
    <m/>
    <m/>
    <m/>
    <m/>
    <m/>
    <m/>
  </r>
  <r>
    <x v="704"/>
    <x v="4"/>
    <s v="I"/>
    <s v="B"/>
    <x v="1"/>
    <n v="134"/>
    <n v="124"/>
    <n v="46.680999999999997"/>
    <n v="1.006"/>
    <n v="3.988"/>
    <s v="F30"/>
    <x v="0"/>
    <n v="30"/>
    <n v="1.8109999999999999"/>
    <n v="1.7749999999999999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1-08-06T00:00:00"/>
    <n v="8"/>
    <n v="6"/>
    <n v="2021"/>
    <x v="42"/>
    <n v="159"/>
    <x v="10"/>
    <m/>
    <n v="9.3411097838053081"/>
    <n v="2.2025177887246854"/>
    <n v="2.4132223474944228E-2"/>
    <n v="3.9527011980581657"/>
    <n v="7.7119170540476928E-2"/>
    <n v="7.7119170540476928E-2"/>
    <s v="T"/>
    <n v="3"/>
    <m/>
    <m/>
    <m/>
    <m/>
    <m/>
    <m/>
    <m/>
    <m/>
    <m/>
  </r>
  <r>
    <x v="705"/>
    <x v="4"/>
    <s v="I"/>
    <s v="B"/>
    <x v="1"/>
    <n v="115"/>
    <n v="107"/>
    <n v="28.588000000000001"/>
    <n v="0.60699999999999998"/>
    <n v="1.5349999999999999"/>
    <s v="F30"/>
    <x v="0"/>
    <n v="30"/>
    <n v="1.304"/>
    <n v="1.1479999999999999"/>
    <s v="2 cricket: 0.127"/>
    <s v="F"/>
    <m/>
    <m/>
    <m/>
    <m/>
    <n v="2"/>
    <n v="0.1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127"/>
    <d v="2021-08-06T00:00:00"/>
    <n v="8"/>
    <n v="6"/>
    <n v="2021"/>
    <x v="42"/>
    <n v="159"/>
    <x v="10"/>
    <m/>
    <n v="5.674047240601781"/>
    <n v="2.1693291876630569"/>
    <n v="2.29524313695833E-2"/>
    <n v="4.1836734693877542"/>
    <n v="0.54568350356793105"/>
    <n v="0.98992584301105402"/>
    <s v="T"/>
    <n v="2"/>
    <m/>
    <m/>
    <m/>
    <m/>
    <m/>
    <m/>
    <m/>
    <m/>
    <m/>
  </r>
  <r>
    <x v="706"/>
    <x v="4"/>
    <s v="I"/>
    <s v="I"/>
    <x v="0"/>
    <n v="108"/>
    <n v="103"/>
    <n v="23.125"/>
    <n v="0.222"/>
    <n v="8.5000000000000006E-2"/>
    <s v="F40"/>
    <x v="0"/>
    <n v="40"/>
    <n v="0.96599999999999997"/>
    <n v="0.94799999999999995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1-08-06T00:00:00"/>
    <n v="8"/>
    <n v="6"/>
    <n v="2021"/>
    <x v="42"/>
    <n v="159"/>
    <x v="10"/>
    <m/>
    <n v="0.36892361111111116"/>
    <n v="0.96930533117932161"/>
    <n v="9.7291611885353679E-3"/>
    <n v="4.2746990124904176"/>
    <n v="7.7837837837837917E-2"/>
    <n v="7.7837837837837917E-2"/>
    <s v="T"/>
    <n v="2"/>
    <m/>
    <m/>
    <m/>
    <m/>
    <n v="7.5999999999999998E-2"/>
    <n v="3.4779425224235774"/>
    <m/>
    <n v="114.83850074621313"/>
    <m/>
  </r>
  <r>
    <x v="707"/>
    <x v="4"/>
    <s v="I"/>
    <s v="B"/>
    <x v="1"/>
    <n v="137"/>
    <n v="132"/>
    <n v="49.625"/>
    <n v="1.306"/>
    <n v="4.5910000000000002"/>
    <s v="F30"/>
    <x v="0"/>
    <n v="30"/>
    <n v="1.964"/>
    <n v="1.9419999999999999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1-08-06T00:00:00"/>
    <n v="8"/>
    <n v="6"/>
    <n v="2021"/>
    <x v="42"/>
    <n v="159"/>
    <x v="10"/>
    <m/>
    <n v="10.194519696229516"/>
    <n v="2.7028705064260432"/>
    <n v="2.9866447127698498E-2"/>
    <n v="4.0727303231759739"/>
    <n v="4.4332493702770814E-2"/>
    <n v="4.4332493702770814E-2"/>
    <s v="T"/>
    <n v="3"/>
    <m/>
    <m/>
    <m/>
    <m/>
    <m/>
    <m/>
    <m/>
    <m/>
    <m/>
  </r>
  <r>
    <x v="708"/>
    <x v="4"/>
    <s v="I"/>
    <s v="I"/>
    <x v="0"/>
    <n v="97"/>
    <n v="91"/>
    <n v="16.635000000000002"/>
    <n v="0.40300000000000002"/>
    <n v="1.1599999999999999"/>
    <s v="F30"/>
    <x v="0"/>
    <n v="30"/>
    <n v="0.60899999999999999"/>
    <n v="0.58299999999999996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1-08-06T00:00:00"/>
    <n v="8"/>
    <n v="6"/>
    <n v="2021"/>
    <x v="42"/>
    <n v="159"/>
    <x v="10"/>
    <m/>
    <n v="7.4959612277867516"/>
    <n v="2.4827501232134055"/>
    <n v="2.6738322717622078E-2"/>
    <n v="3.6319461749314721"/>
    <n v="0.15629696423204101"/>
    <n v="0.15629696423204101"/>
    <s v="T"/>
    <n v="3"/>
    <m/>
    <m/>
    <m/>
    <m/>
    <m/>
    <m/>
    <m/>
    <m/>
    <m/>
  </r>
  <r>
    <x v="709"/>
    <x v="4"/>
    <s v="I"/>
    <s v="I"/>
    <x v="0"/>
    <n v="92"/>
    <n v="88"/>
    <n v="14.39"/>
    <n v="0.32"/>
    <n v="1.4890000000000001"/>
    <s v="F30"/>
    <x v="0"/>
    <n v="30"/>
    <n v="0.502"/>
    <n v="0.48699999999999999"/>
    <s v="1 boatman: 0.006"/>
    <s v="F"/>
    <m/>
    <m/>
    <m/>
    <m/>
    <m/>
    <m/>
    <m/>
    <m/>
    <n v="1"/>
    <n v="6.0000000000000001E-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.0000000000000001E-3"/>
    <d v="2021-08-06T00:00:00"/>
    <n v="8"/>
    <n v="6"/>
    <n v="2021"/>
    <x v="42"/>
    <n v="159"/>
    <x v="10"/>
    <m/>
    <n v="11.541740950313931"/>
    <n v="2.2743425728500357"/>
    <n v="2.5435180033383676E-2"/>
    <n v="3.5028411134287563"/>
    <n v="0.10423905489923566"/>
    <n v="0.14593467685892988"/>
    <s v="T"/>
    <n v="3"/>
    <m/>
    <m/>
    <m/>
    <m/>
    <n v="2.5999999999999999E-3"/>
    <n v="0.21524960675552612"/>
    <m/>
    <n v="107.67548177054729"/>
    <m/>
  </r>
  <r>
    <x v="710"/>
    <x v="4"/>
    <s v="I"/>
    <s v="S"/>
    <x v="0"/>
    <n v="79"/>
    <n v="75"/>
    <n v="8.4740000000000002"/>
    <n v="0.156"/>
    <n v="1.091"/>
    <s v="F30"/>
    <x v="0"/>
    <n v="30"/>
    <n v="0.28599999999999998"/>
    <n v="0.27400000000000002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1-08-06T00:00:00"/>
    <n v="8"/>
    <n v="6"/>
    <n v="2021"/>
    <x v="42"/>
    <n v="159"/>
    <x v="10"/>
    <m/>
    <n v="14.77719084383042"/>
    <n v="1.8754508295263286"/>
    <n v="2.1585720215857203E-2"/>
    <n v="3.3414634146341471"/>
    <n v="0.1416096294548024"/>
    <n v="0.1416096294548024"/>
    <s v="T"/>
    <n v="2"/>
    <m/>
    <m/>
    <m/>
    <m/>
    <m/>
    <m/>
    <m/>
    <m/>
    <m/>
  </r>
  <r>
    <x v="711"/>
    <x v="4"/>
    <s v="I"/>
    <s v="S"/>
    <x v="0"/>
    <n v="84"/>
    <n v="78"/>
    <n v="10.51"/>
    <n v="0.33200000000000002"/>
    <n v="0.73099999999999998"/>
    <s v="F30"/>
    <x v="0"/>
    <n v="30"/>
    <n v="0.45400000000000001"/>
    <n v="0.39600000000000002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1-08-06T00:00:00"/>
    <n v="8"/>
    <n v="6"/>
    <n v="2021"/>
    <x v="42"/>
    <n v="159"/>
    <x v="10"/>
    <m/>
    <n v="7.4752019633909397"/>
    <n v="3.2619375122813916"/>
    <n v="3.5143431777283796E-2"/>
    <n v="3.9153648408147128"/>
    <n v="0.55185537583254041"/>
    <n v="0.55185537583254041"/>
    <s v="T"/>
    <n v="2"/>
    <m/>
    <m/>
    <m/>
    <m/>
    <n v="0.02"/>
    <n v="2.2239519626376074"/>
    <m/>
    <n v="95.003892627619152"/>
    <m/>
  </r>
  <r>
    <x v="712"/>
    <x v="4"/>
    <s v="I"/>
    <s v="S"/>
    <x v="0"/>
    <n v="80"/>
    <n v="76"/>
    <n v="9.3070000000000004"/>
    <n v="0.115"/>
    <n v="3.3000000000000002E-2"/>
    <s v="M30"/>
    <x v="2"/>
    <n v="30"/>
    <n v="0.54300000000000004"/>
    <n v="0.33800000000000002"/>
    <s v="1 caddis: 0.077; 3 chiro: 0.056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5.6000000000000001E-2"/>
    <m/>
    <m/>
    <m/>
    <m/>
    <n v="1"/>
    <n v="7.6999999999999999E-2"/>
    <m/>
    <m/>
    <m/>
    <m/>
    <m/>
    <m/>
    <m/>
    <m/>
    <m/>
    <m/>
    <m/>
    <m/>
    <m/>
    <m/>
    <m/>
    <m/>
    <m/>
    <m/>
    <n v="0.13300000000000001"/>
    <d v="2021-08-06T00:00:00"/>
    <n v="8"/>
    <n v="6"/>
    <n v="2021"/>
    <x v="42"/>
    <n v="159"/>
    <x v="10"/>
    <m/>
    <n v="0.35583351304722882"/>
    <n v="1.2510879025239339"/>
    <n v="1.2555955890381046E-2"/>
    <n v="3.7685360686810125"/>
    <n v="2.2026431718061676"/>
    <n v="3.6316750832706566"/>
    <s v="T"/>
    <n v="2"/>
    <m/>
    <m/>
    <m/>
    <m/>
    <m/>
    <m/>
    <m/>
    <m/>
    <m/>
  </r>
  <r>
    <x v="713"/>
    <x v="4"/>
    <s v="I"/>
    <s v="S"/>
    <x v="0"/>
    <n v="77"/>
    <n v="73"/>
    <n v="7.806"/>
    <n v="0.17499999999999999"/>
    <n v="0.54800000000000004"/>
    <s v="F30"/>
    <x v="0"/>
    <n v="30"/>
    <n v="0.26700000000000002"/>
    <n v="0.22600000000000001"/>
    <s v="~2 chiro: 0.03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0.03"/>
    <m/>
    <m/>
    <m/>
    <m/>
    <m/>
    <m/>
    <m/>
    <m/>
    <m/>
    <m/>
    <m/>
    <m/>
    <m/>
    <m/>
    <m/>
    <m/>
    <m/>
    <m/>
    <m/>
    <m/>
    <m/>
    <m/>
    <m/>
    <m/>
    <n v="0.03"/>
    <d v="2021-08-06T00:00:00"/>
    <n v="8"/>
    <n v="6"/>
    <n v="2021"/>
    <x v="42"/>
    <n v="159"/>
    <x v="10"/>
    <m/>
    <n v="7.5502893359052079"/>
    <n v="2.2932774210457341"/>
    <n v="2.4707045037413524E-2"/>
    <n v="2.9815303430079156"/>
    <n v="0.52523699718165529"/>
    <n v="0.90955675121701263"/>
    <s v="T"/>
    <n v="3"/>
    <m/>
    <m/>
    <m/>
    <m/>
    <m/>
    <m/>
    <m/>
    <m/>
    <m/>
  </r>
  <r>
    <x v="714"/>
    <x v="4"/>
    <s v="I"/>
    <s v="S"/>
    <x v="0"/>
    <n v="75"/>
    <n v="71"/>
    <n v="6.6379999999999999"/>
    <n v="0.11799999999999999"/>
    <n v="0.58299999999999996"/>
    <s v="F30"/>
    <x v="0"/>
    <n v="30"/>
    <n v="0.186"/>
    <n v="0.182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1-08-06T00:00:00"/>
    <n v="8"/>
    <n v="6"/>
    <n v="2021"/>
    <x v="42"/>
    <n v="159"/>
    <x v="10"/>
    <m/>
    <n v="9.6284062758051192"/>
    <n v="1.8098159509202454"/>
    <n v="1.9875357924877886E-2"/>
    <n v="2.8190830235439903"/>
    <n v="6.0259114191021444E-2"/>
    <n v="6.0259114191021444E-2"/>
    <s v="T"/>
    <n v="3"/>
    <m/>
    <m/>
    <m/>
    <m/>
    <n v="1.8E-3"/>
    <n v="0.3129890453834116"/>
    <m/>
    <n v="114.14381589739142"/>
    <m/>
  </r>
  <r>
    <x v="715"/>
    <x v="4"/>
    <s v="I"/>
    <s v="S"/>
    <x v="0"/>
    <n v="75"/>
    <n v="71"/>
    <n v="7.0519999999999996"/>
    <n v="8.5999999999999993E-2"/>
    <n v="6.9000000000000006E-2"/>
    <s v="M30"/>
    <x v="2"/>
    <n v="30"/>
    <n v="0.34"/>
    <n v="0.22900000000000001"/>
    <s v="~5 inverts: 0.067"/>
    <s v="F"/>
    <m/>
    <m/>
    <n v="5"/>
    <n v="6.7000000000000004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.7000000000000004E-2"/>
    <d v="2021-08-06T00:00:00"/>
    <n v="8"/>
    <n v="6"/>
    <n v="2021"/>
    <x v="42"/>
    <n v="159"/>
    <x v="10"/>
    <m/>
    <n v="0.98811399112129472"/>
    <n v="1.2345679012345681"/>
    <n v="1.2469189502682327E-2"/>
    <n v="3.3562948849479706"/>
    <n v="1.5740215541690301"/>
    <n v="2.5241066364152016"/>
    <s v="T"/>
    <n v="1"/>
    <m/>
    <m/>
    <m/>
    <m/>
    <m/>
    <m/>
    <m/>
    <m/>
    <m/>
  </r>
  <r>
    <x v="716"/>
    <x v="4"/>
    <s v="I"/>
    <s v="S"/>
    <x v="0"/>
    <n v="69"/>
    <n v="65"/>
    <n v="5.92"/>
    <n v="0.156"/>
    <n v="0.44"/>
    <s v="F30"/>
    <x v="0"/>
    <n v="30"/>
    <n v="0.34"/>
    <n v="0.30499999999999999"/>
    <s v="~10 chiro: 0.024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0"/>
    <n v="2.4E-2"/>
    <m/>
    <m/>
    <m/>
    <m/>
    <m/>
    <m/>
    <m/>
    <m/>
    <m/>
    <m/>
    <m/>
    <m/>
    <m/>
    <m/>
    <m/>
    <m/>
    <m/>
    <m/>
    <m/>
    <m/>
    <m/>
    <m/>
    <m/>
    <m/>
    <n v="2.4E-2"/>
    <d v="2021-08-06T00:00:00"/>
    <n v="8"/>
    <n v="6"/>
    <n v="2021"/>
    <x v="42"/>
    <n v="159"/>
    <x v="10"/>
    <m/>
    <n v="8.0291970802919721"/>
    <n v="2.7064538514920193"/>
    <n v="2.9301277235161533E-2"/>
    <n v="5.4318788958147817"/>
    <n v="0.59121621621621678"/>
    <n v="0.99662162162162216"/>
    <s v="T"/>
    <n v="2"/>
    <m/>
    <m/>
    <m/>
    <m/>
    <n v="4.0000000000000002E-4"/>
    <n v="8.0256821829855537E-2"/>
    <m/>
    <n v="116.52836959560061"/>
    <m/>
  </r>
  <r>
    <x v="717"/>
    <x v="4"/>
    <s v="I"/>
    <s v="IMM"/>
    <x v="0"/>
    <n v="62"/>
    <n v="59"/>
    <n v="4.0640000000000001"/>
    <n v="8.3000000000000004E-2"/>
    <n v="0.30199999999999999"/>
    <s v="F30"/>
    <x v="0"/>
    <n v="30"/>
    <n v="0.16900000000000001"/>
    <n v="0.16500000000000001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1-08-06T00:00:00"/>
    <n v="8"/>
    <n v="6"/>
    <n v="2021"/>
    <x v="42"/>
    <n v="159"/>
    <x v="10"/>
    <m/>
    <n v="8.0276448697501319"/>
    <n v="2.084903290630495"/>
    <n v="2.2560478390867087E-2"/>
    <n v="4.2318543216209283"/>
    <n v="9.842519685039379E-2"/>
    <n v="9.842519685039379E-2"/>
    <s v="T"/>
    <n v="3"/>
    <m/>
    <m/>
    <m/>
    <m/>
    <m/>
    <m/>
    <m/>
    <m/>
    <m/>
  </r>
  <r>
    <x v="718"/>
    <x v="4"/>
    <s v="B"/>
    <s v="B"/>
    <x v="1"/>
    <n v="165"/>
    <n v="156"/>
    <n v="94.989000000000004"/>
    <n v="0.96499999999999997"/>
    <n v="1.091"/>
    <s v="F40"/>
    <x v="0"/>
    <n v="40"/>
    <n v="10.848000000000001"/>
    <n v="4.1580000000000004"/>
    <s v="4 redbelly dace: 6.143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6.1429999999999998"/>
    <m/>
    <m/>
    <m/>
    <m/>
    <m/>
    <m/>
    <n v="6.1429999999999998"/>
    <s v="22/6/2021"/>
    <s v="22"/>
    <s v="6"/>
    <s v="2021"/>
    <x v="15"/>
    <n v="173"/>
    <x v="11"/>
    <s v="SC taken"/>
    <n v="1.1618990819825767"/>
    <n v="1.0263337020335233"/>
    <n v="1.0383824906115157E-2"/>
    <n v="4.5777322720216667"/>
    <n v="7.0429207592458081"/>
    <n v="13.509985366726674"/>
    <s v="T"/>
    <n v="3"/>
    <m/>
    <m/>
    <m/>
    <m/>
    <m/>
    <m/>
    <m/>
    <m/>
    <m/>
  </r>
  <r>
    <x v="719"/>
    <x v="4"/>
    <s v="I"/>
    <s v="I"/>
    <x v="0"/>
    <n v="96"/>
    <n v="90"/>
    <n v="15.426"/>
    <n v="0.112"/>
    <n v="0.158"/>
    <s v="M30"/>
    <x v="2"/>
    <n v="30"/>
    <n v="1.585"/>
    <n v="0.44800000000000001"/>
    <s v="1 redbelly dace: 1.077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.077"/>
    <m/>
    <m/>
    <m/>
    <m/>
    <m/>
    <m/>
    <n v="1.077"/>
    <s v="22/6/2021"/>
    <s v="22"/>
    <s v="6"/>
    <s v="2021"/>
    <x v="15"/>
    <n v="173"/>
    <x v="11"/>
    <m/>
    <n v="1.0348441184176054"/>
    <n v="0.73135692830090115"/>
    <n v="7.3898126154658223E-3"/>
    <n v="2.9910535451996263"/>
    <n v="7.370672889926098"/>
    <n v="14.352392065344224"/>
    <s v="T"/>
    <n v="3"/>
    <m/>
    <m/>
    <m/>
    <m/>
    <m/>
    <m/>
    <m/>
    <m/>
    <m/>
  </r>
  <r>
    <x v="720"/>
    <x v="4"/>
    <s v="I"/>
    <s v="B"/>
    <x v="1"/>
    <n v="112"/>
    <n v="107"/>
    <n v="29.222999999999999"/>
    <n v="0.71399999999999997"/>
    <n v="2.1480000000000001"/>
    <s v="F30"/>
    <x v="0"/>
    <n v="30"/>
    <n v="4.2960000000000003"/>
    <n v="1.7190000000000001"/>
    <s v="2 redbelly dace: 2.22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2.2200000000000002"/>
    <m/>
    <m/>
    <m/>
    <m/>
    <m/>
    <m/>
    <n v="2.2200000000000002"/>
    <s v="22/6/2021"/>
    <s v="22"/>
    <s v="6"/>
    <s v="2021"/>
    <x v="15"/>
    <n v="173"/>
    <x v="11"/>
    <s v="SC taken"/>
    <n v="7.9335180055401677"/>
    <n v="2.5044722719141319"/>
    <n v="2.7085467167406393E-2"/>
    <n v="6.2500000000000018"/>
    <n v="8.8183964685350578"/>
    <n v="16.415152448413924"/>
    <s v="T"/>
    <n v="3"/>
    <m/>
    <m/>
    <m/>
    <m/>
    <m/>
    <m/>
    <m/>
    <m/>
    <m/>
  </r>
  <r>
    <x v="721"/>
    <x v="4"/>
    <s v="I"/>
    <s v="I"/>
    <x v="0"/>
    <n v="89"/>
    <n v="83"/>
    <n v="11.680999999999999"/>
    <n v="0.23899999999999999"/>
    <n v="0.92400000000000004"/>
    <s v="F30"/>
    <x v="0"/>
    <n v="30"/>
    <n v="0.308"/>
    <n v="0.29899999999999999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2/6/2021"/>
    <s v="22"/>
    <s v="6"/>
    <s v="2021"/>
    <x v="15"/>
    <n v="173"/>
    <x v="11"/>
    <m/>
    <n v="8.5897555080412769"/>
    <n v="2.0887956650935151"/>
    <n v="2.2722951131393804E-2"/>
    <n v="2.6269548409769814"/>
    <n v="7.7048197928259635E-2"/>
    <n v="7.7048197928259635E-2"/>
    <s v="T"/>
    <n v="3"/>
    <n v="2"/>
    <n v="70"/>
    <n v="30"/>
    <n v="0"/>
    <n v="1.9900000000000001E-2"/>
    <n v="1.9490695396669935"/>
    <n v="6.2910096458663176"/>
    <n v="99.18099376433382"/>
    <m/>
  </r>
  <r>
    <x v="722"/>
    <x v="4"/>
    <s v="I"/>
    <s v="I"/>
    <x v="0"/>
    <n v="98"/>
    <n v="93"/>
    <n v="18.616"/>
    <n v="0.23300000000000001"/>
    <n v="0.13700000000000001"/>
    <s v="M30"/>
    <x v="2"/>
    <n v="30"/>
    <n v="2.2759999999999998"/>
    <n v="0.82799999999999996"/>
    <s v="1 redbelly dace: 1.243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.2430000000000001"/>
    <m/>
    <m/>
    <m/>
    <m/>
    <m/>
    <m/>
    <n v="1.2430000000000001"/>
    <s v="22/6/2021"/>
    <s v="22"/>
    <s v="6"/>
    <s v="2021"/>
    <x v="15"/>
    <n v="173"/>
    <x v="11"/>
    <s v="SC taken"/>
    <n v="0.74138210942150562"/>
    <n v="1.2674753848664528"/>
    <n v="1.2769922174723228E-2"/>
    <n v="4.6548234765010115"/>
    <n v="7.7782552642887834"/>
    <n v="14.455307262569834"/>
    <s v="T"/>
    <n v="3"/>
    <m/>
    <m/>
    <m/>
    <m/>
    <m/>
    <m/>
    <m/>
    <m/>
    <m/>
  </r>
  <r>
    <x v="723"/>
    <x v="4"/>
    <s v="I"/>
    <s v="B"/>
    <x v="1"/>
    <n v="125"/>
    <n v="118"/>
    <n v="44.491999999999997"/>
    <n v="1.0900000000000001"/>
    <n v="1.9850000000000001"/>
    <s v="F30"/>
    <x v="0"/>
    <n v="30"/>
    <n v="7.1760000000000002"/>
    <n v="2.11"/>
    <s v="3 redbelly dace: 3.438; 1 fathead: 1.136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.1359999999999999"/>
    <n v="3"/>
    <n v="3.4380000000000002"/>
    <m/>
    <m/>
    <m/>
    <m/>
    <m/>
    <m/>
    <n v="4.5739999999999998"/>
    <s v="22/6/2021"/>
    <s v="22"/>
    <s v="6"/>
    <s v="2021"/>
    <x v="15"/>
    <n v="173"/>
    <x v="11"/>
    <s v="SC taken"/>
    <n v="4.6698190886206987"/>
    <n v="2.511405004377679"/>
    <n v="2.6317695632228317E-2"/>
    <n v="4.9785286206408381"/>
    <n v="11.386316641193925"/>
    <n v="21.666816506338222"/>
    <s v="T"/>
    <n v="3"/>
    <m/>
    <m/>
    <m/>
    <m/>
    <m/>
    <m/>
    <m/>
    <m/>
    <m/>
  </r>
  <r>
    <x v="724"/>
    <x v="4"/>
    <s v="I"/>
    <s v="S"/>
    <x v="0"/>
    <n v="84"/>
    <n v="79"/>
    <n v="10.073"/>
    <n v="0.114"/>
    <n v="0.14099999999999999"/>
    <s v="M30"/>
    <x v="2"/>
    <n v="30"/>
    <n v="0.28399999999999997"/>
    <n v="0.27700000000000002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2/6/2021"/>
    <s v="22"/>
    <s v="6"/>
    <s v="2021"/>
    <x v="15"/>
    <n v="173"/>
    <x v="11"/>
    <m/>
    <n v="1.4196536447845347"/>
    <n v="1.1446932422934031"/>
    <n v="1.1611326135669181E-2"/>
    <n v="2.8276847692935889"/>
    <n v="6.9492703266156558E-2"/>
    <n v="6.9492703266156558E-2"/>
    <s v="T"/>
    <n v="3"/>
    <m/>
    <m/>
    <m/>
    <m/>
    <m/>
    <m/>
    <m/>
    <m/>
    <m/>
  </r>
  <r>
    <x v="725"/>
    <x v="4"/>
    <s v="I"/>
    <s v="I"/>
    <x v="0"/>
    <n v="108"/>
    <n v="103"/>
    <n v="25.398"/>
    <n v="0.27500000000000002"/>
    <n v="0.186"/>
    <s v="M30"/>
    <x v="2"/>
    <n v="30"/>
    <n v="3.4790000000000001"/>
    <n v="0.90100000000000002"/>
    <s v="1 pump: 1.314; 1 fathead: 0.826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0.82599999999999996"/>
    <m/>
    <m/>
    <n v="1"/>
    <n v="1.3140000000000001"/>
    <m/>
    <m/>
    <m/>
    <m/>
    <n v="2.14"/>
    <s v="22/6/2021"/>
    <s v="22"/>
    <s v="6"/>
    <s v="2021"/>
    <x v="15"/>
    <n v="173"/>
    <x v="11"/>
    <s v="SC taken"/>
    <n v="0.73774393146120898"/>
    <n v="1.0946144966763522"/>
    <n v="1.1027790030877813E-2"/>
    <n v="3.6780013879250522"/>
    <n v="10.150405543743602"/>
    <n v="18.576265847704544"/>
    <s v="T"/>
    <n v="2"/>
    <m/>
    <m/>
    <m/>
    <m/>
    <m/>
    <m/>
    <m/>
    <m/>
    <m/>
  </r>
  <r>
    <x v="726"/>
    <x v="4"/>
    <s v="I"/>
    <s v="I"/>
    <x v="0"/>
    <n v="86"/>
    <n v="81"/>
    <n v="12.141999999999999"/>
    <n v="0.11899999999999999"/>
    <n v="0.13300000000000001"/>
    <s v="M30"/>
    <x v="2"/>
    <n v="30"/>
    <n v="0.33800000000000002"/>
    <n v="0.32600000000000001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2/6/2021"/>
    <s v="22"/>
    <s v="6"/>
    <s v="2021"/>
    <x v="15"/>
    <n v="173"/>
    <x v="11"/>
    <m/>
    <n v="1.1075027063036056"/>
    <n v="0.98976960825085247"/>
    <n v="1.0008410428931875E-2"/>
    <n v="2.7589708869329725"/>
    <n v="9.8830505682754172E-2"/>
    <n v="9.8830505682754172E-2"/>
    <s v="T"/>
    <n v="2"/>
    <m/>
    <m/>
    <m/>
    <m/>
    <m/>
    <m/>
    <m/>
    <m/>
    <m/>
  </r>
  <r>
    <x v="727"/>
    <x v="4"/>
    <s v="I"/>
    <s v="I"/>
    <x v="0"/>
    <n v="86"/>
    <n v="80"/>
    <n v="12.196"/>
    <n v="0.17100000000000001"/>
    <n v="5.5E-2"/>
    <s v="M30"/>
    <x v="2"/>
    <n v="30"/>
    <n v="0.46100000000000002"/>
    <n v="0.41899999999999998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2/6/2021"/>
    <s v="22"/>
    <s v="6"/>
    <s v="2021"/>
    <x v="15"/>
    <n v="173"/>
    <x v="11"/>
    <m/>
    <n v="0.45301046042335885"/>
    <n v="1.4220374220374221"/>
    <n v="1.4285714285714285E-2"/>
    <n v="3.5577821176870175"/>
    <n v="0.34437520498524138"/>
    <n v="0.34437520498524138"/>
    <s v="T"/>
    <n v="3"/>
    <m/>
    <m/>
    <m/>
    <m/>
    <m/>
    <m/>
    <m/>
    <m/>
    <m/>
  </r>
  <r>
    <x v="728"/>
    <x v="4"/>
    <s v="I"/>
    <s v="I"/>
    <x v="0"/>
    <n v="89"/>
    <n v="84"/>
    <n v="12.776"/>
    <n v="0.14799999999999999"/>
    <n v="0.115"/>
    <s v="M30"/>
    <x v="2"/>
    <n v="30"/>
    <n v="0.92900000000000005"/>
    <n v="0.40699999999999997"/>
    <s v="1 redbelly: 0.356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0.35599999999999998"/>
    <m/>
    <m/>
    <m/>
    <m/>
    <m/>
    <m/>
    <n v="0.35599999999999998"/>
    <s v="22/6/2021"/>
    <s v="22"/>
    <s v="6"/>
    <s v="2021"/>
    <x v="15"/>
    <n v="173"/>
    <x v="11"/>
    <s v="SC taken"/>
    <n v="0.90830108206302829"/>
    <n v="1.1719987329743426"/>
    <n v="1.1827699192839446E-2"/>
    <n v="3.2904842752041392"/>
    <n v="4.085785848465874"/>
    <n v="6.8722604884157796"/>
    <s v="T"/>
    <n v="3"/>
    <m/>
    <m/>
    <m/>
    <m/>
    <m/>
    <m/>
    <m/>
    <m/>
    <m/>
  </r>
  <r>
    <x v="729"/>
    <x v="4"/>
    <s v="I"/>
    <s v="S"/>
    <x v="0"/>
    <n v="84"/>
    <n v="79"/>
    <n v="10.503"/>
    <n v="0.14000000000000001"/>
    <n v="3.2000000000000001E-2"/>
    <s v="M40"/>
    <x v="2"/>
    <n v="40"/>
    <n v="0.42599999999999999"/>
    <n v="0.40200000000000002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2/6/2021"/>
    <s v="22"/>
    <s v="6"/>
    <s v="2021"/>
    <x v="15"/>
    <n v="173"/>
    <x v="11"/>
    <m/>
    <n v="0.30560595931620665"/>
    <n v="1.3509601466756731"/>
    <n v="1.3551447100958283E-2"/>
    <n v="3.9798039798039793"/>
    <n v="0.22850614110254178"/>
    <n v="0.22850614110254178"/>
    <s v="T"/>
    <n v="3"/>
    <m/>
    <m/>
    <m/>
    <m/>
    <m/>
    <m/>
    <m/>
    <m/>
    <m/>
  </r>
  <r>
    <x v="730"/>
    <x v="4"/>
    <s v="I"/>
    <s v="B"/>
    <x v="1"/>
    <n v="119"/>
    <n v="113"/>
    <n v="37.561999999999998"/>
    <n v="0.44"/>
    <n v="0.32100000000000001"/>
    <s v="M30"/>
    <x v="2"/>
    <n v="30"/>
    <n v="5.7460000000000004"/>
    <n v="1.637"/>
    <s v="3 redbelly dace: 3.705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3.7050000000000001"/>
    <m/>
    <m/>
    <m/>
    <m/>
    <m/>
    <m/>
    <n v="3.7050000000000001"/>
    <d v="2021-07-07T00:00:00"/>
    <n v="7"/>
    <n v="7"/>
    <n v="2021"/>
    <x v="16"/>
    <n v="188"/>
    <x v="12"/>
    <s v="SC taken"/>
    <n v="0.8619532235976477"/>
    <n v="1.1852809654652228"/>
    <n v="1.1956196842477106E-2"/>
    <n v="4.5567153792623527"/>
    <n v="10.939247111442416"/>
    <n v="20.80293914062084"/>
    <s v="T"/>
    <n v="3"/>
    <m/>
    <m/>
    <m/>
    <m/>
    <m/>
    <m/>
    <m/>
    <m/>
    <m/>
  </r>
  <r>
    <x v="731"/>
    <x v="4"/>
    <s v="I"/>
    <s v="B"/>
    <x v="1"/>
    <n v="130"/>
    <n v="123"/>
    <n v="39.997999999999998"/>
    <n v="0.38100000000000001"/>
    <n v="0.371"/>
    <s v="M30"/>
    <x v="2"/>
    <n v="30"/>
    <n v="3.9769999999999999"/>
    <n v="1.34"/>
    <s v="1 fathead: 0.887; 2 redbelly dace: 1.5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0.88700000000000001"/>
    <n v="2"/>
    <n v="1.5"/>
    <m/>
    <m/>
    <m/>
    <m/>
    <m/>
    <m/>
    <n v="2.387"/>
    <d v="2021-07-07T00:00:00"/>
    <n v="7"/>
    <n v="7"/>
    <n v="2021"/>
    <x v="16"/>
    <n v="188"/>
    <x v="12"/>
    <s v="SC taken"/>
    <n v="0.936230347995054"/>
    <n v="0.96170835752328543"/>
    <n v="9.7079957193089757E-3"/>
    <n v="3.4662941693827936"/>
    <n v="6.5928296414820728"/>
    <n v="12.560628031401569"/>
    <s v="T"/>
    <n v="3"/>
    <m/>
    <m/>
    <m/>
    <m/>
    <m/>
    <m/>
    <m/>
    <m/>
    <m/>
  </r>
  <r>
    <x v="732"/>
    <x v="4"/>
    <s v="I"/>
    <s v="B"/>
    <x v="1"/>
    <n v="127"/>
    <n v="122"/>
    <n v="40.445999999999998"/>
    <n v="0.71"/>
    <n v="0.22700000000000001"/>
    <s v="M30"/>
    <x v="2"/>
    <n v="30"/>
    <n v="4.7539999999999996"/>
    <n v="1.5840000000000001"/>
    <s v="2 junebug: 0.686; 2 redbelly dace: 2.208"/>
    <s v="F"/>
    <m/>
    <m/>
    <n v="2"/>
    <n v="0.68600000000000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2.2080000000000002"/>
    <m/>
    <m/>
    <m/>
    <m/>
    <m/>
    <m/>
    <n v="2.8940000000000001"/>
    <d v="2021-07-07T00:00:00"/>
    <n v="7"/>
    <n v="7"/>
    <n v="2021"/>
    <x v="16"/>
    <n v="188"/>
    <x v="12"/>
    <m/>
    <n v="0.56440985603819094"/>
    <n v="1.7867928326957925"/>
    <n v="1.7970588979726136E-2"/>
    <n v="4.0759610930986572"/>
    <n v="7.8376106413489577"/>
    <n v="14.992829946100974"/>
    <s v="T"/>
    <n v="2"/>
    <m/>
    <m/>
    <m/>
    <m/>
    <m/>
    <m/>
    <m/>
    <m/>
    <m/>
  </r>
  <r>
    <x v="733"/>
    <x v="4"/>
    <s v="I"/>
    <s v="I"/>
    <x v="0"/>
    <n v="92"/>
    <n v="88"/>
    <n v="13.031000000000001"/>
    <n v="0.16"/>
    <n v="4.2000000000000003E-2"/>
    <s v="M30"/>
    <x v="2"/>
    <n v="30"/>
    <n v="0.48499999999999999"/>
    <n v="0.43"/>
    <s v="10 zoops: 0.01"/>
    <s v="F"/>
    <m/>
    <m/>
    <m/>
    <m/>
    <m/>
    <m/>
    <m/>
    <m/>
    <m/>
    <m/>
    <m/>
    <m/>
    <m/>
    <m/>
    <m/>
    <m/>
    <m/>
    <m/>
    <m/>
    <m/>
    <m/>
    <m/>
    <n v="10"/>
    <n v="0.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01"/>
    <d v="2021-07-07T00:00:00"/>
    <n v="7"/>
    <n v="7"/>
    <n v="2021"/>
    <x v="16"/>
    <n v="188"/>
    <x v="12"/>
    <m/>
    <n v="0.32335052736931247"/>
    <n v="1.2431046538730479"/>
    <n v="1.2471743705666848E-2"/>
    <n v="3.4124275851122925"/>
    <n v="0.42207044739467414"/>
    <n v="0.49881052873916032"/>
    <s v="T"/>
    <n v="3"/>
    <m/>
    <m/>
    <m/>
    <m/>
    <m/>
    <m/>
    <m/>
    <m/>
    <m/>
  </r>
  <r>
    <x v="734"/>
    <x v="4"/>
    <s v="I"/>
    <s v="I"/>
    <x v="0"/>
    <n v="105"/>
    <n v="100"/>
    <n v="23.462"/>
    <n v="0.24099999999999999"/>
    <n v="8.7999999999999995E-2"/>
    <s v="M30"/>
    <x v="2"/>
    <n v="30"/>
    <n v="3.242"/>
    <n v="1.1559999999999999"/>
    <s v="2 fathead: 1.911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1.911"/>
    <m/>
    <m/>
    <m/>
    <m/>
    <m/>
    <m/>
    <m/>
    <m/>
    <n v="1.911"/>
    <d v="2021-07-07T00:00:00"/>
    <n v="7"/>
    <n v="7"/>
    <n v="2021"/>
    <x v="16"/>
    <n v="188"/>
    <x v="12"/>
    <m/>
    <n v="0.37648669461795159"/>
    <n v="1.0378536669394083"/>
    <n v="1.0418017550685169E-2"/>
    <n v="5.1824621178158337"/>
    <n v="8.8909726366038715"/>
    <n v="17.036058307049696"/>
    <s v="T"/>
    <n v="3"/>
    <m/>
    <m/>
    <m/>
    <m/>
    <m/>
    <m/>
    <m/>
    <m/>
    <m/>
  </r>
  <r>
    <x v="735"/>
    <x v="4"/>
    <s v="I"/>
    <s v="I"/>
    <x v="0"/>
    <n v="96"/>
    <n v="91"/>
    <n v="14.773"/>
    <n v="0.16300000000000001"/>
    <n v="7.3999999999999996E-2"/>
    <s v="M30"/>
    <x v="2"/>
    <n v="30"/>
    <n v="1.8879999999999999"/>
    <n v="0.63800000000000001"/>
    <s v="1 redbelly dace: 1.181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.181"/>
    <m/>
    <m/>
    <m/>
    <m/>
    <m/>
    <m/>
    <n v="1.181"/>
    <d v="2021-07-07T00:00:00"/>
    <n v="7"/>
    <n v="7"/>
    <n v="2021"/>
    <x v="16"/>
    <n v="188"/>
    <x v="12"/>
    <m/>
    <n v="0.50343560786448049"/>
    <n v="1.1156741957563312"/>
    <n v="1.1213538800220144E-2"/>
    <n v="4.5136186770428015"/>
    <n v="8.46138225140459"/>
    <n v="16.455696202531648"/>
    <s v="T"/>
    <n v="3"/>
    <m/>
    <m/>
    <m/>
    <m/>
    <m/>
    <m/>
    <m/>
    <m/>
    <m/>
  </r>
  <r>
    <x v="736"/>
    <x v="4"/>
    <s v="I"/>
    <s v="S"/>
    <x v="0"/>
    <n v="77"/>
    <n v="74"/>
    <n v="8.6999999999999993"/>
    <n v="0.126"/>
    <n v="4.2999999999999997E-2"/>
    <s v="M30"/>
    <x v="2"/>
    <n v="30"/>
    <n v="0.42899999999999999"/>
    <n v="0.34399999999999997"/>
    <s v="10 inverts: 0.06"/>
    <s v="F"/>
    <m/>
    <m/>
    <n v="10"/>
    <n v="0.0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06"/>
    <d v="2021-07-07T00:00:00"/>
    <n v="7"/>
    <n v="7"/>
    <n v="2021"/>
    <x v="16"/>
    <n v="188"/>
    <x v="12"/>
    <s v="SC kept"/>
    <n v="0.49670786646644327"/>
    <n v="1.4695591322603219"/>
    <n v="1.4769663579885123E-2"/>
    <n v="4.1168022977501195"/>
    <n v="0.97701149425287392"/>
    <n v="1.666666666666667"/>
    <s v="T"/>
    <n v="2"/>
    <m/>
    <m/>
    <m/>
    <m/>
    <m/>
    <m/>
    <m/>
    <m/>
    <m/>
  </r>
  <r>
    <x v="737"/>
    <x v="4"/>
    <s v="I"/>
    <s v="I"/>
    <x v="0"/>
    <n v="85"/>
    <n v="80"/>
    <n v="9.5609999999999999"/>
    <n v="0.13200000000000001"/>
    <n v="3.6999999999999998E-2"/>
    <s v="M40"/>
    <x v="2"/>
    <n v="40"/>
    <n v="0.41499999999999998"/>
    <n v="0.35599999999999998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1-07-07T00:00:00"/>
    <n v="7"/>
    <n v="7"/>
    <n v="2021"/>
    <x v="16"/>
    <n v="188"/>
    <x v="12"/>
    <m/>
    <n v="0.38849223015539691"/>
    <n v="1.3999363665287943"/>
    <n v="1.4054514480408861E-2"/>
    <n v="3.8674633351439431"/>
    <n v="0.61709026252484045"/>
    <n v="0.61709026252484045"/>
    <s v="T"/>
    <n v="3"/>
    <m/>
    <m/>
    <m/>
    <m/>
    <m/>
    <m/>
    <m/>
    <m/>
    <m/>
  </r>
  <r>
    <x v="738"/>
    <x v="4"/>
    <s v="I"/>
    <s v="S"/>
    <x v="0"/>
    <n v="75"/>
    <n v="71"/>
    <n v="7.5030000000000001"/>
    <n v="0.105"/>
    <n v="2.1999999999999999E-2"/>
    <s v="M40"/>
    <x v="2"/>
    <n v="40"/>
    <n v="0.35199999999999998"/>
    <n v="0.32"/>
    <s v="2 snail: 0.011"/>
    <s v="F"/>
    <m/>
    <m/>
    <m/>
    <m/>
    <m/>
    <m/>
    <m/>
    <m/>
    <m/>
    <m/>
    <m/>
    <m/>
    <m/>
    <m/>
    <m/>
    <m/>
    <m/>
    <m/>
    <n v="2"/>
    <n v="1.0999999999999999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.0999999999999999E-2"/>
    <d v="2021-07-07T00:00:00"/>
    <n v="7"/>
    <n v="7"/>
    <n v="2021"/>
    <x v="16"/>
    <n v="188"/>
    <x v="12"/>
    <m/>
    <n v="0.29407833177382703"/>
    <n v="1.4193025141930251"/>
    <n v="1.4235357917570499E-2"/>
    <n v="4.4549631073367673"/>
    <n v="0.42649606823937058"/>
    <n v="0.57310409169665422"/>
    <s v="T"/>
    <n v="3"/>
    <m/>
    <m/>
    <m/>
    <m/>
    <m/>
    <m/>
    <m/>
    <m/>
    <m/>
  </r>
  <r>
    <x v="739"/>
    <x v="4"/>
    <s v="I"/>
    <s v="I"/>
    <x v="0"/>
    <n v="97"/>
    <n v="92"/>
    <n v="18.006"/>
    <n v="0.26500000000000001"/>
    <n v="7.0999999999999994E-2"/>
    <s v="M40"/>
    <x v="2"/>
    <n v="40"/>
    <n v="2.4239999999999999"/>
    <n v="0.74299999999999999"/>
    <s v="2 fathead: 1.558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1.5580000000000001"/>
    <m/>
    <m/>
    <m/>
    <m/>
    <m/>
    <m/>
    <m/>
    <m/>
    <n v="1.5580000000000001"/>
    <d v="2021-07-07T00:00:00"/>
    <n v="7"/>
    <n v="7"/>
    <n v="2021"/>
    <x v="16"/>
    <n v="188"/>
    <x v="12"/>
    <m/>
    <n v="0.39587398940618901"/>
    <n v="1.4937151231610395"/>
    <n v="1.4997170345217886E-2"/>
    <n v="4.3040027805132359"/>
    <n v="9.335776963234478"/>
    <n v="17.988448295012773"/>
    <s v="T"/>
    <n v="3"/>
    <m/>
    <m/>
    <m/>
    <m/>
    <m/>
    <m/>
    <m/>
    <m/>
    <m/>
  </r>
  <r>
    <x v="740"/>
    <x v="4"/>
    <s v="I"/>
    <s v="I"/>
    <x v="0"/>
    <n v="97"/>
    <n v="91"/>
    <n v="14.802"/>
    <n v="0.23400000000000001"/>
    <n v="3.5000000000000003E-2"/>
    <s v="M40"/>
    <x v="2"/>
    <n v="40"/>
    <n v="1.2270000000000001"/>
    <n v="0.70299999999999996"/>
    <s v="3 odo: 0.485"/>
    <s v="F"/>
    <m/>
    <m/>
    <m/>
    <m/>
    <m/>
    <m/>
    <m/>
    <m/>
    <m/>
    <m/>
    <m/>
    <m/>
    <m/>
    <m/>
    <m/>
    <m/>
    <m/>
    <m/>
    <m/>
    <m/>
    <m/>
    <m/>
    <m/>
    <m/>
    <n v="3"/>
    <n v="0.48499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48499999999999999"/>
    <d v="2021-07-07T00:00:00"/>
    <n v="7"/>
    <n v="7"/>
    <n v="2021"/>
    <x v="16"/>
    <n v="188"/>
    <x v="12"/>
    <s v="SC kept"/>
    <n v="0.23701496580212639"/>
    <n v="1.6062602965403627"/>
    <n v="1.6101286726759791E-2"/>
    <n v="4.9861692318604156"/>
    <n v="3.5400621537630057"/>
    <n v="6.8166463991352524"/>
    <s v="T"/>
    <n v="3"/>
    <m/>
    <m/>
    <m/>
    <m/>
    <m/>
    <m/>
    <m/>
    <m/>
    <m/>
  </r>
  <r>
    <x v="741"/>
    <x v="4"/>
    <s v="I"/>
    <s v="S"/>
    <x v="0"/>
    <n v="82"/>
    <n v="78"/>
    <n v="10.766999999999999"/>
    <n v="0.192"/>
    <n v="0.06"/>
    <s v="M30-40"/>
    <x v="2"/>
    <s v="30-40"/>
    <n v="0.52200000000000002"/>
    <n v="0.46"/>
    <s v="NA (missed)"/>
    <s v="N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1-07-07T00:00:00"/>
    <n v="7"/>
    <n v="7"/>
    <n v="2021"/>
    <x v="16"/>
    <n v="188"/>
    <x v="12"/>
    <m/>
    <n v="0.56038105912020175"/>
    <n v="1.815602836879433"/>
    <n v="1.8259629101283884E-2"/>
    <n v="4.4629863199767161"/>
    <n v="0.57583356552428722"/>
    <n v="0.57583356552428722"/>
    <s v="T"/>
    <n v="3"/>
    <m/>
    <m/>
    <m/>
    <m/>
    <m/>
    <m/>
    <m/>
    <m/>
    <m/>
  </r>
  <r>
    <x v="742"/>
    <x v="4"/>
    <s v="I"/>
    <s v="S"/>
    <x v="0"/>
    <n v="72"/>
    <n v="68"/>
    <n v="6.5259999999999998"/>
    <n v="8.8999999999999996E-2"/>
    <n v="1.7000000000000001E-2"/>
    <s v="M40"/>
    <x v="2"/>
    <n v="40"/>
    <n v="0.28299999999999997"/>
    <n v="0.247"/>
    <s v="1 invert: 0.019"/>
    <s v="F"/>
    <m/>
    <m/>
    <n v="1"/>
    <n v="1.9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.9E-2"/>
    <s v="16/7/2021"/>
    <s v="16"/>
    <s v="7"/>
    <s v="2021"/>
    <x v="43"/>
    <n v="197"/>
    <x v="14"/>
    <m/>
    <n v="0.26117683207866033"/>
    <n v="1.3826316607115117"/>
    <n v="1.3862928348909658E-2"/>
    <n v="3.9337474120082816"/>
    <n v="0.55163959546429631"/>
    <n v="0.84278271529267512"/>
    <s v="T"/>
    <n v="3"/>
    <m/>
    <m/>
    <m/>
    <m/>
    <m/>
    <m/>
    <m/>
    <m/>
    <m/>
  </r>
  <r>
    <x v="743"/>
    <x v="4"/>
    <s v="I"/>
    <s v="B"/>
    <x v="1"/>
    <n v="111"/>
    <n v="106"/>
    <n v="26.744"/>
    <n v="0.45800000000000002"/>
    <n v="0.71499999999999997"/>
    <s v="F30"/>
    <x v="0"/>
    <n v="30"/>
    <n v="2.3959999999999999"/>
    <n v="1.2"/>
    <s v="1 red belly dace: 1.08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.08"/>
    <m/>
    <m/>
    <m/>
    <m/>
    <m/>
    <m/>
    <n v="1.08"/>
    <s v="16/7/2021"/>
    <s v="16"/>
    <s v="7"/>
    <s v="2021"/>
    <x v="43"/>
    <n v="197"/>
    <x v="14"/>
    <m/>
    <n v="2.7469361097237694"/>
    <n v="1.7423723655177661"/>
    <n v="1.7910914708067733E-2"/>
    <n v="4.6977763858440342"/>
    <n v="4.472031109781633"/>
    <n v="8.5103200717918028"/>
    <s v="T"/>
    <n v="3"/>
    <m/>
    <m/>
    <m/>
    <m/>
    <m/>
    <m/>
    <m/>
    <m/>
    <m/>
  </r>
  <r>
    <x v="744"/>
    <x v="4"/>
    <s v="I"/>
    <s v="I"/>
    <x v="0"/>
    <n v="105"/>
    <n v="100"/>
    <n v="21.074000000000002"/>
    <n v="0.40799999999999997"/>
    <n v="0.83"/>
    <s v="F30"/>
    <x v="0"/>
    <n v="30"/>
    <n v="1.929"/>
    <n v="1.0680000000000001"/>
    <s v="1 red belly dace: 0.733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0.73299999999999998"/>
    <m/>
    <m/>
    <m/>
    <m/>
    <m/>
    <m/>
    <n v="0.73299999999999998"/>
    <s v="16/7/2021"/>
    <s v="16"/>
    <s v="7"/>
    <s v="2021"/>
    <x v="43"/>
    <n v="197"/>
    <x v="14"/>
    <m/>
    <n v="4.0999802410590789"/>
    <n v="1.9742572341043259"/>
    <n v="2.0568663036902596E-2"/>
    <n v="5.3383984804558633"/>
    <n v="4.0856031128404666"/>
    <n v="7.5638227199392603"/>
    <s v="T"/>
    <n v="3"/>
    <n v="2"/>
    <n v="152"/>
    <n v="12"/>
    <n v="0"/>
    <m/>
    <m/>
    <n v="7.6410637078813828"/>
    <n v="79.849488587950717"/>
    <m/>
  </r>
  <r>
    <x v="745"/>
    <x v="4"/>
    <s v="I"/>
    <s v="B"/>
    <x v="1"/>
    <n v="117"/>
    <n v="111"/>
    <n v="29.356999999999999"/>
    <n v="0.64100000000000001"/>
    <n v="0.10299999999999999"/>
    <s v="M40"/>
    <x v="2"/>
    <n v="40"/>
    <n v="3.3290000000000002"/>
    <n v="1.429"/>
    <s v="2 fathead: 1.721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1.7210000000000001"/>
    <m/>
    <m/>
    <m/>
    <m/>
    <m/>
    <m/>
    <m/>
    <m/>
    <n v="1.7210000000000001"/>
    <s v="16/7/2021"/>
    <s v="16"/>
    <s v="7"/>
    <s v="2021"/>
    <x v="43"/>
    <n v="197"/>
    <x v="14"/>
    <m/>
    <n v="0.35208860326792918"/>
    <n v="2.2322050424850257"/>
    <n v="2.2402404501450389E-2"/>
    <n v="5.1167287310226293"/>
    <n v="6.4720509588854451"/>
    <n v="12.334366590591683"/>
    <s v="T"/>
    <n v="3"/>
    <m/>
    <m/>
    <m/>
    <m/>
    <m/>
    <m/>
    <m/>
    <m/>
    <m/>
  </r>
  <r>
    <x v="746"/>
    <x v="4"/>
    <s v="I"/>
    <s v="I"/>
    <x v="0"/>
    <n v="103"/>
    <n v="97"/>
    <n v="21.884"/>
    <n v="0.28000000000000003"/>
    <n v="0.22700000000000001"/>
    <s v="F40"/>
    <x v="0"/>
    <n v="40"/>
    <n v="0.99399999999999999"/>
    <n v="0.92"/>
    <s v="1 invert: 0.042"/>
    <s v="F"/>
    <m/>
    <m/>
    <n v="1"/>
    <n v="4.2000000000000003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.2000000000000003E-2"/>
    <s v="16/7/2021"/>
    <s v="16"/>
    <s v="7"/>
    <s v="2021"/>
    <x v="43"/>
    <n v="197"/>
    <x v="14"/>
    <m/>
    <n v="1.0481599482846193"/>
    <n v="1.2960562858729867"/>
    <n v="1.3098189643074335E-2"/>
    <n v="4.3884754817782863"/>
    <n v="0.33814659111679746"/>
    <n v="0.53006762931822315"/>
    <s v="T"/>
    <n v="3"/>
    <n v="1"/>
    <n v="76"/>
    <n v="35"/>
    <n v="0"/>
    <m/>
    <m/>
    <n v="8.7053845947572306"/>
    <n v="92.601311213352503"/>
    <m/>
  </r>
  <r>
    <x v="747"/>
    <x v="4"/>
    <s v="I"/>
    <s v="S"/>
    <x v="0"/>
    <n v="80"/>
    <n v="75"/>
    <n v="8.5449999999999999"/>
    <n v="0.16600000000000001"/>
    <n v="0.10199999999999999"/>
    <s v="F40"/>
    <x v="0"/>
    <n v="40"/>
    <n v="0.51200000000000001"/>
    <n v="0.41799999999999998"/>
    <s v="~5 inverts: 0.079"/>
    <s v="F"/>
    <m/>
    <m/>
    <n v="5"/>
    <n v="7.9000000000000001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.9000000000000001E-2"/>
    <s v="16/7/2021"/>
    <s v="16"/>
    <s v="7"/>
    <s v="2021"/>
    <x v="43"/>
    <n v="197"/>
    <x v="14"/>
    <m/>
    <n v="1.2081013857633542"/>
    <n v="1.9811433345267933"/>
    <n v="2.005557569167573E-2"/>
    <n v="5.1433493293958401"/>
    <n v="1.1000585137507319"/>
    <n v="2.0245757753071976"/>
    <s v="T"/>
    <n v="3"/>
    <n v="0"/>
    <n v="60"/>
    <n v="11"/>
    <n v="1"/>
    <n v="3.3599999999999998E-2"/>
    <n v="4.3271088216355444"/>
    <n v="10.181720717742664"/>
    <n v="87.847887724830002"/>
    <m/>
  </r>
  <r>
    <x v="748"/>
    <x v="4"/>
    <s v="I"/>
    <s v="S"/>
    <x v="0"/>
    <n v="75"/>
    <n v="70"/>
    <n v="6.9530000000000003"/>
    <n v="8.5000000000000006E-2"/>
    <n v="0.16300000000000001"/>
    <s v="F30"/>
    <x v="0"/>
    <n v="30"/>
    <n v="0.22700000000000001"/>
    <n v="0.19500000000000001"/>
    <s v="~2 inverts: 0.013"/>
    <s v="F"/>
    <m/>
    <m/>
    <n v="2"/>
    <n v="1.2999999999999999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.2999999999999999E-2"/>
    <s v="16/7/2021"/>
    <s v="16"/>
    <s v="7"/>
    <s v="2021"/>
    <x v="43"/>
    <n v="197"/>
    <x v="14"/>
    <s v="Gonad parasites"/>
    <n v="2.4005891016200298"/>
    <n v="1.2376237623762376"/>
    <n v="1.2677106636838182E-2"/>
    <n v="2.8854690736904409"/>
    <n v="0.46023299295268233"/>
    <n v="0.64720264633970948"/>
    <s v="T"/>
    <n v="3"/>
    <n v="0"/>
    <n v="53"/>
    <n v="9"/>
    <n v="0"/>
    <n v="1.9400000000000001E-2"/>
    <n v="2.9947514665020072"/>
    <n v="8.3993837822123059"/>
    <m/>
    <m/>
  </r>
  <r>
    <x v="749"/>
    <x v="4"/>
    <s v="I"/>
    <s v="S"/>
    <x v="0"/>
    <n v="73"/>
    <n v="68"/>
    <n v="6.0750000000000002"/>
    <n v="7.5999999999999998E-2"/>
    <n v="6.6000000000000003E-2"/>
    <s v="F40"/>
    <x v="0"/>
    <n v="40"/>
    <n v="0.245"/>
    <n v="0.22700000000000001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6/7/2021"/>
    <s v="16"/>
    <s v="7"/>
    <s v="2021"/>
    <x v="43"/>
    <n v="197"/>
    <x v="14"/>
    <m/>
    <n v="1.0983524712930604"/>
    <n v="1.2668778129688278"/>
    <n v="1.2809708410584862E-2"/>
    <n v="3.8816689466484271"/>
    <n v="0.29629629629629611"/>
    <n v="0.29629629629629611"/>
    <s v="T"/>
    <n v="3"/>
    <n v="0"/>
    <n v="19"/>
    <n v="9"/>
    <n v="0"/>
    <n v="5.7799999999999997E-2"/>
    <n v="10.161744022503514"/>
    <n v="12.119608481690609"/>
    <m/>
    <m/>
  </r>
  <r>
    <x v="750"/>
    <x v="4"/>
    <s v="B"/>
    <s v="B"/>
    <x v="1"/>
    <n v="162"/>
    <n v="154"/>
    <n v="79.481999999999999"/>
    <n v="1.022"/>
    <n v="1.5580000000000001"/>
    <s v="F30"/>
    <x v="0"/>
    <n v="30"/>
    <n v="2.7970000000000002"/>
    <n v="2.7530000000000001"/>
    <s v="MT"/>
    <s v="M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6/7/2021"/>
    <s v="16"/>
    <s v="7"/>
    <s v="2021"/>
    <x v="43"/>
    <n v="197"/>
    <x v="14"/>
    <m/>
    <n v="1.9993840151942923"/>
    <n v="1.3025745602854959"/>
    <n v="1.3289641361733117E-2"/>
    <n v="3.5879524039150774"/>
    <n v="5.5358445937445003E-2"/>
    <n v="5.5358445937445003E-2"/>
    <s v="T"/>
    <n v="3"/>
    <m/>
    <m/>
    <m/>
    <m/>
    <m/>
    <m/>
    <m/>
    <m/>
    <m/>
  </r>
  <r>
    <x v="751"/>
    <x v="4"/>
    <s v="I"/>
    <s v="I"/>
    <x v="0"/>
    <n v="85"/>
    <n v="80"/>
    <n v="10.91"/>
    <n v="0.218"/>
    <n v="0.17299999999999999"/>
    <s v="F30"/>
    <x v="0"/>
    <n v="30"/>
    <n v="0.47899999999999998"/>
    <n v="0.42799999999999999"/>
    <s v="1 mayfly: 0.021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2.1000000000000001E-2"/>
    <m/>
    <m/>
    <m/>
    <m/>
    <m/>
    <m/>
    <m/>
    <m/>
    <m/>
    <m/>
    <m/>
    <m/>
    <m/>
    <m/>
    <m/>
    <m/>
    <n v="2.1000000000000001E-2"/>
    <d v="2021-01-08T00:00:00"/>
    <n v="1"/>
    <n v="8"/>
    <n v="2021"/>
    <x v="17"/>
    <n v="213"/>
    <x v="13"/>
    <m/>
    <n v="1.6112508149389959"/>
    <n v="2.0389075944631503"/>
    <n v="2.072440346040498E-2"/>
    <n v="4.0831902308719714"/>
    <n v="0.46746104491292384"/>
    <n v="0.65994500458295136"/>
    <s v="T"/>
    <n v="3"/>
    <n v="0"/>
    <n v="84"/>
    <n v="25"/>
    <n v="0"/>
    <n v="2.9700000000000001E-2"/>
    <n v="2.9581673306772904"/>
    <n v="5.0624101088963105"/>
    <m/>
    <m/>
  </r>
  <r>
    <x v="752"/>
    <x v="4"/>
    <s v="I"/>
    <s v="S"/>
    <x v="0"/>
    <n v="78"/>
    <n v="75"/>
    <n v="7.7930000000000001"/>
    <n v="0.121"/>
    <n v="0.01"/>
    <s v="F40"/>
    <x v="0"/>
    <n v="40"/>
    <n v="0.45800000000000002"/>
    <n v="0.38400000000000001"/>
    <s v="caterpillar: 0.054"/>
    <s v="F"/>
    <m/>
    <m/>
    <m/>
    <m/>
    <n v="1"/>
    <n v="5.3999999999999999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.3999999999999999E-2"/>
    <d v="2021-01-08T00:00:00"/>
    <n v="1"/>
    <n v="8"/>
    <n v="2021"/>
    <x v="17"/>
    <n v="213"/>
    <x v="13"/>
    <m/>
    <n v="0.12848515996402415"/>
    <n v="1.5771637122002085"/>
    <n v="1.5792221352127381E-2"/>
    <n v="5.1828856795788907"/>
    <n v="0.94957012703708465"/>
    <n v="1.6424996791992816"/>
    <s v="T"/>
    <n v="2"/>
    <n v="0"/>
    <n v="21"/>
    <n v="11"/>
    <n v="1"/>
    <n v="5.2299999999999999E-2"/>
    <n v="7.2598556357579112"/>
    <n v="9.1485642017567965"/>
    <m/>
    <m/>
  </r>
  <r>
    <x v="753"/>
    <x v="4"/>
    <s v="I"/>
    <s v="S"/>
    <x v="0"/>
    <n v="82"/>
    <n v="78"/>
    <n v="9.3179999999999996"/>
    <n v="0.223"/>
    <n v="3.2000000000000001E-2"/>
    <s v="M40"/>
    <x v="2"/>
    <n v="40"/>
    <n v="0.52400000000000002"/>
    <n v="0.44400000000000001"/>
    <s v="6 chiro: 0.061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"/>
    <n v="6.0999999999999999E-2"/>
    <m/>
    <m/>
    <m/>
    <m/>
    <m/>
    <m/>
    <m/>
    <m/>
    <m/>
    <m/>
    <m/>
    <m/>
    <m/>
    <m/>
    <m/>
    <m/>
    <m/>
    <m/>
    <m/>
    <m/>
    <m/>
    <m/>
    <m/>
    <m/>
    <n v="6.0999999999999999E-2"/>
    <d v="2021-01-08T00:00:00"/>
    <n v="1"/>
    <n v="8"/>
    <n v="2021"/>
    <x v="17"/>
    <n v="213"/>
    <x v="13"/>
    <m/>
    <n v="0.34460478139134182"/>
    <n v="2.4518966465090712"/>
    <n v="2.4605539004744569E-2"/>
    <n v="5.0033806626098718"/>
    <n v="0.85855333762610031"/>
    <n v="1.5132002575660015"/>
    <s v="T"/>
    <n v="3"/>
    <m/>
    <m/>
    <m/>
    <m/>
    <m/>
    <m/>
    <m/>
    <m/>
    <m/>
  </r>
  <r>
    <x v="754"/>
    <x v="4"/>
    <s v="I"/>
    <s v="I"/>
    <x v="0"/>
    <n v="103"/>
    <n v="97"/>
    <n v="20.375"/>
    <n v="0.28100000000000003"/>
    <n v="0.2"/>
    <s v="F40"/>
    <x v="0"/>
    <n v="40"/>
    <n v="1.67"/>
    <n v="0.76600000000000001"/>
    <s v="1 RBD: 0.826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0.82599999999999996"/>
    <m/>
    <m/>
    <m/>
    <m/>
    <m/>
    <m/>
    <n v="0.82599999999999996"/>
    <d v="2021-01-08T00:00:00"/>
    <n v="1"/>
    <n v="8"/>
    <n v="2021"/>
    <x v="17"/>
    <n v="213"/>
    <x v="13"/>
    <m/>
    <n v="0.99132589838909546"/>
    <n v="1.398427391261073"/>
    <n v="1.4124861767367046E-2"/>
    <n v="3.9063695241980723"/>
    <n v="4.4368098159509195"/>
    <n v="8.4907975460122707"/>
    <s v="T"/>
    <n v="3"/>
    <n v="0"/>
    <n v="106"/>
    <n v="35"/>
    <n v="0"/>
    <m/>
    <m/>
    <n v="4.7149209202307105"/>
    <m/>
    <m/>
  </r>
  <r>
    <x v="755"/>
    <x v="4"/>
    <s v="I"/>
    <s v="S"/>
    <x v="0"/>
    <n v="77"/>
    <n v="72"/>
    <n v="8.02"/>
    <n v="0.13600000000000001"/>
    <n v="1.4E-2"/>
    <s v="M40"/>
    <x v="2"/>
    <n v="40"/>
    <n v="0.56299999999999994"/>
    <n v="0.47399999999999998"/>
    <s v="inverts: 0.067"/>
    <s v="F"/>
    <m/>
    <m/>
    <n v="1"/>
    <n v="6.7000000000000004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.7000000000000004E-2"/>
    <d v="2021-01-08T00:00:00"/>
    <n v="1"/>
    <n v="8"/>
    <n v="2021"/>
    <x v="17"/>
    <n v="213"/>
    <x v="13"/>
    <m/>
    <n v="0.17486884836372721"/>
    <n v="1.7250126839167939"/>
    <n v="1.728081321473952E-2"/>
    <n v="6.281473628412404"/>
    <n v="1.1097256857855358"/>
    <n v="1.9451371571072316"/>
    <s v="T"/>
    <n v="3"/>
    <m/>
    <m/>
    <m/>
    <m/>
    <m/>
    <m/>
    <m/>
    <m/>
    <m/>
  </r>
  <r>
    <x v="756"/>
    <x v="4"/>
    <s v="I"/>
    <s v="B"/>
    <x v="1"/>
    <n v="130"/>
    <n v="123"/>
    <n v="45.168999999999997"/>
    <n v="0.51400000000000001"/>
    <n v="0.498"/>
    <s v="M40"/>
    <x v="2"/>
    <n v="40"/>
    <n v="6.508"/>
    <n v="1.8720000000000001"/>
    <s v="1 fathead: 2.467; 1 RBD: 1.579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2.4670000000000001"/>
    <n v="1"/>
    <n v="1.579"/>
    <m/>
    <m/>
    <m/>
    <m/>
    <m/>
    <m/>
    <n v="4.0460000000000003"/>
    <d v="2021-01-08T00:00:00"/>
    <n v="1"/>
    <n v="8"/>
    <n v="2021"/>
    <x v="17"/>
    <n v="213"/>
    <x v="13"/>
    <m/>
    <n v="1.1148172192250005"/>
    <n v="1.1510469152390552"/>
    <n v="1.1640283533754559E-2"/>
    <n v="4.3236251934314165"/>
    <n v="10.263676415240543"/>
    <n v="19.221147247005693"/>
    <s v="T"/>
    <n v="3"/>
    <m/>
    <m/>
    <m/>
    <m/>
    <m/>
    <m/>
    <m/>
    <m/>
    <m/>
  </r>
  <r>
    <x v="757"/>
    <x v="4"/>
    <s v="I"/>
    <s v="S"/>
    <x v="0"/>
    <n v="83"/>
    <n v="79"/>
    <n v="10.679"/>
    <n v="0.27"/>
    <n v="4.5999999999999999E-2"/>
    <s v="M30"/>
    <x v="2"/>
    <n v="30"/>
    <n v="0.48299999999999998"/>
    <n v="0.372"/>
    <s v="6 inverts: 0.059"/>
    <s v="F"/>
    <m/>
    <m/>
    <n v="6"/>
    <n v="5.8999999999999997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.8999999999999997E-2"/>
    <d v="2021-01-08T00:00:00"/>
    <n v="1"/>
    <n v="8"/>
    <n v="2021"/>
    <x v="17"/>
    <n v="213"/>
    <x v="13"/>
    <m/>
    <n v="0.43261544249036016"/>
    <n v="2.5939091171101931"/>
    <n v="2.6054231400173693E-2"/>
    <n v="3.6091976326768216"/>
    <n v="1.0394231669631988"/>
    <n v="1.5919093548085024"/>
    <s v="T"/>
    <n v="3"/>
    <m/>
    <m/>
    <m/>
    <m/>
    <m/>
    <m/>
    <m/>
    <m/>
    <m/>
  </r>
  <r>
    <x v="758"/>
    <x v="4"/>
    <s v="I"/>
    <s v="S"/>
    <x v="0"/>
    <n v="79"/>
    <n v="74"/>
    <n v="8.6980000000000004"/>
    <n v="0.14099999999999999"/>
    <n v="3.2000000000000001E-2"/>
    <s v="M40"/>
    <x v="2"/>
    <n v="40"/>
    <n v="0.42"/>
    <n v="0.38"/>
    <s v="4 chiro: 0.022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2.1999999999999999E-2"/>
    <m/>
    <m/>
    <m/>
    <m/>
    <m/>
    <m/>
    <m/>
    <m/>
    <m/>
    <m/>
    <m/>
    <m/>
    <m/>
    <m/>
    <m/>
    <m/>
    <m/>
    <m/>
    <m/>
    <m/>
    <m/>
    <m/>
    <m/>
    <m/>
    <n v="2.1999999999999999E-2"/>
    <d v="2021-01-08T00:00:00"/>
    <n v="1"/>
    <n v="8"/>
    <n v="2021"/>
    <x v="17"/>
    <n v="213"/>
    <x v="13"/>
    <m/>
    <n v="0.36925917378259865"/>
    <n v="1.6477737524833467"/>
    <n v="1.6539589442815247E-2"/>
    <n v="4.5684058667949028"/>
    <n v="0.45987583352494799"/>
    <n v="0.71280754196366958"/>
    <s v="T"/>
    <n v="3"/>
    <m/>
    <m/>
    <m/>
    <m/>
    <m/>
    <m/>
    <m/>
    <m/>
    <m/>
  </r>
  <r>
    <x v="759"/>
    <x v="4"/>
    <s v="I"/>
    <s v="S"/>
    <x v="0"/>
    <n v="73"/>
    <n v="67"/>
    <n v="6.47"/>
    <n v="9.1999999999999998E-2"/>
    <n v="8.9999999999999993E-3"/>
    <s v="M40"/>
    <x v="2"/>
    <n v="40"/>
    <n v="0.32400000000000001"/>
    <n v="0.27500000000000002"/>
    <s v="~25 zoops: 0.014"/>
    <s v="F"/>
    <m/>
    <m/>
    <m/>
    <m/>
    <m/>
    <m/>
    <m/>
    <m/>
    <m/>
    <m/>
    <m/>
    <m/>
    <m/>
    <m/>
    <m/>
    <m/>
    <m/>
    <m/>
    <m/>
    <m/>
    <m/>
    <m/>
    <n v="25"/>
    <n v="1.4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.4E-2"/>
    <d v="2021-01-08T00:00:00"/>
    <n v="1"/>
    <n v="8"/>
    <n v="2021"/>
    <x v="17"/>
    <n v="213"/>
    <x v="13"/>
    <m/>
    <n v="0.13929732239591394"/>
    <n v="1.4424584509250549"/>
    <n v="1.444496781284346E-2"/>
    <n v="4.4390637610976595"/>
    <n v="0.75734157650695499"/>
    <n v="0.97372488408037083"/>
    <s v="T"/>
    <n v="3"/>
    <m/>
    <m/>
    <m/>
    <m/>
    <m/>
    <m/>
    <m/>
    <m/>
    <m/>
  </r>
  <r>
    <x v="760"/>
    <x v="4"/>
    <s v="I"/>
    <s v="S"/>
    <x v="0"/>
    <n v="80"/>
    <n v="76"/>
    <n v="8.968"/>
    <n v="0.127"/>
    <n v="3.5999999999999997E-2"/>
    <s v="M30"/>
    <x v="2"/>
    <n v="30"/>
    <n v="0.38"/>
    <n v="0.35299999999999998"/>
    <s v="1 damsel: 0.009"/>
    <s v="F"/>
    <m/>
    <m/>
    <m/>
    <m/>
    <m/>
    <m/>
    <m/>
    <m/>
    <m/>
    <m/>
    <m/>
    <m/>
    <m/>
    <m/>
    <m/>
    <m/>
    <m/>
    <m/>
    <m/>
    <m/>
    <m/>
    <m/>
    <m/>
    <m/>
    <m/>
    <m/>
    <n v="1"/>
    <n v="8.9999999999999993E-3"/>
    <m/>
    <m/>
    <m/>
    <m/>
    <m/>
    <m/>
    <m/>
    <m/>
    <m/>
    <m/>
    <m/>
    <m/>
    <m/>
    <m/>
    <m/>
    <m/>
    <m/>
    <m/>
    <m/>
    <m/>
    <m/>
    <m/>
    <m/>
    <m/>
    <m/>
    <m/>
    <m/>
    <m/>
    <n v="8.9999999999999993E-3"/>
    <d v="2021-01-08T00:00:00"/>
    <n v="1"/>
    <n v="8"/>
    <n v="2021"/>
    <x v="17"/>
    <n v="213"/>
    <x v="13"/>
    <m/>
    <n v="0.40304523063143743"/>
    <n v="1.4364890849451422"/>
    <n v="1.4423622941510506E-2"/>
    <n v="4.097504352872896"/>
    <n v="0.3010704727921501"/>
    <n v="0.40142729705620006"/>
    <s v="T"/>
    <n v="3"/>
    <m/>
    <m/>
    <m/>
    <m/>
    <m/>
    <m/>
    <m/>
    <m/>
    <m/>
  </r>
  <r>
    <x v="761"/>
    <x v="4"/>
    <s v="I"/>
    <s v="S"/>
    <x v="0"/>
    <n v="81"/>
    <n v="72"/>
    <n v="8.6969999999999992"/>
    <n v="0.123"/>
    <n v="0.03"/>
    <s v="M40"/>
    <x v="2"/>
    <n v="40"/>
    <n v="0.36099999999999999"/>
    <n v="0.27"/>
    <s v="9 chiro: 0.038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9"/>
    <n v="3.7999999999999999E-2"/>
    <m/>
    <m/>
    <m/>
    <m/>
    <m/>
    <m/>
    <m/>
    <m/>
    <m/>
    <m/>
    <m/>
    <m/>
    <m/>
    <m/>
    <m/>
    <m/>
    <m/>
    <m/>
    <m/>
    <m/>
    <m/>
    <m/>
    <m/>
    <m/>
    <n v="3.7999999999999999E-2"/>
    <d v="2021-01-08T00:00:00"/>
    <n v="1"/>
    <n v="8"/>
    <n v="2021"/>
    <x v="17"/>
    <n v="213"/>
    <x v="13"/>
    <m/>
    <n v="0.3461405330564209"/>
    <n v="1.4345696291112666"/>
    <n v="1.4396067415730336E-2"/>
    <n v="3.2039871840512641"/>
    <n v="1.0463378176382658"/>
    <n v="1.483270093135564"/>
    <s v="T"/>
    <n v="3"/>
    <m/>
    <m/>
    <m/>
    <m/>
    <m/>
    <m/>
    <m/>
    <m/>
    <m/>
  </r>
  <r>
    <x v="762"/>
    <x v="4"/>
    <s v="I"/>
    <s v="S"/>
    <x v="0"/>
    <n v="79"/>
    <n v="72"/>
    <n v="8.3040000000000003"/>
    <n v="0.16500000000000001"/>
    <n v="1.6E-2"/>
    <s v="M40"/>
    <x v="2"/>
    <n v="40"/>
    <n v="0.42"/>
    <n v="0.30599999999999999"/>
    <s v="17 chiro: 0.066; 1 mayfly: 0.008"/>
    <s v="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7"/>
    <n v="6.6000000000000003E-2"/>
    <m/>
    <m/>
    <m/>
    <m/>
    <m/>
    <m/>
    <n v="1"/>
    <n v="8.0000000000000002E-3"/>
    <m/>
    <m/>
    <m/>
    <m/>
    <m/>
    <m/>
    <m/>
    <m/>
    <m/>
    <m/>
    <m/>
    <m/>
    <m/>
    <m/>
    <m/>
    <m/>
    <n v="7.400000000000001E-2"/>
    <d v="2021-01-08T00:00:00"/>
    <n v="1"/>
    <n v="8"/>
    <n v="2021"/>
    <x v="17"/>
    <n v="213"/>
    <x v="13"/>
    <m/>
    <n v="0.19305019305019305"/>
    <n v="2.0272760781422776"/>
    <n v="2.031269235504124E-2"/>
    <n v="3.8259564891222806"/>
    <n v="1.3728323699421963"/>
    <n v="2.2639691714836223"/>
    <s v="T"/>
    <n v="3"/>
    <m/>
    <m/>
    <m/>
    <m/>
    <m/>
    <m/>
    <m/>
    <m/>
    <m/>
  </r>
  <r>
    <x v="763"/>
    <x v="5"/>
    <m/>
    <m/>
    <x v="2"/>
    <m/>
    <m/>
    <m/>
    <m/>
    <m/>
    <m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7"/>
    <m/>
    <x v="15"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D6E969F-8B15-48CC-81CC-12801A27F67E}" name="PivotTable1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>
  <location ref="A3:E129" firstHeaderRow="0" firstDataRow="1" firstDataCol="1"/>
  <pivotFields count="101">
    <pivotField showAll="0"/>
    <pivotField axis="axisRow"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1"/>
        <item x="0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axis="axisRow" showAll="0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4"/>
        <item x="13"/>
        <item x="15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5">
        <item x="0"/>
        <item x="1"/>
        <item x="2"/>
        <item x="3"/>
        <item t="default"/>
      </items>
    </pivotField>
  </pivotFields>
  <rowFields count="3">
    <field x="11"/>
    <field x="1"/>
    <field x="80"/>
  </rowFields>
  <rowItems count="126">
    <i>
      <x/>
    </i>
    <i r="1">
      <x/>
    </i>
    <i r="2">
      <x/>
    </i>
    <i r="1">
      <x v="4"/>
    </i>
    <i r="2">
      <x v="5"/>
    </i>
    <i>
      <x v="1"/>
    </i>
    <i r="1">
      <x/>
    </i>
    <i r="2">
      <x/>
    </i>
    <i r="2">
      <x v="1"/>
    </i>
    <i r="1">
      <x v="1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4"/>
    </i>
    <i r="1">
      <x v="2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9"/>
    </i>
    <i r="2">
      <x v="10"/>
    </i>
    <i r="2">
      <x v="11"/>
    </i>
    <i r="2">
      <x v="12"/>
    </i>
    <i r="1">
      <x v="3"/>
    </i>
    <i r="2">
      <x/>
    </i>
    <i r="2">
      <x v="1"/>
    </i>
    <i r="2">
      <x v="2"/>
    </i>
    <i r="2">
      <x v="6"/>
    </i>
    <i r="2">
      <x v="8"/>
    </i>
    <i r="2">
      <x v="9"/>
    </i>
    <i r="2">
      <x v="11"/>
    </i>
    <i r="2">
      <x v="12"/>
    </i>
    <i r="2">
      <x v="13"/>
    </i>
    <i r="2">
      <x v="14"/>
    </i>
    <i r="1">
      <x v="4"/>
    </i>
    <i r="2">
      <x/>
    </i>
    <i r="2">
      <x v="1"/>
    </i>
    <i r="2">
      <x v="2"/>
    </i>
    <i r="2">
      <x v="3"/>
    </i>
    <i r="2">
      <x v="4"/>
    </i>
    <i r="2">
      <x v="5"/>
    </i>
    <i r="2">
      <x v="7"/>
    </i>
    <i r="2">
      <x v="8"/>
    </i>
    <i r="2">
      <x v="9"/>
    </i>
    <i r="2">
      <x v="10"/>
    </i>
    <i r="2">
      <x v="11"/>
    </i>
    <i r="2">
      <x v="13"/>
    </i>
    <i r="2">
      <x v="14"/>
    </i>
    <i>
      <x v="2"/>
    </i>
    <i r="1">
      <x/>
    </i>
    <i r="2">
      <x/>
    </i>
    <i r="2">
      <x v="1"/>
    </i>
    <i r="2">
      <x v="2"/>
    </i>
    <i r="1">
      <x v="1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4"/>
    </i>
    <i r="1">
      <x v="2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9"/>
    </i>
    <i r="2">
      <x v="10"/>
    </i>
    <i r="2">
      <x v="11"/>
    </i>
    <i r="2">
      <x v="12"/>
    </i>
    <i r="1">
      <x v="3"/>
    </i>
    <i r="2">
      <x/>
    </i>
    <i r="2">
      <x v="1"/>
    </i>
    <i r="2">
      <x v="2"/>
    </i>
    <i r="2">
      <x v="6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1">
      <x v="4"/>
    </i>
    <i r="2">
      <x/>
    </i>
    <i r="2">
      <x v="1"/>
    </i>
    <i r="2">
      <x v="2"/>
    </i>
    <i r="2">
      <x v="3"/>
    </i>
    <i r="2">
      <x v="4"/>
    </i>
    <i r="2">
      <x v="5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>
      <x v="3"/>
    </i>
    <i r="1">
      <x v="5"/>
    </i>
    <i r="2">
      <x v="15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Count of GSI" fld="82" subtotal="count" baseField="11" baseItem="0"/>
    <dataField name="Count of MusLipP" fld="96" subtotal="count" baseField="80" baseItem="5"/>
    <dataField name="Count of LivProt" fld="97" subtotal="count" baseField="80" baseItem="5"/>
    <dataField name="Count of GonProt" fld="98" subtotal="count" baseField="80" baseItem="5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D622986-79EB-43F9-9847-AC925504270E}" name="PivotTable1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984" firstHeaderRow="1" firstDataRow="1" firstDataCol="1"/>
  <pivotFields count="101">
    <pivotField axis="axisRow" showAll="0">
      <items count="765">
        <item x="0"/>
        <item x="9"/>
        <item x="10"/>
        <item x="11"/>
        <item x="12"/>
        <item x="13"/>
        <item x="14"/>
        <item x="15"/>
        <item x="16"/>
        <item x="17"/>
        <item x="18"/>
        <item x="1"/>
        <item x="19"/>
        <item x="20"/>
        <item x="21"/>
        <item x="22"/>
        <item x="23"/>
        <item x="24"/>
        <item x="25"/>
        <item x="26"/>
        <item x="27"/>
        <item x="28"/>
        <item x="2"/>
        <item x="29"/>
        <item x="30"/>
        <item x="31"/>
        <item x="3"/>
        <item x="4"/>
        <item x="5"/>
        <item x="6"/>
        <item x="7"/>
        <item x="8"/>
        <item x="32"/>
        <item x="41"/>
        <item x="131"/>
        <item x="132"/>
        <item x="133"/>
        <item x="134"/>
        <item x="135"/>
        <item x="136"/>
        <item x="137"/>
        <item x="138"/>
        <item x="139"/>
        <item x="140"/>
        <item x="42"/>
        <item x="141"/>
        <item x="142"/>
        <item x="143"/>
        <item x="144"/>
        <item x="145"/>
        <item x="146"/>
        <item x="147"/>
        <item x="148"/>
        <item x="149"/>
        <item x="150"/>
        <item x="43"/>
        <item x="151"/>
        <item x="152"/>
        <item x="153"/>
        <item x="154"/>
        <item x="155"/>
        <item x="156"/>
        <item x="157"/>
        <item x="158"/>
        <item x="159"/>
        <item x="160"/>
        <item x="44"/>
        <item x="161"/>
        <item x="162"/>
        <item x="163"/>
        <item x="164"/>
        <item x="165"/>
        <item x="166"/>
        <item x="167"/>
        <item x="168"/>
        <item x="169"/>
        <item x="170"/>
        <item x="45"/>
        <item x="171"/>
        <item x="172"/>
        <item x="173"/>
        <item x="174"/>
        <item x="175"/>
        <item x="176"/>
        <item x="177"/>
        <item x="178"/>
        <item x="179"/>
        <item x="180"/>
        <item x="46"/>
        <item x="181"/>
        <item x="182"/>
        <item x="183"/>
        <item x="184"/>
        <item x="185"/>
        <item x="186"/>
        <item x="187"/>
        <item x="188"/>
        <item x="189"/>
        <item x="190"/>
        <item x="47"/>
        <item x="191"/>
        <item x="192"/>
        <item x="193"/>
        <item x="194"/>
        <item x="195"/>
        <item x="196"/>
        <item x="197"/>
        <item x="198"/>
        <item x="199"/>
        <item x="200"/>
        <item x="48"/>
        <item x="201"/>
        <item x="202"/>
        <item x="203"/>
        <item x="204"/>
        <item x="205"/>
        <item x="206"/>
        <item x="207"/>
        <item x="208"/>
        <item x="209"/>
        <item x="210"/>
        <item x="49"/>
        <item x="211"/>
        <item x="212"/>
        <item x="213"/>
        <item x="214"/>
        <item x="215"/>
        <item x="216"/>
        <item x="217"/>
        <item x="218"/>
        <item x="219"/>
        <item x="220"/>
        <item x="50"/>
        <item x="221"/>
        <item x="222"/>
        <item x="223"/>
        <item x="224"/>
        <item x="225"/>
        <item x="226"/>
        <item x="227"/>
        <item x="228"/>
        <item x="229"/>
        <item x="230"/>
        <item x="33"/>
        <item x="51"/>
        <item x="231"/>
        <item x="232"/>
        <item x="233"/>
        <item x="234"/>
        <item x="235"/>
        <item x="236"/>
        <item x="237"/>
        <item x="238"/>
        <item x="239"/>
        <item x="240"/>
        <item x="52"/>
        <item x="241"/>
        <item x="242"/>
        <item x="243"/>
        <item x="244"/>
        <item x="245"/>
        <item x="246"/>
        <item x="247"/>
        <item x="248"/>
        <item x="249"/>
        <item x="250"/>
        <item x="53"/>
        <item x="251"/>
        <item x="252"/>
        <item x="253"/>
        <item x="254"/>
        <item x="255"/>
        <item x="256"/>
        <item x="257"/>
        <item x="258"/>
        <item x="259"/>
        <item x="260"/>
        <item x="54"/>
        <item x="261"/>
        <item x="262"/>
        <item x="263"/>
        <item x="264"/>
        <item x="265"/>
        <item x="266"/>
        <item x="267"/>
        <item x="268"/>
        <item x="269"/>
        <item x="270"/>
        <item x="55"/>
        <item x="271"/>
        <item x="272"/>
        <item x="273"/>
        <item x="274"/>
        <item x="275"/>
        <item x="276"/>
        <item x="277"/>
        <item x="278"/>
        <item x="279"/>
        <item x="280"/>
        <item x="56"/>
        <item x="281"/>
        <item x="282"/>
        <item x="283"/>
        <item x="284"/>
        <item x="285"/>
        <item x="286"/>
        <item x="287"/>
        <item x="288"/>
        <item x="289"/>
        <item x="290"/>
        <item x="57"/>
        <item x="291"/>
        <item x="292"/>
        <item x="293"/>
        <item x="294"/>
        <item x="295"/>
        <item x="296"/>
        <item x="297"/>
        <item x="298"/>
        <item x="299"/>
        <item x="300"/>
        <item x="58"/>
        <item x="301"/>
        <item x="302"/>
        <item x="303"/>
        <item x="304"/>
        <item x="305"/>
        <item x="306"/>
        <item x="307"/>
        <item x="308"/>
        <item x="309"/>
        <item x="310"/>
        <item x="59"/>
        <item x="311"/>
        <item x="312"/>
        <item x="313"/>
        <item x="314"/>
        <item x="315"/>
        <item x="316"/>
        <item x="317"/>
        <item x="60"/>
        <item x="34"/>
        <item x="61"/>
        <item x="62"/>
        <item x="63"/>
        <item x="64"/>
        <item x="65"/>
        <item x="66"/>
        <item x="67"/>
        <item x="68"/>
        <item x="69"/>
        <item x="70"/>
        <item x="35"/>
        <item x="71"/>
        <item x="72"/>
        <item x="73"/>
        <item x="74"/>
        <item x="75"/>
        <item x="76"/>
        <item x="77"/>
        <item x="78"/>
        <item x="79"/>
        <item x="80"/>
        <item x="36"/>
        <item x="81"/>
        <item x="82"/>
        <item x="83"/>
        <item x="84"/>
        <item x="85"/>
        <item x="86"/>
        <item x="87"/>
        <item x="88"/>
        <item x="89"/>
        <item x="90"/>
        <item x="37"/>
        <item x="91"/>
        <item x="92"/>
        <item x="93"/>
        <item x="94"/>
        <item x="95"/>
        <item x="96"/>
        <item x="97"/>
        <item x="98"/>
        <item x="99"/>
        <item x="100"/>
        <item x="38"/>
        <item x="101"/>
        <item x="102"/>
        <item x="103"/>
        <item x="104"/>
        <item x="105"/>
        <item x="106"/>
        <item x="107"/>
        <item x="108"/>
        <item x="109"/>
        <item x="110"/>
        <item x="39"/>
        <item x="111"/>
        <item x="112"/>
        <item x="113"/>
        <item x="114"/>
        <item x="115"/>
        <item x="116"/>
        <item x="117"/>
        <item x="118"/>
        <item x="119"/>
        <item x="120"/>
        <item x="40"/>
        <item x="121"/>
        <item x="122"/>
        <item x="123"/>
        <item x="124"/>
        <item x="125"/>
        <item x="126"/>
        <item x="127"/>
        <item x="128"/>
        <item x="129"/>
        <item x="130"/>
        <item x="318"/>
        <item x="327"/>
        <item x="417"/>
        <item x="418"/>
        <item x="419"/>
        <item x="420"/>
        <item x="421"/>
        <item x="422"/>
        <item x="423"/>
        <item x="424"/>
        <item x="425"/>
        <item x="426"/>
        <item x="328"/>
        <item x="427"/>
        <item x="428"/>
        <item x="429"/>
        <item x="430"/>
        <item x="431"/>
        <item x="432"/>
        <item x="433"/>
        <item x="434"/>
        <item x="435"/>
        <item x="436"/>
        <item x="329"/>
        <item x="330"/>
        <item x="331"/>
        <item x="332"/>
        <item x="333"/>
        <item x="334"/>
        <item x="335"/>
        <item x="336"/>
        <item x="319"/>
        <item x="337"/>
        <item x="338"/>
        <item x="339"/>
        <item x="340"/>
        <item x="341"/>
        <item x="342"/>
        <item x="343"/>
        <item x="344"/>
        <item x="345"/>
        <item x="346"/>
        <item x="320"/>
        <item x="347"/>
        <item x="348"/>
        <item x="349"/>
        <item x="350"/>
        <item x="351"/>
        <item x="352"/>
        <item x="353"/>
        <item x="354"/>
        <item x="355"/>
        <item x="356"/>
        <item x="321"/>
        <item x="357"/>
        <item x="358"/>
        <item x="359"/>
        <item x="360"/>
        <item x="361"/>
        <item x="362"/>
        <item x="363"/>
        <item x="364"/>
        <item x="365"/>
        <item x="366"/>
        <item x="322"/>
        <item x="367"/>
        <item x="368"/>
        <item x="369"/>
        <item x="370"/>
        <item x="371"/>
        <item x="372"/>
        <item x="373"/>
        <item x="374"/>
        <item x="375"/>
        <item x="376"/>
        <item x="323"/>
        <item x="377"/>
        <item x="378"/>
        <item x="379"/>
        <item x="380"/>
        <item x="381"/>
        <item x="382"/>
        <item x="383"/>
        <item x="384"/>
        <item x="385"/>
        <item x="386"/>
        <item x="324"/>
        <item x="387"/>
        <item x="388"/>
        <item x="389"/>
        <item x="390"/>
        <item x="391"/>
        <item x="392"/>
        <item x="393"/>
        <item x="394"/>
        <item x="395"/>
        <item x="396"/>
        <item x="325"/>
        <item x="397"/>
        <item x="398"/>
        <item x="399"/>
        <item x="400"/>
        <item x="401"/>
        <item x="402"/>
        <item x="403"/>
        <item x="404"/>
        <item x="405"/>
        <item x="406"/>
        <item x="326"/>
        <item x="407"/>
        <item x="408"/>
        <item x="409"/>
        <item x="410"/>
        <item x="411"/>
        <item x="412"/>
        <item x="413"/>
        <item x="414"/>
        <item x="415"/>
        <item x="416"/>
        <item x="437"/>
        <item x="446"/>
        <item x="536"/>
        <item x="447"/>
        <item x="448"/>
        <item x="449"/>
        <item x="450"/>
        <item x="451"/>
        <item x="452"/>
        <item x="453"/>
        <item x="454"/>
        <item x="455"/>
        <item x="438"/>
        <item x="456"/>
        <item x="457"/>
        <item x="458"/>
        <item x="459"/>
        <item x="460"/>
        <item x="461"/>
        <item x="462"/>
        <item x="463"/>
        <item x="464"/>
        <item x="465"/>
        <item x="439"/>
        <item x="466"/>
        <item x="467"/>
        <item x="468"/>
        <item x="469"/>
        <item x="470"/>
        <item x="471"/>
        <item x="472"/>
        <item x="473"/>
        <item x="474"/>
        <item x="475"/>
        <item x="440"/>
        <item x="476"/>
        <item x="477"/>
        <item x="478"/>
        <item x="479"/>
        <item x="480"/>
        <item x="481"/>
        <item x="482"/>
        <item x="483"/>
        <item x="484"/>
        <item x="485"/>
        <item x="441"/>
        <item x="486"/>
        <item x="487"/>
        <item x="488"/>
        <item x="489"/>
        <item x="490"/>
        <item x="491"/>
        <item x="492"/>
        <item x="493"/>
        <item x="494"/>
        <item x="495"/>
        <item x="442"/>
        <item x="496"/>
        <item x="497"/>
        <item x="498"/>
        <item x="499"/>
        <item x="500"/>
        <item x="501"/>
        <item x="502"/>
        <item x="503"/>
        <item x="504"/>
        <item x="505"/>
        <item x="443"/>
        <item x="506"/>
        <item x="507"/>
        <item x="508"/>
        <item x="509"/>
        <item x="510"/>
        <item x="511"/>
        <item x="512"/>
        <item x="513"/>
        <item x="514"/>
        <item x="515"/>
        <item x="444"/>
        <item x="516"/>
        <item x="517"/>
        <item x="518"/>
        <item x="519"/>
        <item x="520"/>
        <item x="521"/>
        <item x="522"/>
        <item x="523"/>
        <item x="524"/>
        <item x="525"/>
        <item x="445"/>
        <item x="526"/>
        <item x="527"/>
        <item x="528"/>
        <item x="529"/>
        <item x="530"/>
        <item x="531"/>
        <item x="532"/>
        <item x="533"/>
        <item x="534"/>
        <item x="535"/>
        <item x="537"/>
        <item x="546"/>
        <item x="636"/>
        <item x="637"/>
        <item x="638"/>
        <item x="639"/>
        <item x="640"/>
        <item x="641"/>
        <item x="642"/>
        <item x="643"/>
        <item x="644"/>
        <item x="645"/>
        <item x="547"/>
        <item x="646"/>
        <item x="647"/>
        <item x="648"/>
        <item x="649"/>
        <item x="650"/>
        <item x="651"/>
        <item x="652"/>
        <item x="653"/>
        <item x="654"/>
        <item x="655"/>
        <item x="548"/>
        <item x="656"/>
        <item x="657"/>
        <item x="658"/>
        <item x="659"/>
        <item x="660"/>
        <item x="661"/>
        <item x="662"/>
        <item x="663"/>
        <item x="664"/>
        <item x="665"/>
        <item x="549"/>
        <item x="666"/>
        <item x="667"/>
        <item x="668"/>
        <item x="669"/>
        <item x="670"/>
        <item x="671"/>
        <item x="672"/>
        <item x="673"/>
        <item x="674"/>
        <item x="675"/>
        <item x="550"/>
        <item x="676"/>
        <item x="677"/>
        <item x="678"/>
        <item x="679"/>
        <item x="680"/>
        <item x="681"/>
        <item x="682"/>
        <item x="683"/>
        <item x="684"/>
        <item x="686"/>
        <item x="551"/>
        <item x="685"/>
        <item x="687"/>
        <item x="688"/>
        <item x="689"/>
        <item x="690"/>
        <item x="691"/>
        <item x="692"/>
        <item x="693"/>
        <item x="694"/>
        <item x="552"/>
        <item x="695"/>
        <item x="696"/>
        <item x="697"/>
        <item x="698"/>
        <item x="699"/>
        <item x="700"/>
        <item x="701"/>
        <item x="702"/>
        <item x="703"/>
        <item x="704"/>
        <item x="553"/>
        <item x="705"/>
        <item x="706"/>
        <item x="707"/>
        <item x="708"/>
        <item x="709"/>
        <item x="710"/>
        <item x="711"/>
        <item x="712"/>
        <item x="713"/>
        <item x="714"/>
        <item x="554"/>
        <item x="715"/>
        <item x="716"/>
        <item x="717"/>
        <item x="718"/>
        <item x="719"/>
        <item x="720"/>
        <item x="721"/>
        <item x="722"/>
        <item x="723"/>
        <item x="724"/>
        <item x="555"/>
        <item x="725"/>
        <item x="726"/>
        <item x="727"/>
        <item x="728"/>
        <item x="729"/>
        <item x="730"/>
        <item x="731"/>
        <item x="732"/>
        <item x="733"/>
        <item x="734"/>
        <item x="538"/>
        <item x="556"/>
        <item x="735"/>
        <item x="736"/>
        <item x="737"/>
        <item x="738"/>
        <item x="739"/>
        <item x="740"/>
        <item x="741"/>
        <item x="742"/>
        <item x="743"/>
        <item x="744"/>
        <item x="557"/>
        <item x="745"/>
        <item x="746"/>
        <item x="747"/>
        <item x="748"/>
        <item x="749"/>
        <item x="750"/>
        <item x="751"/>
        <item x="752"/>
        <item x="753"/>
        <item x="754"/>
        <item x="558"/>
        <item x="755"/>
        <item x="756"/>
        <item x="757"/>
        <item x="758"/>
        <item x="759"/>
        <item x="760"/>
        <item x="761"/>
        <item x="762"/>
        <item x="559"/>
        <item x="560"/>
        <item x="561"/>
        <item x="562"/>
        <item x="563"/>
        <item x="564"/>
        <item x="565"/>
        <item x="539"/>
        <item x="566"/>
        <item x="567"/>
        <item x="568"/>
        <item x="569"/>
        <item x="570"/>
        <item x="571"/>
        <item x="572"/>
        <item x="573"/>
        <item x="574"/>
        <item x="575"/>
        <item x="540"/>
        <item x="576"/>
        <item x="577"/>
        <item x="578"/>
        <item x="579"/>
        <item x="580"/>
        <item x="581"/>
        <item x="582"/>
        <item x="583"/>
        <item x="584"/>
        <item x="585"/>
        <item x="541"/>
        <item x="586"/>
        <item x="587"/>
        <item x="588"/>
        <item x="589"/>
        <item x="590"/>
        <item x="591"/>
        <item x="592"/>
        <item x="593"/>
        <item x="594"/>
        <item x="595"/>
        <item x="542"/>
        <item x="596"/>
        <item x="597"/>
        <item x="598"/>
        <item x="599"/>
        <item x="600"/>
        <item x="601"/>
        <item x="602"/>
        <item x="603"/>
        <item x="604"/>
        <item x="605"/>
        <item x="543"/>
        <item x="606"/>
        <item x="607"/>
        <item x="608"/>
        <item x="609"/>
        <item x="610"/>
        <item x="611"/>
        <item x="612"/>
        <item x="613"/>
        <item x="614"/>
        <item x="615"/>
        <item x="544"/>
        <item x="616"/>
        <item x="617"/>
        <item x="618"/>
        <item x="621"/>
        <item x="619"/>
        <item x="620"/>
        <item x="622"/>
        <item x="623"/>
        <item x="624"/>
        <item x="625"/>
        <item x="545"/>
        <item x="626"/>
        <item x="627"/>
        <item x="628"/>
        <item x="629"/>
        <item x="630"/>
        <item x="631"/>
        <item x="632"/>
        <item x="633"/>
        <item x="634"/>
        <item x="635"/>
        <item x="763"/>
        <item t="default"/>
      </items>
    </pivotField>
    <pivotField axis="axisRow"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/>
    <pivotField axis="axisRow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5">
        <item x="1"/>
        <item x="0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4"/>
        <item x="13"/>
        <item x="1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 defaultSubtotal="0"/>
    <pivotField showAll="0" defaultSubtotal="0"/>
  </pivotFields>
  <rowFields count="5">
    <field x="11"/>
    <field x="1"/>
    <field x="4"/>
    <field x="80"/>
    <field x="0"/>
  </rowFields>
  <rowItems count="981">
    <i>
      <x/>
    </i>
    <i r="1">
      <x/>
    </i>
    <i r="2">
      <x/>
    </i>
    <i r="3">
      <x/>
    </i>
    <i r="4">
      <x v="26"/>
    </i>
    <i r="1">
      <x v="4"/>
    </i>
    <i r="2">
      <x v="1"/>
    </i>
    <i r="3">
      <x v="5"/>
    </i>
    <i r="4">
      <x v="556"/>
    </i>
    <i>
      <x v="1"/>
    </i>
    <i r="1">
      <x/>
    </i>
    <i r="2">
      <x/>
    </i>
    <i r="3">
      <x/>
    </i>
    <i r="4">
      <x/>
    </i>
    <i r="4">
      <x v="2"/>
    </i>
    <i r="4">
      <x v="3"/>
    </i>
    <i r="4">
      <x v="11"/>
    </i>
    <i r="4">
      <x v="22"/>
    </i>
    <i r="4">
      <x v="27"/>
    </i>
    <i r="4">
      <x v="30"/>
    </i>
    <i r="4">
      <x v="31"/>
    </i>
    <i r="3">
      <x v="1"/>
    </i>
    <i r="4">
      <x v="7"/>
    </i>
    <i r="4">
      <x v="9"/>
    </i>
    <i r="4">
      <x v="14"/>
    </i>
    <i r="4">
      <x v="15"/>
    </i>
    <i r="4">
      <x v="17"/>
    </i>
    <i r="4">
      <x v="18"/>
    </i>
    <i r="4">
      <x v="20"/>
    </i>
    <i r="2">
      <x v="1"/>
    </i>
    <i r="3">
      <x v="1"/>
    </i>
    <i r="4">
      <x v="8"/>
    </i>
    <i r="4">
      <x v="12"/>
    </i>
    <i r="4">
      <x v="19"/>
    </i>
    <i r="4">
      <x v="21"/>
    </i>
    <i r="1">
      <x v="1"/>
    </i>
    <i r="2">
      <x/>
    </i>
    <i r="3">
      <x/>
    </i>
    <i r="4">
      <x v="32"/>
    </i>
    <i r="4">
      <x v="33"/>
    </i>
    <i r="4">
      <x v="121"/>
    </i>
    <i r="4">
      <x v="144"/>
    </i>
    <i r="4">
      <x v="166"/>
    </i>
    <i r="4">
      <x v="241"/>
    </i>
    <i r="4">
      <x v="252"/>
    </i>
    <i r="4">
      <x v="285"/>
    </i>
    <i r="4">
      <x v="296"/>
    </i>
    <i r="4">
      <x v="307"/>
    </i>
    <i r="3">
      <x v="1"/>
    </i>
    <i r="4">
      <x v="177"/>
    </i>
    <i r="4">
      <x v="188"/>
    </i>
    <i r="4">
      <x v="199"/>
    </i>
    <i r="4">
      <x v="232"/>
    </i>
    <i r="4">
      <x v="240"/>
    </i>
    <i r="4">
      <x v="242"/>
    </i>
    <i r="4">
      <x v="244"/>
    </i>
    <i r="4">
      <x v="245"/>
    </i>
    <i r="4">
      <x v="246"/>
    </i>
    <i r="4">
      <x v="249"/>
    </i>
    <i r="3">
      <x v="2"/>
    </i>
    <i r="4">
      <x v="256"/>
    </i>
    <i r="4">
      <x v="259"/>
    </i>
    <i r="4">
      <x v="261"/>
    </i>
    <i r="4">
      <x v="262"/>
    </i>
    <i r="4">
      <x v="268"/>
    </i>
    <i r="3">
      <x v="3"/>
    </i>
    <i r="4">
      <x v="273"/>
    </i>
    <i r="4">
      <x v="275"/>
    </i>
    <i r="4">
      <x v="282"/>
    </i>
    <i r="4">
      <x v="291"/>
    </i>
    <i r="4">
      <x v="292"/>
    </i>
    <i r="3">
      <x v="4"/>
    </i>
    <i r="4">
      <x v="35"/>
    </i>
    <i r="4">
      <x v="37"/>
    </i>
    <i r="4">
      <x v="38"/>
    </i>
    <i r="4">
      <x v="39"/>
    </i>
    <i r="4">
      <x v="304"/>
    </i>
    <i r="4">
      <x v="308"/>
    </i>
    <i r="4">
      <x v="310"/>
    </i>
    <i r="4">
      <x v="314"/>
    </i>
    <i r="4">
      <x v="316"/>
    </i>
    <i r="3">
      <x v="5"/>
    </i>
    <i r="4">
      <x v="51"/>
    </i>
    <i r="4">
      <x v="54"/>
    </i>
    <i r="4">
      <x v="58"/>
    </i>
    <i r="4">
      <x v="59"/>
    </i>
    <i r="4">
      <x v="60"/>
    </i>
    <i r="4">
      <x v="62"/>
    </i>
    <i r="4">
      <x v="65"/>
    </i>
    <i r="4">
      <x v="67"/>
    </i>
    <i r="4">
      <x v="68"/>
    </i>
    <i r="4">
      <x v="69"/>
    </i>
    <i r="4">
      <x v="70"/>
    </i>
    <i r="4">
      <x v="72"/>
    </i>
    <i r="3">
      <x v="6"/>
    </i>
    <i r="4">
      <x v="79"/>
    </i>
    <i r="4">
      <x v="83"/>
    </i>
    <i r="4">
      <x v="84"/>
    </i>
    <i r="4">
      <x v="85"/>
    </i>
    <i r="4">
      <x v="86"/>
    </i>
    <i r="4">
      <x v="89"/>
    </i>
    <i r="4">
      <x v="90"/>
    </i>
    <i r="4">
      <x v="91"/>
    </i>
    <i r="4">
      <x v="92"/>
    </i>
    <i r="3">
      <x v="7"/>
    </i>
    <i r="4">
      <x v="101"/>
    </i>
    <i r="4">
      <x v="104"/>
    </i>
    <i r="4">
      <x v="106"/>
    </i>
    <i r="4">
      <x v="117"/>
    </i>
    <i r="4">
      <x v="118"/>
    </i>
    <i r="3">
      <x v="8"/>
    </i>
    <i r="4">
      <x v="123"/>
    </i>
    <i r="4">
      <x v="124"/>
    </i>
    <i r="4">
      <x v="125"/>
    </i>
    <i r="4">
      <x v="126"/>
    </i>
    <i r="4">
      <x v="127"/>
    </i>
    <i r="4">
      <x v="133"/>
    </i>
    <i r="4">
      <x v="140"/>
    </i>
    <i r="3">
      <x v="9"/>
    </i>
    <i r="4">
      <x v="147"/>
    </i>
    <i r="4">
      <x v="148"/>
    </i>
    <i r="4">
      <x v="149"/>
    </i>
    <i r="4">
      <x v="150"/>
    </i>
    <i r="4">
      <x v="154"/>
    </i>
    <i r="4">
      <x v="157"/>
    </i>
    <i r="4">
      <x v="160"/>
    </i>
    <i r="4">
      <x v="167"/>
    </i>
    <i r="4">
      <x v="168"/>
    </i>
    <i r="4">
      <x v="169"/>
    </i>
    <i r="4">
      <x v="170"/>
    </i>
    <i r="3">
      <x v="10"/>
    </i>
    <i r="4">
      <x v="174"/>
    </i>
    <i r="4">
      <x v="176"/>
    </i>
    <i r="4">
      <x v="178"/>
    </i>
    <i r="4">
      <x v="179"/>
    </i>
    <i r="4">
      <x v="182"/>
    </i>
    <i r="4">
      <x v="186"/>
    </i>
    <i r="4">
      <x v="187"/>
    </i>
    <i r="4">
      <x v="189"/>
    </i>
    <i r="3">
      <x v="11"/>
    </i>
    <i r="4">
      <x v="202"/>
    </i>
    <i r="4">
      <x v="207"/>
    </i>
    <i r="4">
      <x v="209"/>
    </i>
    <i r="3">
      <x v="12"/>
    </i>
    <i r="4">
      <x v="219"/>
    </i>
    <i r="4">
      <x v="220"/>
    </i>
    <i r="4">
      <x v="224"/>
    </i>
    <i r="4">
      <x v="226"/>
    </i>
    <i r="3">
      <x v="14"/>
    </i>
    <i r="4">
      <x v="229"/>
    </i>
    <i r="4">
      <x v="231"/>
    </i>
    <i r="4">
      <x v="237"/>
    </i>
    <i r="2">
      <x v="1"/>
    </i>
    <i r="3">
      <x/>
    </i>
    <i r="4">
      <x v="44"/>
    </i>
    <i r="4">
      <x v="55"/>
    </i>
    <i r="4">
      <x v="88"/>
    </i>
    <i r="4">
      <x v="110"/>
    </i>
    <i r="3">
      <x v="1"/>
    </i>
    <i r="4">
      <x v="210"/>
    </i>
    <i r="3">
      <x v="2"/>
    </i>
    <i r="4">
      <x v="265"/>
    </i>
    <i r="4">
      <x v="272"/>
    </i>
    <i r="3">
      <x v="3"/>
    </i>
    <i r="4">
      <x v="288"/>
    </i>
    <i r="4">
      <x v="289"/>
    </i>
    <i r="4">
      <x v="290"/>
    </i>
    <i r="4">
      <x v="293"/>
    </i>
    <i r="4">
      <x v="294"/>
    </i>
    <i r="4">
      <x v="297"/>
    </i>
    <i r="4">
      <x v="299"/>
    </i>
    <i r="3">
      <x v="4"/>
    </i>
    <i r="4">
      <x v="42"/>
    </i>
    <i r="4">
      <x v="43"/>
    </i>
    <i r="4">
      <x v="45"/>
    </i>
    <i r="4">
      <x v="47"/>
    </i>
    <i r="4">
      <x v="309"/>
    </i>
    <i r="3">
      <x v="5"/>
    </i>
    <i r="4">
      <x v="49"/>
    </i>
    <i r="4">
      <x v="52"/>
    </i>
    <i r="4">
      <x v="73"/>
    </i>
    <i r="4">
      <x v="75"/>
    </i>
    <i r="3">
      <x v="6"/>
    </i>
    <i r="4">
      <x v="76"/>
    </i>
    <i r="3">
      <x v="7"/>
    </i>
    <i r="4">
      <x v="93"/>
    </i>
    <i r="4">
      <x v="94"/>
    </i>
    <i r="4">
      <x v="95"/>
    </i>
    <i r="4">
      <x v="115"/>
    </i>
    <i r="4">
      <x v="116"/>
    </i>
    <i r="4">
      <x v="120"/>
    </i>
    <i r="3">
      <x v="8"/>
    </i>
    <i r="4">
      <x v="128"/>
    </i>
    <i r="4">
      <x v="135"/>
    </i>
    <i r="4">
      <x v="142"/>
    </i>
    <i r="4">
      <x v="145"/>
    </i>
    <i r="3">
      <x v="9"/>
    </i>
    <i r="4">
      <x v="156"/>
    </i>
    <i r="4">
      <x v="162"/>
    </i>
    <i r="4">
      <x v="163"/>
    </i>
    <i r="3">
      <x v="10"/>
    </i>
    <i r="4">
      <x v="172"/>
    </i>
    <i r="4">
      <x v="175"/>
    </i>
    <i r="3">
      <x v="11"/>
    </i>
    <i r="4">
      <x v="190"/>
    </i>
    <i r="4">
      <x v="191"/>
    </i>
    <i r="4">
      <x v="193"/>
    </i>
    <i r="4">
      <x v="195"/>
    </i>
    <i r="4">
      <x v="208"/>
    </i>
    <i r="3">
      <x v="12"/>
    </i>
    <i r="4">
      <x v="217"/>
    </i>
    <i r="4">
      <x v="218"/>
    </i>
    <i r="3">
      <x v="14"/>
    </i>
    <i r="4">
      <x v="230"/>
    </i>
    <i r="4">
      <x v="234"/>
    </i>
    <i r="4">
      <x v="238"/>
    </i>
    <i r="1">
      <x v="2"/>
    </i>
    <i r="2">
      <x/>
    </i>
    <i r="3">
      <x v="1"/>
    </i>
    <i r="4">
      <x v="330"/>
    </i>
    <i r="3">
      <x v="2"/>
    </i>
    <i r="4">
      <x v="352"/>
    </i>
    <i r="4">
      <x v="354"/>
    </i>
    <i r="3">
      <x v="3"/>
    </i>
    <i r="4">
      <x v="369"/>
    </i>
    <i r="4">
      <x v="370"/>
    </i>
    <i r="4">
      <x v="372"/>
    </i>
    <i r="4">
      <x v="374"/>
    </i>
    <i r="4">
      <x v="375"/>
    </i>
    <i r="4">
      <x v="377"/>
    </i>
    <i r="4">
      <x v="380"/>
    </i>
    <i r="4">
      <x v="381"/>
    </i>
    <i r="3">
      <x v="4"/>
    </i>
    <i r="4">
      <x v="387"/>
    </i>
    <i r="4">
      <x v="394"/>
    </i>
    <i r="3">
      <x v="5"/>
    </i>
    <i r="4">
      <x v="400"/>
    </i>
    <i r="4">
      <x v="402"/>
    </i>
    <i r="4">
      <x v="403"/>
    </i>
    <i r="4">
      <x v="405"/>
    </i>
    <i r="4">
      <x v="406"/>
    </i>
    <i r="3">
      <x v="6"/>
    </i>
    <i r="4">
      <x v="412"/>
    </i>
    <i r="4">
      <x v="413"/>
    </i>
    <i r="4">
      <x v="414"/>
    </i>
    <i r="4">
      <x v="416"/>
    </i>
    <i r="3">
      <x v="10"/>
    </i>
    <i r="4">
      <x v="322"/>
    </i>
    <i r="4">
      <x v="326"/>
    </i>
    <i r="3">
      <x v="11"/>
    </i>
    <i r="4">
      <x v="334"/>
    </i>
    <i r="3">
      <x v="12"/>
    </i>
    <i r="4">
      <x v="340"/>
    </i>
    <i r="2">
      <x v="1"/>
    </i>
    <i r="3">
      <x/>
    </i>
    <i r="4">
      <x v="371"/>
    </i>
    <i r="4">
      <x v="404"/>
    </i>
    <i r="3">
      <x v="1"/>
    </i>
    <i r="4">
      <x v="342"/>
    </i>
    <i r="4">
      <x v="346"/>
    </i>
    <i r="3">
      <x v="2"/>
    </i>
    <i r="4">
      <x v="348"/>
    </i>
    <i r="4">
      <x v="358"/>
    </i>
    <i r="4">
      <x v="366"/>
    </i>
    <i r="4">
      <x v="367"/>
    </i>
    <i r="3">
      <x v="3"/>
    </i>
    <i r="4">
      <x v="368"/>
    </i>
    <i r="4">
      <x v="378"/>
    </i>
    <i r="4">
      <x v="383"/>
    </i>
    <i r="3">
      <x v="4"/>
    </i>
    <i r="4">
      <x v="388"/>
    </i>
    <i r="4">
      <x v="398"/>
    </i>
    <i r="3">
      <x v="5"/>
    </i>
    <i r="4">
      <x v="407"/>
    </i>
    <i r="4">
      <x v="409"/>
    </i>
    <i r="3">
      <x v="7"/>
    </i>
    <i r="4">
      <x v="427"/>
    </i>
    <i r="4">
      <x v="428"/>
    </i>
    <i r="3">
      <x v="9"/>
    </i>
    <i r="4">
      <x v="320"/>
    </i>
    <i r="4">
      <x v="429"/>
    </i>
    <i r="4">
      <x v="430"/>
    </i>
    <i r="4">
      <x v="432"/>
    </i>
    <i r="4">
      <x v="434"/>
    </i>
    <i r="4">
      <x v="435"/>
    </i>
    <i r="3">
      <x v="10"/>
    </i>
    <i r="4">
      <x v="321"/>
    </i>
    <i r="3">
      <x v="11"/>
    </i>
    <i r="4">
      <x v="328"/>
    </i>
    <i r="3">
      <x v="12"/>
    </i>
    <i r="4">
      <x v="337"/>
    </i>
    <i r="4">
      <x v="339"/>
    </i>
    <i r="1">
      <x v="3"/>
    </i>
    <i r="2">
      <x/>
    </i>
    <i r="3">
      <x/>
    </i>
    <i r="4">
      <x v="440"/>
    </i>
    <i r="4">
      <x v="442"/>
    </i>
    <i r="4">
      <x v="443"/>
    </i>
    <i r="4">
      <x v="471"/>
    </i>
    <i r="4">
      <x v="482"/>
    </i>
    <i r="3">
      <x v="1"/>
    </i>
    <i r="4">
      <x v="453"/>
    </i>
    <i r="4">
      <x v="454"/>
    </i>
    <i r="4">
      <x v="457"/>
    </i>
    <i r="4">
      <x v="459"/>
    </i>
    <i r="4">
      <x v="463"/>
    </i>
    <i r="3">
      <x v="2"/>
    </i>
    <i r="4">
      <x v="472"/>
    </i>
    <i r="4">
      <x v="474"/>
    </i>
    <i r="3">
      <x v="6"/>
    </i>
    <i r="4">
      <x v="480"/>
    </i>
    <i r="4">
      <x v="481"/>
    </i>
    <i r="4">
      <x v="483"/>
    </i>
    <i r="4">
      <x v="485"/>
    </i>
    <i r="4">
      <x v="486"/>
    </i>
    <i r="4">
      <x v="488"/>
    </i>
    <i r="4">
      <x v="489"/>
    </i>
    <i r="3">
      <x v="8"/>
    </i>
    <i r="4">
      <x v="491"/>
    </i>
    <i r="4">
      <x v="495"/>
    </i>
    <i r="4">
      <x v="496"/>
    </i>
    <i r="4">
      <x v="497"/>
    </i>
    <i r="3">
      <x v="9"/>
    </i>
    <i r="4">
      <x v="498"/>
    </i>
    <i r="4">
      <x v="499"/>
    </i>
    <i r="4">
      <x v="502"/>
    </i>
    <i r="4">
      <x v="505"/>
    </i>
    <i r="4">
      <x v="508"/>
    </i>
    <i r="4">
      <x v="509"/>
    </i>
    <i r="4">
      <x v="510"/>
    </i>
    <i r="4">
      <x v="511"/>
    </i>
    <i r="3">
      <x v="11"/>
    </i>
    <i r="4">
      <x v="517"/>
    </i>
    <i r="4">
      <x v="518"/>
    </i>
    <i r="3">
      <x v="12"/>
    </i>
    <i r="4">
      <x v="522"/>
    </i>
    <i r="3">
      <x v="13"/>
    </i>
    <i r="4">
      <x v="524"/>
    </i>
    <i r="4">
      <x v="525"/>
    </i>
    <i r="3">
      <x v="14"/>
    </i>
    <i r="4">
      <x v="532"/>
    </i>
    <i r="4">
      <x v="533"/>
    </i>
    <i r="4">
      <x v="534"/>
    </i>
    <i r="4">
      <x v="536"/>
    </i>
    <i r="2">
      <x v="1"/>
    </i>
    <i r="3">
      <x v="1"/>
    </i>
    <i r="4">
      <x v="446"/>
    </i>
    <i r="4">
      <x v="452"/>
    </i>
    <i r="4">
      <x v="465"/>
    </i>
    <i r="3">
      <x v="2"/>
    </i>
    <i r="4">
      <x v="470"/>
    </i>
    <i r="4">
      <x v="475"/>
    </i>
    <i r="4">
      <x v="477"/>
    </i>
    <i r="1">
      <x v="4"/>
    </i>
    <i r="2">
      <x/>
    </i>
    <i r="3">
      <x/>
    </i>
    <i r="4">
      <x v="603"/>
    </i>
    <i r="4">
      <x v="719"/>
    </i>
    <i r="4">
      <x v="730"/>
    </i>
    <i r="4">
      <x v="741"/>
    </i>
    <i r="3">
      <x v="1"/>
    </i>
    <i r="4">
      <x v="636"/>
    </i>
    <i r="4">
      <x v="659"/>
    </i>
    <i r="4">
      <x v="679"/>
    </i>
    <i r="4">
      <x v="688"/>
    </i>
    <i r="3">
      <x v="2"/>
    </i>
    <i r="4">
      <x v="694"/>
    </i>
    <i r="4">
      <x v="698"/>
    </i>
    <i r="4">
      <x v="705"/>
    </i>
    <i r="4">
      <x v="706"/>
    </i>
    <i r="3">
      <x v="3"/>
    </i>
    <i r="4">
      <x v="709"/>
    </i>
    <i r="4">
      <x v="714"/>
    </i>
    <i r="4">
      <x v="715"/>
    </i>
    <i r="4">
      <x v="723"/>
    </i>
    <i r="4">
      <x v="724"/>
    </i>
    <i r="4">
      <x v="725"/>
    </i>
    <i r="4">
      <x v="726"/>
    </i>
    <i r="4">
      <x v="728"/>
    </i>
    <i r="4">
      <x v="731"/>
    </i>
    <i r="3">
      <x v="4"/>
    </i>
    <i r="4">
      <x v="742"/>
    </i>
    <i r="4">
      <x v="744"/>
    </i>
    <i r="4">
      <x v="746"/>
    </i>
    <i r="4">
      <x v="748"/>
    </i>
    <i r="4">
      <x v="749"/>
    </i>
    <i r="3">
      <x v="5"/>
    </i>
    <i r="4">
      <x v="539"/>
    </i>
    <i r="4">
      <x v="540"/>
    </i>
    <i r="4">
      <x v="543"/>
    </i>
    <i r="4">
      <x v="545"/>
    </i>
    <i r="4">
      <x v="546"/>
    </i>
    <i r="4">
      <x v="550"/>
    </i>
    <i r="4">
      <x v="552"/>
    </i>
    <i r="4">
      <x v="555"/>
    </i>
    <i r="4">
      <x v="754"/>
    </i>
    <i r="4">
      <x v="758"/>
    </i>
    <i r="3">
      <x v="7"/>
    </i>
    <i r="4">
      <x v="562"/>
    </i>
    <i r="4">
      <x v="563"/>
    </i>
    <i r="4">
      <x v="564"/>
    </i>
    <i r="4">
      <x v="568"/>
    </i>
    <i r="4">
      <x v="569"/>
    </i>
    <i r="4">
      <x v="570"/>
    </i>
    <i r="4">
      <x v="572"/>
    </i>
    <i r="4">
      <x v="573"/>
    </i>
    <i r="3">
      <x v="8"/>
    </i>
    <i r="4">
      <x v="579"/>
    </i>
    <i r="4">
      <x v="584"/>
    </i>
    <i r="4">
      <x v="587"/>
    </i>
    <i r="4">
      <x v="591"/>
    </i>
    <i r="3">
      <x v="9"/>
    </i>
    <i r="4">
      <x v="597"/>
    </i>
    <i r="4">
      <x v="598"/>
    </i>
    <i r="4">
      <x v="599"/>
    </i>
    <i r="4">
      <x v="600"/>
    </i>
    <i r="4">
      <x v="601"/>
    </i>
    <i r="4">
      <x v="602"/>
    </i>
    <i r="4">
      <x v="604"/>
    </i>
    <i r="4">
      <x v="606"/>
    </i>
    <i r="3">
      <x v="10"/>
    </i>
    <i r="4">
      <x v="616"/>
    </i>
    <i r="4">
      <x v="618"/>
    </i>
    <i r="4">
      <x v="619"/>
    </i>
    <i r="4">
      <x v="620"/>
    </i>
    <i r="4">
      <x v="621"/>
    </i>
    <i r="4">
      <x v="623"/>
    </i>
    <i r="4">
      <x v="624"/>
    </i>
    <i r="4">
      <x v="627"/>
    </i>
    <i r="4">
      <x v="628"/>
    </i>
    <i r="3">
      <x v="11"/>
    </i>
    <i r="4">
      <x v="632"/>
    </i>
    <i r="3">
      <x v="13"/>
    </i>
    <i r="4">
      <x v="658"/>
    </i>
    <i r="4">
      <x v="661"/>
    </i>
    <i r="4">
      <x v="662"/>
    </i>
    <i r="4">
      <x v="663"/>
    </i>
    <i r="4">
      <x v="664"/>
    </i>
    <i r="3">
      <x v="14"/>
    </i>
    <i r="4">
      <x v="666"/>
    </i>
    <i r="4">
      <x v="667"/>
    </i>
    <i r="4">
      <x v="669"/>
    </i>
    <i r="2">
      <x v="1"/>
    </i>
    <i r="3">
      <x/>
    </i>
    <i r="4">
      <x v="537"/>
    </i>
    <i r="4">
      <x v="549"/>
    </i>
    <i r="4">
      <x v="582"/>
    </i>
    <i r="4">
      <x v="686"/>
    </i>
    <i r="4">
      <x v="708"/>
    </i>
    <i r="3">
      <x v="1"/>
    </i>
    <i r="4">
      <x v="648"/>
    </i>
    <i r="4">
      <x v="684"/>
    </i>
    <i r="3">
      <x v="2"/>
    </i>
    <i r="4">
      <x v="700"/>
    </i>
    <i r="3">
      <x v="3"/>
    </i>
    <i r="4">
      <x v="720"/>
    </i>
    <i r="3">
      <x v="4"/>
    </i>
    <i r="4">
      <x v="750"/>
    </i>
    <i r="3">
      <x v="8"/>
    </i>
    <i r="4">
      <x v="574"/>
    </i>
    <i r="4">
      <x v="575"/>
    </i>
    <i r="4">
      <x v="576"/>
    </i>
    <i r="4">
      <x v="577"/>
    </i>
    <i r="3">
      <x v="10"/>
    </i>
    <i r="4">
      <x v="611"/>
    </i>
    <i r="4">
      <x v="613"/>
    </i>
    <i r="4">
      <x v="615"/>
    </i>
    <i r="4">
      <x v="617"/>
    </i>
    <i r="3">
      <x v="11"/>
    </i>
    <i r="4">
      <x v="629"/>
    </i>
    <i r="4">
      <x v="631"/>
    </i>
    <i r="4">
      <x v="634"/>
    </i>
    <i r="3">
      <x v="13"/>
    </i>
    <i r="4">
      <x v="657"/>
    </i>
    <i r="4">
      <x v="665"/>
    </i>
    <i>
      <x v="2"/>
    </i>
    <i r="1">
      <x/>
    </i>
    <i r="2">
      <x/>
    </i>
    <i r="3">
      <x/>
    </i>
    <i r="4">
      <x v="1"/>
    </i>
    <i r="4">
      <x v="28"/>
    </i>
    <i r="4">
      <x v="29"/>
    </i>
    <i r="3">
      <x v="1"/>
    </i>
    <i r="4">
      <x v="4"/>
    </i>
    <i r="4">
      <x v="5"/>
    </i>
    <i r="4">
      <x v="10"/>
    </i>
    <i r="4">
      <x v="16"/>
    </i>
    <i r="3">
      <x v="2"/>
    </i>
    <i r="4">
      <x v="24"/>
    </i>
    <i r="4">
      <x v="25"/>
    </i>
    <i r="2">
      <x v="1"/>
    </i>
    <i r="3">
      <x v="1"/>
    </i>
    <i r="4">
      <x v="6"/>
    </i>
    <i r="4">
      <x v="13"/>
    </i>
    <i r="4">
      <x v="23"/>
    </i>
    <i r="1">
      <x v="1"/>
    </i>
    <i r="2">
      <x/>
    </i>
    <i r="3">
      <x/>
    </i>
    <i r="4">
      <x v="132"/>
    </i>
    <i r="4">
      <x v="143"/>
    </i>
    <i r="4">
      <x v="263"/>
    </i>
    <i r="4">
      <x v="274"/>
    </i>
    <i r="3">
      <x v="1"/>
    </i>
    <i r="4">
      <x v="221"/>
    </i>
    <i r="4">
      <x v="243"/>
    </i>
    <i r="4">
      <x v="247"/>
    </i>
    <i r="4">
      <x v="248"/>
    </i>
    <i r="3">
      <x v="2"/>
    </i>
    <i r="4">
      <x v="254"/>
    </i>
    <i r="4">
      <x v="255"/>
    </i>
    <i r="4">
      <x v="257"/>
    </i>
    <i r="4">
      <x v="258"/>
    </i>
    <i r="4">
      <x v="260"/>
    </i>
    <i r="4">
      <x v="266"/>
    </i>
    <i r="4">
      <x v="267"/>
    </i>
    <i r="4">
      <x v="269"/>
    </i>
    <i r="4">
      <x v="270"/>
    </i>
    <i r="4">
      <x v="271"/>
    </i>
    <i r="3">
      <x v="3"/>
    </i>
    <i r="4">
      <x v="277"/>
    </i>
    <i r="4">
      <x v="278"/>
    </i>
    <i r="4">
      <x v="279"/>
    </i>
    <i r="4">
      <x v="280"/>
    </i>
    <i r="4">
      <x v="281"/>
    </i>
    <i r="4">
      <x v="283"/>
    </i>
    <i r="4">
      <x v="284"/>
    </i>
    <i r="4">
      <x v="286"/>
    </i>
    <i r="4">
      <x v="287"/>
    </i>
    <i r="3">
      <x v="4"/>
    </i>
    <i r="4">
      <x v="34"/>
    </i>
    <i r="4">
      <x v="36"/>
    </i>
    <i r="4">
      <x v="40"/>
    </i>
    <i r="4">
      <x v="41"/>
    </i>
    <i r="4">
      <x v="301"/>
    </i>
    <i r="4">
      <x v="303"/>
    </i>
    <i r="4">
      <x v="305"/>
    </i>
    <i r="4">
      <x v="306"/>
    </i>
    <i r="4">
      <x v="311"/>
    </i>
    <i r="4">
      <x v="312"/>
    </i>
    <i r="4">
      <x v="313"/>
    </i>
    <i r="4">
      <x v="315"/>
    </i>
    <i r="4">
      <x v="317"/>
    </i>
    <i r="3">
      <x v="5"/>
    </i>
    <i r="4">
      <x v="50"/>
    </i>
    <i r="4">
      <x v="53"/>
    </i>
    <i r="4">
      <x v="56"/>
    </i>
    <i r="4">
      <x v="57"/>
    </i>
    <i r="4">
      <x v="61"/>
    </i>
    <i r="4">
      <x v="63"/>
    </i>
    <i r="4">
      <x v="64"/>
    </i>
    <i r="4">
      <x v="71"/>
    </i>
    <i r="3">
      <x v="6"/>
    </i>
    <i r="4">
      <x v="78"/>
    </i>
    <i r="4">
      <x v="80"/>
    </i>
    <i r="4">
      <x v="81"/>
    </i>
    <i r="4">
      <x v="82"/>
    </i>
    <i r="4">
      <x v="87"/>
    </i>
    <i r="3">
      <x v="7"/>
    </i>
    <i r="4">
      <x v="96"/>
    </i>
    <i r="4">
      <x v="97"/>
    </i>
    <i r="4">
      <x v="98"/>
    </i>
    <i r="4">
      <x v="100"/>
    </i>
    <i r="4">
      <x v="105"/>
    </i>
    <i r="4">
      <x v="107"/>
    </i>
    <i r="4">
      <x v="108"/>
    </i>
    <i r="4">
      <x v="109"/>
    </i>
    <i r="4">
      <x v="111"/>
    </i>
    <i r="4">
      <x v="119"/>
    </i>
    <i r="3">
      <x v="8"/>
    </i>
    <i r="4">
      <x v="130"/>
    </i>
    <i r="4">
      <x v="131"/>
    </i>
    <i r="4">
      <x v="134"/>
    </i>
    <i r="4">
      <x v="136"/>
    </i>
    <i r="4">
      <x v="137"/>
    </i>
    <i r="4">
      <x v="138"/>
    </i>
    <i r="4">
      <x v="139"/>
    </i>
    <i r="3">
      <x v="9"/>
    </i>
    <i r="4">
      <x v="152"/>
    </i>
    <i r="4">
      <x v="153"/>
    </i>
    <i r="4">
      <x v="158"/>
    </i>
    <i r="4">
      <x v="159"/>
    </i>
    <i r="4">
      <x v="165"/>
    </i>
    <i r="4">
      <x v="171"/>
    </i>
    <i r="3">
      <x v="10"/>
    </i>
    <i r="4">
      <x v="180"/>
    </i>
    <i r="4">
      <x v="181"/>
    </i>
    <i r="4">
      <x v="184"/>
    </i>
    <i r="4">
      <x v="185"/>
    </i>
    <i r="3">
      <x v="11"/>
    </i>
    <i r="4">
      <x v="197"/>
    </i>
    <i r="4">
      <x v="198"/>
    </i>
    <i r="4">
      <x v="200"/>
    </i>
    <i r="4">
      <x v="201"/>
    </i>
    <i r="4">
      <x v="203"/>
    </i>
    <i r="4">
      <x v="204"/>
    </i>
    <i r="4">
      <x v="205"/>
    </i>
    <i r="4">
      <x v="206"/>
    </i>
    <i r="4">
      <x v="211"/>
    </i>
    <i r="3">
      <x v="12"/>
    </i>
    <i r="4">
      <x v="222"/>
    </i>
    <i r="4">
      <x v="223"/>
    </i>
    <i r="4">
      <x v="225"/>
    </i>
    <i r="3">
      <x v="14"/>
    </i>
    <i r="4">
      <x v="227"/>
    </i>
    <i r="4">
      <x v="228"/>
    </i>
    <i r="4">
      <x v="233"/>
    </i>
    <i r="4">
      <x v="235"/>
    </i>
    <i r="4">
      <x v="236"/>
    </i>
    <i r="2">
      <x v="1"/>
    </i>
    <i r="3">
      <x/>
    </i>
    <i r="4">
      <x v="66"/>
    </i>
    <i r="4">
      <x v="77"/>
    </i>
    <i r="4">
      <x v="99"/>
    </i>
    <i r="4">
      <x v="155"/>
    </i>
    <i r="3">
      <x v="1"/>
    </i>
    <i r="4">
      <x v="250"/>
    </i>
    <i r="4">
      <x v="251"/>
    </i>
    <i r="4">
      <x v="253"/>
    </i>
    <i r="3">
      <x v="2"/>
    </i>
    <i r="4">
      <x v="264"/>
    </i>
    <i r="3">
      <x v="3"/>
    </i>
    <i r="4">
      <x v="276"/>
    </i>
    <i r="4">
      <x v="295"/>
    </i>
    <i r="4">
      <x v="298"/>
    </i>
    <i r="4">
      <x v="300"/>
    </i>
    <i r="3">
      <x v="4"/>
    </i>
    <i r="4">
      <x v="46"/>
    </i>
    <i r="4">
      <x v="302"/>
    </i>
    <i r="3">
      <x v="5"/>
    </i>
    <i r="4">
      <x v="48"/>
    </i>
    <i r="4">
      <x v="74"/>
    </i>
    <i r="3">
      <x v="7"/>
    </i>
    <i r="4">
      <x v="102"/>
    </i>
    <i r="4">
      <x v="103"/>
    </i>
    <i r="4">
      <x v="112"/>
    </i>
    <i r="4">
      <x v="113"/>
    </i>
    <i r="4">
      <x v="114"/>
    </i>
    <i r="4">
      <x v="122"/>
    </i>
    <i r="3">
      <x v="8"/>
    </i>
    <i r="4">
      <x v="129"/>
    </i>
    <i r="4">
      <x v="141"/>
    </i>
    <i r="4">
      <x v="146"/>
    </i>
    <i r="3">
      <x v="9"/>
    </i>
    <i r="4">
      <x v="151"/>
    </i>
    <i r="4">
      <x v="161"/>
    </i>
    <i r="4">
      <x v="164"/>
    </i>
    <i r="3">
      <x v="10"/>
    </i>
    <i r="4">
      <x v="173"/>
    </i>
    <i r="4">
      <x v="183"/>
    </i>
    <i r="3">
      <x v="11"/>
    </i>
    <i r="4">
      <x v="192"/>
    </i>
    <i r="4">
      <x v="194"/>
    </i>
    <i r="4">
      <x v="196"/>
    </i>
    <i r="3">
      <x v="12"/>
    </i>
    <i r="4">
      <x v="212"/>
    </i>
    <i r="4">
      <x v="213"/>
    </i>
    <i r="4">
      <x v="214"/>
    </i>
    <i r="4">
      <x v="215"/>
    </i>
    <i r="4">
      <x v="216"/>
    </i>
    <i r="3">
      <x v="14"/>
    </i>
    <i r="4">
      <x v="239"/>
    </i>
    <i r="1">
      <x v="2"/>
    </i>
    <i r="2">
      <x/>
    </i>
    <i r="3">
      <x v="1"/>
    </i>
    <i r="4">
      <x v="343"/>
    </i>
    <i r="4">
      <x v="344"/>
    </i>
    <i r="4">
      <x v="345"/>
    </i>
    <i r="3">
      <x v="2"/>
    </i>
    <i r="4">
      <x v="347"/>
    </i>
    <i r="4">
      <x v="350"/>
    </i>
    <i r="4">
      <x v="351"/>
    </i>
    <i r="4">
      <x v="353"/>
    </i>
    <i r="4">
      <x v="356"/>
    </i>
    <i r="3">
      <x v="3"/>
    </i>
    <i r="4">
      <x v="373"/>
    </i>
    <i r="4">
      <x v="376"/>
    </i>
    <i r="3">
      <x v="4"/>
    </i>
    <i r="4">
      <x v="386"/>
    </i>
    <i r="4">
      <x v="392"/>
    </i>
    <i r="4">
      <x v="395"/>
    </i>
    <i r="3">
      <x v="5"/>
    </i>
    <i r="4">
      <x v="401"/>
    </i>
    <i r="3">
      <x v="6"/>
    </i>
    <i r="4">
      <x v="410"/>
    </i>
    <i r="4">
      <x v="411"/>
    </i>
    <i r="4">
      <x v="417"/>
    </i>
    <i r="4">
      <x v="418"/>
    </i>
    <i r="4">
      <x v="419"/>
    </i>
    <i r="3">
      <x v="10"/>
    </i>
    <i r="4">
      <x v="323"/>
    </i>
    <i r="4">
      <x v="324"/>
    </i>
    <i r="4">
      <x v="325"/>
    </i>
    <i r="3">
      <x v="11"/>
    </i>
    <i r="4">
      <x v="329"/>
    </i>
    <i r="4">
      <x v="332"/>
    </i>
    <i r="4">
      <x v="333"/>
    </i>
    <i r="4">
      <x v="335"/>
    </i>
    <i r="4">
      <x v="336"/>
    </i>
    <i r="2">
      <x v="1"/>
    </i>
    <i r="3">
      <x/>
    </i>
    <i r="4">
      <x v="318"/>
    </i>
    <i r="4">
      <x v="319"/>
    </i>
    <i r="4">
      <x v="349"/>
    </i>
    <i r="4">
      <x v="360"/>
    </i>
    <i r="4">
      <x v="382"/>
    </i>
    <i r="4">
      <x v="393"/>
    </i>
    <i r="4">
      <x v="415"/>
    </i>
    <i r="4">
      <x v="426"/>
    </i>
    <i r="3">
      <x v="1"/>
    </i>
    <i r="4">
      <x v="341"/>
    </i>
    <i r="3">
      <x v="2"/>
    </i>
    <i r="4">
      <x v="355"/>
    </i>
    <i r="4">
      <x v="357"/>
    </i>
    <i r="4">
      <x v="359"/>
    </i>
    <i r="4">
      <x v="361"/>
    </i>
    <i r="4">
      <x v="362"/>
    </i>
    <i r="4">
      <x v="363"/>
    </i>
    <i r="4">
      <x v="364"/>
    </i>
    <i r="4">
      <x v="365"/>
    </i>
    <i r="3">
      <x v="3"/>
    </i>
    <i r="4">
      <x v="379"/>
    </i>
    <i r="4">
      <x v="384"/>
    </i>
    <i r="4">
      <x v="385"/>
    </i>
    <i r="3">
      <x v="4"/>
    </i>
    <i r="4">
      <x v="389"/>
    </i>
    <i r="4">
      <x v="390"/>
    </i>
    <i r="4">
      <x v="391"/>
    </i>
    <i r="4">
      <x v="396"/>
    </i>
    <i r="4">
      <x v="397"/>
    </i>
    <i r="4">
      <x v="399"/>
    </i>
    <i r="3">
      <x v="5"/>
    </i>
    <i r="4">
      <x v="408"/>
    </i>
    <i r="3">
      <x v="7"/>
    </i>
    <i r="4">
      <x v="420"/>
    </i>
    <i r="4">
      <x v="421"/>
    </i>
    <i r="4">
      <x v="422"/>
    </i>
    <i r="4">
      <x v="423"/>
    </i>
    <i r="4">
      <x v="424"/>
    </i>
    <i r="4">
      <x v="425"/>
    </i>
    <i r="3">
      <x v="9"/>
    </i>
    <i r="4">
      <x v="431"/>
    </i>
    <i r="4">
      <x v="433"/>
    </i>
    <i r="4">
      <x v="436"/>
    </i>
    <i r="3">
      <x v="11"/>
    </i>
    <i r="4">
      <x v="327"/>
    </i>
    <i r="4">
      <x v="331"/>
    </i>
    <i r="3">
      <x v="12"/>
    </i>
    <i r="4">
      <x v="338"/>
    </i>
    <i r="1">
      <x v="3"/>
    </i>
    <i r="2">
      <x/>
    </i>
    <i r="3">
      <x/>
    </i>
    <i r="4">
      <x v="437"/>
    </i>
    <i r="4">
      <x v="438"/>
    </i>
    <i r="4">
      <x v="441"/>
    </i>
    <i r="4">
      <x v="444"/>
    </i>
    <i r="4">
      <x v="445"/>
    </i>
    <i r="4">
      <x v="449"/>
    </i>
    <i r="4">
      <x v="493"/>
    </i>
    <i r="4">
      <x v="504"/>
    </i>
    <i r="4">
      <x v="515"/>
    </i>
    <i r="4">
      <x v="526"/>
    </i>
    <i r="3">
      <x v="1"/>
    </i>
    <i r="4">
      <x v="450"/>
    </i>
    <i r="4">
      <x v="455"/>
    </i>
    <i r="4">
      <x v="456"/>
    </i>
    <i r="4">
      <x v="458"/>
    </i>
    <i r="4">
      <x v="461"/>
    </i>
    <i r="4">
      <x v="464"/>
    </i>
    <i r="3">
      <x v="2"/>
    </i>
    <i r="4">
      <x v="466"/>
    </i>
    <i r="4">
      <x v="467"/>
    </i>
    <i r="4">
      <x v="468"/>
    </i>
    <i r="4">
      <x v="469"/>
    </i>
    <i r="4">
      <x v="473"/>
    </i>
    <i r="4">
      <x v="476"/>
    </i>
    <i r="4">
      <x v="478"/>
    </i>
    <i r="3">
      <x v="6"/>
    </i>
    <i r="4">
      <x v="479"/>
    </i>
    <i r="4">
      <x v="484"/>
    </i>
    <i r="4">
      <x v="487"/>
    </i>
    <i r="3">
      <x v="8"/>
    </i>
    <i r="4">
      <x v="492"/>
    </i>
    <i r="4">
      <x v="494"/>
    </i>
    <i r="3">
      <x v="9"/>
    </i>
    <i r="4">
      <x v="500"/>
    </i>
    <i r="4">
      <x v="501"/>
    </i>
    <i r="4">
      <x v="503"/>
    </i>
    <i r="4">
      <x v="506"/>
    </i>
    <i r="4">
      <x v="507"/>
    </i>
    <i r="3">
      <x v="10"/>
    </i>
    <i r="4">
      <x v="512"/>
    </i>
    <i r="4">
      <x v="513"/>
    </i>
    <i r="4">
      <x v="514"/>
    </i>
    <i r="3">
      <x v="11"/>
    </i>
    <i r="4">
      <x v="516"/>
    </i>
    <i r="3">
      <x v="12"/>
    </i>
    <i r="4">
      <x v="519"/>
    </i>
    <i r="4">
      <x v="520"/>
    </i>
    <i r="4">
      <x v="521"/>
    </i>
    <i r="3">
      <x v="13"/>
    </i>
    <i r="4">
      <x v="523"/>
    </i>
    <i r="3">
      <x v="14"/>
    </i>
    <i r="4">
      <x v="439"/>
    </i>
    <i r="4">
      <x v="528"/>
    </i>
    <i r="4">
      <x v="529"/>
    </i>
    <i r="4">
      <x v="530"/>
    </i>
    <i r="4">
      <x v="535"/>
    </i>
    <i r="2">
      <x v="1"/>
    </i>
    <i r="3">
      <x/>
    </i>
    <i r="4">
      <x v="460"/>
    </i>
    <i r="3">
      <x v="1"/>
    </i>
    <i r="4">
      <x v="447"/>
    </i>
    <i r="4">
      <x v="448"/>
    </i>
    <i r="4">
      <x v="451"/>
    </i>
    <i r="4">
      <x v="462"/>
    </i>
    <i r="3">
      <x v="8"/>
    </i>
    <i r="4">
      <x v="490"/>
    </i>
    <i r="3">
      <x v="14"/>
    </i>
    <i r="4">
      <x v="527"/>
    </i>
    <i r="4">
      <x v="531"/>
    </i>
    <i r="1">
      <x v="4"/>
    </i>
    <i r="2">
      <x/>
    </i>
    <i r="3">
      <x/>
    </i>
    <i r="4">
      <x v="538"/>
    </i>
    <i r="4">
      <x v="560"/>
    </i>
    <i r="4">
      <x v="571"/>
    </i>
    <i r="4">
      <x v="593"/>
    </i>
    <i r="4">
      <x v="614"/>
    </i>
    <i r="4">
      <x v="752"/>
    </i>
    <i r="3">
      <x v="1"/>
    </i>
    <i r="4">
      <x v="625"/>
    </i>
    <i r="4">
      <x v="670"/>
    </i>
    <i r="4">
      <x v="680"/>
    </i>
    <i r="4">
      <x v="681"/>
    </i>
    <i r="4">
      <x v="682"/>
    </i>
    <i r="4">
      <x v="683"/>
    </i>
    <i r="4">
      <x v="685"/>
    </i>
    <i r="4">
      <x v="687"/>
    </i>
    <i r="4">
      <x v="689"/>
    </i>
    <i r="4">
      <x v="690"/>
    </i>
    <i r="4">
      <x v="691"/>
    </i>
    <i r="4">
      <x v="692"/>
    </i>
    <i r="3">
      <x v="2"/>
    </i>
    <i r="4">
      <x v="695"/>
    </i>
    <i r="4">
      <x v="696"/>
    </i>
    <i r="4">
      <x v="699"/>
    </i>
    <i r="4">
      <x v="701"/>
    </i>
    <i r="4">
      <x v="702"/>
    </i>
    <i r="4">
      <x v="703"/>
    </i>
    <i r="4">
      <x v="704"/>
    </i>
    <i r="4">
      <x v="707"/>
    </i>
    <i r="3">
      <x v="3"/>
    </i>
    <i r="4">
      <x v="710"/>
    </i>
    <i r="4">
      <x v="712"/>
    </i>
    <i r="4">
      <x v="713"/>
    </i>
    <i r="4">
      <x v="716"/>
    </i>
    <i r="4">
      <x v="717"/>
    </i>
    <i r="4">
      <x v="727"/>
    </i>
    <i r="4">
      <x v="729"/>
    </i>
    <i r="4">
      <x v="732"/>
    </i>
    <i r="4">
      <x v="733"/>
    </i>
    <i r="3">
      <x v="4"/>
    </i>
    <i r="4">
      <x v="734"/>
    </i>
    <i r="4">
      <x v="735"/>
    </i>
    <i r="4">
      <x v="736"/>
    </i>
    <i r="4">
      <x v="737"/>
    </i>
    <i r="4">
      <x v="738"/>
    </i>
    <i r="4">
      <x v="739"/>
    </i>
    <i r="4">
      <x v="740"/>
    </i>
    <i r="4">
      <x v="743"/>
    </i>
    <i r="4">
      <x v="745"/>
    </i>
    <i r="4">
      <x v="747"/>
    </i>
    <i r="3">
      <x v="5"/>
    </i>
    <i r="4">
      <x v="541"/>
    </i>
    <i r="4">
      <x v="542"/>
    </i>
    <i r="4">
      <x v="544"/>
    </i>
    <i r="4">
      <x v="547"/>
    </i>
    <i r="4">
      <x v="548"/>
    </i>
    <i r="4">
      <x v="551"/>
    </i>
    <i r="4">
      <x v="553"/>
    </i>
    <i r="4">
      <x v="554"/>
    </i>
    <i r="4">
      <x v="753"/>
    </i>
    <i r="4">
      <x v="755"/>
    </i>
    <i r="4">
      <x v="756"/>
    </i>
    <i r="4">
      <x v="757"/>
    </i>
    <i r="4">
      <x v="759"/>
    </i>
    <i r="4">
      <x v="760"/>
    </i>
    <i r="4">
      <x v="761"/>
    </i>
    <i r="4">
      <x v="762"/>
    </i>
    <i r="3">
      <x v="7"/>
    </i>
    <i r="4">
      <x v="557"/>
    </i>
    <i r="4">
      <x v="558"/>
    </i>
    <i r="4">
      <x v="559"/>
    </i>
    <i r="4">
      <x v="561"/>
    </i>
    <i r="4">
      <x v="565"/>
    </i>
    <i r="4">
      <x v="566"/>
    </i>
    <i r="4">
      <x v="567"/>
    </i>
    <i r="3">
      <x v="8"/>
    </i>
    <i r="4">
      <x v="580"/>
    </i>
    <i r="4">
      <x v="581"/>
    </i>
    <i r="4">
      <x v="583"/>
    </i>
    <i r="4">
      <x v="585"/>
    </i>
    <i r="4">
      <x v="586"/>
    </i>
    <i r="4">
      <x v="588"/>
    </i>
    <i r="4">
      <x v="589"/>
    </i>
    <i r="4">
      <x v="590"/>
    </i>
    <i r="3">
      <x v="9"/>
    </i>
    <i r="4">
      <x v="595"/>
    </i>
    <i r="4">
      <x v="596"/>
    </i>
    <i r="4">
      <x v="605"/>
    </i>
    <i r="4">
      <x v="608"/>
    </i>
    <i r="4">
      <x v="609"/>
    </i>
    <i r="4">
      <x v="610"/>
    </i>
    <i r="3">
      <x v="10"/>
    </i>
    <i r="4">
      <x v="622"/>
    </i>
    <i r="4">
      <x v="626"/>
    </i>
    <i r="3">
      <x v="11"/>
    </i>
    <i r="4">
      <x v="630"/>
    </i>
    <i r="4">
      <x v="633"/>
    </i>
    <i r="4">
      <x v="635"/>
    </i>
    <i r="4">
      <x v="637"/>
    </i>
    <i r="4">
      <x v="638"/>
    </i>
    <i r="4">
      <x v="639"/>
    </i>
    <i r="4">
      <x v="640"/>
    </i>
    <i r="4">
      <x v="641"/>
    </i>
    <i r="3">
      <x v="12"/>
    </i>
    <i r="4">
      <x v="645"/>
    </i>
    <i r="4">
      <x v="646"/>
    </i>
    <i r="4">
      <x v="649"/>
    </i>
    <i r="4">
      <x v="650"/>
    </i>
    <i r="4">
      <x v="651"/>
    </i>
    <i r="4">
      <x v="652"/>
    </i>
    <i r="4">
      <x v="653"/>
    </i>
    <i r="4">
      <x v="654"/>
    </i>
    <i r="4">
      <x v="655"/>
    </i>
    <i r="3">
      <x v="13"/>
    </i>
    <i r="4">
      <x v="656"/>
    </i>
    <i r="3">
      <x v="14"/>
    </i>
    <i r="4">
      <x v="668"/>
    </i>
    <i r="4">
      <x v="671"/>
    </i>
    <i r="4">
      <x v="673"/>
    </i>
    <i r="4">
      <x v="674"/>
    </i>
    <i r="4">
      <x v="675"/>
    </i>
    <i r="4">
      <x v="676"/>
    </i>
    <i r="4">
      <x v="677"/>
    </i>
    <i r="4">
      <x v="678"/>
    </i>
    <i r="2">
      <x v="1"/>
    </i>
    <i r="3">
      <x/>
    </i>
    <i r="4">
      <x v="647"/>
    </i>
    <i r="4">
      <x v="697"/>
    </i>
    <i r="3">
      <x v="2"/>
    </i>
    <i r="4">
      <x v="693"/>
    </i>
    <i r="3">
      <x v="3"/>
    </i>
    <i r="4">
      <x v="711"/>
    </i>
    <i r="4">
      <x v="718"/>
    </i>
    <i r="4">
      <x v="721"/>
    </i>
    <i r="4">
      <x v="722"/>
    </i>
    <i r="3">
      <x v="4"/>
    </i>
    <i r="4">
      <x v="751"/>
    </i>
    <i r="3">
      <x v="8"/>
    </i>
    <i r="4">
      <x v="578"/>
    </i>
    <i r="3">
      <x v="9"/>
    </i>
    <i r="4">
      <x v="592"/>
    </i>
    <i r="4">
      <x v="594"/>
    </i>
    <i r="4">
      <x v="607"/>
    </i>
    <i r="3">
      <x v="10"/>
    </i>
    <i r="4">
      <x v="612"/>
    </i>
    <i r="3">
      <x v="12"/>
    </i>
    <i r="4">
      <x v="642"/>
    </i>
    <i r="4">
      <x v="643"/>
    </i>
    <i r="4">
      <x v="644"/>
    </i>
    <i r="3">
      <x v="13"/>
    </i>
    <i r="4">
      <x v="660"/>
    </i>
    <i r="3">
      <x v="14"/>
    </i>
    <i r="4">
      <x v="672"/>
    </i>
    <i>
      <x v="3"/>
    </i>
    <i r="1">
      <x v="5"/>
    </i>
    <i r="2">
      <x v="2"/>
    </i>
    <i r="3">
      <x v="15"/>
    </i>
    <i r="4">
      <x v="763"/>
    </i>
    <i t="grand">
      <x/>
    </i>
  </rowItems>
  <colItems count="1">
    <i/>
  </colItems>
  <dataFields count="1">
    <dataField name="Sum of MesLip" fld="9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A7BE9E4-ED98-4047-AEE5-83752C7AD3FB}" name="PivotTable3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>
  <location ref="A3:K138" firstHeaderRow="0" firstDataRow="1" firstDataCol="1"/>
  <pivotFields count="92">
    <pivotField dataField="1" showAll="0"/>
    <pivotField axis="axisRow"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>
      <items count="49">
        <item x="4"/>
        <item x="1"/>
        <item x="36"/>
        <item x="20"/>
        <item x="21"/>
        <item x="5"/>
        <item x="2"/>
        <item x="37"/>
        <item x="38"/>
        <item x="22"/>
        <item x="6"/>
        <item x="44"/>
        <item x="23"/>
        <item x="7"/>
        <item x="24"/>
        <item x="25"/>
        <item x="8"/>
        <item x="26"/>
        <item x="27"/>
        <item x="9"/>
        <item x="28"/>
        <item x="39"/>
        <item x="29"/>
        <item x="45"/>
        <item x="10"/>
        <item x="11"/>
        <item x="12"/>
        <item x="46"/>
        <item x="40"/>
        <item x="41"/>
        <item x="13"/>
        <item x="30"/>
        <item x="31"/>
        <item x="14"/>
        <item x="32"/>
        <item x="42"/>
        <item x="15"/>
        <item x="33"/>
        <item x="34"/>
        <item x="16"/>
        <item x="35"/>
        <item x="43"/>
        <item x="17"/>
        <item x="0"/>
        <item x="3"/>
        <item x="18"/>
        <item x="19"/>
        <item x="47"/>
        <item t="default"/>
      </items>
    </pivotField>
    <pivotField axis="axisRow" showAll="0">
      <items count="17">
        <item x="0"/>
        <item x="1"/>
        <item x="2"/>
        <item x="3"/>
        <item x="4"/>
        <item x="5"/>
        <item x="15"/>
        <item x="6"/>
        <item x="7"/>
        <item x="8"/>
        <item x="9"/>
        <item x="10"/>
        <item x="11"/>
        <item x="12"/>
        <item x="14"/>
        <item x="13"/>
        <item t="default"/>
      </items>
    </pivotField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5">
        <item sd="0" x="0"/>
        <item sd="0" x="1"/>
        <item sd="0" x="2"/>
        <item sd="0" x="3"/>
        <item t="default"/>
      </items>
    </pivotField>
  </pivotFields>
  <rowFields count="3">
    <field x="1"/>
    <field x="80"/>
    <field x="79"/>
  </rowFields>
  <rowItems count="135">
    <i>
      <x/>
    </i>
    <i r="1">
      <x/>
    </i>
    <i r="2">
      <x v="43"/>
    </i>
    <i r="1">
      <x v="1"/>
    </i>
    <i r="2">
      <x v="1"/>
    </i>
    <i r="1">
      <x v="2"/>
    </i>
    <i r="2">
      <x v="6"/>
    </i>
    <i>
      <x v="1"/>
    </i>
    <i r="1">
      <x/>
    </i>
    <i r="2">
      <x v="43"/>
    </i>
    <i r="2">
      <x v="44"/>
    </i>
    <i r="1">
      <x v="1"/>
    </i>
    <i r="2">
      <x/>
    </i>
    <i r="1">
      <x v="2"/>
    </i>
    <i r="2">
      <x v="5"/>
    </i>
    <i r="2">
      <x v="6"/>
    </i>
    <i r="1">
      <x v="3"/>
    </i>
    <i r="2">
      <x v="10"/>
    </i>
    <i r="1">
      <x v="4"/>
    </i>
    <i r="2">
      <x v="13"/>
    </i>
    <i r="1">
      <x v="5"/>
    </i>
    <i r="2">
      <x v="16"/>
    </i>
    <i r="1">
      <x v="7"/>
    </i>
    <i r="2">
      <x v="19"/>
    </i>
    <i r="1">
      <x v="8"/>
    </i>
    <i r="2">
      <x v="24"/>
    </i>
    <i r="2">
      <x v="25"/>
    </i>
    <i r="1">
      <x v="9"/>
    </i>
    <i r="2">
      <x v="26"/>
    </i>
    <i r="1">
      <x v="10"/>
    </i>
    <i r="2">
      <x v="30"/>
    </i>
    <i r="1">
      <x v="11"/>
    </i>
    <i r="2">
      <x v="33"/>
    </i>
    <i r="1">
      <x v="12"/>
    </i>
    <i r="2">
      <x v="36"/>
    </i>
    <i r="1">
      <x v="13"/>
    </i>
    <i r="2">
      <x v="39"/>
    </i>
    <i r="1">
      <x v="15"/>
    </i>
    <i r="2">
      <x v="42"/>
    </i>
    <i>
      <x v="2"/>
    </i>
    <i r="1">
      <x/>
    </i>
    <i r="2">
      <x v="45"/>
    </i>
    <i r="2">
      <x v="46"/>
    </i>
    <i r="1">
      <x v="1"/>
    </i>
    <i r="2">
      <x v="3"/>
    </i>
    <i r="2">
      <x v="4"/>
    </i>
    <i r="1">
      <x v="2"/>
    </i>
    <i r="2">
      <x v="9"/>
    </i>
    <i r="1">
      <x v="3"/>
    </i>
    <i r="2">
      <x v="12"/>
    </i>
    <i r="1">
      <x v="4"/>
    </i>
    <i r="2">
      <x v="14"/>
    </i>
    <i r="2">
      <x v="15"/>
    </i>
    <i r="1">
      <x v="5"/>
    </i>
    <i r="2">
      <x v="17"/>
    </i>
    <i r="2">
      <x v="18"/>
    </i>
    <i r="1">
      <x v="7"/>
    </i>
    <i r="2">
      <x v="20"/>
    </i>
    <i r="2">
      <x v="22"/>
    </i>
    <i r="1">
      <x v="8"/>
    </i>
    <i r="2">
      <x v="24"/>
    </i>
    <i r="1">
      <x v="10"/>
    </i>
    <i r="2">
      <x v="31"/>
    </i>
    <i r="2">
      <x v="32"/>
    </i>
    <i r="1">
      <x v="11"/>
    </i>
    <i r="2">
      <x v="34"/>
    </i>
    <i r="1">
      <x v="12"/>
    </i>
    <i r="2">
      <x v="37"/>
    </i>
    <i r="2">
      <x v="38"/>
    </i>
    <i r="1">
      <x v="13"/>
    </i>
    <i r="2">
      <x v="40"/>
    </i>
    <i>
      <x v="3"/>
    </i>
    <i r="1">
      <x/>
    </i>
    <i r="2">
      <x v="45"/>
    </i>
    <i r="1">
      <x v="1"/>
    </i>
    <i r="2">
      <x v="2"/>
    </i>
    <i r="2">
      <x v="3"/>
    </i>
    <i r="1">
      <x v="2"/>
    </i>
    <i r="2">
      <x v="7"/>
    </i>
    <i r="2">
      <x v="8"/>
    </i>
    <i r="1">
      <x v="7"/>
    </i>
    <i r="2">
      <x v="20"/>
    </i>
    <i r="2">
      <x v="21"/>
    </i>
    <i r="1">
      <x v="9"/>
    </i>
    <i r="2">
      <x v="28"/>
    </i>
    <i r="2">
      <x v="29"/>
    </i>
    <i r="1">
      <x v="10"/>
    </i>
    <i r="2">
      <x v="31"/>
    </i>
    <i r="2">
      <x v="32"/>
    </i>
    <i r="1">
      <x v="11"/>
    </i>
    <i r="2">
      <x v="34"/>
    </i>
    <i r="2">
      <x v="35"/>
    </i>
    <i r="1">
      <x v="12"/>
    </i>
    <i r="2">
      <x v="37"/>
    </i>
    <i r="2">
      <x v="38"/>
    </i>
    <i r="1">
      <x v="13"/>
    </i>
    <i r="2">
      <x v="40"/>
    </i>
    <i r="1">
      <x v="14"/>
    </i>
    <i r="2">
      <x v="41"/>
    </i>
    <i r="1">
      <x v="15"/>
    </i>
    <i r="2">
      <x v="42"/>
    </i>
    <i>
      <x v="4"/>
    </i>
    <i r="1">
      <x/>
    </i>
    <i r="2">
      <x v="43"/>
    </i>
    <i r="1">
      <x v="1"/>
    </i>
    <i r="2">
      <x/>
    </i>
    <i r="1">
      <x v="2"/>
    </i>
    <i r="2">
      <x v="5"/>
    </i>
    <i r="1">
      <x v="3"/>
    </i>
    <i r="2">
      <x v="11"/>
    </i>
    <i r="2">
      <x v="12"/>
    </i>
    <i r="1">
      <x v="4"/>
    </i>
    <i r="2">
      <x v="13"/>
    </i>
    <i r="1">
      <x v="5"/>
    </i>
    <i r="2">
      <x v="17"/>
    </i>
    <i r="1">
      <x v="8"/>
    </i>
    <i r="2">
      <x v="23"/>
    </i>
    <i r="1">
      <x v="9"/>
    </i>
    <i r="2">
      <x v="27"/>
    </i>
    <i r="1">
      <x v="10"/>
    </i>
    <i r="2">
      <x v="30"/>
    </i>
    <i r="1">
      <x v="11"/>
    </i>
    <i r="2">
      <x v="35"/>
    </i>
    <i r="1">
      <x v="12"/>
    </i>
    <i r="2">
      <x v="36"/>
    </i>
    <i r="1">
      <x v="13"/>
    </i>
    <i r="2">
      <x v="39"/>
    </i>
    <i r="1">
      <x v="14"/>
    </i>
    <i r="2">
      <x v="41"/>
    </i>
    <i r="1">
      <x v="15"/>
    </i>
    <i r="2">
      <x v="42"/>
    </i>
    <i>
      <x v="5"/>
    </i>
    <i r="1">
      <x v="6"/>
    </i>
    <i r="2">
      <x v="47"/>
    </i>
    <i t="grand">
      <x/>
    </i>
  </rowItems>
  <colFields count="1">
    <field x="-2"/>
  </colFields>
  <colItems count="10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</colItems>
  <dataFields count="10">
    <dataField name="Average of TLEN" fld="5" subtotal="average" baseField="0" baseItem="0"/>
    <dataField name="Average of GSI" fld="82" subtotal="average" baseField="0" baseItem="0"/>
    <dataField name="StdDev of GSI" fld="82" subtotal="stdDev" baseField="0" baseItem="0"/>
    <dataField name="Average of HSI" fld="83" subtotal="average" baseField="0" baseItem="0"/>
    <dataField name="StdDev of HSI" fld="83" subtotal="stdDev" baseField="0" baseItem="0"/>
    <dataField name="Average of SHSI" fld="84" subtotal="average" baseField="0" baseItem="0"/>
    <dataField name="Average of GUSI" fld="85" subtotal="average" baseField="0" baseItem="0"/>
    <dataField name="Average of GFI" fld="86" subtotal="average" baseField="0" baseItem="0"/>
    <dataField name="Average of GFI2" fld="87" subtotal="average" baseField="14" baseItem="2"/>
    <dataField name="Count of FishCod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9052070-861B-41DF-9565-62DF0307D879}" name="PivotTable1" cacheId="4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I1:M17" firstHeaderRow="0" firstDataRow="1" firstDataCol="1"/>
  <pivotFields count="6">
    <pivotField showAll="0">
      <items count="5">
        <item x="0"/>
        <item x="1"/>
        <item x="2"/>
        <item x="3"/>
        <item t="default"/>
      </items>
    </pivotField>
    <pivotField axis="axisRow"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4"/>
        <item x="13"/>
        <item t="default"/>
      </items>
    </pivotField>
    <pivotField dataField="1" showAll="0"/>
    <pivotField showAll="0"/>
    <pivotField dataField="1" showAll="0"/>
    <pivotField showAll="0"/>
  </pivotFields>
  <rowFields count="1">
    <field x="1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Average of GSI" fld="2" subtotal="average" baseField="1" baseItem="0"/>
    <dataField name="StdDev of GSI" fld="2" subtotal="stdDev" baseField="1" baseItem="0"/>
    <dataField name="Average of HSI" fld="4" subtotal="average" baseField="1" baseItem="0"/>
    <dataField name="StdDev of HSI" fld="4" subtotal="stdDev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91D0C0E-12A4-42F3-9472-B2D226F0F746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7" indent="0" compact="0" compactData="0" multipleFieldFilters="0">
  <location ref="A3:E62" firstHeaderRow="0" firstDataRow="1" firstDataCol="2"/>
  <pivotFields count="12">
    <pivotField axis="axisRow" compact="0" outline="0" showAll="0">
      <items count="8">
        <item x="0"/>
        <item x="1"/>
        <item x="3"/>
        <item x="4"/>
        <item x="2"/>
        <item x="5"/>
        <item m="1" x="6"/>
        <item t="default"/>
      </items>
    </pivotField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dataField="1" compact="0" outline="0" showAll="0"/>
    <pivotField compact="0" outline="0" showAll="0"/>
    <pivotField compact="0" outline="0" showAll="0"/>
    <pivotField axis="axisRow" compact="0" outline="0" showAll="0">
      <items count="14">
        <item x="0"/>
        <item x="1"/>
        <item x="2"/>
        <item x="3"/>
        <item x="12"/>
        <item x="4"/>
        <item x="5"/>
        <item x="6"/>
        <item x="7"/>
        <item x="8"/>
        <item x="9"/>
        <item x="10"/>
        <item x="11"/>
        <item t="default"/>
      </items>
    </pivotField>
  </pivotFields>
  <rowFields count="2">
    <field x="0"/>
    <field x="11"/>
  </rowFields>
  <rowItems count="59">
    <i>
      <x/>
      <x/>
    </i>
    <i r="1">
      <x v="1"/>
    </i>
    <i r="1">
      <x v="2"/>
    </i>
    <i r="1">
      <x v="5"/>
    </i>
    <i r="1">
      <x v="6"/>
    </i>
    <i r="1">
      <x v="7"/>
    </i>
    <i r="1">
      <x v="8"/>
    </i>
    <i r="1">
      <x v="9"/>
    </i>
    <i t="default">
      <x/>
    </i>
    <i>
      <x v="1"/>
      <x/>
    </i>
    <i r="1">
      <x v="1"/>
    </i>
    <i r="1">
      <x v="2"/>
    </i>
    <i r="1">
      <x v="3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default">
      <x v="1"/>
    </i>
    <i>
      <x v="2"/>
      <x/>
    </i>
    <i r="1">
      <x v="2"/>
    </i>
    <i r="1">
      <x v="3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 v="2"/>
    </i>
    <i>
      <x v="3"/>
      <x/>
    </i>
    <i r="1">
      <x v="2"/>
    </i>
    <i r="1">
      <x v="3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 v="3"/>
    </i>
    <i>
      <x v="4"/>
      <x/>
    </i>
    <i r="1">
      <x v="1"/>
    </i>
    <i r="1">
      <x v="2"/>
    </i>
    <i r="1">
      <x v="3"/>
    </i>
    <i r="1">
      <x v="5"/>
    </i>
    <i r="1">
      <x v="7"/>
    </i>
    <i r="1">
      <x v="8"/>
    </i>
    <i r="1">
      <x v="9"/>
    </i>
    <i r="1">
      <x v="10"/>
    </i>
    <i r="1">
      <x v="11"/>
    </i>
    <i r="1">
      <x v="12"/>
    </i>
    <i t="default">
      <x v="4"/>
    </i>
    <i>
      <x v="5"/>
      <x v="4"/>
    </i>
    <i t="default">
      <x v="5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Average of WaterTemp" fld="7" subtotal="average" baseField="10" baseItem="1"/>
    <dataField name="Average of Conductivity" fld="8" subtotal="average" baseField="0" baseItem="0"/>
    <dataField name="Average of TotalIceThickness" fld="2" subtotal="average" baseField="11" baseItem="5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71168-1E95-F144-B429-0A49B7686442}">
  <dimension ref="A1:CU764"/>
  <sheetViews>
    <sheetView tabSelected="1" workbookViewId="0">
      <pane xSplit="1" topLeftCell="B1" activePane="topRight" state="frozen"/>
      <selection pane="topRight" activeCell="F148" sqref="F148"/>
    </sheetView>
  </sheetViews>
  <sheetFormatPr baseColWidth="10" defaultColWidth="11" defaultRowHeight="16" x14ac:dyDescent="0.2"/>
  <cols>
    <col min="16" max="16" width="24" customWidth="1"/>
    <col min="17" max="17" width="10" customWidth="1"/>
    <col min="18" max="73" width="5.5" customWidth="1"/>
    <col min="74" max="74" width="19" customWidth="1"/>
    <col min="82" max="82" width="30.6640625" customWidth="1"/>
    <col min="83" max="83" width="12.5" customWidth="1"/>
    <col min="86" max="86" width="12.6640625" customWidth="1"/>
    <col min="87" max="87" width="13.33203125" customWidth="1"/>
    <col min="88" max="88" width="8"/>
    <col min="95" max="95" width="11" style="12"/>
  </cols>
  <sheetData>
    <row r="1" spans="1:99" ht="34" x14ac:dyDescent="0.2">
      <c r="A1" t="s">
        <v>0</v>
      </c>
      <c r="B1" t="s">
        <v>1</v>
      </c>
      <c r="C1" t="s">
        <v>2</v>
      </c>
      <c r="D1" t="s">
        <v>1466</v>
      </c>
      <c r="E1" t="s">
        <v>1302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785</v>
      </c>
      <c r="L1" t="s">
        <v>8</v>
      </c>
      <c r="M1" t="s">
        <v>784</v>
      </c>
      <c r="N1" t="s">
        <v>9</v>
      </c>
      <c r="O1" t="s">
        <v>10</v>
      </c>
      <c r="P1" t="s">
        <v>11</v>
      </c>
      <c r="Q1" t="s">
        <v>1528</v>
      </c>
      <c r="R1" t="s">
        <v>1522</v>
      </c>
      <c r="S1" t="s">
        <v>1523</v>
      </c>
      <c r="T1" t="s">
        <v>1500</v>
      </c>
      <c r="U1" t="s">
        <v>1501</v>
      </c>
      <c r="V1" t="s">
        <v>1514</v>
      </c>
      <c r="W1" t="s">
        <v>1514</v>
      </c>
      <c r="X1" t="s">
        <v>1524</v>
      </c>
      <c r="Y1" t="s">
        <v>1525</v>
      </c>
      <c r="Z1" t="s">
        <v>1526</v>
      </c>
      <c r="AA1" t="s">
        <v>1527</v>
      </c>
      <c r="AB1" t="s">
        <v>1517</v>
      </c>
      <c r="AC1" t="s">
        <v>1518</v>
      </c>
      <c r="AD1" t="s">
        <v>1515</v>
      </c>
      <c r="AE1" t="s">
        <v>1516</v>
      </c>
      <c r="AF1" t="s">
        <v>1507</v>
      </c>
      <c r="AG1" t="s">
        <v>1508</v>
      </c>
      <c r="AH1" t="s">
        <v>1496</v>
      </c>
      <c r="AI1" t="s">
        <v>1497</v>
      </c>
      <c r="AJ1" t="s">
        <v>1498</v>
      </c>
      <c r="AK1" t="s">
        <v>1499</v>
      </c>
      <c r="AL1" t="s">
        <v>1512</v>
      </c>
      <c r="AM1" t="s">
        <v>1513</v>
      </c>
      <c r="AN1" t="s">
        <v>1509</v>
      </c>
      <c r="AO1" t="s">
        <v>1510</v>
      </c>
      <c r="AP1" t="s">
        <v>1469</v>
      </c>
      <c r="AQ1" t="s">
        <v>1470</v>
      </c>
      <c r="AR1" t="s">
        <v>1471</v>
      </c>
      <c r="AS1" t="s">
        <v>1472</v>
      </c>
      <c r="AT1" t="s">
        <v>1473</v>
      </c>
      <c r="AU1" t="s">
        <v>1474</v>
      </c>
      <c r="AV1" t="s">
        <v>1476</v>
      </c>
      <c r="AW1" t="s">
        <v>1475</v>
      </c>
      <c r="AX1" t="s">
        <v>1477</v>
      </c>
      <c r="AY1" t="s">
        <v>1478</v>
      </c>
      <c r="AZ1" t="s">
        <v>1479</v>
      </c>
      <c r="BA1" t="s">
        <v>1480</v>
      </c>
      <c r="BB1" t="s">
        <v>1481</v>
      </c>
      <c r="BC1" t="s">
        <v>1482</v>
      </c>
      <c r="BD1" t="s">
        <v>1483</v>
      </c>
      <c r="BE1" t="s">
        <v>1484</v>
      </c>
      <c r="BF1" t="s">
        <v>1485</v>
      </c>
      <c r="BG1" t="s">
        <v>1486</v>
      </c>
      <c r="BH1" t="s">
        <v>1487</v>
      </c>
      <c r="BI1" t="s">
        <v>1488</v>
      </c>
      <c r="BJ1" t="s">
        <v>1520</v>
      </c>
      <c r="BK1" t="s">
        <v>1521</v>
      </c>
      <c r="BL1" t="s">
        <v>1493</v>
      </c>
      <c r="BM1" t="s">
        <v>1494</v>
      </c>
      <c r="BN1" t="s">
        <v>1489</v>
      </c>
      <c r="BO1" t="s">
        <v>1490</v>
      </c>
      <c r="BP1" t="s">
        <v>1491</v>
      </c>
      <c r="BQ1" t="s">
        <v>1492</v>
      </c>
      <c r="BR1" t="s">
        <v>1504</v>
      </c>
      <c r="BS1" t="s">
        <v>1505</v>
      </c>
      <c r="BT1" t="s">
        <v>1511</v>
      </c>
      <c r="BU1" t="s">
        <v>1506</v>
      </c>
      <c r="BV1" s="1" t="s">
        <v>768</v>
      </c>
      <c r="BW1" t="s">
        <v>12</v>
      </c>
      <c r="BX1" t="s">
        <v>1534</v>
      </c>
      <c r="BY1" t="s">
        <v>1535</v>
      </c>
      <c r="BZ1" t="s">
        <v>1536</v>
      </c>
      <c r="CA1" t="s">
        <v>1533</v>
      </c>
      <c r="CB1" t="s">
        <v>1537</v>
      </c>
      <c r="CC1" t="s">
        <v>13</v>
      </c>
      <c r="CD1" t="s">
        <v>14</v>
      </c>
      <c r="CE1" t="s">
        <v>15</v>
      </c>
      <c r="CF1" t="s">
        <v>16</v>
      </c>
      <c r="CG1" t="s">
        <v>17</v>
      </c>
      <c r="CH1" t="s">
        <v>18</v>
      </c>
      <c r="CI1" t="s">
        <v>19</v>
      </c>
      <c r="CJ1" s="1" t="s">
        <v>769</v>
      </c>
      <c r="CK1" s="6" t="s">
        <v>20</v>
      </c>
      <c r="CL1" s="6" t="s">
        <v>21</v>
      </c>
      <c r="CM1" s="6" t="s">
        <v>1543</v>
      </c>
      <c r="CN1" s="6" t="s">
        <v>1544</v>
      </c>
      <c r="CO1" s="6" t="s">
        <v>1545</v>
      </c>
      <c r="CP1" s="6" t="s">
        <v>1546</v>
      </c>
      <c r="CQ1" s="12" t="s">
        <v>1529</v>
      </c>
      <c r="CR1" t="s">
        <v>1531</v>
      </c>
      <c r="CS1" t="s">
        <v>1532</v>
      </c>
      <c r="CT1" t="s">
        <v>1541</v>
      </c>
      <c r="CU1" t="s">
        <v>1542</v>
      </c>
    </row>
    <row r="2" spans="1:99" x14ac:dyDescent="0.2">
      <c r="A2" t="s">
        <v>22</v>
      </c>
      <c r="B2" t="s">
        <v>23</v>
      </c>
      <c r="C2" t="str">
        <f t="shared" ref="C2:C65" si="0">IF(F2&gt;=150,"B",IF(F2&lt;=60,"S","I"))</f>
        <v>I</v>
      </c>
      <c r="D2" t="str">
        <f t="shared" ref="D2:D65" si="1">IF(F2&gt;=110,"B",IF(F2&gt;=85,"I",IF(F2&gt;=65,"S","IMM")))</f>
        <v>I</v>
      </c>
      <c r="E2" t="str">
        <f t="shared" ref="E2:E65" si="2">IF(AND(F2&gt;=60,F2&lt;=110),"G","N")</f>
        <v>G</v>
      </c>
      <c r="F2">
        <v>99</v>
      </c>
      <c r="G2">
        <v>94</v>
      </c>
      <c r="H2">
        <v>18.614000000000001</v>
      </c>
      <c r="I2">
        <v>0.36199999999999999</v>
      </c>
      <c r="J2">
        <v>0.19400000000000001</v>
      </c>
      <c r="K2" t="s">
        <v>24</v>
      </c>
      <c r="L2" t="str">
        <f t="shared" ref="L2:L65" si="3">LEFT(K2,1)</f>
        <v>F</v>
      </c>
      <c r="M2">
        <v>22</v>
      </c>
      <c r="N2">
        <v>0.88300000000000001</v>
      </c>
      <c r="O2">
        <v>0.79400000000000004</v>
      </c>
      <c r="P2" t="s">
        <v>25</v>
      </c>
      <c r="Q2" t="str">
        <f>IF(P2="MT","MT","F")</f>
        <v>F</v>
      </c>
      <c r="BV2" s="1"/>
      <c r="BW2" t="s">
        <v>26</v>
      </c>
      <c r="BX2" t="str">
        <f>LEFT(BW2,2)</f>
        <v>18</v>
      </c>
      <c r="BY2" t="str">
        <f>MID(BW2,4,2)</f>
        <v>12</v>
      </c>
      <c r="BZ2" t="str">
        <f>RIGHT(BW2,4)</f>
        <v>2020</v>
      </c>
      <c r="CA2" s="5">
        <f>DATE(BZ2,BY2,BX2)</f>
        <v>44183</v>
      </c>
      <c r="CB2">
        <v>353</v>
      </c>
      <c r="CC2">
        <v>1</v>
      </c>
      <c r="CD2" t="s">
        <v>27</v>
      </c>
      <c r="CE2">
        <f>J2/(H2-J2)*100</f>
        <v>1.0532030401737242</v>
      </c>
      <c r="CF2">
        <f>I2/(H2-I2)*100</f>
        <v>1.9833442910365984</v>
      </c>
      <c r="CG2">
        <f>I2/(H2-I2-J2)*100</f>
        <v>2.0046516779266805</v>
      </c>
      <c r="CH2">
        <f>O2/(H2-O2)*100</f>
        <v>4.4556677890011231</v>
      </c>
      <c r="CI2">
        <f>(N2-O2)/H2*100</f>
        <v>0.47813473729450934</v>
      </c>
      <c r="CJ2" s="1"/>
      <c r="CK2" s="6"/>
      <c r="CL2" s="6"/>
      <c r="CM2" s="6"/>
      <c r="CN2" s="6"/>
      <c r="CO2" s="6"/>
      <c r="CP2" s="6"/>
    </row>
    <row r="3" spans="1:99" x14ac:dyDescent="0.2">
      <c r="A3" t="s">
        <v>28</v>
      </c>
      <c r="B3" t="s">
        <v>23</v>
      </c>
      <c r="C3" t="str">
        <f t="shared" si="0"/>
        <v>I</v>
      </c>
      <c r="D3" t="str">
        <f t="shared" si="1"/>
        <v>I</v>
      </c>
      <c r="E3" t="str">
        <f t="shared" si="2"/>
        <v>G</v>
      </c>
      <c r="F3">
        <v>88</v>
      </c>
      <c r="G3">
        <v>84</v>
      </c>
      <c r="H3">
        <v>10.99</v>
      </c>
      <c r="I3">
        <v>0.157</v>
      </c>
      <c r="J3">
        <v>0.14199999999999999</v>
      </c>
      <c r="K3" t="s">
        <v>24</v>
      </c>
      <c r="L3" t="str">
        <f t="shared" si="3"/>
        <v>F</v>
      </c>
      <c r="M3">
        <v>22</v>
      </c>
      <c r="N3">
        <v>0.499</v>
      </c>
      <c r="O3">
        <v>0.45500000000000002</v>
      </c>
      <c r="P3" t="s">
        <v>29</v>
      </c>
      <c r="Q3" t="str">
        <f>IF(P3="MT","MT","F")</f>
        <v>F</v>
      </c>
      <c r="BV3" s="1"/>
      <c r="BW3" t="s">
        <v>26</v>
      </c>
      <c r="BX3" t="str">
        <f t="shared" ref="BX3:BX31" si="4">LEFT(BW3,2)</f>
        <v>18</v>
      </c>
      <c r="BY3" t="str">
        <f t="shared" ref="BY3:BY31" si="5">MID(BW3,4,2)</f>
        <v>12</v>
      </c>
      <c r="BZ3" t="str">
        <f t="shared" ref="BZ3:BZ31" si="6">RIGHT(BW3,4)</f>
        <v>2020</v>
      </c>
      <c r="CA3" s="5">
        <f t="shared" ref="CA3:CA66" si="7">DATE(BZ3,BY3,BX3)</f>
        <v>44183</v>
      </c>
      <c r="CB3">
        <v>353</v>
      </c>
      <c r="CC3">
        <v>1</v>
      </c>
      <c r="CD3" t="s">
        <v>30</v>
      </c>
      <c r="CE3">
        <f>J3/(H3-J3)*100</f>
        <v>1.3089970501474923</v>
      </c>
      <c r="CF3">
        <f>I3/(H3-I3)*100</f>
        <v>1.4492753623188406</v>
      </c>
      <c r="CG3">
        <f>I3/(H3-I3-J3)*100</f>
        <v>1.4685249275091197</v>
      </c>
      <c r="CH3">
        <f>O3/H3*100</f>
        <v>4.1401273885350314</v>
      </c>
      <c r="CI3">
        <f>(N3-O3)/H3*100</f>
        <v>0.40036396724294798</v>
      </c>
      <c r="CJ3" s="1"/>
      <c r="CK3" s="6"/>
      <c r="CL3" s="6"/>
      <c r="CM3" s="6"/>
      <c r="CN3" s="6"/>
      <c r="CO3" s="6"/>
      <c r="CP3" s="6"/>
    </row>
    <row r="4" spans="1:99" x14ac:dyDescent="0.2">
      <c r="A4" t="s">
        <v>31</v>
      </c>
      <c r="B4" t="s">
        <v>23</v>
      </c>
      <c r="C4" t="str">
        <f t="shared" si="0"/>
        <v>I</v>
      </c>
      <c r="D4" t="str">
        <f t="shared" si="1"/>
        <v>I</v>
      </c>
      <c r="E4" t="str">
        <f t="shared" si="2"/>
        <v>G</v>
      </c>
      <c r="F4">
        <v>97</v>
      </c>
      <c r="G4">
        <v>91</v>
      </c>
      <c r="H4">
        <v>16.861000000000001</v>
      </c>
      <c r="I4">
        <v>0.38400000000000001</v>
      </c>
      <c r="J4">
        <v>0.23899999999999999</v>
      </c>
      <c r="K4" t="s">
        <v>24</v>
      </c>
      <c r="L4" t="str">
        <f t="shared" si="3"/>
        <v>F</v>
      </c>
      <c r="M4">
        <v>22</v>
      </c>
      <c r="N4">
        <v>0.84</v>
      </c>
      <c r="O4">
        <v>0.79200000000000004</v>
      </c>
      <c r="P4" t="s">
        <v>32</v>
      </c>
      <c r="Q4" t="str">
        <f>IF(P4="MT","MT","F")</f>
        <v>F</v>
      </c>
      <c r="BV4" s="1"/>
      <c r="BW4" t="s">
        <v>26</v>
      </c>
      <c r="BX4" t="str">
        <f t="shared" si="4"/>
        <v>18</v>
      </c>
      <c r="BY4" t="str">
        <f t="shared" si="5"/>
        <v>12</v>
      </c>
      <c r="BZ4" t="str">
        <f t="shared" si="6"/>
        <v>2020</v>
      </c>
      <c r="CA4" s="5">
        <f t="shared" si="7"/>
        <v>44183</v>
      </c>
      <c r="CB4">
        <v>353</v>
      </c>
      <c r="CC4">
        <v>1</v>
      </c>
      <c r="CD4" t="s">
        <v>30</v>
      </c>
      <c r="CE4">
        <f>J4/(H4-J4)*100</f>
        <v>1.4378534472385993</v>
      </c>
      <c r="CF4">
        <f>I4/(H4-I4)*100</f>
        <v>2.3305213327668874</v>
      </c>
      <c r="CG4">
        <f>I4/(H4-I4-J4)*100</f>
        <v>2.3648232540953322</v>
      </c>
      <c r="CH4">
        <f>O4/H4*100</f>
        <v>4.6972302947630631</v>
      </c>
      <c r="CI4">
        <f>(N4-O4)/H4*100</f>
        <v>0.28468062392503368</v>
      </c>
      <c r="CJ4" s="1"/>
      <c r="CK4" s="6"/>
      <c r="CL4" s="6"/>
      <c r="CM4" s="6"/>
      <c r="CN4" s="6"/>
      <c r="CO4" s="6"/>
      <c r="CP4" s="6"/>
    </row>
    <row r="5" spans="1:99" x14ac:dyDescent="0.2">
      <c r="A5" t="s">
        <v>33</v>
      </c>
      <c r="B5" t="s">
        <v>23</v>
      </c>
      <c r="C5" t="str">
        <f t="shared" si="0"/>
        <v>I</v>
      </c>
      <c r="D5" t="str">
        <f t="shared" si="1"/>
        <v>S</v>
      </c>
      <c r="E5" t="str">
        <f t="shared" si="2"/>
        <v>G</v>
      </c>
      <c r="F5">
        <v>71</v>
      </c>
      <c r="G5">
        <v>67</v>
      </c>
      <c r="H5">
        <v>5.298</v>
      </c>
      <c r="L5" t="str">
        <f t="shared" si="3"/>
        <v/>
      </c>
      <c r="Q5" t="s">
        <v>27</v>
      </c>
      <c r="BV5" s="1"/>
      <c r="BW5" t="s">
        <v>26</v>
      </c>
      <c r="BX5" t="str">
        <f t="shared" si="4"/>
        <v>18</v>
      </c>
      <c r="BY5" t="str">
        <f t="shared" si="5"/>
        <v>12</v>
      </c>
      <c r="BZ5" t="str">
        <f t="shared" si="6"/>
        <v>2020</v>
      </c>
      <c r="CA5" s="5">
        <f t="shared" si="7"/>
        <v>44183</v>
      </c>
      <c r="CB5">
        <v>353</v>
      </c>
      <c r="CC5">
        <v>1</v>
      </c>
      <c r="CD5" t="s">
        <v>34</v>
      </c>
      <c r="CJ5" s="1"/>
      <c r="CK5" s="6"/>
      <c r="CL5" s="6"/>
      <c r="CM5" s="6"/>
      <c r="CN5" s="6"/>
      <c r="CO5" s="6"/>
      <c r="CP5" s="6"/>
    </row>
    <row r="6" spans="1:99" x14ac:dyDescent="0.2">
      <c r="A6" t="s">
        <v>35</v>
      </c>
      <c r="B6" t="s">
        <v>23</v>
      </c>
      <c r="C6" t="str">
        <f t="shared" si="0"/>
        <v>I</v>
      </c>
      <c r="D6" t="str">
        <f t="shared" si="1"/>
        <v>S</v>
      </c>
      <c r="E6" t="str">
        <f t="shared" si="2"/>
        <v>G</v>
      </c>
      <c r="F6">
        <v>74</v>
      </c>
      <c r="G6">
        <v>70</v>
      </c>
      <c r="H6">
        <v>6.5529999999999999</v>
      </c>
      <c r="I6">
        <v>0.122</v>
      </c>
      <c r="J6">
        <v>8.8999999999999996E-2</v>
      </c>
      <c r="K6" t="s">
        <v>24</v>
      </c>
      <c r="L6" t="str">
        <f t="shared" si="3"/>
        <v>F</v>
      </c>
      <c r="M6">
        <v>22</v>
      </c>
      <c r="N6">
        <v>0.28100000000000003</v>
      </c>
      <c r="O6">
        <v>0.26900000000000002</v>
      </c>
      <c r="P6" t="s">
        <v>36</v>
      </c>
      <c r="Q6" t="str">
        <f t="shared" ref="Q6:Q37" si="8">IF(P6="MT","MT","F")</f>
        <v>MT</v>
      </c>
      <c r="BV6" s="1"/>
      <c r="BW6" t="s">
        <v>26</v>
      </c>
      <c r="BX6" t="str">
        <f t="shared" si="4"/>
        <v>18</v>
      </c>
      <c r="BY6" t="str">
        <f t="shared" si="5"/>
        <v>12</v>
      </c>
      <c r="BZ6" t="str">
        <f t="shared" si="6"/>
        <v>2020</v>
      </c>
      <c r="CA6" s="5">
        <f t="shared" si="7"/>
        <v>44183</v>
      </c>
      <c r="CB6">
        <v>353</v>
      </c>
      <c r="CC6">
        <v>1</v>
      </c>
      <c r="CD6" t="s">
        <v>27</v>
      </c>
      <c r="CE6">
        <f t="shared" ref="CE6:CE37" si="9">J6/(H6-J6)*100</f>
        <v>1.3768564356435644</v>
      </c>
      <c r="CF6">
        <f t="shared" ref="CF6:CF45" si="10">I6/(H6-I6)*100</f>
        <v>1.8970611102472401</v>
      </c>
      <c r="CG6">
        <f t="shared" ref="CG6:CG45" si="11">I6/(H6-I6-J6)*100</f>
        <v>1.9236833806370228</v>
      </c>
      <c r="CH6">
        <f t="shared" ref="CH6:CH45" si="12">O6/H6*100</f>
        <v>4.104990080878987</v>
      </c>
      <c r="CI6">
        <f t="shared" ref="CI6:CI39" si="13">(N6-O6)/H6*100</f>
        <v>0.18312223409125608</v>
      </c>
      <c r="CJ6" s="1"/>
      <c r="CK6" s="6"/>
      <c r="CL6" s="6"/>
      <c r="CM6" s="6"/>
      <c r="CN6" s="6"/>
      <c r="CO6" s="6"/>
      <c r="CP6" s="6"/>
    </row>
    <row r="7" spans="1:99" x14ac:dyDescent="0.2">
      <c r="A7" t="s">
        <v>37</v>
      </c>
      <c r="B7" t="s">
        <v>23</v>
      </c>
      <c r="C7" t="str">
        <f t="shared" si="0"/>
        <v>I</v>
      </c>
      <c r="D7" t="str">
        <f t="shared" si="1"/>
        <v>S</v>
      </c>
      <c r="E7" t="str">
        <f t="shared" si="2"/>
        <v>G</v>
      </c>
      <c r="F7">
        <v>72</v>
      </c>
      <c r="G7">
        <v>67</v>
      </c>
      <c r="H7">
        <v>6.0449999999999999</v>
      </c>
      <c r="I7">
        <v>0.155</v>
      </c>
      <c r="J7">
        <v>5.0000000000000001E-3</v>
      </c>
      <c r="K7" t="s">
        <v>38</v>
      </c>
      <c r="L7" t="str">
        <f t="shared" si="3"/>
        <v>M</v>
      </c>
      <c r="M7">
        <v>22</v>
      </c>
      <c r="N7">
        <v>0.28599999999999998</v>
      </c>
      <c r="O7">
        <v>0.26100000000000001</v>
      </c>
      <c r="P7" t="s">
        <v>36</v>
      </c>
      <c r="Q7" t="str">
        <f t="shared" si="8"/>
        <v>MT</v>
      </c>
      <c r="BV7" s="1"/>
      <c r="BW7" t="s">
        <v>26</v>
      </c>
      <c r="BX7" t="str">
        <f t="shared" si="4"/>
        <v>18</v>
      </c>
      <c r="BY7" t="str">
        <f t="shared" si="5"/>
        <v>12</v>
      </c>
      <c r="BZ7" t="str">
        <f t="shared" si="6"/>
        <v>2020</v>
      </c>
      <c r="CA7" s="5">
        <f t="shared" si="7"/>
        <v>44183</v>
      </c>
      <c r="CB7">
        <v>353</v>
      </c>
      <c r="CC7">
        <v>1</v>
      </c>
      <c r="CD7" t="s">
        <v>39</v>
      </c>
      <c r="CE7">
        <f t="shared" si="9"/>
        <v>8.2781456953642391E-2</v>
      </c>
      <c r="CF7">
        <f t="shared" si="10"/>
        <v>2.6315789473684212</v>
      </c>
      <c r="CG7">
        <f t="shared" si="11"/>
        <v>2.6338147833474936</v>
      </c>
      <c r="CH7">
        <f t="shared" si="12"/>
        <v>4.3176178660049631</v>
      </c>
      <c r="CI7">
        <f t="shared" si="13"/>
        <v>0.41356492969396141</v>
      </c>
      <c r="CJ7" s="1"/>
      <c r="CK7" s="6"/>
      <c r="CL7" s="6"/>
      <c r="CM7" s="6"/>
      <c r="CN7" s="6"/>
      <c r="CO7" s="6"/>
      <c r="CP7" s="6"/>
    </row>
    <row r="8" spans="1:99" x14ac:dyDescent="0.2">
      <c r="A8" t="s">
        <v>40</v>
      </c>
      <c r="B8" t="s">
        <v>23</v>
      </c>
      <c r="C8" t="str">
        <f t="shared" si="0"/>
        <v>I</v>
      </c>
      <c r="D8" t="str">
        <f t="shared" si="1"/>
        <v>I</v>
      </c>
      <c r="E8" t="str">
        <f t="shared" si="2"/>
        <v>G</v>
      </c>
      <c r="F8">
        <v>89</v>
      </c>
      <c r="G8">
        <v>83</v>
      </c>
      <c r="H8">
        <v>11.509</v>
      </c>
      <c r="I8">
        <v>0.22500000000000001</v>
      </c>
      <c r="J8">
        <v>1.2999999999999999E-2</v>
      </c>
      <c r="K8" t="s">
        <v>38</v>
      </c>
      <c r="L8" t="str">
        <f t="shared" si="3"/>
        <v>M</v>
      </c>
      <c r="M8">
        <v>22</v>
      </c>
      <c r="N8">
        <v>0.51100000000000001</v>
      </c>
      <c r="O8">
        <v>0.49</v>
      </c>
      <c r="P8" t="s">
        <v>41</v>
      </c>
      <c r="Q8" t="str">
        <f t="shared" si="8"/>
        <v>MT</v>
      </c>
      <c r="BV8" s="1"/>
      <c r="BW8" t="s">
        <v>26</v>
      </c>
      <c r="BX8" t="str">
        <f t="shared" si="4"/>
        <v>18</v>
      </c>
      <c r="BY8" t="str">
        <f t="shared" si="5"/>
        <v>12</v>
      </c>
      <c r="BZ8" t="str">
        <f t="shared" si="6"/>
        <v>2020</v>
      </c>
      <c r="CA8" s="5">
        <f t="shared" si="7"/>
        <v>44183</v>
      </c>
      <c r="CB8">
        <v>353</v>
      </c>
      <c r="CC8">
        <v>1</v>
      </c>
      <c r="CD8" t="s">
        <v>27</v>
      </c>
      <c r="CE8">
        <f t="shared" si="9"/>
        <v>0.11308281141266527</v>
      </c>
      <c r="CF8">
        <f t="shared" si="10"/>
        <v>1.9939737681673164</v>
      </c>
      <c r="CG8">
        <f t="shared" si="11"/>
        <v>1.9962736225712003</v>
      </c>
      <c r="CH8">
        <f t="shared" si="12"/>
        <v>4.2575375792857768</v>
      </c>
      <c r="CI8">
        <f t="shared" si="13"/>
        <v>0.18246589625510484</v>
      </c>
      <c r="CJ8" s="1"/>
      <c r="CK8" s="6"/>
      <c r="CL8" s="6"/>
      <c r="CM8" s="6"/>
      <c r="CN8" s="6"/>
      <c r="CO8" s="6"/>
      <c r="CP8" s="6"/>
    </row>
    <row r="9" spans="1:99" x14ac:dyDescent="0.2">
      <c r="A9" t="s">
        <v>42</v>
      </c>
      <c r="B9" t="s">
        <v>23</v>
      </c>
      <c r="C9" t="str">
        <f t="shared" si="0"/>
        <v>I</v>
      </c>
      <c r="D9" t="str">
        <f t="shared" si="1"/>
        <v>S</v>
      </c>
      <c r="E9" t="str">
        <f t="shared" si="2"/>
        <v>G</v>
      </c>
      <c r="F9">
        <v>84</v>
      </c>
      <c r="G9">
        <v>79</v>
      </c>
      <c r="H9">
        <v>10.654999999999999</v>
      </c>
      <c r="I9">
        <v>0.17599999999999999</v>
      </c>
      <c r="J9">
        <v>0.153</v>
      </c>
      <c r="K9" t="s">
        <v>24</v>
      </c>
      <c r="L9" t="str">
        <f t="shared" si="3"/>
        <v>F</v>
      </c>
      <c r="M9">
        <v>22</v>
      </c>
      <c r="N9">
        <v>0.35499999999999998</v>
      </c>
      <c r="O9">
        <v>0.34499999999999997</v>
      </c>
      <c r="P9" t="s">
        <v>36</v>
      </c>
      <c r="Q9" t="str">
        <f t="shared" si="8"/>
        <v>MT</v>
      </c>
      <c r="BV9" s="1"/>
      <c r="BW9" t="s">
        <v>26</v>
      </c>
      <c r="BX9" t="str">
        <f t="shared" si="4"/>
        <v>18</v>
      </c>
      <c r="BY9" t="str">
        <f t="shared" si="5"/>
        <v>12</v>
      </c>
      <c r="BZ9" t="str">
        <f t="shared" si="6"/>
        <v>2020</v>
      </c>
      <c r="CA9" s="5">
        <f t="shared" si="7"/>
        <v>44183</v>
      </c>
      <c r="CB9">
        <v>353</v>
      </c>
      <c r="CC9">
        <v>1</v>
      </c>
      <c r="CD9" t="s">
        <v>27</v>
      </c>
      <c r="CE9">
        <f t="shared" si="9"/>
        <v>1.4568653589792422</v>
      </c>
      <c r="CF9">
        <f t="shared" si="10"/>
        <v>1.6795495753411585</v>
      </c>
      <c r="CG9">
        <f t="shared" si="11"/>
        <v>1.7044354057718383</v>
      </c>
      <c r="CH9">
        <f t="shared" si="12"/>
        <v>3.2379164711403097</v>
      </c>
      <c r="CI9">
        <f t="shared" si="13"/>
        <v>9.3852651337400381E-2</v>
      </c>
      <c r="CJ9" s="1"/>
      <c r="CK9" s="6"/>
      <c r="CL9" s="6"/>
      <c r="CM9" s="6"/>
      <c r="CN9" s="6"/>
      <c r="CO9" s="6"/>
      <c r="CP9" s="6"/>
    </row>
    <row r="10" spans="1:99" x14ac:dyDescent="0.2">
      <c r="A10" t="s">
        <v>43</v>
      </c>
      <c r="B10" t="s">
        <v>23</v>
      </c>
      <c r="C10" t="str">
        <f t="shared" si="0"/>
        <v>I</v>
      </c>
      <c r="D10" t="str">
        <f t="shared" si="1"/>
        <v>S</v>
      </c>
      <c r="E10" t="str">
        <f t="shared" si="2"/>
        <v>G</v>
      </c>
      <c r="F10">
        <v>74</v>
      </c>
      <c r="G10">
        <v>70</v>
      </c>
      <c r="H10">
        <v>7.3179999999999996</v>
      </c>
      <c r="I10">
        <v>0.121</v>
      </c>
      <c r="J10">
        <v>0.10299999999999999</v>
      </c>
      <c r="K10" t="s">
        <v>24</v>
      </c>
      <c r="L10" t="str">
        <f t="shared" si="3"/>
        <v>F</v>
      </c>
      <c r="M10">
        <v>22</v>
      </c>
      <c r="N10">
        <v>0.33300000000000002</v>
      </c>
      <c r="O10">
        <v>0.31</v>
      </c>
      <c r="P10" t="s">
        <v>36</v>
      </c>
      <c r="Q10" t="str">
        <f t="shared" si="8"/>
        <v>MT</v>
      </c>
      <c r="BV10" s="1"/>
      <c r="BW10" t="s">
        <v>26</v>
      </c>
      <c r="BX10" t="str">
        <f t="shared" si="4"/>
        <v>18</v>
      </c>
      <c r="BY10" t="str">
        <f t="shared" si="5"/>
        <v>12</v>
      </c>
      <c r="BZ10" t="str">
        <f t="shared" si="6"/>
        <v>2020</v>
      </c>
      <c r="CA10" s="5">
        <f t="shared" si="7"/>
        <v>44183</v>
      </c>
      <c r="CB10">
        <v>353</v>
      </c>
      <c r="CC10">
        <v>1</v>
      </c>
      <c r="CD10" t="s">
        <v>27</v>
      </c>
      <c r="CE10">
        <f t="shared" si="9"/>
        <v>1.4275814275814276</v>
      </c>
      <c r="CF10">
        <f t="shared" si="10"/>
        <v>1.681256078921773</v>
      </c>
      <c r="CG10">
        <f t="shared" si="11"/>
        <v>1.7056667606427969</v>
      </c>
      <c r="CH10">
        <f t="shared" si="12"/>
        <v>4.2361300901885768</v>
      </c>
      <c r="CI10">
        <f t="shared" si="13"/>
        <v>0.31429352282044304</v>
      </c>
      <c r="CJ10" s="1"/>
      <c r="CK10" s="6"/>
      <c r="CL10" s="6"/>
      <c r="CM10" s="6"/>
      <c r="CN10" s="6"/>
      <c r="CO10" s="6"/>
      <c r="CP10" s="6"/>
    </row>
    <row r="11" spans="1:99" x14ac:dyDescent="0.2">
      <c r="A11" t="s">
        <v>44</v>
      </c>
      <c r="B11" t="s">
        <v>23</v>
      </c>
      <c r="C11" t="str">
        <f t="shared" si="0"/>
        <v>I</v>
      </c>
      <c r="D11" t="str">
        <f t="shared" si="1"/>
        <v>S</v>
      </c>
      <c r="E11" t="str">
        <f t="shared" si="2"/>
        <v>G</v>
      </c>
      <c r="F11">
        <v>71</v>
      </c>
      <c r="G11">
        <v>62</v>
      </c>
      <c r="H11">
        <v>5.6109999999999998</v>
      </c>
      <c r="I11">
        <v>0.12</v>
      </c>
      <c r="J11">
        <v>2E-3</v>
      </c>
      <c r="K11" t="s">
        <v>38</v>
      </c>
      <c r="L11" t="str">
        <f t="shared" si="3"/>
        <v>M</v>
      </c>
      <c r="M11">
        <v>22</v>
      </c>
      <c r="N11">
        <v>0.27400000000000002</v>
      </c>
      <c r="O11">
        <v>0.23400000000000001</v>
      </c>
      <c r="P11" t="s">
        <v>29</v>
      </c>
      <c r="Q11" t="str">
        <f t="shared" si="8"/>
        <v>F</v>
      </c>
      <c r="BV11" s="1"/>
      <c r="BW11" t="s">
        <v>26</v>
      </c>
      <c r="BX11" t="str">
        <f t="shared" si="4"/>
        <v>18</v>
      </c>
      <c r="BY11" t="str">
        <f t="shared" si="5"/>
        <v>12</v>
      </c>
      <c r="BZ11" t="str">
        <f t="shared" si="6"/>
        <v>2020</v>
      </c>
      <c r="CA11" s="5">
        <f t="shared" si="7"/>
        <v>44183</v>
      </c>
      <c r="CB11">
        <v>353</v>
      </c>
      <c r="CC11">
        <v>1</v>
      </c>
      <c r="CD11" t="s">
        <v>39</v>
      </c>
      <c r="CE11">
        <f t="shared" si="9"/>
        <v>3.5656979853806385E-2</v>
      </c>
      <c r="CF11">
        <f t="shared" si="10"/>
        <v>2.1853942815516301</v>
      </c>
      <c r="CG11">
        <f t="shared" si="11"/>
        <v>2.1861905629440699</v>
      </c>
      <c r="CH11">
        <f t="shared" si="12"/>
        <v>4.170379611477455</v>
      </c>
      <c r="CI11">
        <f t="shared" si="13"/>
        <v>0.71288540367136</v>
      </c>
      <c r="CJ11" s="1"/>
      <c r="CK11" s="6"/>
      <c r="CL11" s="6"/>
      <c r="CM11" s="6"/>
      <c r="CN11" s="6"/>
      <c r="CO11" s="6"/>
      <c r="CP11" s="6"/>
    </row>
    <row r="12" spans="1:99" x14ac:dyDescent="0.2">
      <c r="A12" t="s">
        <v>83</v>
      </c>
      <c r="B12" t="s">
        <v>23</v>
      </c>
      <c r="C12" t="str">
        <f t="shared" si="0"/>
        <v>I</v>
      </c>
      <c r="D12" t="str">
        <f t="shared" si="1"/>
        <v>I</v>
      </c>
      <c r="E12" t="str">
        <f t="shared" si="2"/>
        <v>G</v>
      </c>
      <c r="F12">
        <v>86</v>
      </c>
      <c r="G12">
        <v>81</v>
      </c>
      <c r="H12">
        <v>11.8</v>
      </c>
      <c r="I12">
        <v>0.24099999999999999</v>
      </c>
      <c r="J12">
        <v>0.182</v>
      </c>
      <c r="K12" t="s">
        <v>24</v>
      </c>
      <c r="L12" t="str">
        <f t="shared" si="3"/>
        <v>F</v>
      </c>
      <c r="M12">
        <v>22</v>
      </c>
      <c r="N12">
        <v>0.77500000000000002</v>
      </c>
      <c r="O12">
        <v>0.502</v>
      </c>
      <c r="P12" t="s">
        <v>84</v>
      </c>
      <c r="Q12" t="str">
        <f t="shared" si="8"/>
        <v>F</v>
      </c>
      <c r="BV12" s="1"/>
      <c r="BW12" s="1" t="s">
        <v>85</v>
      </c>
      <c r="BX12" t="str">
        <f t="shared" si="4"/>
        <v>19</v>
      </c>
      <c r="BY12" t="str">
        <f t="shared" si="5"/>
        <v>12</v>
      </c>
      <c r="BZ12" t="str">
        <f t="shared" si="6"/>
        <v>2020</v>
      </c>
      <c r="CA12" s="5">
        <f t="shared" si="7"/>
        <v>44184</v>
      </c>
      <c r="CB12">
        <v>353</v>
      </c>
      <c r="CC12">
        <v>1</v>
      </c>
      <c r="CD12" s="1" t="s">
        <v>27</v>
      </c>
      <c r="CE12">
        <f t="shared" si="9"/>
        <v>1.5665346875537958</v>
      </c>
      <c r="CF12">
        <f t="shared" si="10"/>
        <v>2.084955445972835</v>
      </c>
      <c r="CG12">
        <f t="shared" si="11"/>
        <v>2.1183088687703258</v>
      </c>
      <c r="CH12">
        <f t="shared" si="12"/>
        <v>4.2542372881355925</v>
      </c>
      <c r="CI12">
        <f t="shared" si="13"/>
        <v>2.3135593220338984</v>
      </c>
      <c r="CJ12" s="1"/>
      <c r="CK12" s="6"/>
      <c r="CL12" s="6"/>
      <c r="CM12" s="6"/>
      <c r="CN12" s="6"/>
      <c r="CO12" s="6"/>
      <c r="CP12" s="6"/>
    </row>
    <row r="13" spans="1:99" x14ac:dyDescent="0.2">
      <c r="A13" t="s">
        <v>86</v>
      </c>
      <c r="B13" t="s">
        <v>23</v>
      </c>
      <c r="C13" t="str">
        <f t="shared" si="0"/>
        <v>I</v>
      </c>
      <c r="D13" t="str">
        <f t="shared" si="1"/>
        <v>S</v>
      </c>
      <c r="E13" t="str">
        <f t="shared" si="2"/>
        <v>G</v>
      </c>
      <c r="F13">
        <v>82</v>
      </c>
      <c r="G13">
        <v>77</v>
      </c>
      <c r="H13">
        <v>9.0229999999999997</v>
      </c>
      <c r="I13">
        <v>0.20799999999999999</v>
      </c>
      <c r="J13">
        <v>0.125</v>
      </c>
      <c r="K13" t="s">
        <v>24</v>
      </c>
      <c r="L13" t="str">
        <f t="shared" si="3"/>
        <v>F</v>
      </c>
      <c r="M13">
        <v>22</v>
      </c>
      <c r="N13">
        <v>0.436</v>
      </c>
      <c r="O13">
        <v>0.40100000000000002</v>
      </c>
      <c r="P13" t="s">
        <v>29</v>
      </c>
      <c r="Q13" t="str">
        <f t="shared" si="8"/>
        <v>F</v>
      </c>
      <c r="BV13" s="1"/>
      <c r="BW13" s="1" t="s">
        <v>85</v>
      </c>
      <c r="BX13" t="str">
        <f t="shared" si="4"/>
        <v>19</v>
      </c>
      <c r="BY13" t="str">
        <f t="shared" si="5"/>
        <v>12</v>
      </c>
      <c r="BZ13" t="str">
        <f t="shared" si="6"/>
        <v>2020</v>
      </c>
      <c r="CA13" s="5">
        <f t="shared" si="7"/>
        <v>44184</v>
      </c>
      <c r="CB13">
        <v>353</v>
      </c>
      <c r="CC13">
        <v>1</v>
      </c>
      <c r="CD13" s="1" t="s">
        <v>27</v>
      </c>
      <c r="CE13">
        <f t="shared" si="9"/>
        <v>1.4048100696785795</v>
      </c>
      <c r="CF13">
        <f t="shared" si="10"/>
        <v>2.3596142938173568</v>
      </c>
      <c r="CG13">
        <f t="shared" si="11"/>
        <v>2.3935558112773303</v>
      </c>
      <c r="CH13">
        <f t="shared" si="12"/>
        <v>4.4441981602571214</v>
      </c>
      <c r="CI13">
        <f t="shared" si="13"/>
        <v>0.3878975950349105</v>
      </c>
      <c r="CJ13" s="1"/>
      <c r="CK13" s="6"/>
      <c r="CL13" s="6"/>
      <c r="CM13" s="6"/>
      <c r="CN13" s="6"/>
      <c r="CO13" s="6"/>
      <c r="CP13" s="6"/>
    </row>
    <row r="14" spans="1:99" ht="17" x14ac:dyDescent="0.2">
      <c r="A14" t="s">
        <v>189</v>
      </c>
      <c r="B14" t="s">
        <v>23</v>
      </c>
      <c r="C14" t="str">
        <f t="shared" si="0"/>
        <v>I</v>
      </c>
      <c r="D14" t="str">
        <f t="shared" si="1"/>
        <v>IMM</v>
      </c>
      <c r="E14" t="str">
        <f t="shared" si="2"/>
        <v>G</v>
      </c>
      <c r="F14">
        <v>61</v>
      </c>
      <c r="G14">
        <v>57</v>
      </c>
      <c r="H14">
        <v>3.4380000000000002</v>
      </c>
      <c r="I14">
        <v>7.4999999999999997E-2</v>
      </c>
      <c r="J14">
        <v>5.0000000000000001E-3</v>
      </c>
      <c r="K14" t="s">
        <v>38</v>
      </c>
      <c r="L14" t="str">
        <f t="shared" si="3"/>
        <v>M</v>
      </c>
      <c r="M14">
        <v>22</v>
      </c>
      <c r="N14">
        <v>0.14000000000000001</v>
      </c>
      <c r="O14">
        <v>0.13400000000000001</v>
      </c>
      <c r="P14" t="s">
        <v>36</v>
      </c>
      <c r="Q14" t="str">
        <f t="shared" si="8"/>
        <v>MT</v>
      </c>
      <c r="BV14" s="1"/>
      <c r="BW14" t="s">
        <v>190</v>
      </c>
      <c r="BX14" t="str">
        <f t="shared" si="4"/>
        <v>18</v>
      </c>
      <c r="BY14" t="str">
        <f t="shared" si="5"/>
        <v>01</v>
      </c>
      <c r="BZ14" t="str">
        <f t="shared" si="6"/>
        <v>2021</v>
      </c>
      <c r="CA14" s="5">
        <f t="shared" si="7"/>
        <v>44214</v>
      </c>
      <c r="CB14">
        <v>18</v>
      </c>
      <c r="CC14">
        <v>2</v>
      </c>
      <c r="CD14" t="s">
        <v>141</v>
      </c>
      <c r="CE14">
        <f t="shared" si="9"/>
        <v>0.14564520827264782</v>
      </c>
      <c r="CF14">
        <f t="shared" si="10"/>
        <v>2.2301516503122212</v>
      </c>
      <c r="CG14">
        <f t="shared" si="11"/>
        <v>2.2334723049434189</v>
      </c>
      <c r="CH14">
        <f t="shared" si="12"/>
        <v>3.8976148923792904</v>
      </c>
      <c r="CI14">
        <f t="shared" si="13"/>
        <v>0.17452006980802809</v>
      </c>
      <c r="CJ14" s="1"/>
      <c r="CK14" s="6" t="s">
        <v>142</v>
      </c>
      <c r="CL14" s="6"/>
      <c r="CM14" s="6"/>
      <c r="CN14" s="6"/>
      <c r="CO14" s="6"/>
      <c r="CP14" s="6"/>
    </row>
    <row r="15" spans="1:99" ht="17" x14ac:dyDescent="0.2">
      <c r="A15" t="s">
        <v>191</v>
      </c>
      <c r="B15" t="s">
        <v>23</v>
      </c>
      <c r="C15" t="str">
        <f t="shared" si="0"/>
        <v>I</v>
      </c>
      <c r="D15" t="str">
        <f t="shared" si="1"/>
        <v>S</v>
      </c>
      <c r="E15" t="str">
        <f t="shared" si="2"/>
        <v>G</v>
      </c>
      <c r="F15">
        <v>73</v>
      </c>
      <c r="G15">
        <v>70</v>
      </c>
      <c r="H15">
        <v>6.5380000000000003</v>
      </c>
      <c r="I15">
        <v>0.156</v>
      </c>
      <c r="J15">
        <v>7.0000000000000001E-3</v>
      </c>
      <c r="K15" t="s">
        <v>38</v>
      </c>
      <c r="L15" t="str">
        <f t="shared" si="3"/>
        <v>M</v>
      </c>
      <c r="M15">
        <v>22</v>
      </c>
      <c r="N15">
        <v>0.28199999999999997</v>
      </c>
      <c r="O15">
        <v>0.27200000000000002</v>
      </c>
      <c r="P15" t="s">
        <v>36</v>
      </c>
      <c r="Q15" t="str">
        <f t="shared" si="8"/>
        <v>MT</v>
      </c>
      <c r="BV15" s="1"/>
      <c r="BW15" t="s">
        <v>190</v>
      </c>
      <c r="BX15" t="str">
        <f t="shared" si="4"/>
        <v>18</v>
      </c>
      <c r="BY15" t="str">
        <f t="shared" si="5"/>
        <v>01</v>
      </c>
      <c r="BZ15" t="str">
        <f t="shared" si="6"/>
        <v>2021</v>
      </c>
      <c r="CA15" s="5">
        <f t="shared" si="7"/>
        <v>44214</v>
      </c>
      <c r="CB15">
        <v>18</v>
      </c>
      <c r="CC15">
        <v>2</v>
      </c>
      <c r="CD15" t="s">
        <v>141</v>
      </c>
      <c r="CE15">
        <f t="shared" si="9"/>
        <v>0.10718113612004287</v>
      </c>
      <c r="CF15">
        <f t="shared" si="10"/>
        <v>2.4443748041366344</v>
      </c>
      <c r="CG15">
        <f t="shared" si="11"/>
        <v>2.4470588235294115</v>
      </c>
      <c r="CH15">
        <f t="shared" si="12"/>
        <v>4.1602936677883147</v>
      </c>
      <c r="CI15">
        <f t="shared" si="13"/>
        <v>0.15295197308045203</v>
      </c>
      <c r="CJ15" s="1"/>
      <c r="CK15" s="6" t="s">
        <v>142</v>
      </c>
      <c r="CL15" s="6"/>
      <c r="CM15" s="6"/>
      <c r="CN15" s="6"/>
      <c r="CO15" s="6"/>
      <c r="CP15" s="6"/>
    </row>
    <row r="16" spans="1:99" ht="17" x14ac:dyDescent="0.2">
      <c r="A16" t="s">
        <v>192</v>
      </c>
      <c r="B16" t="s">
        <v>23</v>
      </c>
      <c r="C16" t="str">
        <f t="shared" si="0"/>
        <v>S</v>
      </c>
      <c r="D16" t="str">
        <f t="shared" si="1"/>
        <v>IMM</v>
      </c>
      <c r="E16" t="str">
        <f t="shared" si="2"/>
        <v>N</v>
      </c>
      <c r="F16">
        <v>59</v>
      </c>
      <c r="G16">
        <v>55</v>
      </c>
      <c r="H16">
        <v>3.056</v>
      </c>
      <c r="I16">
        <v>5.3999999999999999E-2</v>
      </c>
      <c r="J16">
        <v>7.0000000000000001E-3</v>
      </c>
      <c r="K16" t="s">
        <v>38</v>
      </c>
      <c r="L16" t="str">
        <f t="shared" si="3"/>
        <v>M</v>
      </c>
      <c r="M16">
        <v>22</v>
      </c>
      <c r="N16">
        <v>0.10100000000000001</v>
      </c>
      <c r="O16">
        <v>9.7000000000000003E-2</v>
      </c>
      <c r="P16" t="s">
        <v>36</v>
      </c>
      <c r="Q16" t="str">
        <f t="shared" si="8"/>
        <v>MT</v>
      </c>
      <c r="BV16" s="1"/>
      <c r="BW16" t="s">
        <v>190</v>
      </c>
      <c r="BX16" t="str">
        <f t="shared" si="4"/>
        <v>18</v>
      </c>
      <c r="BY16" t="str">
        <f t="shared" si="5"/>
        <v>01</v>
      </c>
      <c r="BZ16" t="str">
        <f t="shared" si="6"/>
        <v>2021</v>
      </c>
      <c r="CA16" s="5">
        <f t="shared" si="7"/>
        <v>44214</v>
      </c>
      <c r="CB16">
        <v>18</v>
      </c>
      <c r="CC16">
        <v>2</v>
      </c>
      <c r="CD16" t="s">
        <v>141</v>
      </c>
      <c r="CE16">
        <f t="shared" si="9"/>
        <v>0.22958346999016072</v>
      </c>
      <c r="CF16">
        <f t="shared" si="10"/>
        <v>1.7988007994670219</v>
      </c>
      <c r="CG16">
        <f t="shared" si="11"/>
        <v>1.8030050083472453</v>
      </c>
      <c r="CH16">
        <f t="shared" si="12"/>
        <v>3.174083769633508</v>
      </c>
      <c r="CI16">
        <f t="shared" si="13"/>
        <v>0.13089005235602105</v>
      </c>
      <c r="CJ16" s="1"/>
      <c r="CK16" s="6" t="s">
        <v>142</v>
      </c>
      <c r="CL16" s="6"/>
      <c r="CM16" s="6"/>
      <c r="CN16" s="6"/>
      <c r="CO16" s="6"/>
      <c r="CP16" s="6"/>
    </row>
    <row r="17" spans="1:94" ht="17" x14ac:dyDescent="0.2">
      <c r="A17" t="s">
        <v>193</v>
      </c>
      <c r="B17" t="s">
        <v>23</v>
      </c>
      <c r="C17" t="str">
        <f t="shared" si="0"/>
        <v>I</v>
      </c>
      <c r="D17" t="str">
        <f t="shared" si="1"/>
        <v>IMM</v>
      </c>
      <c r="E17" t="str">
        <f t="shared" si="2"/>
        <v>G</v>
      </c>
      <c r="F17">
        <v>63</v>
      </c>
      <c r="G17">
        <v>59</v>
      </c>
      <c r="H17">
        <v>4.1020000000000003</v>
      </c>
      <c r="I17">
        <v>6.5000000000000002E-2</v>
      </c>
      <c r="J17">
        <v>5.3999999999999999E-2</v>
      </c>
      <c r="K17" t="s">
        <v>24</v>
      </c>
      <c r="L17" t="str">
        <f t="shared" si="3"/>
        <v>F</v>
      </c>
      <c r="M17">
        <v>22</v>
      </c>
      <c r="N17">
        <v>0.14899999999999999</v>
      </c>
      <c r="O17">
        <v>0.14299999999999999</v>
      </c>
      <c r="P17" t="s">
        <v>36</v>
      </c>
      <c r="Q17" t="str">
        <f t="shared" si="8"/>
        <v>MT</v>
      </c>
      <c r="BV17" s="1"/>
      <c r="BW17" t="s">
        <v>190</v>
      </c>
      <c r="BX17" t="str">
        <f t="shared" si="4"/>
        <v>18</v>
      </c>
      <c r="BY17" t="str">
        <f t="shared" si="5"/>
        <v>01</v>
      </c>
      <c r="BZ17" t="str">
        <f t="shared" si="6"/>
        <v>2021</v>
      </c>
      <c r="CA17" s="5">
        <f t="shared" si="7"/>
        <v>44214</v>
      </c>
      <c r="CB17">
        <v>18</v>
      </c>
      <c r="CC17">
        <v>2</v>
      </c>
      <c r="CD17" t="s">
        <v>141</v>
      </c>
      <c r="CE17">
        <f t="shared" si="9"/>
        <v>1.3339920948616599</v>
      </c>
      <c r="CF17">
        <f t="shared" si="10"/>
        <v>1.6101065147386673</v>
      </c>
      <c r="CG17">
        <f t="shared" si="11"/>
        <v>1.631935726839066</v>
      </c>
      <c r="CH17">
        <f t="shared" si="12"/>
        <v>3.4861043393466593</v>
      </c>
      <c r="CI17">
        <f t="shared" si="13"/>
        <v>0.14627011214041943</v>
      </c>
      <c r="CJ17" s="1"/>
      <c r="CK17" s="6" t="s">
        <v>142</v>
      </c>
      <c r="CL17" s="6"/>
      <c r="CM17" s="6"/>
      <c r="CN17" s="6"/>
      <c r="CO17" s="6"/>
      <c r="CP17" s="6"/>
    </row>
    <row r="18" spans="1:94" ht="17" x14ac:dyDescent="0.2">
      <c r="A18" t="s">
        <v>194</v>
      </c>
      <c r="B18" t="s">
        <v>23</v>
      </c>
      <c r="C18" t="str">
        <f t="shared" si="0"/>
        <v>S</v>
      </c>
      <c r="D18" t="str">
        <f t="shared" si="1"/>
        <v>IMM</v>
      </c>
      <c r="E18" t="str">
        <f t="shared" si="2"/>
        <v>N</v>
      </c>
      <c r="F18">
        <v>55</v>
      </c>
      <c r="G18">
        <v>51</v>
      </c>
      <c r="H18">
        <v>2.548</v>
      </c>
      <c r="I18">
        <v>0.04</v>
      </c>
      <c r="J18">
        <v>4.2999999999999997E-2</v>
      </c>
      <c r="K18" t="s">
        <v>24</v>
      </c>
      <c r="L18" t="str">
        <f t="shared" si="3"/>
        <v>F</v>
      </c>
      <c r="M18">
        <v>22</v>
      </c>
      <c r="N18">
        <v>9.8000000000000004E-2</v>
      </c>
      <c r="O18">
        <v>9.2999999999999999E-2</v>
      </c>
      <c r="P18" t="s">
        <v>36</v>
      </c>
      <c r="Q18" t="str">
        <f t="shared" si="8"/>
        <v>MT</v>
      </c>
      <c r="BV18" s="1"/>
      <c r="BW18" t="s">
        <v>190</v>
      </c>
      <c r="BX18" t="str">
        <f t="shared" si="4"/>
        <v>18</v>
      </c>
      <c r="BY18" t="str">
        <f t="shared" si="5"/>
        <v>01</v>
      </c>
      <c r="BZ18" t="str">
        <f t="shared" si="6"/>
        <v>2021</v>
      </c>
      <c r="CA18" s="5">
        <f t="shared" si="7"/>
        <v>44214</v>
      </c>
      <c r="CB18">
        <v>18</v>
      </c>
      <c r="CC18">
        <v>2</v>
      </c>
      <c r="CD18" t="s">
        <v>141</v>
      </c>
      <c r="CE18">
        <f t="shared" si="9"/>
        <v>1.7165668662674649</v>
      </c>
      <c r="CF18">
        <f t="shared" si="10"/>
        <v>1.5948963317384368</v>
      </c>
      <c r="CG18">
        <f t="shared" si="11"/>
        <v>1.6227180527383367</v>
      </c>
      <c r="CH18">
        <f t="shared" si="12"/>
        <v>3.6499215070643638</v>
      </c>
      <c r="CI18">
        <f t="shared" si="13"/>
        <v>0.19623233908948209</v>
      </c>
      <c r="CJ18" s="1"/>
      <c r="CK18" s="6" t="s">
        <v>142</v>
      </c>
      <c r="CL18" s="6"/>
      <c r="CM18" s="6"/>
      <c r="CN18" s="6"/>
      <c r="CO18" s="6"/>
      <c r="CP18" s="6"/>
    </row>
    <row r="19" spans="1:94" ht="17" x14ac:dyDescent="0.2">
      <c r="A19" t="s">
        <v>195</v>
      </c>
      <c r="B19" t="s">
        <v>23</v>
      </c>
      <c r="C19" t="str">
        <f t="shared" si="0"/>
        <v>I</v>
      </c>
      <c r="D19" t="str">
        <f t="shared" si="1"/>
        <v>IMM</v>
      </c>
      <c r="E19" t="str">
        <f t="shared" si="2"/>
        <v>G</v>
      </c>
      <c r="F19">
        <v>63</v>
      </c>
      <c r="G19">
        <v>60</v>
      </c>
      <c r="H19">
        <v>4.3</v>
      </c>
      <c r="I19">
        <v>9.4E-2</v>
      </c>
      <c r="J19">
        <v>5.3999999999999999E-2</v>
      </c>
      <c r="K19" t="s">
        <v>24</v>
      </c>
      <c r="L19" t="str">
        <f t="shared" si="3"/>
        <v>F</v>
      </c>
      <c r="M19">
        <v>22</v>
      </c>
      <c r="N19">
        <v>0.157</v>
      </c>
      <c r="O19">
        <v>0.151</v>
      </c>
      <c r="P19" t="s">
        <v>36</v>
      </c>
      <c r="Q19" t="str">
        <f t="shared" si="8"/>
        <v>MT</v>
      </c>
      <c r="BV19" s="1"/>
      <c r="BW19" t="s">
        <v>190</v>
      </c>
      <c r="BX19" t="str">
        <f t="shared" si="4"/>
        <v>18</v>
      </c>
      <c r="BY19" t="str">
        <f t="shared" si="5"/>
        <v>01</v>
      </c>
      <c r="BZ19" t="str">
        <f t="shared" si="6"/>
        <v>2021</v>
      </c>
      <c r="CA19" s="5">
        <f t="shared" si="7"/>
        <v>44214</v>
      </c>
      <c r="CB19">
        <v>18</v>
      </c>
      <c r="CC19">
        <v>2</v>
      </c>
      <c r="CD19" t="s">
        <v>141</v>
      </c>
      <c r="CE19">
        <f t="shared" si="9"/>
        <v>1.2717852096090438</v>
      </c>
      <c r="CF19">
        <f t="shared" si="10"/>
        <v>2.234902520209225</v>
      </c>
      <c r="CG19">
        <f t="shared" si="11"/>
        <v>2.2639691714836228</v>
      </c>
      <c r="CH19">
        <f t="shared" si="12"/>
        <v>3.5116279069767442</v>
      </c>
      <c r="CI19">
        <f t="shared" si="13"/>
        <v>0.13953488372093037</v>
      </c>
      <c r="CJ19" s="1"/>
      <c r="CK19" s="6" t="s">
        <v>142</v>
      </c>
      <c r="CL19" s="6"/>
      <c r="CM19" s="6"/>
      <c r="CN19" s="6"/>
      <c r="CO19" s="6"/>
      <c r="CP19" s="6"/>
    </row>
    <row r="20" spans="1:94" ht="17" x14ac:dyDescent="0.2">
      <c r="A20" t="s">
        <v>196</v>
      </c>
      <c r="B20" t="s">
        <v>23</v>
      </c>
      <c r="C20" t="str">
        <f t="shared" si="0"/>
        <v>I</v>
      </c>
      <c r="D20" t="str">
        <f t="shared" si="1"/>
        <v>S</v>
      </c>
      <c r="E20" t="str">
        <f t="shared" si="2"/>
        <v>G</v>
      </c>
      <c r="F20">
        <v>83</v>
      </c>
      <c r="G20">
        <v>78</v>
      </c>
      <c r="H20">
        <v>9.3699999999999992</v>
      </c>
      <c r="I20">
        <v>0.20200000000000001</v>
      </c>
      <c r="J20">
        <v>1.0999999999999999E-2</v>
      </c>
      <c r="K20" t="s">
        <v>38</v>
      </c>
      <c r="L20" t="str">
        <f t="shared" si="3"/>
        <v>M</v>
      </c>
      <c r="M20">
        <v>22</v>
      </c>
      <c r="N20">
        <v>0.439</v>
      </c>
      <c r="O20">
        <v>0.42299999999999999</v>
      </c>
      <c r="P20" t="s">
        <v>36</v>
      </c>
      <c r="Q20" t="str">
        <f t="shared" si="8"/>
        <v>MT</v>
      </c>
      <c r="BV20" s="1"/>
      <c r="BW20" t="s">
        <v>190</v>
      </c>
      <c r="BX20" t="str">
        <f t="shared" si="4"/>
        <v>18</v>
      </c>
      <c r="BY20" t="str">
        <f t="shared" si="5"/>
        <v>01</v>
      </c>
      <c r="BZ20" t="str">
        <f t="shared" si="6"/>
        <v>2021</v>
      </c>
      <c r="CA20" s="5">
        <f t="shared" si="7"/>
        <v>44214</v>
      </c>
      <c r="CB20">
        <v>18</v>
      </c>
      <c r="CC20">
        <v>2</v>
      </c>
      <c r="CD20" t="s">
        <v>141</v>
      </c>
      <c r="CE20">
        <f t="shared" si="9"/>
        <v>0.11753392456459023</v>
      </c>
      <c r="CF20">
        <f t="shared" si="10"/>
        <v>2.2033158813263531</v>
      </c>
      <c r="CG20">
        <f t="shared" si="11"/>
        <v>2.205962651523425</v>
      </c>
      <c r="CH20">
        <f t="shared" si="12"/>
        <v>4.5144076840981855</v>
      </c>
      <c r="CI20">
        <f t="shared" si="13"/>
        <v>0.17075773745997883</v>
      </c>
      <c r="CJ20" s="1"/>
      <c r="CK20" s="6" t="s">
        <v>142</v>
      </c>
      <c r="CL20" s="6"/>
      <c r="CM20" s="6"/>
      <c r="CN20" s="6"/>
      <c r="CO20" s="6"/>
      <c r="CP20" s="6"/>
    </row>
    <row r="21" spans="1:94" ht="17" x14ac:dyDescent="0.2">
      <c r="A21" t="s">
        <v>197</v>
      </c>
      <c r="B21" t="s">
        <v>23</v>
      </c>
      <c r="C21" t="str">
        <f t="shared" si="0"/>
        <v>S</v>
      </c>
      <c r="D21" t="str">
        <f t="shared" si="1"/>
        <v>IMM</v>
      </c>
      <c r="E21" t="str">
        <f t="shared" si="2"/>
        <v>N</v>
      </c>
      <c r="F21">
        <v>53</v>
      </c>
      <c r="G21">
        <v>49</v>
      </c>
      <c r="H21">
        <v>2.052</v>
      </c>
      <c r="I21">
        <v>0.05</v>
      </c>
      <c r="J21">
        <v>0.03</v>
      </c>
      <c r="K21" t="s">
        <v>24</v>
      </c>
      <c r="L21" t="str">
        <f t="shared" si="3"/>
        <v>F</v>
      </c>
      <c r="M21">
        <v>22</v>
      </c>
      <c r="N21">
        <v>8.3000000000000004E-2</v>
      </c>
      <c r="O21">
        <v>7.9000000000000001E-2</v>
      </c>
      <c r="P21" t="s">
        <v>36</v>
      </c>
      <c r="Q21" t="str">
        <f t="shared" si="8"/>
        <v>MT</v>
      </c>
      <c r="BV21" s="1"/>
      <c r="BW21" t="s">
        <v>190</v>
      </c>
      <c r="BX21" t="str">
        <f t="shared" si="4"/>
        <v>18</v>
      </c>
      <c r="BY21" t="str">
        <f t="shared" si="5"/>
        <v>01</v>
      </c>
      <c r="BZ21" t="str">
        <f t="shared" si="6"/>
        <v>2021</v>
      </c>
      <c r="CA21" s="5">
        <f t="shared" si="7"/>
        <v>44214</v>
      </c>
      <c r="CB21">
        <v>18</v>
      </c>
      <c r="CC21">
        <v>2</v>
      </c>
      <c r="CD21" t="s">
        <v>141</v>
      </c>
      <c r="CE21">
        <f t="shared" si="9"/>
        <v>1.4836795252225516</v>
      </c>
      <c r="CF21">
        <f t="shared" si="10"/>
        <v>2.4975024975024973</v>
      </c>
      <c r="CG21">
        <f t="shared" si="11"/>
        <v>2.5354969574036512</v>
      </c>
      <c r="CH21">
        <f t="shared" si="12"/>
        <v>3.8499025341130602</v>
      </c>
      <c r="CI21">
        <f t="shared" si="13"/>
        <v>0.19493177387914246</v>
      </c>
      <c r="CJ21" s="1"/>
      <c r="CK21" s="6" t="s">
        <v>142</v>
      </c>
      <c r="CL21" s="6"/>
      <c r="CM21" s="6"/>
      <c r="CN21" s="6"/>
      <c r="CO21" s="6"/>
      <c r="CP21" s="6"/>
    </row>
    <row r="22" spans="1:94" ht="17" x14ac:dyDescent="0.2">
      <c r="A22" t="s">
        <v>198</v>
      </c>
      <c r="B22" t="s">
        <v>23</v>
      </c>
      <c r="C22" t="str">
        <f t="shared" si="0"/>
        <v>S</v>
      </c>
      <c r="D22" t="str">
        <f t="shared" si="1"/>
        <v>IMM</v>
      </c>
      <c r="E22" t="str">
        <f t="shared" si="2"/>
        <v>N</v>
      </c>
      <c r="F22">
        <v>59</v>
      </c>
      <c r="G22">
        <v>55</v>
      </c>
      <c r="H22">
        <v>3.3660000000000001</v>
      </c>
      <c r="I22">
        <v>7.5999999999999998E-2</v>
      </c>
      <c r="J22">
        <v>8.0000000000000002E-3</v>
      </c>
      <c r="K22" t="s">
        <v>38</v>
      </c>
      <c r="L22" t="str">
        <f t="shared" si="3"/>
        <v>M</v>
      </c>
      <c r="M22">
        <v>22</v>
      </c>
      <c r="N22">
        <v>0.13200000000000001</v>
      </c>
      <c r="O22">
        <v>0.129</v>
      </c>
      <c r="P22" t="s">
        <v>36</v>
      </c>
      <c r="Q22" t="str">
        <f t="shared" si="8"/>
        <v>MT</v>
      </c>
      <c r="BV22" s="1"/>
      <c r="BW22" t="s">
        <v>190</v>
      </c>
      <c r="BX22" t="str">
        <f t="shared" si="4"/>
        <v>18</v>
      </c>
      <c r="BY22" t="str">
        <f t="shared" si="5"/>
        <v>01</v>
      </c>
      <c r="BZ22" t="str">
        <f t="shared" si="6"/>
        <v>2021</v>
      </c>
      <c r="CA22" s="5">
        <f t="shared" si="7"/>
        <v>44214</v>
      </c>
      <c r="CB22">
        <v>18</v>
      </c>
      <c r="CC22">
        <v>2</v>
      </c>
      <c r="CD22" t="s">
        <v>141</v>
      </c>
      <c r="CE22">
        <f t="shared" si="9"/>
        <v>0.2382370458606313</v>
      </c>
      <c r="CF22">
        <f t="shared" si="10"/>
        <v>2.3100303951367778</v>
      </c>
      <c r="CG22">
        <f t="shared" si="11"/>
        <v>2.3156611822059721</v>
      </c>
      <c r="CH22">
        <f t="shared" si="12"/>
        <v>3.832442067736185</v>
      </c>
      <c r="CI22">
        <f t="shared" si="13"/>
        <v>8.9126559714795092E-2</v>
      </c>
      <c r="CJ22" s="1"/>
      <c r="CK22" s="6" t="s">
        <v>142</v>
      </c>
      <c r="CL22" s="6"/>
      <c r="CM22" s="6"/>
      <c r="CN22" s="6"/>
      <c r="CO22" s="6"/>
      <c r="CP22" s="6"/>
    </row>
    <row r="23" spans="1:94" ht="17" x14ac:dyDescent="0.2">
      <c r="A23" t="s">
        <v>199</v>
      </c>
      <c r="B23" t="s">
        <v>23</v>
      </c>
      <c r="C23" t="str">
        <f t="shared" si="0"/>
        <v>I</v>
      </c>
      <c r="D23" t="str">
        <f t="shared" si="1"/>
        <v>I</v>
      </c>
      <c r="E23" t="str">
        <f t="shared" si="2"/>
        <v>G</v>
      </c>
      <c r="F23">
        <v>87</v>
      </c>
      <c r="G23">
        <v>82</v>
      </c>
      <c r="H23">
        <v>11.366</v>
      </c>
      <c r="I23">
        <v>0.27200000000000002</v>
      </c>
      <c r="J23">
        <v>0.13700000000000001</v>
      </c>
      <c r="K23" t="s">
        <v>24</v>
      </c>
      <c r="L23" t="str">
        <f t="shared" si="3"/>
        <v>F</v>
      </c>
      <c r="M23">
        <v>22</v>
      </c>
      <c r="N23">
        <v>0.46300000000000002</v>
      </c>
      <c r="O23">
        <v>0.43</v>
      </c>
      <c r="P23" t="s">
        <v>200</v>
      </c>
      <c r="Q23" t="str">
        <f t="shared" si="8"/>
        <v>F</v>
      </c>
      <c r="BV23" s="1"/>
      <c r="BW23" t="s">
        <v>190</v>
      </c>
      <c r="BX23" t="str">
        <f t="shared" si="4"/>
        <v>18</v>
      </c>
      <c r="BY23" t="str">
        <f t="shared" si="5"/>
        <v>01</v>
      </c>
      <c r="BZ23" t="str">
        <f t="shared" si="6"/>
        <v>2021</v>
      </c>
      <c r="CA23" s="5">
        <f t="shared" si="7"/>
        <v>44214</v>
      </c>
      <c r="CB23">
        <v>18</v>
      </c>
      <c r="CC23">
        <v>2</v>
      </c>
      <c r="CD23" t="s">
        <v>141</v>
      </c>
      <c r="CE23">
        <f t="shared" si="9"/>
        <v>1.220055214177576</v>
      </c>
      <c r="CF23">
        <f t="shared" si="10"/>
        <v>2.4517757346313327</v>
      </c>
      <c r="CG23">
        <f t="shared" si="11"/>
        <v>2.4824313224422747</v>
      </c>
      <c r="CH23">
        <f t="shared" si="12"/>
        <v>3.7832130916769313</v>
      </c>
      <c r="CI23">
        <f t="shared" si="13"/>
        <v>0.29033960936125314</v>
      </c>
      <c r="CJ23" s="1"/>
      <c r="CK23" s="6" t="s">
        <v>142</v>
      </c>
      <c r="CL23" s="6"/>
      <c r="CM23" s="6"/>
      <c r="CN23" s="6"/>
      <c r="CO23" s="6"/>
      <c r="CP23" s="6"/>
    </row>
    <row r="24" spans="1:94" ht="17" x14ac:dyDescent="0.2">
      <c r="A24" t="s">
        <v>201</v>
      </c>
      <c r="B24" t="s">
        <v>23</v>
      </c>
      <c r="C24" t="str">
        <f t="shared" si="0"/>
        <v>I</v>
      </c>
      <c r="D24" t="str">
        <f t="shared" si="1"/>
        <v>IMM</v>
      </c>
      <c r="E24" t="str">
        <f t="shared" si="2"/>
        <v>G</v>
      </c>
      <c r="F24">
        <v>64</v>
      </c>
      <c r="G24">
        <v>60</v>
      </c>
      <c r="H24">
        <v>4.3150000000000004</v>
      </c>
      <c r="I24">
        <v>0.105</v>
      </c>
      <c r="J24">
        <v>6.2E-2</v>
      </c>
      <c r="K24" t="s">
        <v>24</v>
      </c>
      <c r="L24" t="str">
        <f t="shared" si="3"/>
        <v>F</v>
      </c>
      <c r="M24">
        <v>22</v>
      </c>
      <c r="N24">
        <v>0.2</v>
      </c>
      <c r="O24">
        <v>0.19</v>
      </c>
      <c r="P24" t="s">
        <v>36</v>
      </c>
      <c r="Q24" t="str">
        <f t="shared" si="8"/>
        <v>MT</v>
      </c>
      <c r="BV24" s="1"/>
      <c r="BW24" t="s">
        <v>190</v>
      </c>
      <c r="BX24" t="str">
        <f t="shared" si="4"/>
        <v>18</v>
      </c>
      <c r="BY24" t="str">
        <f t="shared" si="5"/>
        <v>01</v>
      </c>
      <c r="BZ24" t="str">
        <f t="shared" si="6"/>
        <v>2021</v>
      </c>
      <c r="CA24" s="5">
        <f t="shared" si="7"/>
        <v>44214</v>
      </c>
      <c r="CB24">
        <v>18</v>
      </c>
      <c r="CC24">
        <v>2</v>
      </c>
      <c r="CD24" t="s">
        <v>141</v>
      </c>
      <c r="CE24">
        <f t="shared" si="9"/>
        <v>1.4577944980014106</v>
      </c>
      <c r="CF24">
        <f t="shared" si="10"/>
        <v>2.4940617577197148</v>
      </c>
      <c r="CG24">
        <f t="shared" si="11"/>
        <v>2.5313404050144648</v>
      </c>
      <c r="CH24">
        <f t="shared" si="12"/>
        <v>4.4032444959443797</v>
      </c>
      <c r="CI24">
        <f t="shared" si="13"/>
        <v>0.23174971031286229</v>
      </c>
      <c r="CJ24" s="1"/>
      <c r="CK24" s="6" t="s">
        <v>142</v>
      </c>
      <c r="CL24" s="6"/>
      <c r="CM24" s="6"/>
      <c r="CN24" s="6"/>
      <c r="CO24" s="6"/>
      <c r="CP24" s="6"/>
    </row>
    <row r="25" spans="1:94" ht="17" x14ac:dyDescent="0.2">
      <c r="A25" t="s">
        <v>202</v>
      </c>
      <c r="B25" t="s">
        <v>23</v>
      </c>
      <c r="C25" t="str">
        <f t="shared" si="0"/>
        <v>I</v>
      </c>
      <c r="D25" t="str">
        <f t="shared" si="1"/>
        <v>S</v>
      </c>
      <c r="E25" t="str">
        <f t="shared" si="2"/>
        <v>G</v>
      </c>
      <c r="F25">
        <v>71</v>
      </c>
      <c r="G25">
        <v>65</v>
      </c>
      <c r="H25">
        <v>5.44</v>
      </c>
      <c r="I25">
        <v>0.11899999999999999</v>
      </c>
      <c r="J25">
        <v>8.0000000000000002E-3</v>
      </c>
      <c r="K25" t="s">
        <v>38</v>
      </c>
      <c r="L25" t="str">
        <f t="shared" si="3"/>
        <v>M</v>
      </c>
      <c r="M25">
        <v>22</v>
      </c>
      <c r="N25">
        <v>0.254</v>
      </c>
      <c r="O25">
        <v>0.23899999999999999</v>
      </c>
      <c r="P25" t="s">
        <v>203</v>
      </c>
      <c r="Q25" t="str">
        <f t="shared" si="8"/>
        <v>F</v>
      </c>
      <c r="BV25" s="1"/>
      <c r="BW25" t="s">
        <v>190</v>
      </c>
      <c r="BX25" t="str">
        <f t="shared" si="4"/>
        <v>18</v>
      </c>
      <c r="BY25" t="str">
        <f t="shared" si="5"/>
        <v>01</v>
      </c>
      <c r="BZ25" t="str">
        <f t="shared" si="6"/>
        <v>2021</v>
      </c>
      <c r="CA25" s="5">
        <f t="shared" si="7"/>
        <v>44214</v>
      </c>
      <c r="CB25">
        <v>18</v>
      </c>
      <c r="CC25">
        <v>2</v>
      </c>
      <c r="CD25" t="s">
        <v>141</v>
      </c>
      <c r="CE25">
        <f t="shared" si="9"/>
        <v>0.14727540500736377</v>
      </c>
      <c r="CF25">
        <f t="shared" si="10"/>
        <v>2.2364217252396164</v>
      </c>
      <c r="CG25">
        <f t="shared" si="11"/>
        <v>2.2397891963109351</v>
      </c>
      <c r="CH25">
        <f t="shared" si="12"/>
        <v>4.3933823529411757</v>
      </c>
      <c r="CI25">
        <f t="shared" si="13"/>
        <v>0.2757352941176473</v>
      </c>
      <c r="CJ25" s="1"/>
      <c r="CK25" s="6" t="s">
        <v>142</v>
      </c>
      <c r="CL25" s="6"/>
      <c r="CM25" s="6"/>
      <c r="CN25" s="6"/>
      <c r="CO25" s="6"/>
      <c r="CP25" s="6"/>
    </row>
    <row r="26" spans="1:94" ht="17" x14ac:dyDescent="0.2">
      <c r="A26" t="s">
        <v>204</v>
      </c>
      <c r="B26" t="s">
        <v>23</v>
      </c>
      <c r="C26" t="str">
        <f t="shared" si="0"/>
        <v>I</v>
      </c>
      <c r="D26" t="str">
        <f t="shared" si="1"/>
        <v>S</v>
      </c>
      <c r="E26" t="str">
        <f t="shared" si="2"/>
        <v>G</v>
      </c>
      <c r="F26">
        <v>65</v>
      </c>
      <c r="H26">
        <v>4.4669999999999996</v>
      </c>
      <c r="I26">
        <v>0.10199999999999999</v>
      </c>
      <c r="J26">
        <v>6.8000000000000005E-2</v>
      </c>
      <c r="K26" t="s">
        <v>24</v>
      </c>
      <c r="L26" t="str">
        <f t="shared" si="3"/>
        <v>F</v>
      </c>
      <c r="M26">
        <v>22</v>
      </c>
      <c r="N26">
        <v>0.19400000000000001</v>
      </c>
      <c r="O26">
        <v>0.188</v>
      </c>
      <c r="P26" t="s">
        <v>36</v>
      </c>
      <c r="Q26" t="str">
        <f t="shared" si="8"/>
        <v>MT</v>
      </c>
      <c r="BV26" s="1"/>
      <c r="BW26" t="s">
        <v>190</v>
      </c>
      <c r="BX26" t="str">
        <f t="shared" si="4"/>
        <v>18</v>
      </c>
      <c r="BY26" t="str">
        <f t="shared" si="5"/>
        <v>01</v>
      </c>
      <c r="BZ26" t="str">
        <f t="shared" si="6"/>
        <v>2021</v>
      </c>
      <c r="CA26" s="5">
        <f t="shared" si="7"/>
        <v>44214</v>
      </c>
      <c r="CB26">
        <v>18</v>
      </c>
      <c r="CC26">
        <v>2</v>
      </c>
      <c r="CD26" t="s">
        <v>141</v>
      </c>
      <c r="CE26">
        <f t="shared" si="9"/>
        <v>1.5458058649693114</v>
      </c>
      <c r="CF26">
        <f t="shared" si="10"/>
        <v>2.3367697594501724</v>
      </c>
      <c r="CG26">
        <f t="shared" si="11"/>
        <v>2.3737491272981153</v>
      </c>
      <c r="CH26">
        <f t="shared" si="12"/>
        <v>4.2086411461831208</v>
      </c>
      <c r="CI26">
        <f t="shared" si="13"/>
        <v>0.13431833445265293</v>
      </c>
      <c r="CJ26" s="1"/>
      <c r="CK26" s="6" t="s">
        <v>142</v>
      </c>
      <c r="CL26" s="6"/>
      <c r="CM26" s="6"/>
      <c r="CN26" s="6"/>
      <c r="CO26" s="6"/>
      <c r="CP26" s="6"/>
    </row>
    <row r="27" spans="1:94" ht="17" x14ac:dyDescent="0.2">
      <c r="A27" t="s">
        <v>205</v>
      </c>
      <c r="B27" t="s">
        <v>23</v>
      </c>
      <c r="C27" t="str">
        <f t="shared" si="0"/>
        <v>I</v>
      </c>
      <c r="D27" t="str">
        <f t="shared" si="1"/>
        <v>S</v>
      </c>
      <c r="E27" t="str">
        <f t="shared" si="2"/>
        <v>G</v>
      </c>
      <c r="F27">
        <v>71</v>
      </c>
      <c r="G27">
        <v>65</v>
      </c>
      <c r="H27">
        <v>5.7350000000000003</v>
      </c>
      <c r="I27">
        <v>0.11799999999999999</v>
      </c>
      <c r="J27">
        <v>7.2999999999999995E-2</v>
      </c>
      <c r="K27" t="s">
        <v>24</v>
      </c>
      <c r="L27" t="str">
        <f t="shared" si="3"/>
        <v>F</v>
      </c>
      <c r="M27">
        <v>22</v>
      </c>
      <c r="N27">
        <v>0.23799999999999999</v>
      </c>
      <c r="O27">
        <v>0.22900000000000001</v>
      </c>
      <c r="P27" t="s">
        <v>36</v>
      </c>
      <c r="Q27" t="str">
        <f t="shared" si="8"/>
        <v>MT</v>
      </c>
      <c r="BV27" s="1"/>
      <c r="BW27" t="s">
        <v>190</v>
      </c>
      <c r="BX27" t="str">
        <f t="shared" si="4"/>
        <v>18</v>
      </c>
      <c r="BY27" t="str">
        <f t="shared" si="5"/>
        <v>01</v>
      </c>
      <c r="BZ27" t="str">
        <f t="shared" si="6"/>
        <v>2021</v>
      </c>
      <c r="CA27" s="5">
        <f t="shared" si="7"/>
        <v>44214</v>
      </c>
      <c r="CB27">
        <v>18</v>
      </c>
      <c r="CC27">
        <v>2</v>
      </c>
      <c r="CD27" t="s">
        <v>141</v>
      </c>
      <c r="CE27">
        <f t="shared" si="9"/>
        <v>1.2892970681737901</v>
      </c>
      <c r="CF27">
        <f t="shared" si="10"/>
        <v>2.1007655332027775</v>
      </c>
      <c r="CG27">
        <f t="shared" si="11"/>
        <v>2.1284271284271283</v>
      </c>
      <c r="CH27">
        <f t="shared" si="12"/>
        <v>3.9930252833478641</v>
      </c>
      <c r="CI27">
        <f t="shared" si="13"/>
        <v>0.15693112467305981</v>
      </c>
      <c r="CJ27" s="1"/>
      <c r="CK27" s="6" t="s">
        <v>142</v>
      </c>
      <c r="CL27" s="6"/>
      <c r="CM27" s="6"/>
      <c r="CN27" s="6"/>
      <c r="CO27" s="6"/>
      <c r="CP27" s="6"/>
    </row>
    <row r="28" spans="1:94" ht="17" x14ac:dyDescent="0.2">
      <c r="A28" t="s">
        <v>206</v>
      </c>
      <c r="B28" t="s">
        <v>23</v>
      </c>
      <c r="C28" t="str">
        <f t="shared" si="0"/>
        <v>S</v>
      </c>
      <c r="D28" t="str">
        <f t="shared" si="1"/>
        <v>IMM</v>
      </c>
      <c r="E28" t="str">
        <f t="shared" si="2"/>
        <v>N</v>
      </c>
      <c r="F28">
        <v>57</v>
      </c>
      <c r="G28">
        <v>54</v>
      </c>
      <c r="H28">
        <v>2.9580000000000002</v>
      </c>
      <c r="I28">
        <v>4.3999999999999997E-2</v>
      </c>
      <c r="J28">
        <v>3.7999999999999999E-2</v>
      </c>
      <c r="K28" t="s">
        <v>24</v>
      </c>
      <c r="L28" t="str">
        <f t="shared" si="3"/>
        <v>F</v>
      </c>
      <c r="M28">
        <v>22</v>
      </c>
      <c r="N28">
        <v>0.105</v>
      </c>
      <c r="O28">
        <v>0.1</v>
      </c>
      <c r="P28" t="s">
        <v>36</v>
      </c>
      <c r="Q28" t="str">
        <f t="shared" si="8"/>
        <v>MT</v>
      </c>
      <c r="BV28" s="1"/>
      <c r="BW28" t="s">
        <v>190</v>
      </c>
      <c r="BX28" t="str">
        <f t="shared" si="4"/>
        <v>18</v>
      </c>
      <c r="BY28" t="str">
        <f t="shared" si="5"/>
        <v>01</v>
      </c>
      <c r="BZ28" t="str">
        <f t="shared" si="6"/>
        <v>2021</v>
      </c>
      <c r="CA28" s="5">
        <f t="shared" si="7"/>
        <v>44214</v>
      </c>
      <c r="CB28">
        <v>18</v>
      </c>
      <c r="CC28">
        <v>2</v>
      </c>
      <c r="CD28" t="s">
        <v>141</v>
      </c>
      <c r="CE28">
        <f t="shared" si="9"/>
        <v>1.3013698630136985</v>
      </c>
      <c r="CF28">
        <f t="shared" si="10"/>
        <v>1.5099519560741248</v>
      </c>
      <c r="CG28">
        <f t="shared" si="11"/>
        <v>1.5299026425591096</v>
      </c>
      <c r="CH28">
        <f t="shared" si="12"/>
        <v>3.3806626098715347</v>
      </c>
      <c r="CI28">
        <f t="shared" si="13"/>
        <v>0.16903313049357641</v>
      </c>
      <c r="CJ28" s="1"/>
      <c r="CK28" s="6" t="s">
        <v>142</v>
      </c>
      <c r="CL28" s="6"/>
      <c r="CM28" s="6"/>
      <c r="CN28" s="6"/>
      <c r="CO28" s="6"/>
      <c r="CP28" s="6"/>
    </row>
    <row r="29" spans="1:94" ht="17" x14ac:dyDescent="0.2">
      <c r="A29" t="s">
        <v>207</v>
      </c>
      <c r="B29" t="s">
        <v>23</v>
      </c>
      <c r="C29" t="str">
        <f t="shared" si="0"/>
        <v>I</v>
      </c>
      <c r="D29" t="str">
        <f t="shared" si="1"/>
        <v>S</v>
      </c>
      <c r="E29" t="str">
        <f t="shared" si="2"/>
        <v>G</v>
      </c>
      <c r="F29">
        <v>65</v>
      </c>
      <c r="G29">
        <v>60</v>
      </c>
      <c r="H29">
        <v>4.819</v>
      </c>
      <c r="I29">
        <v>0.121</v>
      </c>
      <c r="J29">
        <v>4.8000000000000001E-2</v>
      </c>
      <c r="K29" t="s">
        <v>24</v>
      </c>
      <c r="L29" t="str">
        <f t="shared" si="3"/>
        <v>F</v>
      </c>
      <c r="M29">
        <v>22</v>
      </c>
      <c r="N29">
        <v>0.25600000000000001</v>
      </c>
      <c r="O29">
        <v>0.245</v>
      </c>
      <c r="P29" t="s">
        <v>36</v>
      </c>
      <c r="Q29" t="str">
        <f t="shared" si="8"/>
        <v>MT</v>
      </c>
      <c r="BV29" s="1"/>
      <c r="BW29" t="s">
        <v>190</v>
      </c>
      <c r="BX29" t="str">
        <f t="shared" si="4"/>
        <v>18</v>
      </c>
      <c r="BY29" t="str">
        <f t="shared" si="5"/>
        <v>01</v>
      </c>
      <c r="BZ29" t="str">
        <f t="shared" si="6"/>
        <v>2021</v>
      </c>
      <c r="CA29" s="5">
        <f t="shared" si="7"/>
        <v>44214</v>
      </c>
      <c r="CB29">
        <v>18</v>
      </c>
      <c r="CC29">
        <v>2</v>
      </c>
      <c r="CD29" t="s">
        <v>141</v>
      </c>
      <c r="CE29">
        <f t="shared" si="9"/>
        <v>1.0060783902745758</v>
      </c>
      <c r="CF29">
        <f t="shared" si="10"/>
        <v>2.5755640698169433</v>
      </c>
      <c r="CG29">
        <f t="shared" si="11"/>
        <v>2.6021505376344085</v>
      </c>
      <c r="CH29">
        <f t="shared" si="12"/>
        <v>5.0840423324341151</v>
      </c>
      <c r="CI29">
        <f t="shared" si="13"/>
        <v>0.22826312512969518</v>
      </c>
      <c r="CJ29" s="1"/>
      <c r="CK29" s="6" t="s">
        <v>142</v>
      </c>
      <c r="CL29" s="6"/>
      <c r="CM29" s="6"/>
      <c r="CN29" s="6"/>
      <c r="CO29" s="6"/>
      <c r="CP29" s="6"/>
    </row>
    <row r="30" spans="1:94" ht="17" x14ac:dyDescent="0.2">
      <c r="A30" t="s">
        <v>208</v>
      </c>
      <c r="B30" t="s">
        <v>23</v>
      </c>
      <c r="C30" t="str">
        <f t="shared" si="0"/>
        <v>S</v>
      </c>
      <c r="D30" t="str">
        <f t="shared" si="1"/>
        <v>IMM</v>
      </c>
      <c r="E30" t="str">
        <f t="shared" si="2"/>
        <v>N</v>
      </c>
      <c r="F30">
        <v>59</v>
      </c>
      <c r="G30">
        <v>56</v>
      </c>
      <c r="H30">
        <v>3.069</v>
      </c>
      <c r="I30">
        <v>5.7000000000000002E-2</v>
      </c>
      <c r="J30">
        <v>0.05</v>
      </c>
      <c r="K30" t="s">
        <v>24</v>
      </c>
      <c r="L30" t="str">
        <f t="shared" si="3"/>
        <v>F</v>
      </c>
      <c r="M30">
        <v>22</v>
      </c>
      <c r="N30">
        <v>0.125</v>
      </c>
      <c r="O30">
        <v>0.11799999999999999</v>
      </c>
      <c r="P30" t="s">
        <v>203</v>
      </c>
      <c r="Q30" t="str">
        <f t="shared" si="8"/>
        <v>F</v>
      </c>
      <c r="BV30" s="1"/>
      <c r="BW30" t="s">
        <v>190</v>
      </c>
      <c r="BX30" t="str">
        <f t="shared" si="4"/>
        <v>18</v>
      </c>
      <c r="BY30" t="str">
        <f t="shared" si="5"/>
        <v>01</v>
      </c>
      <c r="BZ30" t="str">
        <f t="shared" si="6"/>
        <v>2021</v>
      </c>
      <c r="CA30" s="5">
        <f t="shared" si="7"/>
        <v>44214</v>
      </c>
      <c r="CB30">
        <v>18</v>
      </c>
      <c r="CC30">
        <v>2</v>
      </c>
      <c r="CD30" t="s">
        <v>141</v>
      </c>
      <c r="CE30">
        <f t="shared" si="9"/>
        <v>1.6561775422325273</v>
      </c>
      <c r="CF30">
        <f t="shared" si="10"/>
        <v>1.8924302788844622</v>
      </c>
      <c r="CG30">
        <f t="shared" si="11"/>
        <v>1.9243754220121538</v>
      </c>
      <c r="CH30">
        <f t="shared" si="12"/>
        <v>3.8449006190941675</v>
      </c>
      <c r="CI30">
        <f t="shared" si="13"/>
        <v>0.22808732486151861</v>
      </c>
      <c r="CJ30" s="1"/>
      <c r="CK30" s="6" t="s">
        <v>142</v>
      </c>
      <c r="CL30" s="6"/>
      <c r="CM30" s="6"/>
      <c r="CN30" s="6"/>
      <c r="CO30" s="6"/>
      <c r="CP30" s="6"/>
    </row>
    <row r="31" spans="1:94" ht="17" x14ac:dyDescent="0.2">
      <c r="A31" t="s">
        <v>209</v>
      </c>
      <c r="B31" t="s">
        <v>23</v>
      </c>
      <c r="C31" t="str">
        <f t="shared" si="0"/>
        <v>S</v>
      </c>
      <c r="D31" t="str">
        <f t="shared" si="1"/>
        <v>IMM</v>
      </c>
      <c r="E31" t="str">
        <f t="shared" si="2"/>
        <v>N</v>
      </c>
      <c r="F31">
        <v>57</v>
      </c>
      <c r="G31">
        <v>53</v>
      </c>
      <c r="H31">
        <v>2.8530000000000002</v>
      </c>
      <c r="I31">
        <v>5.0999999999999997E-2</v>
      </c>
      <c r="J31">
        <v>3.0000000000000001E-3</v>
      </c>
      <c r="K31" t="s">
        <v>38</v>
      </c>
      <c r="L31" t="str">
        <f t="shared" si="3"/>
        <v>M</v>
      </c>
      <c r="M31">
        <v>22</v>
      </c>
      <c r="N31">
        <v>9.6000000000000002E-2</v>
      </c>
      <c r="O31">
        <v>0.09</v>
      </c>
      <c r="P31" t="s">
        <v>36</v>
      </c>
      <c r="Q31" t="str">
        <f t="shared" si="8"/>
        <v>MT</v>
      </c>
      <c r="BV31" s="1"/>
      <c r="BW31" t="s">
        <v>190</v>
      </c>
      <c r="BX31" t="str">
        <f t="shared" si="4"/>
        <v>18</v>
      </c>
      <c r="BY31" t="str">
        <f t="shared" si="5"/>
        <v>01</v>
      </c>
      <c r="BZ31" t="str">
        <f t="shared" si="6"/>
        <v>2021</v>
      </c>
      <c r="CA31" s="5">
        <f t="shared" si="7"/>
        <v>44214</v>
      </c>
      <c r="CB31">
        <v>18</v>
      </c>
      <c r="CC31">
        <v>2</v>
      </c>
      <c r="CD31" t="s">
        <v>141</v>
      </c>
      <c r="CE31">
        <f t="shared" si="9"/>
        <v>0.10526315789473684</v>
      </c>
      <c r="CF31">
        <f t="shared" si="10"/>
        <v>1.8201284796573876</v>
      </c>
      <c r="CG31">
        <f t="shared" si="11"/>
        <v>1.822079314040729</v>
      </c>
      <c r="CH31">
        <f t="shared" si="12"/>
        <v>3.1545741324921135</v>
      </c>
      <c r="CI31">
        <f t="shared" si="13"/>
        <v>0.21030494216614107</v>
      </c>
      <c r="CJ31" s="1"/>
      <c r="CK31" s="6" t="s">
        <v>142</v>
      </c>
      <c r="CL31" s="6"/>
      <c r="CM31" s="6"/>
      <c r="CN31" s="6"/>
      <c r="CO31" s="6"/>
      <c r="CP31" s="6"/>
    </row>
    <row r="32" spans="1:94" ht="17" x14ac:dyDescent="0.2">
      <c r="A32" t="s">
        <v>303</v>
      </c>
      <c r="B32" t="s">
        <v>23</v>
      </c>
      <c r="C32" t="str">
        <f t="shared" si="0"/>
        <v>I</v>
      </c>
      <c r="D32" t="str">
        <f t="shared" si="1"/>
        <v>S</v>
      </c>
      <c r="E32" t="str">
        <f t="shared" si="2"/>
        <v>G</v>
      </c>
      <c r="F32">
        <v>77</v>
      </c>
      <c r="G32">
        <v>73</v>
      </c>
      <c r="H32">
        <v>7.4050000000000002</v>
      </c>
      <c r="I32">
        <v>0.18099999999999999</v>
      </c>
      <c r="J32">
        <v>8.0000000000000002E-3</v>
      </c>
      <c r="K32" t="s">
        <v>38</v>
      </c>
      <c r="L32" t="str">
        <f t="shared" si="3"/>
        <v>M</v>
      </c>
      <c r="M32">
        <v>22</v>
      </c>
      <c r="N32">
        <v>0.29199999999999998</v>
      </c>
      <c r="O32">
        <v>0.27</v>
      </c>
      <c r="P32" t="s">
        <v>304</v>
      </c>
      <c r="Q32" t="str">
        <f t="shared" si="8"/>
        <v>F</v>
      </c>
      <c r="AV32">
        <v>2</v>
      </c>
      <c r="AW32">
        <v>5.0000000000000001E-3</v>
      </c>
      <c r="BV32" s="1">
        <v>5.0000000000000001E-3</v>
      </c>
      <c r="BW32" s="5">
        <v>44349</v>
      </c>
      <c r="BX32">
        <v>6</v>
      </c>
      <c r="BY32">
        <v>2</v>
      </c>
      <c r="BZ32">
        <v>2021</v>
      </c>
      <c r="CA32" s="5">
        <f t="shared" si="7"/>
        <v>44233</v>
      </c>
      <c r="CB32">
        <v>37</v>
      </c>
      <c r="CC32">
        <v>3</v>
      </c>
      <c r="CD32" t="s">
        <v>305</v>
      </c>
      <c r="CE32">
        <f t="shared" si="9"/>
        <v>0.10815195349466</v>
      </c>
      <c r="CF32">
        <f t="shared" si="10"/>
        <v>2.5055370985603544</v>
      </c>
      <c r="CG32">
        <f t="shared" si="11"/>
        <v>2.5083148558758315</v>
      </c>
      <c r="CH32">
        <f t="shared" si="12"/>
        <v>3.6461850101282915</v>
      </c>
      <c r="CI32">
        <f t="shared" si="13"/>
        <v>0.29709655638082327</v>
      </c>
      <c r="CJ32" s="1">
        <f>(N32-O32+(BV32))/(H32)*100</f>
        <v>0.36461850101282867</v>
      </c>
      <c r="CK32" s="6" t="s">
        <v>142</v>
      </c>
      <c r="CL32" s="6">
        <v>1</v>
      </c>
      <c r="CM32" s="6"/>
      <c r="CN32" s="6"/>
      <c r="CO32" s="6"/>
      <c r="CP32" s="6"/>
    </row>
    <row r="33" spans="1:94" ht="17" x14ac:dyDescent="0.2">
      <c r="A33" t="s">
        <v>306</v>
      </c>
      <c r="B33" t="s">
        <v>23</v>
      </c>
      <c r="C33" t="str">
        <f t="shared" si="0"/>
        <v>I</v>
      </c>
      <c r="D33" t="str">
        <f t="shared" si="1"/>
        <v>S</v>
      </c>
      <c r="E33" t="str">
        <f t="shared" si="2"/>
        <v>G</v>
      </c>
      <c r="F33">
        <v>65</v>
      </c>
      <c r="G33">
        <v>62</v>
      </c>
      <c r="H33">
        <v>4.2320000000000002</v>
      </c>
      <c r="I33">
        <v>0.109</v>
      </c>
      <c r="J33">
        <v>8.0000000000000002E-3</v>
      </c>
      <c r="K33" t="s">
        <v>38</v>
      </c>
      <c r="L33" t="str">
        <f t="shared" si="3"/>
        <v>M</v>
      </c>
      <c r="M33">
        <v>22</v>
      </c>
      <c r="N33">
        <v>0.21099999999999999</v>
      </c>
      <c r="O33">
        <v>0.192</v>
      </c>
      <c r="P33" t="s">
        <v>36</v>
      </c>
      <c r="Q33" t="str">
        <f t="shared" si="8"/>
        <v>MT</v>
      </c>
      <c r="BV33" s="1">
        <v>0</v>
      </c>
      <c r="BW33" s="5">
        <v>44349</v>
      </c>
      <c r="BX33">
        <v>6</v>
      </c>
      <c r="BY33">
        <v>2</v>
      </c>
      <c r="BZ33">
        <v>2021</v>
      </c>
      <c r="CA33" s="5">
        <f t="shared" si="7"/>
        <v>44233</v>
      </c>
      <c r="CB33">
        <v>37</v>
      </c>
      <c r="CC33">
        <v>3</v>
      </c>
      <c r="CD33" t="s">
        <v>305</v>
      </c>
      <c r="CE33">
        <f t="shared" si="9"/>
        <v>0.18939393939393939</v>
      </c>
      <c r="CF33">
        <f t="shared" si="10"/>
        <v>2.6437060392917777</v>
      </c>
      <c r="CG33">
        <f t="shared" si="11"/>
        <v>2.6488456865127583</v>
      </c>
      <c r="CH33">
        <f t="shared" si="12"/>
        <v>4.5368620037807181</v>
      </c>
      <c r="CI33">
        <f t="shared" si="13"/>
        <v>0.4489603024574666</v>
      </c>
      <c r="CJ33" s="1">
        <f>(N33-O33+(BV33))/(H33)*100</f>
        <v>0.4489603024574666</v>
      </c>
      <c r="CK33" s="6" t="s">
        <v>142</v>
      </c>
      <c r="CL33" s="6">
        <v>1</v>
      </c>
      <c r="CM33" s="6"/>
      <c r="CN33" s="6"/>
      <c r="CO33" s="6"/>
      <c r="CP33" s="6"/>
    </row>
    <row r="34" spans="1:94" x14ac:dyDescent="0.2">
      <c r="A34" t="s">
        <v>45</v>
      </c>
      <c r="B34" t="s">
        <v>46</v>
      </c>
      <c r="C34" t="str">
        <f t="shared" si="0"/>
        <v>I</v>
      </c>
      <c r="D34" t="str">
        <f t="shared" si="1"/>
        <v>I</v>
      </c>
      <c r="E34" t="str">
        <f t="shared" si="2"/>
        <v>G</v>
      </c>
      <c r="F34">
        <v>86</v>
      </c>
      <c r="G34">
        <v>79</v>
      </c>
      <c r="H34">
        <v>10.914</v>
      </c>
      <c r="I34">
        <v>0.19600000000000001</v>
      </c>
      <c r="J34">
        <v>0.14399999999999999</v>
      </c>
      <c r="K34" t="s">
        <v>24</v>
      </c>
      <c r="L34" t="str">
        <f t="shared" si="3"/>
        <v>F</v>
      </c>
      <c r="M34">
        <v>22</v>
      </c>
      <c r="N34">
        <v>0.36</v>
      </c>
      <c r="O34">
        <v>0.34899999999999998</v>
      </c>
      <c r="P34" t="s">
        <v>36</v>
      </c>
      <c r="Q34" t="str">
        <f t="shared" si="8"/>
        <v>MT</v>
      </c>
      <c r="BV34" s="1"/>
      <c r="BW34" t="s">
        <v>26</v>
      </c>
      <c r="BX34" t="str">
        <f t="shared" ref="BX34:BX73" si="14">LEFT(BW34,2)</f>
        <v>18</v>
      </c>
      <c r="BY34" t="str">
        <f t="shared" ref="BY34:BY73" si="15">MID(BW34,4,2)</f>
        <v>12</v>
      </c>
      <c r="BZ34" t="str">
        <f t="shared" ref="BZ34:BZ73" si="16">RIGHT(BW34,4)</f>
        <v>2020</v>
      </c>
      <c r="CA34" s="5">
        <f>DATE(BZ34,BY34,BX34)</f>
        <v>44183</v>
      </c>
      <c r="CB34">
        <v>353</v>
      </c>
      <c r="CC34">
        <v>1</v>
      </c>
      <c r="CD34" t="s">
        <v>27</v>
      </c>
      <c r="CE34">
        <f t="shared" si="9"/>
        <v>1.3370473537604457</v>
      </c>
      <c r="CF34">
        <f t="shared" si="10"/>
        <v>1.8286993842134729</v>
      </c>
      <c r="CG34">
        <f t="shared" si="11"/>
        <v>1.8536031776054476</v>
      </c>
      <c r="CH34">
        <f t="shared" si="12"/>
        <v>3.1977276892065234</v>
      </c>
      <c r="CI34">
        <f t="shared" si="13"/>
        <v>0.10078797874289913</v>
      </c>
      <c r="CJ34" s="1"/>
      <c r="CK34" s="6"/>
      <c r="CL34" s="6"/>
      <c r="CM34" s="6"/>
      <c r="CN34" s="6"/>
      <c r="CO34" s="6"/>
      <c r="CP34" s="6"/>
    </row>
    <row r="35" spans="1:94" x14ac:dyDescent="0.2">
      <c r="A35" t="s">
        <v>47</v>
      </c>
      <c r="B35" t="s">
        <v>46</v>
      </c>
      <c r="C35" t="str">
        <f t="shared" si="0"/>
        <v>I</v>
      </c>
      <c r="D35" t="str">
        <f t="shared" si="1"/>
        <v>I</v>
      </c>
      <c r="E35" t="str">
        <f t="shared" si="2"/>
        <v>G</v>
      </c>
      <c r="F35">
        <v>89</v>
      </c>
      <c r="G35">
        <v>84</v>
      </c>
      <c r="H35">
        <v>11.271000000000001</v>
      </c>
      <c r="I35">
        <v>0.17100000000000001</v>
      </c>
      <c r="J35">
        <v>2E-3</v>
      </c>
      <c r="K35" t="s">
        <v>38</v>
      </c>
      <c r="L35" t="str">
        <f t="shared" si="3"/>
        <v>M</v>
      </c>
      <c r="M35">
        <v>22</v>
      </c>
      <c r="N35">
        <v>0.45200000000000001</v>
      </c>
      <c r="O35">
        <v>0.442</v>
      </c>
      <c r="P35" t="s">
        <v>36</v>
      </c>
      <c r="Q35" t="str">
        <f t="shared" si="8"/>
        <v>MT</v>
      </c>
      <c r="BV35" s="1"/>
      <c r="BW35" t="s">
        <v>26</v>
      </c>
      <c r="BX35" t="str">
        <f t="shared" si="14"/>
        <v>18</v>
      </c>
      <c r="BY35" t="str">
        <f t="shared" si="15"/>
        <v>12</v>
      </c>
      <c r="BZ35" t="str">
        <f t="shared" si="16"/>
        <v>2020</v>
      </c>
      <c r="CA35" s="5">
        <f t="shared" si="7"/>
        <v>44183</v>
      </c>
      <c r="CB35">
        <v>353</v>
      </c>
      <c r="CC35">
        <v>1</v>
      </c>
      <c r="CD35" t="s">
        <v>39</v>
      </c>
      <c r="CE35">
        <f t="shared" si="9"/>
        <v>1.7747803709290976E-2</v>
      </c>
      <c r="CF35">
        <f t="shared" si="10"/>
        <v>1.5405405405405403</v>
      </c>
      <c r="CG35">
        <f t="shared" si="11"/>
        <v>1.5408181654352135</v>
      </c>
      <c r="CH35">
        <f t="shared" si="12"/>
        <v>3.9215686274509802</v>
      </c>
      <c r="CI35">
        <f t="shared" si="13"/>
        <v>8.872327211427565E-2</v>
      </c>
      <c r="CJ35" s="1"/>
      <c r="CK35" s="6"/>
      <c r="CL35" s="6"/>
      <c r="CM35" s="6"/>
      <c r="CN35" s="6"/>
      <c r="CO35" s="6"/>
      <c r="CP35" s="6"/>
    </row>
    <row r="36" spans="1:94" x14ac:dyDescent="0.2">
      <c r="A36" t="s">
        <v>48</v>
      </c>
      <c r="B36" t="s">
        <v>46</v>
      </c>
      <c r="C36" t="str">
        <f t="shared" si="0"/>
        <v>I</v>
      </c>
      <c r="D36" t="str">
        <f t="shared" si="1"/>
        <v>I</v>
      </c>
      <c r="E36" t="str">
        <f t="shared" si="2"/>
        <v>G</v>
      </c>
      <c r="F36">
        <v>88</v>
      </c>
      <c r="G36">
        <v>84</v>
      </c>
      <c r="H36">
        <v>10.827999999999999</v>
      </c>
      <c r="I36">
        <v>0.219</v>
      </c>
      <c r="J36">
        <v>0.19400000000000001</v>
      </c>
      <c r="K36" t="s">
        <v>24</v>
      </c>
      <c r="L36" t="str">
        <f t="shared" si="3"/>
        <v>F</v>
      </c>
      <c r="M36">
        <v>22</v>
      </c>
      <c r="N36">
        <v>0.49099999999999999</v>
      </c>
      <c r="O36">
        <v>0.44</v>
      </c>
      <c r="P36" t="s">
        <v>29</v>
      </c>
      <c r="Q36" t="str">
        <f t="shared" si="8"/>
        <v>F</v>
      </c>
      <c r="BV36" s="1"/>
      <c r="BW36" t="s">
        <v>26</v>
      </c>
      <c r="BX36" t="str">
        <f t="shared" si="14"/>
        <v>18</v>
      </c>
      <c r="BY36" t="str">
        <f t="shared" si="15"/>
        <v>12</v>
      </c>
      <c r="BZ36" t="str">
        <f t="shared" si="16"/>
        <v>2020</v>
      </c>
      <c r="CA36" s="5">
        <f t="shared" si="7"/>
        <v>44183</v>
      </c>
      <c r="CB36">
        <v>353</v>
      </c>
      <c r="CC36">
        <v>1</v>
      </c>
      <c r="CD36" t="s">
        <v>49</v>
      </c>
      <c r="CE36">
        <f t="shared" si="9"/>
        <v>1.8243370321609935</v>
      </c>
      <c r="CF36">
        <f t="shared" si="10"/>
        <v>2.0642850410029219</v>
      </c>
      <c r="CG36">
        <f t="shared" si="11"/>
        <v>2.1027364378300528</v>
      </c>
      <c r="CH36">
        <f t="shared" si="12"/>
        <v>4.0635389730328777</v>
      </c>
      <c r="CI36">
        <f t="shared" si="13"/>
        <v>0.4710011082379017</v>
      </c>
      <c r="CJ36" s="1"/>
      <c r="CK36" s="6"/>
      <c r="CL36" s="6"/>
      <c r="CM36" s="6"/>
      <c r="CN36" s="6"/>
      <c r="CO36" s="6"/>
      <c r="CP36" s="6"/>
    </row>
    <row r="37" spans="1:94" x14ac:dyDescent="0.2">
      <c r="A37" t="s">
        <v>50</v>
      </c>
      <c r="B37" t="s">
        <v>46</v>
      </c>
      <c r="C37" t="str">
        <f t="shared" si="0"/>
        <v>I</v>
      </c>
      <c r="D37" t="str">
        <f t="shared" si="1"/>
        <v>I</v>
      </c>
      <c r="E37" t="str">
        <f t="shared" si="2"/>
        <v>G</v>
      </c>
      <c r="F37">
        <v>87</v>
      </c>
      <c r="G37">
        <v>80</v>
      </c>
      <c r="H37">
        <v>11.733000000000001</v>
      </c>
      <c r="I37">
        <v>0.3</v>
      </c>
      <c r="J37">
        <v>0.155</v>
      </c>
      <c r="K37" t="s">
        <v>24</v>
      </c>
      <c r="L37" t="str">
        <f t="shared" si="3"/>
        <v>F</v>
      </c>
      <c r="M37">
        <v>22</v>
      </c>
      <c r="N37">
        <v>0.40699999999999997</v>
      </c>
      <c r="O37">
        <v>0.39600000000000002</v>
      </c>
      <c r="P37" t="s">
        <v>36</v>
      </c>
      <c r="Q37" t="str">
        <f t="shared" si="8"/>
        <v>MT</v>
      </c>
      <c r="BV37" s="1"/>
      <c r="BW37" t="s">
        <v>26</v>
      </c>
      <c r="BX37" t="str">
        <f t="shared" si="14"/>
        <v>18</v>
      </c>
      <c r="BY37" t="str">
        <f t="shared" si="15"/>
        <v>12</v>
      </c>
      <c r="BZ37" t="str">
        <f t="shared" si="16"/>
        <v>2020</v>
      </c>
      <c r="CA37" s="5">
        <f t="shared" si="7"/>
        <v>44183</v>
      </c>
      <c r="CB37">
        <v>353</v>
      </c>
      <c r="CC37">
        <v>1</v>
      </c>
      <c r="CD37" t="s">
        <v>27</v>
      </c>
      <c r="CE37">
        <f t="shared" si="9"/>
        <v>1.3387458973916047</v>
      </c>
      <c r="CF37">
        <f t="shared" si="10"/>
        <v>2.6239832065074782</v>
      </c>
      <c r="CG37">
        <f t="shared" si="11"/>
        <v>2.6600461074658623</v>
      </c>
      <c r="CH37">
        <f t="shared" si="12"/>
        <v>3.3750958834057787</v>
      </c>
      <c r="CI37">
        <f t="shared" si="13"/>
        <v>9.3752663427937893E-2</v>
      </c>
      <c r="CJ37" s="1"/>
      <c r="CK37" s="6"/>
      <c r="CL37" s="6"/>
      <c r="CM37" s="6"/>
      <c r="CN37" s="6"/>
      <c r="CO37" s="6"/>
      <c r="CP37" s="6"/>
    </row>
    <row r="38" spans="1:94" x14ac:dyDescent="0.2">
      <c r="A38" t="s">
        <v>51</v>
      </c>
      <c r="B38" t="s">
        <v>46</v>
      </c>
      <c r="C38" t="str">
        <f t="shared" si="0"/>
        <v>I</v>
      </c>
      <c r="D38" t="str">
        <f t="shared" si="1"/>
        <v>S</v>
      </c>
      <c r="E38" t="str">
        <f t="shared" si="2"/>
        <v>G</v>
      </c>
      <c r="F38">
        <v>83</v>
      </c>
      <c r="G38">
        <v>79</v>
      </c>
      <c r="H38">
        <v>9.5960000000000001</v>
      </c>
      <c r="I38">
        <v>0.17100000000000001</v>
      </c>
      <c r="K38" t="s">
        <v>38</v>
      </c>
      <c r="L38" t="str">
        <f t="shared" si="3"/>
        <v>M</v>
      </c>
      <c r="M38">
        <v>22</v>
      </c>
      <c r="N38">
        <v>0.441</v>
      </c>
      <c r="O38">
        <v>0.42099999999999999</v>
      </c>
      <c r="P38" t="s">
        <v>36</v>
      </c>
      <c r="Q38" t="str">
        <f t="shared" ref="Q38:Q69" si="17">IF(P38="MT","MT","F")</f>
        <v>MT</v>
      </c>
      <c r="BV38" s="1"/>
      <c r="BW38" t="s">
        <v>26</v>
      </c>
      <c r="BX38" t="str">
        <f t="shared" si="14"/>
        <v>18</v>
      </c>
      <c r="BY38" t="str">
        <f t="shared" si="15"/>
        <v>12</v>
      </c>
      <c r="BZ38" t="str">
        <f t="shared" si="16"/>
        <v>2020</v>
      </c>
      <c r="CA38" s="5">
        <f t="shared" si="7"/>
        <v>44183</v>
      </c>
      <c r="CB38">
        <v>353</v>
      </c>
      <c r="CC38">
        <v>1</v>
      </c>
      <c r="CD38" t="s">
        <v>52</v>
      </c>
      <c r="CF38">
        <f t="shared" si="10"/>
        <v>1.8143236074270559</v>
      </c>
      <c r="CG38">
        <f t="shared" si="11"/>
        <v>1.8143236074270559</v>
      </c>
      <c r="CH38">
        <f t="shared" si="12"/>
        <v>4.3872446852855349</v>
      </c>
      <c r="CI38">
        <f t="shared" si="13"/>
        <v>0.20842017507294724</v>
      </c>
      <c r="CJ38" s="1"/>
      <c r="CK38" s="6"/>
      <c r="CL38" s="6"/>
      <c r="CM38" s="6"/>
      <c r="CN38" s="6"/>
      <c r="CO38" s="6"/>
      <c r="CP38" s="6"/>
    </row>
    <row r="39" spans="1:94" x14ac:dyDescent="0.2">
      <c r="A39" t="s">
        <v>53</v>
      </c>
      <c r="B39" t="s">
        <v>46</v>
      </c>
      <c r="C39" t="str">
        <f t="shared" si="0"/>
        <v>I</v>
      </c>
      <c r="D39" t="str">
        <f t="shared" si="1"/>
        <v>S</v>
      </c>
      <c r="E39" t="str">
        <f t="shared" si="2"/>
        <v>G</v>
      </c>
      <c r="F39">
        <v>80</v>
      </c>
      <c r="G39">
        <v>76</v>
      </c>
      <c r="H39">
        <v>8.6319999999999997</v>
      </c>
      <c r="I39">
        <v>0.189</v>
      </c>
      <c r="J39">
        <v>1.4E-2</v>
      </c>
      <c r="K39" t="s">
        <v>38</v>
      </c>
      <c r="L39" t="str">
        <f t="shared" si="3"/>
        <v>M</v>
      </c>
      <c r="M39">
        <v>22</v>
      </c>
      <c r="N39">
        <v>0.44</v>
      </c>
      <c r="O39">
        <v>0.42099999999999999</v>
      </c>
      <c r="P39" t="s">
        <v>36</v>
      </c>
      <c r="Q39" t="str">
        <f t="shared" si="17"/>
        <v>MT</v>
      </c>
      <c r="BV39" s="1"/>
      <c r="BW39" t="s">
        <v>26</v>
      </c>
      <c r="BX39" t="str">
        <f t="shared" si="14"/>
        <v>18</v>
      </c>
      <c r="BY39" t="str">
        <f t="shared" si="15"/>
        <v>12</v>
      </c>
      <c r="BZ39" t="str">
        <f t="shared" si="16"/>
        <v>2020</v>
      </c>
      <c r="CA39" s="5">
        <f t="shared" si="7"/>
        <v>44183</v>
      </c>
      <c r="CB39">
        <v>353</v>
      </c>
      <c r="CC39">
        <v>1</v>
      </c>
      <c r="CD39" t="s">
        <v>27</v>
      </c>
      <c r="CE39">
        <f t="shared" ref="CE39:CE45" si="18">J39/(H39-J39)*100</f>
        <v>0.16245068461359943</v>
      </c>
      <c r="CF39">
        <f t="shared" si="10"/>
        <v>2.2385408030320977</v>
      </c>
      <c r="CG39">
        <f t="shared" si="11"/>
        <v>2.2422588681931428</v>
      </c>
      <c r="CH39">
        <f t="shared" si="12"/>
        <v>4.8772011121408712</v>
      </c>
      <c r="CI39">
        <f t="shared" si="13"/>
        <v>0.22011121408711792</v>
      </c>
      <c r="CJ39" s="1"/>
      <c r="CK39" s="6"/>
      <c r="CL39" s="6"/>
      <c r="CM39" s="6"/>
      <c r="CN39" s="6"/>
      <c r="CO39" s="6"/>
      <c r="CP39" s="6"/>
    </row>
    <row r="40" spans="1:94" x14ac:dyDescent="0.2">
      <c r="A40" t="s">
        <v>54</v>
      </c>
      <c r="B40" t="s">
        <v>46</v>
      </c>
      <c r="C40" t="str">
        <f t="shared" si="0"/>
        <v>I</v>
      </c>
      <c r="D40" t="str">
        <f t="shared" si="1"/>
        <v>I</v>
      </c>
      <c r="E40" t="str">
        <f t="shared" si="2"/>
        <v>G</v>
      </c>
      <c r="F40">
        <v>86</v>
      </c>
      <c r="G40">
        <v>80</v>
      </c>
      <c r="H40">
        <v>11.066000000000001</v>
      </c>
      <c r="I40">
        <v>0.255</v>
      </c>
      <c r="J40">
        <v>0.14699999999999999</v>
      </c>
      <c r="K40" t="s">
        <v>24</v>
      </c>
      <c r="L40" t="str">
        <f t="shared" si="3"/>
        <v>F</v>
      </c>
      <c r="M40">
        <v>22</v>
      </c>
      <c r="O40">
        <v>0.38200000000000001</v>
      </c>
      <c r="P40" t="s">
        <v>36</v>
      </c>
      <c r="Q40" t="str">
        <f t="shared" si="17"/>
        <v>MT</v>
      </c>
      <c r="BV40" s="1"/>
      <c r="BW40" t="s">
        <v>26</v>
      </c>
      <c r="BX40" t="str">
        <f t="shared" si="14"/>
        <v>18</v>
      </c>
      <c r="BY40" t="str">
        <f t="shared" si="15"/>
        <v>12</v>
      </c>
      <c r="BZ40" t="str">
        <f t="shared" si="16"/>
        <v>2020</v>
      </c>
      <c r="CA40" s="5">
        <f t="shared" si="7"/>
        <v>44183</v>
      </c>
      <c r="CB40">
        <v>353</v>
      </c>
      <c r="CC40">
        <v>1</v>
      </c>
      <c r="CD40" t="s">
        <v>27</v>
      </c>
      <c r="CE40">
        <f t="shared" si="18"/>
        <v>1.3462771316054583</v>
      </c>
      <c r="CF40">
        <f t="shared" si="10"/>
        <v>2.3587087225973544</v>
      </c>
      <c r="CG40">
        <f t="shared" si="11"/>
        <v>2.3912228057014255</v>
      </c>
      <c r="CH40">
        <f t="shared" si="12"/>
        <v>3.452015181637448</v>
      </c>
      <c r="CJ40" s="1"/>
      <c r="CK40" s="6"/>
      <c r="CL40" s="6"/>
      <c r="CM40" s="6"/>
      <c r="CN40" s="6"/>
      <c r="CO40" s="6"/>
      <c r="CP40" s="6"/>
    </row>
    <row r="41" spans="1:94" x14ac:dyDescent="0.2">
      <c r="A41" t="s">
        <v>55</v>
      </c>
      <c r="B41" t="s">
        <v>46</v>
      </c>
      <c r="C41" t="str">
        <f t="shared" si="0"/>
        <v>I</v>
      </c>
      <c r="D41" t="str">
        <f t="shared" si="1"/>
        <v>S</v>
      </c>
      <c r="E41" t="str">
        <f t="shared" si="2"/>
        <v>G</v>
      </c>
      <c r="F41">
        <v>82</v>
      </c>
      <c r="G41">
        <v>77</v>
      </c>
      <c r="H41">
        <v>9.5589999999999993</v>
      </c>
      <c r="I41">
        <v>0.27600000000000002</v>
      </c>
      <c r="J41">
        <v>0.14000000000000001</v>
      </c>
      <c r="K41" t="s">
        <v>24</v>
      </c>
      <c r="L41" t="str">
        <f t="shared" si="3"/>
        <v>F</v>
      </c>
      <c r="M41">
        <v>22</v>
      </c>
      <c r="N41">
        <v>0.38300000000000001</v>
      </c>
      <c r="O41">
        <v>0.373</v>
      </c>
      <c r="P41" t="s">
        <v>36</v>
      </c>
      <c r="Q41" t="str">
        <f t="shared" si="17"/>
        <v>MT</v>
      </c>
      <c r="BV41" s="1"/>
      <c r="BW41" t="s">
        <v>26</v>
      </c>
      <c r="BX41" t="str">
        <f t="shared" si="14"/>
        <v>18</v>
      </c>
      <c r="BY41" t="str">
        <f t="shared" si="15"/>
        <v>12</v>
      </c>
      <c r="BZ41" t="str">
        <f t="shared" si="16"/>
        <v>2020</v>
      </c>
      <c r="CA41" s="5">
        <f t="shared" si="7"/>
        <v>44183</v>
      </c>
      <c r="CB41">
        <v>353</v>
      </c>
      <c r="CC41">
        <v>1</v>
      </c>
      <c r="CD41" t="s">
        <v>27</v>
      </c>
      <c r="CE41">
        <f t="shared" si="18"/>
        <v>1.4863573627773652</v>
      </c>
      <c r="CF41">
        <f t="shared" si="10"/>
        <v>2.9731767747495428</v>
      </c>
      <c r="CG41">
        <f t="shared" si="11"/>
        <v>3.0187028327682386</v>
      </c>
      <c r="CH41">
        <f t="shared" si="12"/>
        <v>3.9020818077204735</v>
      </c>
      <c r="CI41">
        <f>(N41-O41)/H41*100</f>
        <v>0.10461345329009321</v>
      </c>
      <c r="CJ41" s="1"/>
      <c r="CK41" s="6"/>
      <c r="CL41" s="6"/>
      <c r="CM41" s="6"/>
      <c r="CN41" s="6"/>
      <c r="CO41" s="6"/>
      <c r="CP41" s="6"/>
    </row>
    <row r="42" spans="1:94" x14ac:dyDescent="0.2">
      <c r="A42" t="s">
        <v>56</v>
      </c>
      <c r="B42" t="s">
        <v>46</v>
      </c>
      <c r="C42" t="str">
        <f t="shared" si="0"/>
        <v>I</v>
      </c>
      <c r="D42" t="str">
        <f t="shared" si="1"/>
        <v>S</v>
      </c>
      <c r="E42" t="str">
        <f t="shared" si="2"/>
        <v>G</v>
      </c>
      <c r="F42">
        <v>78</v>
      </c>
      <c r="G42">
        <v>74</v>
      </c>
      <c r="H42">
        <v>8.2279999999999998</v>
      </c>
      <c r="I42">
        <v>0.16500000000000001</v>
      </c>
      <c r="J42">
        <v>0.126</v>
      </c>
      <c r="K42" t="s">
        <v>24</v>
      </c>
      <c r="L42" t="str">
        <f t="shared" si="3"/>
        <v>F</v>
      </c>
      <c r="M42">
        <v>22</v>
      </c>
      <c r="N42">
        <v>0.315</v>
      </c>
      <c r="O42">
        <v>0.307</v>
      </c>
      <c r="P42" t="s">
        <v>36</v>
      </c>
      <c r="Q42" t="str">
        <f t="shared" si="17"/>
        <v>MT</v>
      </c>
      <c r="BV42" s="1"/>
      <c r="BW42" t="s">
        <v>26</v>
      </c>
      <c r="BX42" t="str">
        <f t="shared" si="14"/>
        <v>18</v>
      </c>
      <c r="BY42" t="str">
        <f t="shared" si="15"/>
        <v>12</v>
      </c>
      <c r="BZ42" t="str">
        <f t="shared" si="16"/>
        <v>2020</v>
      </c>
      <c r="CA42" s="5">
        <f t="shared" si="7"/>
        <v>44183</v>
      </c>
      <c r="CB42">
        <v>353</v>
      </c>
      <c r="CC42">
        <v>1</v>
      </c>
      <c r="CD42" t="s">
        <v>27</v>
      </c>
      <c r="CE42">
        <f t="shared" si="18"/>
        <v>1.5551715625771414</v>
      </c>
      <c r="CF42">
        <f t="shared" si="10"/>
        <v>2.0463847203274215</v>
      </c>
      <c r="CG42">
        <f t="shared" si="11"/>
        <v>2.0788711099911805</v>
      </c>
      <c r="CH42">
        <f t="shared" si="12"/>
        <v>3.7311618862420999</v>
      </c>
      <c r="CI42">
        <f>(N42-O42)/H42*100</f>
        <v>9.7228974234321919E-2</v>
      </c>
      <c r="CJ42" s="1"/>
      <c r="CK42" s="6"/>
      <c r="CL42" s="6"/>
      <c r="CM42" s="6"/>
      <c r="CN42" s="6"/>
      <c r="CO42" s="6"/>
      <c r="CP42" s="6"/>
    </row>
    <row r="43" spans="1:94" x14ac:dyDescent="0.2">
      <c r="A43" t="s">
        <v>57</v>
      </c>
      <c r="B43" t="s">
        <v>46</v>
      </c>
      <c r="C43" t="str">
        <f t="shared" si="0"/>
        <v>I</v>
      </c>
      <c r="D43" t="str">
        <f t="shared" si="1"/>
        <v>S</v>
      </c>
      <c r="E43" t="str">
        <f t="shared" si="2"/>
        <v>G</v>
      </c>
      <c r="F43">
        <v>78</v>
      </c>
      <c r="G43">
        <v>74</v>
      </c>
      <c r="H43">
        <v>7.843</v>
      </c>
      <c r="I43">
        <v>0.14399999999999999</v>
      </c>
      <c r="J43">
        <v>0.123</v>
      </c>
      <c r="K43" t="s">
        <v>24</v>
      </c>
      <c r="L43" t="str">
        <f t="shared" si="3"/>
        <v>F</v>
      </c>
      <c r="M43">
        <v>22</v>
      </c>
      <c r="N43">
        <v>0.36499999999999999</v>
      </c>
      <c r="O43">
        <v>0.35199999999999998</v>
      </c>
      <c r="P43" t="s">
        <v>36</v>
      </c>
      <c r="Q43" t="str">
        <f t="shared" si="17"/>
        <v>MT</v>
      </c>
      <c r="BV43" s="1"/>
      <c r="BW43" t="s">
        <v>26</v>
      </c>
      <c r="BX43" t="str">
        <f t="shared" si="14"/>
        <v>18</v>
      </c>
      <c r="BY43" t="str">
        <f t="shared" si="15"/>
        <v>12</v>
      </c>
      <c r="BZ43" t="str">
        <f t="shared" si="16"/>
        <v>2020</v>
      </c>
      <c r="CA43" s="5">
        <f t="shared" si="7"/>
        <v>44183</v>
      </c>
      <c r="CB43">
        <v>353</v>
      </c>
      <c r="CC43">
        <v>1</v>
      </c>
      <c r="CD43" t="s">
        <v>58</v>
      </c>
      <c r="CE43">
        <f t="shared" si="18"/>
        <v>1.5932642487046633</v>
      </c>
      <c r="CF43">
        <f t="shared" si="10"/>
        <v>1.870372775685154</v>
      </c>
      <c r="CG43">
        <f t="shared" si="11"/>
        <v>1.9007391763463568</v>
      </c>
      <c r="CH43">
        <f t="shared" si="12"/>
        <v>4.4880785413744739</v>
      </c>
      <c r="CI43">
        <f>(N43-O43)/H43*100</f>
        <v>0.16575290067576195</v>
      </c>
      <c r="CJ43" s="1"/>
      <c r="CK43" s="6"/>
      <c r="CL43" s="6"/>
      <c r="CM43" s="6"/>
      <c r="CN43" s="6"/>
      <c r="CO43" s="6"/>
      <c r="CP43" s="6"/>
    </row>
    <row r="44" spans="1:94" x14ac:dyDescent="0.2">
      <c r="A44" t="s">
        <v>87</v>
      </c>
      <c r="B44" t="s">
        <v>46</v>
      </c>
      <c r="C44" t="str">
        <f t="shared" si="0"/>
        <v>I</v>
      </c>
      <c r="D44" t="str">
        <f t="shared" si="1"/>
        <v>B</v>
      </c>
      <c r="E44" t="str">
        <f t="shared" si="2"/>
        <v>N</v>
      </c>
      <c r="F44">
        <v>143</v>
      </c>
      <c r="G44">
        <v>136</v>
      </c>
      <c r="H44">
        <v>54.957999999999998</v>
      </c>
      <c r="I44">
        <v>0.65200000000000002</v>
      </c>
      <c r="J44">
        <v>0.70399999999999996</v>
      </c>
      <c r="K44" t="s">
        <v>24</v>
      </c>
      <c r="L44" t="str">
        <f t="shared" si="3"/>
        <v>F</v>
      </c>
      <c r="M44">
        <v>22</v>
      </c>
      <c r="N44">
        <v>2.2570000000000001</v>
      </c>
      <c r="O44">
        <v>2.2210000000000001</v>
      </c>
      <c r="P44" t="s">
        <v>36</v>
      </c>
      <c r="Q44" t="str">
        <f t="shared" si="17"/>
        <v>MT</v>
      </c>
      <c r="BV44" s="1"/>
      <c r="BW44" s="1" t="s">
        <v>85</v>
      </c>
      <c r="BX44" t="str">
        <f t="shared" si="14"/>
        <v>19</v>
      </c>
      <c r="BY44" t="str">
        <f t="shared" si="15"/>
        <v>12</v>
      </c>
      <c r="BZ44" t="str">
        <f t="shared" si="16"/>
        <v>2020</v>
      </c>
      <c r="CA44" s="5">
        <f t="shared" si="7"/>
        <v>44184</v>
      </c>
      <c r="CB44">
        <v>354</v>
      </c>
      <c r="CC44">
        <v>1</v>
      </c>
      <c r="CD44" s="1" t="s">
        <v>88</v>
      </c>
      <c r="CE44">
        <f t="shared" si="18"/>
        <v>1.2976001769454788</v>
      </c>
      <c r="CF44">
        <f t="shared" si="10"/>
        <v>1.2006039848267227</v>
      </c>
      <c r="CG44">
        <f t="shared" si="11"/>
        <v>1.2163725234133056</v>
      </c>
      <c r="CH44">
        <f t="shared" si="12"/>
        <v>4.041267877288111</v>
      </c>
      <c r="CI44">
        <f>(N44-O44)/H44*100</f>
        <v>6.5504567123985655E-2</v>
      </c>
      <c r="CJ44" s="1"/>
      <c r="CK44" s="6"/>
      <c r="CL44" s="6"/>
      <c r="CM44" s="6"/>
      <c r="CN44" s="6"/>
      <c r="CO44" s="6"/>
      <c r="CP44" s="6"/>
    </row>
    <row r="45" spans="1:94" x14ac:dyDescent="0.2">
      <c r="A45" t="s">
        <v>89</v>
      </c>
      <c r="B45" t="s">
        <v>46</v>
      </c>
      <c r="C45" t="str">
        <f t="shared" si="0"/>
        <v>I</v>
      </c>
      <c r="D45" t="str">
        <f t="shared" si="1"/>
        <v>B</v>
      </c>
      <c r="E45" t="str">
        <f t="shared" si="2"/>
        <v>N</v>
      </c>
      <c r="F45">
        <v>144</v>
      </c>
      <c r="G45">
        <v>137</v>
      </c>
      <c r="H45">
        <v>58.219000000000001</v>
      </c>
      <c r="I45">
        <v>1.2150000000000001</v>
      </c>
      <c r="J45">
        <v>0.91900000000000004</v>
      </c>
      <c r="K45" t="s">
        <v>24</v>
      </c>
      <c r="L45" t="str">
        <f t="shared" si="3"/>
        <v>F</v>
      </c>
      <c r="M45">
        <v>22</v>
      </c>
      <c r="N45">
        <v>3.2269999999999999</v>
      </c>
      <c r="O45">
        <v>3.133</v>
      </c>
      <c r="P45" t="s">
        <v>36</v>
      </c>
      <c r="Q45" t="str">
        <f t="shared" si="17"/>
        <v>MT</v>
      </c>
      <c r="BV45" s="1"/>
      <c r="BW45" s="1" t="s">
        <v>85</v>
      </c>
      <c r="BX45" t="str">
        <f t="shared" si="14"/>
        <v>19</v>
      </c>
      <c r="BY45" t="str">
        <f t="shared" si="15"/>
        <v>12</v>
      </c>
      <c r="BZ45" t="str">
        <f t="shared" si="16"/>
        <v>2020</v>
      </c>
      <c r="CA45" s="5">
        <f t="shared" si="7"/>
        <v>44184</v>
      </c>
      <c r="CB45">
        <v>354</v>
      </c>
      <c r="CC45">
        <v>1</v>
      </c>
      <c r="CD45" s="1" t="s">
        <v>27</v>
      </c>
      <c r="CE45">
        <f t="shared" si="18"/>
        <v>1.6038394415357766</v>
      </c>
      <c r="CF45">
        <f t="shared" si="10"/>
        <v>2.1314293733773071</v>
      </c>
      <c r="CG45">
        <f t="shared" si="11"/>
        <v>2.1663546402781493</v>
      </c>
      <c r="CH45">
        <f t="shared" si="12"/>
        <v>5.3814046960614235</v>
      </c>
      <c r="CI45">
        <f>(N45-O45)/H45*100</f>
        <v>0.16145931740497063</v>
      </c>
      <c r="CJ45" s="1"/>
      <c r="CK45" s="6"/>
      <c r="CL45" s="6"/>
      <c r="CM45" s="6"/>
      <c r="CN45" s="6"/>
      <c r="CO45" s="6"/>
      <c r="CP45" s="6"/>
    </row>
    <row r="46" spans="1:94" x14ac:dyDescent="0.2">
      <c r="A46" t="s">
        <v>90</v>
      </c>
      <c r="B46" t="s">
        <v>46</v>
      </c>
      <c r="C46" t="str">
        <f t="shared" si="0"/>
        <v>I</v>
      </c>
      <c r="D46" t="str">
        <f t="shared" si="1"/>
        <v>B</v>
      </c>
      <c r="E46" t="str">
        <f t="shared" si="2"/>
        <v>N</v>
      </c>
      <c r="F46">
        <v>144</v>
      </c>
      <c r="G46">
        <v>137</v>
      </c>
      <c r="I46">
        <v>0.95699999999999996</v>
      </c>
      <c r="J46">
        <v>6.6000000000000003E-2</v>
      </c>
      <c r="K46" t="s">
        <v>38</v>
      </c>
      <c r="L46" t="str">
        <f t="shared" si="3"/>
        <v>M</v>
      </c>
      <c r="M46">
        <v>22</v>
      </c>
      <c r="N46">
        <v>2.8490000000000002</v>
      </c>
      <c r="O46">
        <v>2.5659999999999998</v>
      </c>
      <c r="P46" t="s">
        <v>25</v>
      </c>
      <c r="Q46" t="str">
        <f t="shared" si="17"/>
        <v>F</v>
      </c>
      <c r="BV46" s="1"/>
      <c r="BW46" s="1" t="s">
        <v>85</v>
      </c>
      <c r="BX46" t="str">
        <f t="shared" si="14"/>
        <v>19</v>
      </c>
      <c r="BY46" t="str">
        <f t="shared" si="15"/>
        <v>12</v>
      </c>
      <c r="BZ46" t="str">
        <f t="shared" si="16"/>
        <v>2020</v>
      </c>
      <c r="CA46" s="5">
        <f t="shared" si="7"/>
        <v>44184</v>
      </c>
      <c r="CB46">
        <v>354</v>
      </c>
      <c r="CC46">
        <v>1</v>
      </c>
      <c r="CD46" s="1" t="s">
        <v>27</v>
      </c>
      <c r="CJ46" s="1"/>
      <c r="CK46" s="6"/>
      <c r="CL46" s="6"/>
      <c r="CM46" s="6"/>
      <c r="CN46" s="6"/>
      <c r="CO46" s="6"/>
      <c r="CP46" s="6"/>
    </row>
    <row r="47" spans="1:94" x14ac:dyDescent="0.2">
      <c r="A47" t="s">
        <v>91</v>
      </c>
      <c r="B47" t="s">
        <v>46</v>
      </c>
      <c r="C47" t="str">
        <f t="shared" si="0"/>
        <v>I</v>
      </c>
      <c r="D47" t="str">
        <f t="shared" si="1"/>
        <v>B</v>
      </c>
      <c r="E47" t="str">
        <f t="shared" si="2"/>
        <v>N</v>
      </c>
      <c r="F47">
        <v>128</v>
      </c>
      <c r="G47">
        <v>121</v>
      </c>
      <c r="H47">
        <v>35.942</v>
      </c>
      <c r="I47">
        <v>0.55800000000000005</v>
      </c>
      <c r="J47">
        <v>3.6999999999999998E-2</v>
      </c>
      <c r="K47" t="s">
        <v>38</v>
      </c>
      <c r="L47" t="str">
        <f t="shared" si="3"/>
        <v>M</v>
      </c>
      <c r="M47">
        <v>22</v>
      </c>
      <c r="N47">
        <v>1.8140000000000001</v>
      </c>
      <c r="O47">
        <v>1.7949999999999999</v>
      </c>
      <c r="P47" t="s">
        <v>36</v>
      </c>
      <c r="Q47" t="str">
        <f t="shared" si="17"/>
        <v>MT</v>
      </c>
      <c r="BV47" s="1"/>
      <c r="BW47" s="1" t="s">
        <v>85</v>
      </c>
      <c r="BX47" t="str">
        <f t="shared" si="14"/>
        <v>19</v>
      </c>
      <c r="BY47" t="str">
        <f t="shared" si="15"/>
        <v>12</v>
      </c>
      <c r="BZ47" t="str">
        <f t="shared" si="16"/>
        <v>2020</v>
      </c>
      <c r="CA47" s="5">
        <f t="shared" si="7"/>
        <v>44184</v>
      </c>
      <c r="CB47">
        <v>354</v>
      </c>
      <c r="CC47">
        <v>1</v>
      </c>
      <c r="CD47" s="1" t="s">
        <v>27</v>
      </c>
      <c r="CE47">
        <f t="shared" ref="CE47:CE72" si="19">J47/(H47-J47)*100</f>
        <v>0.10304971452443949</v>
      </c>
      <c r="CF47">
        <f t="shared" ref="CF47:CF72" si="20">I47/(H47-I47)*100</f>
        <v>1.5769839475469141</v>
      </c>
      <c r="CG47">
        <f t="shared" ref="CG47:CG72" si="21">I47/(H47-I47-J47)*100</f>
        <v>1.5786346790392396</v>
      </c>
      <c r="CH47">
        <f t="shared" ref="CH47:CH72" si="22">O47/H47*100</f>
        <v>4.9941572533526237</v>
      </c>
      <c r="CI47">
        <f t="shared" ref="CI47:CI54" si="23">(N47-O47)/H47*100</f>
        <v>5.2862945857214759E-2</v>
      </c>
      <c r="CJ47" s="1"/>
      <c r="CK47" s="6"/>
      <c r="CL47" s="6"/>
      <c r="CM47" s="6"/>
      <c r="CN47" s="6"/>
      <c r="CO47" s="6"/>
      <c r="CP47" s="6"/>
    </row>
    <row r="48" spans="1:94" x14ac:dyDescent="0.2">
      <c r="A48" t="s">
        <v>92</v>
      </c>
      <c r="B48" t="s">
        <v>46</v>
      </c>
      <c r="C48" t="str">
        <f t="shared" si="0"/>
        <v>I</v>
      </c>
      <c r="D48" t="str">
        <f t="shared" si="1"/>
        <v>B</v>
      </c>
      <c r="E48" t="str">
        <f t="shared" si="2"/>
        <v>N</v>
      </c>
      <c r="F48">
        <v>121</v>
      </c>
      <c r="G48">
        <v>114</v>
      </c>
      <c r="H48">
        <v>27.687999999999999</v>
      </c>
      <c r="I48">
        <v>0.39600000000000002</v>
      </c>
      <c r="J48">
        <v>0.35399999999999998</v>
      </c>
      <c r="K48" t="s">
        <v>24</v>
      </c>
      <c r="L48" t="str">
        <f t="shared" si="3"/>
        <v>F</v>
      </c>
      <c r="M48">
        <v>22</v>
      </c>
      <c r="N48">
        <v>2.032</v>
      </c>
      <c r="O48">
        <v>1.571</v>
      </c>
      <c r="P48" t="s">
        <v>93</v>
      </c>
      <c r="Q48" t="str">
        <f t="shared" si="17"/>
        <v>F</v>
      </c>
      <c r="BV48" s="1"/>
      <c r="BW48" s="1" t="s">
        <v>85</v>
      </c>
      <c r="BX48" t="str">
        <f t="shared" si="14"/>
        <v>19</v>
      </c>
      <c r="BY48" t="str">
        <f t="shared" si="15"/>
        <v>12</v>
      </c>
      <c r="BZ48" t="str">
        <f t="shared" si="16"/>
        <v>2020</v>
      </c>
      <c r="CA48" s="5">
        <f t="shared" si="7"/>
        <v>44184</v>
      </c>
      <c r="CB48">
        <v>354</v>
      </c>
      <c r="CC48">
        <v>1</v>
      </c>
      <c r="CD48" s="1" t="s">
        <v>88</v>
      </c>
      <c r="CE48">
        <f t="shared" si="19"/>
        <v>1.2950903636496671</v>
      </c>
      <c r="CF48">
        <f t="shared" si="20"/>
        <v>1.4509746445844938</v>
      </c>
      <c r="CG48">
        <f t="shared" si="21"/>
        <v>1.4700423194001042</v>
      </c>
      <c r="CH48">
        <f t="shared" si="22"/>
        <v>5.6739381681594914</v>
      </c>
      <c r="CI48">
        <f t="shared" si="23"/>
        <v>1.6649812193007805</v>
      </c>
      <c r="CJ48" s="1"/>
      <c r="CK48" s="6"/>
      <c r="CL48" s="6"/>
      <c r="CM48" s="6"/>
      <c r="CN48" s="6"/>
      <c r="CO48" s="6"/>
      <c r="CP48" s="6"/>
    </row>
    <row r="49" spans="1:99" x14ac:dyDescent="0.2">
      <c r="A49" t="s">
        <v>94</v>
      </c>
      <c r="B49" t="s">
        <v>46</v>
      </c>
      <c r="C49" t="str">
        <f t="shared" si="0"/>
        <v>B</v>
      </c>
      <c r="D49" t="str">
        <f t="shared" si="1"/>
        <v>B</v>
      </c>
      <c r="E49" t="str">
        <f t="shared" si="2"/>
        <v>N</v>
      </c>
      <c r="F49">
        <v>156</v>
      </c>
      <c r="G49">
        <v>149</v>
      </c>
      <c r="H49">
        <v>73.626000000000005</v>
      </c>
      <c r="I49">
        <v>1.139</v>
      </c>
      <c r="J49">
        <v>0.107</v>
      </c>
      <c r="K49" t="s">
        <v>38</v>
      </c>
      <c r="L49" t="str">
        <f t="shared" si="3"/>
        <v>M</v>
      </c>
      <c r="M49">
        <v>22</v>
      </c>
      <c r="N49">
        <v>2.415</v>
      </c>
      <c r="O49">
        <v>2.4089999999999998</v>
      </c>
      <c r="P49" t="s">
        <v>29</v>
      </c>
      <c r="Q49" t="str">
        <f t="shared" si="17"/>
        <v>F</v>
      </c>
      <c r="BV49" s="1"/>
      <c r="BW49" s="1" t="s">
        <v>85</v>
      </c>
      <c r="BX49" t="str">
        <f t="shared" si="14"/>
        <v>19</v>
      </c>
      <c r="BY49" t="str">
        <f t="shared" si="15"/>
        <v>12</v>
      </c>
      <c r="BZ49" t="str">
        <f t="shared" si="16"/>
        <v>2020</v>
      </c>
      <c r="CA49" s="5">
        <f t="shared" si="7"/>
        <v>44184</v>
      </c>
      <c r="CB49">
        <v>354</v>
      </c>
      <c r="CC49">
        <v>1</v>
      </c>
      <c r="CD49" s="1" t="s">
        <v>27</v>
      </c>
      <c r="CE49">
        <f t="shared" si="19"/>
        <v>0.14554060855017067</v>
      </c>
      <c r="CF49">
        <f t="shared" si="20"/>
        <v>1.5713162360147335</v>
      </c>
      <c r="CG49">
        <f t="shared" si="21"/>
        <v>1.573639126830616</v>
      </c>
      <c r="CH49">
        <f t="shared" si="22"/>
        <v>3.2719419770189875</v>
      </c>
      <c r="CI49">
        <f t="shared" si="23"/>
        <v>8.1492950859753718E-3</v>
      </c>
      <c r="CJ49" s="1"/>
      <c r="CK49" s="6"/>
      <c r="CL49" s="6"/>
      <c r="CM49" s="6"/>
      <c r="CN49" s="6"/>
      <c r="CO49" s="6"/>
      <c r="CP49" s="6"/>
    </row>
    <row r="50" spans="1:99" x14ac:dyDescent="0.2">
      <c r="A50" t="s">
        <v>95</v>
      </c>
      <c r="B50" t="s">
        <v>46</v>
      </c>
      <c r="C50" t="str">
        <f t="shared" si="0"/>
        <v>I</v>
      </c>
      <c r="D50" t="str">
        <f t="shared" si="1"/>
        <v>B</v>
      </c>
      <c r="E50" t="str">
        <f t="shared" si="2"/>
        <v>N</v>
      </c>
      <c r="F50">
        <v>123</v>
      </c>
      <c r="G50">
        <v>116</v>
      </c>
      <c r="H50">
        <v>34.104999999999997</v>
      </c>
      <c r="I50">
        <v>0.48099999999999998</v>
      </c>
      <c r="J50">
        <v>0.48599999999999999</v>
      </c>
      <c r="K50" t="s">
        <v>24</v>
      </c>
      <c r="L50" t="str">
        <f t="shared" si="3"/>
        <v>F</v>
      </c>
      <c r="M50">
        <v>22</v>
      </c>
      <c r="N50">
        <v>1.3440000000000001</v>
      </c>
      <c r="O50">
        <v>1.3</v>
      </c>
      <c r="P50" t="s">
        <v>36</v>
      </c>
      <c r="Q50" t="str">
        <f t="shared" si="17"/>
        <v>MT</v>
      </c>
      <c r="BV50" s="1"/>
      <c r="BW50" s="1" t="s">
        <v>85</v>
      </c>
      <c r="BX50" t="str">
        <f t="shared" si="14"/>
        <v>19</v>
      </c>
      <c r="BY50" t="str">
        <f t="shared" si="15"/>
        <v>12</v>
      </c>
      <c r="BZ50" t="str">
        <f t="shared" si="16"/>
        <v>2020</v>
      </c>
      <c r="CA50" s="5">
        <f t="shared" si="7"/>
        <v>44184</v>
      </c>
      <c r="CB50">
        <v>354</v>
      </c>
      <c r="CC50">
        <v>1</v>
      </c>
      <c r="CD50" s="1" t="s">
        <v>27</v>
      </c>
      <c r="CE50">
        <f t="shared" si="19"/>
        <v>1.4456111127636158</v>
      </c>
      <c r="CF50">
        <f t="shared" si="20"/>
        <v>1.4305258148941233</v>
      </c>
      <c r="CG50">
        <f t="shared" si="21"/>
        <v>1.4515058241293983</v>
      </c>
      <c r="CH50">
        <f t="shared" si="22"/>
        <v>3.8117578067732008</v>
      </c>
      <c r="CI50">
        <f t="shared" si="23"/>
        <v>0.12901334115232385</v>
      </c>
      <c r="CJ50" s="1"/>
      <c r="CK50" s="6"/>
      <c r="CL50" s="6"/>
      <c r="CM50" s="6"/>
      <c r="CN50" s="6"/>
      <c r="CO50" s="6"/>
      <c r="CP50" s="6"/>
    </row>
    <row r="51" spans="1:99" x14ac:dyDescent="0.2">
      <c r="A51" t="s">
        <v>96</v>
      </c>
      <c r="B51" t="s">
        <v>46</v>
      </c>
      <c r="C51" t="str">
        <f t="shared" si="0"/>
        <v>I</v>
      </c>
      <c r="D51" t="str">
        <f t="shared" si="1"/>
        <v>S</v>
      </c>
      <c r="E51" t="str">
        <f t="shared" si="2"/>
        <v>G</v>
      </c>
      <c r="F51">
        <v>74</v>
      </c>
      <c r="G51">
        <v>70</v>
      </c>
      <c r="H51">
        <v>6.5179999999999998</v>
      </c>
      <c r="I51">
        <v>0.151</v>
      </c>
      <c r="J51">
        <v>0.11899999999999999</v>
      </c>
      <c r="K51" t="s">
        <v>24</v>
      </c>
      <c r="L51" t="str">
        <f t="shared" si="3"/>
        <v>F</v>
      </c>
      <c r="M51">
        <v>22</v>
      </c>
      <c r="N51">
        <v>0.315</v>
      </c>
      <c r="O51">
        <v>0.308</v>
      </c>
      <c r="P51" t="s">
        <v>36</v>
      </c>
      <c r="Q51" t="str">
        <f t="shared" si="17"/>
        <v>MT</v>
      </c>
      <c r="BV51" s="1"/>
      <c r="BW51" s="1" t="s">
        <v>85</v>
      </c>
      <c r="BX51" t="str">
        <f t="shared" si="14"/>
        <v>19</v>
      </c>
      <c r="BY51" t="str">
        <f t="shared" si="15"/>
        <v>12</v>
      </c>
      <c r="BZ51" t="str">
        <f t="shared" si="16"/>
        <v>2020</v>
      </c>
      <c r="CA51" s="5">
        <f t="shared" si="7"/>
        <v>44184</v>
      </c>
      <c r="CB51">
        <v>354</v>
      </c>
      <c r="CC51">
        <v>1</v>
      </c>
      <c r="CD51" s="1" t="s">
        <v>27</v>
      </c>
      <c r="CE51">
        <f t="shared" si="19"/>
        <v>1.8596655727457414</v>
      </c>
      <c r="CF51">
        <f t="shared" si="20"/>
        <v>2.3716035809643472</v>
      </c>
      <c r="CG51">
        <f t="shared" si="21"/>
        <v>2.4167733674775924</v>
      </c>
      <c r="CH51">
        <f t="shared" si="22"/>
        <v>4.7253758821724459</v>
      </c>
      <c r="CI51">
        <f t="shared" si="23"/>
        <v>0.10739490641301024</v>
      </c>
      <c r="CJ51" s="1"/>
      <c r="CK51" s="6"/>
      <c r="CL51" s="6"/>
      <c r="CM51" s="6"/>
      <c r="CN51" s="6"/>
      <c r="CO51" s="6"/>
      <c r="CP51" s="6"/>
    </row>
    <row r="52" spans="1:99" x14ac:dyDescent="0.2">
      <c r="A52" t="s">
        <v>97</v>
      </c>
      <c r="B52" t="s">
        <v>46</v>
      </c>
      <c r="C52" t="str">
        <f t="shared" si="0"/>
        <v>I</v>
      </c>
      <c r="D52" t="str">
        <f t="shared" si="1"/>
        <v>I</v>
      </c>
      <c r="E52" t="str">
        <f t="shared" si="2"/>
        <v>G</v>
      </c>
      <c r="F52">
        <v>87</v>
      </c>
      <c r="G52">
        <v>82</v>
      </c>
      <c r="H52">
        <v>11.378</v>
      </c>
      <c r="I52">
        <v>0.28899999999999998</v>
      </c>
      <c r="J52">
        <v>1.0999999999999999E-2</v>
      </c>
      <c r="K52" t="s">
        <v>38</v>
      </c>
      <c r="L52" t="str">
        <f t="shared" si="3"/>
        <v>M</v>
      </c>
      <c r="M52">
        <v>22</v>
      </c>
      <c r="N52">
        <v>0.56200000000000006</v>
      </c>
      <c r="O52">
        <v>0.55000000000000004</v>
      </c>
      <c r="P52" t="s">
        <v>36</v>
      </c>
      <c r="Q52" t="str">
        <f t="shared" si="17"/>
        <v>MT</v>
      </c>
      <c r="BV52" s="1"/>
      <c r="BW52" s="1" t="s">
        <v>85</v>
      </c>
      <c r="BX52" t="str">
        <f t="shared" si="14"/>
        <v>19</v>
      </c>
      <c r="BY52" t="str">
        <f t="shared" si="15"/>
        <v>12</v>
      </c>
      <c r="BZ52" t="str">
        <f t="shared" si="16"/>
        <v>2020</v>
      </c>
      <c r="CA52" s="5">
        <f t="shared" si="7"/>
        <v>44184</v>
      </c>
      <c r="CB52">
        <v>354</v>
      </c>
      <c r="CC52">
        <v>1</v>
      </c>
      <c r="CD52" s="1" t="s">
        <v>27</v>
      </c>
      <c r="CE52">
        <f t="shared" si="19"/>
        <v>9.6771355678719084E-2</v>
      </c>
      <c r="CF52">
        <f t="shared" si="20"/>
        <v>2.6061863107584089</v>
      </c>
      <c r="CG52">
        <f t="shared" si="21"/>
        <v>2.6087741469579342</v>
      </c>
      <c r="CH52">
        <f t="shared" si="22"/>
        <v>4.8338899630866585</v>
      </c>
      <c r="CI52">
        <f t="shared" si="23"/>
        <v>0.10546669010370902</v>
      </c>
      <c r="CJ52" s="1"/>
      <c r="CK52" s="6"/>
      <c r="CL52" s="6"/>
      <c r="CM52" s="6"/>
      <c r="CN52" s="6"/>
      <c r="CO52" s="6"/>
      <c r="CP52" s="6"/>
    </row>
    <row r="53" spans="1:99" x14ac:dyDescent="0.2">
      <c r="A53" t="s">
        <v>98</v>
      </c>
      <c r="B53" t="s">
        <v>46</v>
      </c>
      <c r="C53" t="str">
        <f t="shared" si="0"/>
        <v>I</v>
      </c>
      <c r="D53" t="str">
        <f t="shared" si="1"/>
        <v>S</v>
      </c>
      <c r="E53" t="str">
        <f t="shared" si="2"/>
        <v>G</v>
      </c>
      <c r="F53">
        <v>83</v>
      </c>
      <c r="G53">
        <v>78</v>
      </c>
      <c r="H53">
        <v>10.288</v>
      </c>
      <c r="I53">
        <v>0.29899999999999999</v>
      </c>
      <c r="J53">
        <v>0.16800000000000001</v>
      </c>
      <c r="K53" t="s">
        <v>24</v>
      </c>
      <c r="L53" t="str">
        <f t="shared" si="3"/>
        <v>F</v>
      </c>
      <c r="M53">
        <v>22</v>
      </c>
      <c r="N53">
        <v>0.49</v>
      </c>
      <c r="O53">
        <v>0.48199999999999998</v>
      </c>
      <c r="P53" t="s">
        <v>36</v>
      </c>
      <c r="Q53" t="str">
        <f t="shared" si="17"/>
        <v>MT</v>
      </c>
      <c r="BV53" s="1"/>
      <c r="BW53" s="1" t="s">
        <v>85</v>
      </c>
      <c r="BX53" t="str">
        <f t="shared" si="14"/>
        <v>19</v>
      </c>
      <c r="BY53" t="str">
        <f t="shared" si="15"/>
        <v>12</v>
      </c>
      <c r="BZ53" t="str">
        <f t="shared" si="16"/>
        <v>2020</v>
      </c>
      <c r="CA53" s="5">
        <f t="shared" si="7"/>
        <v>44184</v>
      </c>
      <c r="CB53">
        <v>354</v>
      </c>
      <c r="CC53">
        <v>1</v>
      </c>
      <c r="CD53" s="1" t="s">
        <v>27</v>
      </c>
      <c r="CE53">
        <f t="shared" si="19"/>
        <v>1.660079051383399</v>
      </c>
      <c r="CF53">
        <f t="shared" si="20"/>
        <v>2.9932926218840721</v>
      </c>
      <c r="CG53">
        <f t="shared" si="21"/>
        <v>3.0444964871194373</v>
      </c>
      <c r="CH53">
        <f t="shared" si="22"/>
        <v>4.6850699844479005</v>
      </c>
      <c r="CI53">
        <f t="shared" si="23"/>
        <v>7.7760497667185138E-2</v>
      </c>
      <c r="CJ53" s="1"/>
      <c r="CK53" s="6"/>
      <c r="CL53" s="6"/>
      <c r="CM53" s="6"/>
      <c r="CN53" s="6"/>
      <c r="CO53" s="6"/>
      <c r="CP53" s="6"/>
    </row>
    <row r="54" spans="1:99" x14ac:dyDescent="0.2">
      <c r="A54" t="s">
        <v>99</v>
      </c>
      <c r="B54" t="s">
        <v>46</v>
      </c>
      <c r="C54" t="str">
        <f t="shared" si="0"/>
        <v>I</v>
      </c>
      <c r="D54" t="str">
        <f t="shared" si="1"/>
        <v>B</v>
      </c>
      <c r="E54" t="str">
        <f t="shared" si="2"/>
        <v>N</v>
      </c>
      <c r="F54">
        <v>141</v>
      </c>
      <c r="G54">
        <v>133</v>
      </c>
      <c r="H54">
        <v>52.563000000000002</v>
      </c>
      <c r="I54">
        <v>0.85699999999999998</v>
      </c>
      <c r="J54">
        <v>8.4000000000000005E-2</v>
      </c>
      <c r="K54" t="s">
        <v>38</v>
      </c>
      <c r="L54" t="str">
        <f t="shared" si="3"/>
        <v>M</v>
      </c>
      <c r="M54">
        <v>22</v>
      </c>
      <c r="N54">
        <v>2.3340000000000001</v>
      </c>
      <c r="O54">
        <v>2.27</v>
      </c>
      <c r="P54" t="s">
        <v>29</v>
      </c>
      <c r="Q54" t="str">
        <f t="shared" si="17"/>
        <v>F</v>
      </c>
      <c r="BV54" s="1"/>
      <c r="BW54" s="1" t="s">
        <v>85</v>
      </c>
      <c r="BX54" t="str">
        <f t="shared" si="14"/>
        <v>19</v>
      </c>
      <c r="BY54" t="str">
        <f t="shared" si="15"/>
        <v>12</v>
      </c>
      <c r="BZ54" t="str">
        <f t="shared" si="16"/>
        <v>2020</v>
      </c>
      <c r="CA54" s="5">
        <f t="shared" si="7"/>
        <v>44184</v>
      </c>
      <c r="CB54">
        <v>354</v>
      </c>
      <c r="CC54">
        <v>1</v>
      </c>
      <c r="CD54" s="1" t="s">
        <v>27</v>
      </c>
      <c r="CE54">
        <f t="shared" si="19"/>
        <v>0.1600640256102441</v>
      </c>
      <c r="CF54">
        <f t="shared" si="20"/>
        <v>1.6574478783893551</v>
      </c>
      <c r="CG54">
        <f t="shared" si="21"/>
        <v>1.6601448994614698</v>
      </c>
      <c r="CH54">
        <f t="shared" si="22"/>
        <v>4.3186271712040787</v>
      </c>
      <c r="CI54">
        <f t="shared" si="23"/>
        <v>0.1217586515229345</v>
      </c>
      <c r="CJ54" s="1"/>
      <c r="CK54" s="6"/>
      <c r="CL54" s="6"/>
      <c r="CM54" s="6"/>
      <c r="CN54" s="6"/>
      <c r="CO54" s="6"/>
      <c r="CP54" s="6"/>
    </row>
    <row r="55" spans="1:99" x14ac:dyDescent="0.2">
      <c r="A55" t="s">
        <v>100</v>
      </c>
      <c r="B55" t="s">
        <v>46</v>
      </c>
      <c r="C55" t="str">
        <f t="shared" si="0"/>
        <v>I</v>
      </c>
      <c r="D55" t="str">
        <f t="shared" si="1"/>
        <v>I</v>
      </c>
      <c r="E55" t="str">
        <f t="shared" si="2"/>
        <v>G</v>
      </c>
      <c r="F55">
        <v>107</v>
      </c>
      <c r="G55">
        <v>101</v>
      </c>
      <c r="H55">
        <v>20.994</v>
      </c>
      <c r="I55">
        <v>0.37</v>
      </c>
      <c r="J55">
        <v>0.33400000000000002</v>
      </c>
      <c r="K55" t="s">
        <v>24</v>
      </c>
      <c r="L55" t="str">
        <f t="shared" si="3"/>
        <v>F</v>
      </c>
      <c r="M55">
        <v>22</v>
      </c>
      <c r="O55">
        <v>1.0529999999999999</v>
      </c>
      <c r="P55" t="s">
        <v>36</v>
      </c>
      <c r="Q55" t="str">
        <f t="shared" si="17"/>
        <v>MT</v>
      </c>
      <c r="BV55" s="1"/>
      <c r="BW55" s="1" t="s">
        <v>85</v>
      </c>
      <c r="BX55" t="str">
        <f t="shared" si="14"/>
        <v>19</v>
      </c>
      <c r="BY55" t="str">
        <f t="shared" si="15"/>
        <v>12</v>
      </c>
      <c r="BZ55" t="str">
        <f t="shared" si="16"/>
        <v>2020</v>
      </c>
      <c r="CA55" s="5">
        <f t="shared" si="7"/>
        <v>44184</v>
      </c>
      <c r="CB55">
        <v>354</v>
      </c>
      <c r="CC55">
        <v>1</v>
      </c>
      <c r="CD55" s="1" t="s">
        <v>27</v>
      </c>
      <c r="CE55">
        <f t="shared" si="19"/>
        <v>1.6166505324298162</v>
      </c>
      <c r="CF55">
        <f t="shared" si="20"/>
        <v>1.7940263770364624</v>
      </c>
      <c r="CG55">
        <f t="shared" si="21"/>
        <v>1.8235584031542633</v>
      </c>
      <c r="CH55">
        <f t="shared" si="22"/>
        <v>5.0157187767933697</v>
      </c>
      <c r="CJ55" s="1"/>
      <c r="CK55" s="6"/>
      <c r="CL55" s="6"/>
      <c r="CM55" s="6"/>
      <c r="CN55" s="6"/>
      <c r="CO55" s="6"/>
      <c r="CP55" s="6"/>
    </row>
    <row r="56" spans="1:99" ht="17" x14ac:dyDescent="0.2">
      <c r="A56" t="s">
        <v>169</v>
      </c>
      <c r="B56" t="s">
        <v>46</v>
      </c>
      <c r="C56" t="str">
        <f t="shared" si="0"/>
        <v>I</v>
      </c>
      <c r="D56" t="str">
        <f t="shared" si="1"/>
        <v>IMM</v>
      </c>
      <c r="E56" t="str">
        <f t="shared" si="2"/>
        <v>G</v>
      </c>
      <c r="F56">
        <v>62</v>
      </c>
      <c r="G56">
        <v>59</v>
      </c>
      <c r="H56">
        <v>4.05</v>
      </c>
      <c r="I56">
        <v>0.11</v>
      </c>
      <c r="J56">
        <v>6.9000000000000006E-2</v>
      </c>
      <c r="K56" t="s">
        <v>24</v>
      </c>
      <c r="L56" t="str">
        <f t="shared" si="3"/>
        <v>F</v>
      </c>
      <c r="M56">
        <v>22</v>
      </c>
      <c r="N56">
        <v>0.18099999999999999</v>
      </c>
      <c r="O56">
        <v>0.16</v>
      </c>
      <c r="P56" t="s">
        <v>36</v>
      </c>
      <c r="Q56" t="str">
        <f t="shared" si="17"/>
        <v>MT</v>
      </c>
      <c r="BV56" s="1"/>
      <c r="BW56" t="s">
        <v>140</v>
      </c>
      <c r="BX56" t="str">
        <f t="shared" si="14"/>
        <v>16</v>
      </c>
      <c r="BY56" t="str">
        <f t="shared" si="15"/>
        <v>01</v>
      </c>
      <c r="BZ56" t="str">
        <f t="shared" si="16"/>
        <v>2021</v>
      </c>
      <c r="CA56" s="5">
        <f t="shared" si="7"/>
        <v>44212</v>
      </c>
      <c r="CB56">
        <v>16</v>
      </c>
      <c r="CC56">
        <v>2</v>
      </c>
      <c r="CD56" t="s">
        <v>141</v>
      </c>
      <c r="CE56">
        <f t="shared" si="19"/>
        <v>1.7332328560663153</v>
      </c>
      <c r="CF56">
        <f t="shared" si="20"/>
        <v>2.7918781725888326</v>
      </c>
      <c r="CG56">
        <f t="shared" si="21"/>
        <v>2.8416429863084476</v>
      </c>
      <c r="CH56">
        <f t="shared" si="22"/>
        <v>3.9506172839506171</v>
      </c>
      <c r="CI56">
        <f t="shared" ref="CI56:CI72" si="24">(N56-O56)/H56*100</f>
        <v>0.51851851851851838</v>
      </c>
      <c r="CJ56" s="1"/>
      <c r="CK56" s="6" t="s">
        <v>142</v>
      </c>
      <c r="CL56" s="6"/>
      <c r="CM56" s="6">
        <v>0</v>
      </c>
      <c r="CN56" s="6">
        <v>0</v>
      </c>
      <c r="CO56" s="6"/>
      <c r="CP56" s="6"/>
      <c r="CQ56" s="12">
        <v>1.7500000000000002E-2</v>
      </c>
      <c r="CR56">
        <f>CQ56/(H56-I56-J56-N56)*1000</f>
        <v>4.742547425474255</v>
      </c>
      <c r="CS56">
        <v>4.6349999999999998</v>
      </c>
      <c r="CU56">
        <v>105.80714925178857</v>
      </c>
    </row>
    <row r="57" spans="1:99" ht="17" x14ac:dyDescent="0.2">
      <c r="A57" t="s">
        <v>170</v>
      </c>
      <c r="B57" t="s">
        <v>46</v>
      </c>
      <c r="C57" t="str">
        <f t="shared" si="0"/>
        <v>I</v>
      </c>
      <c r="D57" t="str">
        <f t="shared" si="1"/>
        <v>S</v>
      </c>
      <c r="E57" t="str">
        <f t="shared" si="2"/>
        <v>G</v>
      </c>
      <c r="F57">
        <v>68</v>
      </c>
      <c r="G57">
        <v>65</v>
      </c>
      <c r="H57">
        <v>5.2290000000000001</v>
      </c>
      <c r="I57">
        <v>0.158</v>
      </c>
      <c r="J57">
        <v>0.10299999999999999</v>
      </c>
      <c r="K57" t="s">
        <v>24</v>
      </c>
      <c r="L57" t="str">
        <f t="shared" si="3"/>
        <v>F</v>
      </c>
      <c r="M57">
        <v>22</v>
      </c>
      <c r="N57">
        <v>0.28699999999999998</v>
      </c>
      <c r="O57">
        <v>0.26</v>
      </c>
      <c r="P57" t="s">
        <v>29</v>
      </c>
      <c r="Q57" t="str">
        <f t="shared" si="17"/>
        <v>F</v>
      </c>
      <c r="BV57" s="1"/>
      <c r="BW57" t="s">
        <v>140</v>
      </c>
      <c r="BX57" t="str">
        <f t="shared" si="14"/>
        <v>16</v>
      </c>
      <c r="BY57" t="str">
        <f t="shared" si="15"/>
        <v>01</v>
      </c>
      <c r="BZ57" t="str">
        <f t="shared" si="16"/>
        <v>2021</v>
      </c>
      <c r="CA57" s="5">
        <f t="shared" si="7"/>
        <v>44212</v>
      </c>
      <c r="CB57">
        <v>16</v>
      </c>
      <c r="CC57">
        <v>2</v>
      </c>
      <c r="CD57" t="s">
        <v>141</v>
      </c>
      <c r="CE57">
        <f t="shared" si="19"/>
        <v>2.0093640265314083</v>
      </c>
      <c r="CF57">
        <f t="shared" si="20"/>
        <v>3.1157562610924869</v>
      </c>
      <c r="CG57">
        <f t="shared" si="21"/>
        <v>3.1803542673107894</v>
      </c>
      <c r="CH57">
        <f t="shared" si="22"/>
        <v>4.9722700325109965</v>
      </c>
      <c r="CI57">
        <f t="shared" si="24"/>
        <v>0.51635111876075668</v>
      </c>
      <c r="CJ57" s="1"/>
      <c r="CK57" s="6" t="s">
        <v>142</v>
      </c>
      <c r="CL57" s="6"/>
      <c r="CM57" s="6"/>
      <c r="CN57" s="6"/>
      <c r="CO57" s="6"/>
      <c r="CP57" s="6"/>
    </row>
    <row r="58" spans="1:99" ht="17" x14ac:dyDescent="0.2">
      <c r="A58" t="s">
        <v>171</v>
      </c>
      <c r="B58" t="s">
        <v>46</v>
      </c>
      <c r="C58" t="str">
        <f t="shared" si="0"/>
        <v>I</v>
      </c>
      <c r="D58" t="str">
        <f t="shared" si="1"/>
        <v>I</v>
      </c>
      <c r="E58" t="str">
        <f t="shared" si="2"/>
        <v>G</v>
      </c>
      <c r="F58">
        <v>92</v>
      </c>
      <c r="G58">
        <v>88</v>
      </c>
      <c r="H58">
        <v>13.913</v>
      </c>
      <c r="I58">
        <v>0.38900000000000001</v>
      </c>
      <c r="J58">
        <v>0.21199999999999999</v>
      </c>
      <c r="K58" t="s">
        <v>24</v>
      </c>
      <c r="L58" t="str">
        <f t="shared" si="3"/>
        <v>F</v>
      </c>
      <c r="M58">
        <v>22</v>
      </c>
      <c r="N58">
        <v>0.51700000000000002</v>
      </c>
      <c r="O58">
        <v>0.5</v>
      </c>
      <c r="P58" t="s">
        <v>36</v>
      </c>
      <c r="Q58" t="str">
        <f t="shared" si="17"/>
        <v>MT</v>
      </c>
      <c r="BV58" s="1"/>
      <c r="BW58" t="s">
        <v>140</v>
      </c>
      <c r="BX58" t="str">
        <f t="shared" si="14"/>
        <v>16</v>
      </c>
      <c r="BY58" t="str">
        <f t="shared" si="15"/>
        <v>01</v>
      </c>
      <c r="BZ58" t="str">
        <f t="shared" si="16"/>
        <v>2021</v>
      </c>
      <c r="CA58" s="5">
        <f t="shared" si="7"/>
        <v>44212</v>
      </c>
      <c r="CB58">
        <v>16</v>
      </c>
      <c r="CC58">
        <v>2</v>
      </c>
      <c r="CD58" t="s">
        <v>141</v>
      </c>
      <c r="CE58">
        <f t="shared" si="19"/>
        <v>1.5473323115101087</v>
      </c>
      <c r="CF58">
        <f t="shared" si="20"/>
        <v>2.8763679384797394</v>
      </c>
      <c r="CG58">
        <f t="shared" si="21"/>
        <v>2.9221754807692304</v>
      </c>
      <c r="CH58">
        <f t="shared" si="22"/>
        <v>3.5937612305038455</v>
      </c>
      <c r="CI58">
        <f t="shared" si="24"/>
        <v>0.12218788183713085</v>
      </c>
      <c r="CJ58" s="1"/>
      <c r="CK58" s="6" t="s">
        <v>142</v>
      </c>
      <c r="CL58" s="6"/>
      <c r="CM58" s="6"/>
      <c r="CN58" s="6"/>
      <c r="CO58" s="6"/>
      <c r="CP58" s="6"/>
    </row>
    <row r="59" spans="1:99" ht="17" x14ac:dyDescent="0.2">
      <c r="A59" t="s">
        <v>172</v>
      </c>
      <c r="B59" t="s">
        <v>46</v>
      </c>
      <c r="C59" t="str">
        <f t="shared" si="0"/>
        <v>S</v>
      </c>
      <c r="D59" t="str">
        <f t="shared" si="1"/>
        <v>IMM</v>
      </c>
      <c r="E59" t="str">
        <f t="shared" si="2"/>
        <v>N</v>
      </c>
      <c r="F59">
        <v>56</v>
      </c>
      <c r="G59">
        <v>53</v>
      </c>
      <c r="H59">
        <v>2.964</v>
      </c>
      <c r="I59">
        <v>6.8000000000000005E-2</v>
      </c>
      <c r="J59">
        <v>4.7E-2</v>
      </c>
      <c r="K59" t="s">
        <v>24</v>
      </c>
      <c r="L59" t="str">
        <f t="shared" si="3"/>
        <v>F</v>
      </c>
      <c r="M59">
        <v>22</v>
      </c>
      <c r="N59">
        <v>0.13600000000000001</v>
      </c>
      <c r="O59">
        <v>0.122</v>
      </c>
      <c r="P59" t="s">
        <v>29</v>
      </c>
      <c r="Q59" t="str">
        <f t="shared" si="17"/>
        <v>F</v>
      </c>
      <c r="BV59" s="1"/>
      <c r="BW59" t="s">
        <v>140</v>
      </c>
      <c r="BX59" t="str">
        <f t="shared" si="14"/>
        <v>16</v>
      </c>
      <c r="BY59" t="str">
        <f t="shared" si="15"/>
        <v>01</v>
      </c>
      <c r="BZ59" t="str">
        <f t="shared" si="16"/>
        <v>2021</v>
      </c>
      <c r="CA59" s="5">
        <f t="shared" si="7"/>
        <v>44212</v>
      </c>
      <c r="CB59">
        <v>16</v>
      </c>
      <c r="CC59">
        <v>2</v>
      </c>
      <c r="CD59" t="s">
        <v>141</v>
      </c>
      <c r="CE59">
        <f t="shared" si="19"/>
        <v>1.6112444292080905</v>
      </c>
      <c r="CF59">
        <f t="shared" si="20"/>
        <v>2.3480662983425415</v>
      </c>
      <c r="CG59">
        <f t="shared" si="21"/>
        <v>2.3868023868023869</v>
      </c>
      <c r="CH59">
        <f t="shared" si="22"/>
        <v>4.1160593792172744</v>
      </c>
      <c r="CI59">
        <f t="shared" si="24"/>
        <v>0.47233468286099911</v>
      </c>
      <c r="CJ59" s="1"/>
      <c r="CK59" s="6" t="s">
        <v>142</v>
      </c>
      <c r="CL59" s="6"/>
      <c r="CM59" s="6"/>
      <c r="CN59" s="6"/>
      <c r="CO59" s="6"/>
      <c r="CP59" s="6"/>
    </row>
    <row r="60" spans="1:99" ht="17" x14ac:dyDescent="0.2">
      <c r="A60" t="s">
        <v>173</v>
      </c>
      <c r="B60" t="s">
        <v>46</v>
      </c>
      <c r="C60" t="str">
        <f t="shared" si="0"/>
        <v>I</v>
      </c>
      <c r="D60" t="str">
        <f t="shared" si="1"/>
        <v>S</v>
      </c>
      <c r="E60" t="str">
        <f t="shared" si="2"/>
        <v>G</v>
      </c>
      <c r="F60">
        <v>84</v>
      </c>
      <c r="G60">
        <v>80</v>
      </c>
      <c r="H60">
        <v>11.177</v>
      </c>
      <c r="I60">
        <v>0.35099999999999998</v>
      </c>
      <c r="J60">
        <v>1.2E-2</v>
      </c>
      <c r="K60" t="s">
        <v>38</v>
      </c>
      <c r="L60" t="str">
        <f t="shared" si="3"/>
        <v>M</v>
      </c>
      <c r="M60">
        <v>22</v>
      </c>
      <c r="N60">
        <v>0.47</v>
      </c>
      <c r="O60">
        <v>0.44500000000000001</v>
      </c>
      <c r="P60" t="s">
        <v>29</v>
      </c>
      <c r="Q60" t="str">
        <f t="shared" si="17"/>
        <v>F</v>
      </c>
      <c r="BV60" s="1"/>
      <c r="BW60" t="s">
        <v>140</v>
      </c>
      <c r="BX60" t="str">
        <f t="shared" si="14"/>
        <v>16</v>
      </c>
      <c r="BY60" t="str">
        <f t="shared" si="15"/>
        <v>01</v>
      </c>
      <c r="BZ60" t="str">
        <f t="shared" si="16"/>
        <v>2021</v>
      </c>
      <c r="CA60" s="5">
        <f t="shared" si="7"/>
        <v>44212</v>
      </c>
      <c r="CB60">
        <v>16</v>
      </c>
      <c r="CC60">
        <v>2</v>
      </c>
      <c r="CD60" t="s">
        <v>141</v>
      </c>
      <c r="CE60">
        <f t="shared" si="19"/>
        <v>0.10747872816838336</v>
      </c>
      <c r="CF60">
        <f t="shared" si="20"/>
        <v>3.242194716423425</v>
      </c>
      <c r="CG60">
        <f t="shared" si="21"/>
        <v>3.2457924912150915</v>
      </c>
      <c r="CH60">
        <f t="shared" si="22"/>
        <v>3.9813903551937013</v>
      </c>
      <c r="CI60">
        <f t="shared" si="24"/>
        <v>0.22367361546032</v>
      </c>
      <c r="CJ60" s="1"/>
      <c r="CK60" s="6" t="s">
        <v>142</v>
      </c>
      <c r="CL60" s="6"/>
      <c r="CM60" s="6"/>
      <c r="CN60" s="6"/>
      <c r="CO60" s="6"/>
      <c r="CP60" s="6"/>
    </row>
    <row r="61" spans="1:99" ht="17" x14ac:dyDescent="0.2">
      <c r="A61" t="s">
        <v>174</v>
      </c>
      <c r="B61" t="s">
        <v>46</v>
      </c>
      <c r="C61" t="str">
        <f t="shared" si="0"/>
        <v>S</v>
      </c>
      <c r="D61" t="str">
        <f t="shared" si="1"/>
        <v>IMM</v>
      </c>
      <c r="E61" t="str">
        <f t="shared" si="2"/>
        <v>G</v>
      </c>
      <c r="F61">
        <v>60</v>
      </c>
      <c r="G61">
        <v>57</v>
      </c>
      <c r="H61">
        <v>3.9020000000000001</v>
      </c>
      <c r="I61">
        <v>8.5999999999999993E-2</v>
      </c>
      <c r="J61">
        <v>7.4999999999999997E-2</v>
      </c>
      <c r="K61" t="s">
        <v>24</v>
      </c>
      <c r="L61" t="str">
        <f t="shared" si="3"/>
        <v>F</v>
      </c>
      <c r="M61">
        <v>22</v>
      </c>
      <c r="N61">
        <v>0.17</v>
      </c>
      <c r="O61">
        <v>0.16300000000000001</v>
      </c>
      <c r="P61" t="s">
        <v>36</v>
      </c>
      <c r="Q61" t="str">
        <f t="shared" si="17"/>
        <v>MT</v>
      </c>
      <c r="BV61" s="1"/>
      <c r="BW61" t="s">
        <v>140</v>
      </c>
      <c r="BX61" t="str">
        <f t="shared" si="14"/>
        <v>16</v>
      </c>
      <c r="BY61" t="str">
        <f t="shared" si="15"/>
        <v>01</v>
      </c>
      <c r="BZ61" t="str">
        <f t="shared" si="16"/>
        <v>2021</v>
      </c>
      <c r="CA61" s="5">
        <f t="shared" si="7"/>
        <v>44212</v>
      </c>
      <c r="CB61">
        <v>16</v>
      </c>
      <c r="CC61">
        <v>2</v>
      </c>
      <c r="CD61" t="s">
        <v>141</v>
      </c>
      <c r="CE61">
        <f t="shared" si="19"/>
        <v>1.9597596028220539</v>
      </c>
      <c r="CF61">
        <f t="shared" si="20"/>
        <v>2.2536687631027252</v>
      </c>
      <c r="CG61">
        <f t="shared" si="21"/>
        <v>2.2988505747126431</v>
      </c>
      <c r="CH61">
        <f t="shared" si="22"/>
        <v>4.1773449513070222</v>
      </c>
      <c r="CI61">
        <f t="shared" si="24"/>
        <v>0.17939518195797041</v>
      </c>
      <c r="CJ61" s="1"/>
      <c r="CK61" s="6" t="s">
        <v>142</v>
      </c>
      <c r="CL61" s="6"/>
      <c r="CM61" s="6"/>
      <c r="CN61" s="6"/>
      <c r="CO61" s="6"/>
      <c r="CP61" s="6"/>
    </row>
    <row r="62" spans="1:99" ht="17" x14ac:dyDescent="0.2">
      <c r="A62" t="s">
        <v>175</v>
      </c>
      <c r="B62" t="s">
        <v>46</v>
      </c>
      <c r="C62" t="str">
        <f t="shared" si="0"/>
        <v>I</v>
      </c>
      <c r="D62" t="str">
        <f t="shared" si="1"/>
        <v>S</v>
      </c>
      <c r="E62" t="str">
        <f t="shared" si="2"/>
        <v>G</v>
      </c>
      <c r="F62">
        <v>80</v>
      </c>
      <c r="G62">
        <v>76</v>
      </c>
      <c r="H62">
        <v>9.4120000000000008</v>
      </c>
      <c r="I62">
        <v>0.32400000000000001</v>
      </c>
      <c r="J62">
        <v>0.153</v>
      </c>
      <c r="K62" t="s">
        <v>24</v>
      </c>
      <c r="L62" t="str">
        <f t="shared" si="3"/>
        <v>F</v>
      </c>
      <c r="M62">
        <v>22</v>
      </c>
      <c r="N62">
        <v>0.33600000000000002</v>
      </c>
      <c r="O62">
        <v>0.32400000000000001</v>
      </c>
      <c r="P62" t="s">
        <v>36</v>
      </c>
      <c r="Q62" t="str">
        <f t="shared" si="17"/>
        <v>MT</v>
      </c>
      <c r="BV62" s="1"/>
      <c r="BW62" t="s">
        <v>140</v>
      </c>
      <c r="BX62" t="str">
        <f t="shared" si="14"/>
        <v>16</v>
      </c>
      <c r="BY62" t="str">
        <f t="shared" si="15"/>
        <v>01</v>
      </c>
      <c r="BZ62" t="str">
        <f t="shared" si="16"/>
        <v>2021</v>
      </c>
      <c r="CA62" s="5">
        <f t="shared" si="7"/>
        <v>44212</v>
      </c>
      <c r="CB62">
        <v>16</v>
      </c>
      <c r="CC62">
        <v>2</v>
      </c>
      <c r="CD62" t="s">
        <v>141</v>
      </c>
      <c r="CE62">
        <f t="shared" si="19"/>
        <v>1.6524462684955179</v>
      </c>
      <c r="CF62">
        <f t="shared" si="20"/>
        <v>3.5651408450704221</v>
      </c>
      <c r="CG62">
        <f t="shared" si="21"/>
        <v>3.6261891438164522</v>
      </c>
      <c r="CH62">
        <f t="shared" si="22"/>
        <v>3.4424139396515083</v>
      </c>
      <c r="CI62">
        <f t="shared" si="24"/>
        <v>0.12749681257968559</v>
      </c>
      <c r="CJ62" s="1"/>
      <c r="CK62" s="6" t="s">
        <v>142</v>
      </c>
      <c r="CL62" s="6"/>
      <c r="CM62" s="6"/>
      <c r="CN62" s="6"/>
      <c r="CO62" s="6"/>
      <c r="CP62" s="6"/>
    </row>
    <row r="63" spans="1:99" ht="17" x14ac:dyDescent="0.2">
      <c r="A63" t="s">
        <v>176</v>
      </c>
      <c r="B63" t="s">
        <v>46</v>
      </c>
      <c r="C63" t="str">
        <f t="shared" si="0"/>
        <v>I</v>
      </c>
      <c r="D63" t="str">
        <f t="shared" si="1"/>
        <v>S</v>
      </c>
      <c r="E63" t="str">
        <f t="shared" si="2"/>
        <v>G</v>
      </c>
      <c r="F63">
        <v>69</v>
      </c>
      <c r="G63">
        <v>66</v>
      </c>
      <c r="H63">
        <v>5.8090000000000002</v>
      </c>
      <c r="I63">
        <v>0.159</v>
      </c>
      <c r="J63">
        <v>7.5999999999999998E-2</v>
      </c>
      <c r="K63" t="s">
        <v>24</v>
      </c>
      <c r="L63" t="str">
        <f t="shared" si="3"/>
        <v>F</v>
      </c>
      <c r="M63">
        <v>22</v>
      </c>
      <c r="N63">
        <v>0.30399999999999999</v>
      </c>
      <c r="O63">
        <v>0.26300000000000001</v>
      </c>
      <c r="P63" t="s">
        <v>29</v>
      </c>
      <c r="Q63" t="str">
        <f t="shared" si="17"/>
        <v>F</v>
      </c>
      <c r="BV63" s="1"/>
      <c r="BW63" t="s">
        <v>140</v>
      </c>
      <c r="BX63" t="str">
        <f t="shared" si="14"/>
        <v>16</v>
      </c>
      <c r="BY63" t="str">
        <f t="shared" si="15"/>
        <v>01</v>
      </c>
      <c r="BZ63" t="str">
        <f t="shared" si="16"/>
        <v>2021</v>
      </c>
      <c r="CA63" s="5">
        <f t="shared" si="7"/>
        <v>44212</v>
      </c>
      <c r="CB63">
        <v>16</v>
      </c>
      <c r="CC63">
        <v>2</v>
      </c>
      <c r="CD63" t="s">
        <v>141</v>
      </c>
      <c r="CE63">
        <f t="shared" si="19"/>
        <v>1.3256584685156112</v>
      </c>
      <c r="CF63">
        <f t="shared" si="20"/>
        <v>2.8141592920353982</v>
      </c>
      <c r="CG63">
        <f t="shared" si="21"/>
        <v>2.8525296017222814</v>
      </c>
      <c r="CH63">
        <f t="shared" si="22"/>
        <v>4.5274573936994322</v>
      </c>
      <c r="CI63">
        <f t="shared" si="24"/>
        <v>0.70580134274401751</v>
      </c>
      <c r="CJ63" s="1"/>
      <c r="CK63" s="6" t="s">
        <v>142</v>
      </c>
      <c r="CL63" s="6"/>
      <c r="CM63" s="6">
        <v>0</v>
      </c>
      <c r="CN63" s="6">
        <v>2</v>
      </c>
      <c r="CO63" s="6"/>
      <c r="CP63" s="6"/>
      <c r="CQ63" s="12">
        <v>2.4500000000000001E-2</v>
      </c>
      <c r="CR63">
        <f>CQ63/(H63-I63-J63-N63)*1000</f>
        <v>4.6489563567362433</v>
      </c>
      <c r="CS63">
        <v>5.8220000000000001</v>
      </c>
      <c r="CT63">
        <v>69.491596411823707</v>
      </c>
      <c r="CU63">
        <v>100.06470896121297</v>
      </c>
    </row>
    <row r="64" spans="1:99" ht="17" x14ac:dyDescent="0.2">
      <c r="A64" t="s">
        <v>177</v>
      </c>
      <c r="B64" t="s">
        <v>46</v>
      </c>
      <c r="C64" t="str">
        <f t="shared" si="0"/>
        <v>I</v>
      </c>
      <c r="D64" t="str">
        <f t="shared" si="1"/>
        <v>I</v>
      </c>
      <c r="E64" t="str">
        <f t="shared" si="2"/>
        <v>G</v>
      </c>
      <c r="F64">
        <v>86</v>
      </c>
      <c r="G64">
        <v>81</v>
      </c>
      <c r="H64">
        <v>10.307</v>
      </c>
      <c r="I64">
        <v>0.18</v>
      </c>
      <c r="J64">
        <v>1.4999999999999999E-2</v>
      </c>
      <c r="K64" t="s">
        <v>38</v>
      </c>
      <c r="L64" t="str">
        <f t="shared" si="3"/>
        <v>M</v>
      </c>
      <c r="M64">
        <v>22</v>
      </c>
      <c r="N64">
        <v>0.36799999999999999</v>
      </c>
      <c r="O64">
        <v>0.35799999999999998</v>
      </c>
      <c r="P64" t="s">
        <v>36</v>
      </c>
      <c r="Q64" t="str">
        <f t="shared" si="17"/>
        <v>MT</v>
      </c>
      <c r="BV64" s="1"/>
      <c r="BW64" t="s">
        <v>140</v>
      </c>
      <c r="BX64" t="str">
        <f t="shared" si="14"/>
        <v>16</v>
      </c>
      <c r="BY64" t="str">
        <f t="shared" si="15"/>
        <v>01</v>
      </c>
      <c r="BZ64" t="str">
        <f t="shared" si="16"/>
        <v>2021</v>
      </c>
      <c r="CA64" s="5">
        <f t="shared" si="7"/>
        <v>44212</v>
      </c>
      <c r="CB64">
        <v>16</v>
      </c>
      <c r="CC64">
        <v>2</v>
      </c>
      <c r="CD64" t="s">
        <v>141</v>
      </c>
      <c r="CE64">
        <f t="shared" si="19"/>
        <v>0.14574426739214924</v>
      </c>
      <c r="CF64">
        <f t="shared" si="20"/>
        <v>1.7774266811494026</v>
      </c>
      <c r="CG64">
        <f t="shared" si="21"/>
        <v>1.7800632911392402</v>
      </c>
      <c r="CH64">
        <f t="shared" si="22"/>
        <v>3.473367614242747</v>
      </c>
      <c r="CI64">
        <f t="shared" si="24"/>
        <v>9.7021441738624314E-2</v>
      </c>
      <c r="CJ64" s="1"/>
      <c r="CK64" s="6" t="s">
        <v>142</v>
      </c>
      <c r="CL64" s="6"/>
      <c r="CM64" s="6"/>
      <c r="CN64" s="6"/>
      <c r="CO64" s="6"/>
      <c r="CP64" s="6"/>
    </row>
    <row r="65" spans="1:99" ht="17" x14ac:dyDescent="0.2">
      <c r="A65" t="s">
        <v>178</v>
      </c>
      <c r="B65" t="s">
        <v>46</v>
      </c>
      <c r="C65" t="str">
        <f t="shared" si="0"/>
        <v>I</v>
      </c>
      <c r="D65" t="str">
        <f t="shared" si="1"/>
        <v>S</v>
      </c>
      <c r="E65" t="str">
        <f t="shared" si="2"/>
        <v>G</v>
      </c>
      <c r="F65">
        <v>79</v>
      </c>
      <c r="G65">
        <v>75</v>
      </c>
      <c r="H65">
        <v>8.2520000000000007</v>
      </c>
      <c r="I65">
        <v>0.183</v>
      </c>
      <c r="J65">
        <v>0.124</v>
      </c>
      <c r="K65" t="s">
        <v>24</v>
      </c>
      <c r="L65" t="str">
        <f t="shared" si="3"/>
        <v>F</v>
      </c>
      <c r="M65">
        <v>22</v>
      </c>
      <c r="N65">
        <v>0.34100000000000003</v>
      </c>
      <c r="O65">
        <v>0.32100000000000001</v>
      </c>
      <c r="P65" t="s">
        <v>36</v>
      </c>
      <c r="Q65" t="str">
        <f t="shared" si="17"/>
        <v>MT</v>
      </c>
      <c r="BV65" s="1"/>
      <c r="BW65" t="s">
        <v>140</v>
      </c>
      <c r="BX65" t="str">
        <f t="shared" si="14"/>
        <v>16</v>
      </c>
      <c r="BY65" t="str">
        <f t="shared" si="15"/>
        <v>01</v>
      </c>
      <c r="BZ65" t="str">
        <f t="shared" si="16"/>
        <v>2021</v>
      </c>
      <c r="CA65" s="5">
        <f t="shared" si="7"/>
        <v>44212</v>
      </c>
      <c r="CB65">
        <v>16</v>
      </c>
      <c r="CC65">
        <v>2</v>
      </c>
      <c r="CD65" t="s">
        <v>141</v>
      </c>
      <c r="CE65">
        <f t="shared" si="19"/>
        <v>1.5255905511811023</v>
      </c>
      <c r="CF65">
        <f t="shared" si="20"/>
        <v>2.2679390259015983</v>
      </c>
      <c r="CG65">
        <f t="shared" si="21"/>
        <v>2.3033354310887346</v>
      </c>
      <c r="CH65">
        <f t="shared" si="22"/>
        <v>3.8899660688317983</v>
      </c>
      <c r="CI65">
        <f t="shared" si="24"/>
        <v>0.24236548715462938</v>
      </c>
      <c r="CJ65" s="1"/>
      <c r="CK65" s="6" t="s">
        <v>142</v>
      </c>
      <c r="CL65" s="6"/>
      <c r="CM65" s="6">
        <v>0</v>
      </c>
      <c r="CN65" s="6">
        <v>3</v>
      </c>
      <c r="CO65" s="6"/>
      <c r="CP65" s="6"/>
      <c r="CQ65" s="12">
        <v>1.1999999999999999E-3</v>
      </c>
      <c r="CR65">
        <f>CQ65/(H65-I65-J65-N65)*1000</f>
        <v>0.15781167806417673</v>
      </c>
      <c r="CS65">
        <v>5.1719999999999997</v>
      </c>
      <c r="CT65">
        <v>71.456442353460417</v>
      </c>
      <c r="CU65">
        <v>99.376756200612789</v>
      </c>
    </row>
    <row r="66" spans="1:99" ht="17" x14ac:dyDescent="0.2">
      <c r="A66" t="s">
        <v>179</v>
      </c>
      <c r="B66" t="s">
        <v>46</v>
      </c>
      <c r="C66" t="str">
        <f t="shared" ref="C66:C129" si="25">IF(F66&gt;=150,"B",IF(F66&lt;=60,"S","I"))</f>
        <v>I</v>
      </c>
      <c r="D66" t="str">
        <f t="shared" ref="D66:D129" si="26">IF(F66&gt;=110,"B",IF(F66&gt;=85,"I",IF(F66&gt;=65,"S","IMM")))</f>
        <v>S</v>
      </c>
      <c r="E66" t="str">
        <f t="shared" ref="E66:E129" si="27">IF(AND(F66&gt;=60,F66&lt;=110),"G","N")</f>
        <v>G</v>
      </c>
      <c r="F66">
        <v>83</v>
      </c>
      <c r="G66">
        <v>79</v>
      </c>
      <c r="H66">
        <v>10.37</v>
      </c>
      <c r="I66">
        <v>0.27200000000000002</v>
      </c>
      <c r="J66">
        <v>0.16500000000000001</v>
      </c>
      <c r="K66" t="s">
        <v>24</v>
      </c>
      <c r="L66" t="str">
        <f t="shared" ref="L66:L129" si="28">LEFT(K66,1)</f>
        <v>F</v>
      </c>
      <c r="M66">
        <v>22</v>
      </c>
      <c r="N66">
        <v>0.39600000000000002</v>
      </c>
      <c r="O66">
        <v>0.38600000000000001</v>
      </c>
      <c r="P66" t="s">
        <v>36</v>
      </c>
      <c r="Q66" t="str">
        <f t="shared" si="17"/>
        <v>MT</v>
      </c>
      <c r="BV66" s="1"/>
      <c r="BW66" t="s">
        <v>140</v>
      </c>
      <c r="BX66" t="str">
        <f t="shared" si="14"/>
        <v>16</v>
      </c>
      <c r="BY66" t="str">
        <f t="shared" si="15"/>
        <v>01</v>
      </c>
      <c r="BZ66" t="str">
        <f t="shared" si="16"/>
        <v>2021</v>
      </c>
      <c r="CA66" s="5">
        <f t="shared" si="7"/>
        <v>44212</v>
      </c>
      <c r="CB66">
        <v>16</v>
      </c>
      <c r="CC66">
        <v>2</v>
      </c>
      <c r="CD66" t="s">
        <v>141</v>
      </c>
      <c r="CE66">
        <f t="shared" si="19"/>
        <v>1.6168544830965212</v>
      </c>
      <c r="CF66">
        <f t="shared" si="20"/>
        <v>2.6936026936026942</v>
      </c>
      <c r="CG66">
        <f t="shared" si="21"/>
        <v>2.7383469243934364</v>
      </c>
      <c r="CH66">
        <f t="shared" si="22"/>
        <v>3.7222757955641277</v>
      </c>
      <c r="CI66">
        <f t="shared" si="24"/>
        <v>9.6432015429122553E-2</v>
      </c>
      <c r="CJ66" s="1"/>
      <c r="CK66" s="6" t="s">
        <v>142</v>
      </c>
      <c r="CL66" s="6"/>
      <c r="CM66" s="6">
        <v>0</v>
      </c>
      <c r="CN66" s="6">
        <v>0</v>
      </c>
      <c r="CO66" s="6"/>
      <c r="CP66" s="6"/>
      <c r="CQ66" s="12">
        <v>4.6399999999999997E-2</v>
      </c>
      <c r="CR66">
        <f>CQ66/(H66-I66-J66-N66)*1000</f>
        <v>4.8652616126664565</v>
      </c>
      <c r="CS66">
        <v>3.8809999999999998</v>
      </c>
      <c r="CT66">
        <v>67.391949304176649</v>
      </c>
      <c r="CU66">
        <v>93.635665262245666</v>
      </c>
    </row>
    <row r="67" spans="1:99" ht="17" x14ac:dyDescent="0.2">
      <c r="A67" t="s">
        <v>180</v>
      </c>
      <c r="B67" t="s">
        <v>46</v>
      </c>
      <c r="C67" t="str">
        <f t="shared" si="25"/>
        <v>I</v>
      </c>
      <c r="D67" t="str">
        <f t="shared" si="26"/>
        <v>S</v>
      </c>
      <c r="E67" t="str">
        <f t="shared" si="27"/>
        <v>G</v>
      </c>
      <c r="F67">
        <v>75</v>
      </c>
      <c r="G67">
        <v>71</v>
      </c>
      <c r="H67">
        <v>7.673</v>
      </c>
      <c r="I67">
        <v>0.13</v>
      </c>
      <c r="J67">
        <v>0.13300000000000001</v>
      </c>
      <c r="K67" t="s">
        <v>24</v>
      </c>
      <c r="L67" t="str">
        <f t="shared" si="28"/>
        <v>F</v>
      </c>
      <c r="M67">
        <v>22</v>
      </c>
      <c r="N67">
        <v>0.34300000000000003</v>
      </c>
      <c r="O67">
        <v>0.32500000000000001</v>
      </c>
      <c r="P67" t="s">
        <v>36</v>
      </c>
      <c r="Q67" t="str">
        <f t="shared" si="17"/>
        <v>MT</v>
      </c>
      <c r="BV67" s="1"/>
      <c r="BW67" t="s">
        <v>140</v>
      </c>
      <c r="BX67" t="str">
        <f t="shared" si="14"/>
        <v>16</v>
      </c>
      <c r="BY67" t="str">
        <f t="shared" si="15"/>
        <v>01</v>
      </c>
      <c r="BZ67" t="str">
        <f t="shared" si="16"/>
        <v>2021</v>
      </c>
      <c r="CA67" s="5">
        <f t="shared" ref="CA67:CA130" si="29">DATE(BZ67,BY67,BX67)</f>
        <v>44212</v>
      </c>
      <c r="CB67">
        <v>16</v>
      </c>
      <c r="CC67">
        <v>2</v>
      </c>
      <c r="CD67" t="s">
        <v>141</v>
      </c>
      <c r="CE67">
        <f t="shared" si="19"/>
        <v>1.7639257294429709</v>
      </c>
      <c r="CF67">
        <f t="shared" si="20"/>
        <v>1.7234522073445577</v>
      </c>
      <c r="CG67">
        <f t="shared" si="21"/>
        <v>1.7543859649122806</v>
      </c>
      <c r="CH67">
        <f t="shared" si="22"/>
        <v>4.2356314349016033</v>
      </c>
      <c r="CI67">
        <f t="shared" si="24"/>
        <v>0.23458881793301206</v>
      </c>
      <c r="CJ67" s="1"/>
      <c r="CK67" s="6" t="s">
        <v>142</v>
      </c>
      <c r="CL67" s="6"/>
      <c r="CM67" s="6"/>
      <c r="CN67" s="6"/>
      <c r="CO67" s="6"/>
      <c r="CP67" s="6"/>
    </row>
    <row r="68" spans="1:99" ht="17" x14ac:dyDescent="0.2">
      <c r="A68" t="s">
        <v>181</v>
      </c>
      <c r="B68" t="s">
        <v>46</v>
      </c>
      <c r="C68" t="str">
        <f t="shared" si="25"/>
        <v>I</v>
      </c>
      <c r="D68" t="str">
        <f t="shared" si="26"/>
        <v>S</v>
      </c>
      <c r="E68" t="str">
        <f t="shared" si="27"/>
        <v>G</v>
      </c>
      <c r="F68">
        <v>76</v>
      </c>
      <c r="G68">
        <v>72</v>
      </c>
      <c r="H68">
        <v>7.1929999999999996</v>
      </c>
      <c r="I68">
        <v>0.248</v>
      </c>
      <c r="J68">
        <v>1.2999999999999999E-2</v>
      </c>
      <c r="K68" t="s">
        <v>38</v>
      </c>
      <c r="L68" t="str">
        <f t="shared" si="28"/>
        <v>M</v>
      </c>
      <c r="M68">
        <v>22</v>
      </c>
      <c r="N68">
        <v>0.36099999999999999</v>
      </c>
      <c r="O68">
        <v>0.33200000000000002</v>
      </c>
      <c r="P68" t="s">
        <v>29</v>
      </c>
      <c r="Q68" t="str">
        <f t="shared" si="17"/>
        <v>F</v>
      </c>
      <c r="BV68" s="1"/>
      <c r="BW68" t="s">
        <v>140</v>
      </c>
      <c r="BX68" t="str">
        <f t="shared" si="14"/>
        <v>16</v>
      </c>
      <c r="BY68" t="str">
        <f t="shared" si="15"/>
        <v>01</v>
      </c>
      <c r="BZ68" t="str">
        <f t="shared" si="16"/>
        <v>2021</v>
      </c>
      <c r="CA68" s="5">
        <f t="shared" si="29"/>
        <v>44212</v>
      </c>
      <c r="CB68">
        <v>16</v>
      </c>
      <c r="CC68">
        <v>2</v>
      </c>
      <c r="CD68" t="s">
        <v>141</v>
      </c>
      <c r="CE68">
        <f t="shared" si="19"/>
        <v>0.18105849582172701</v>
      </c>
      <c r="CF68">
        <f t="shared" si="20"/>
        <v>3.5709143268538517</v>
      </c>
      <c r="CG68">
        <f t="shared" si="21"/>
        <v>3.5776110790536642</v>
      </c>
      <c r="CH68">
        <f t="shared" si="22"/>
        <v>4.6155984985402476</v>
      </c>
      <c r="CI68">
        <f t="shared" si="24"/>
        <v>0.40316974836646696</v>
      </c>
      <c r="CJ68" s="1"/>
      <c r="CK68" s="6" t="s">
        <v>142</v>
      </c>
      <c r="CL68" s="6"/>
      <c r="CM68" s="6"/>
      <c r="CN68" s="6"/>
      <c r="CO68" s="6"/>
      <c r="CP68" s="6"/>
    </row>
    <row r="69" spans="1:99" ht="17" x14ac:dyDescent="0.2">
      <c r="A69" t="s">
        <v>182</v>
      </c>
      <c r="B69" t="s">
        <v>46</v>
      </c>
      <c r="C69" t="str">
        <f t="shared" si="25"/>
        <v>I</v>
      </c>
      <c r="D69" t="str">
        <f t="shared" si="26"/>
        <v>S</v>
      </c>
      <c r="E69" t="str">
        <f t="shared" si="27"/>
        <v>G</v>
      </c>
      <c r="F69">
        <v>73</v>
      </c>
      <c r="G69">
        <v>69</v>
      </c>
      <c r="H69">
        <v>6.6580000000000004</v>
      </c>
      <c r="I69">
        <v>0.16</v>
      </c>
      <c r="J69">
        <v>1.9E-2</v>
      </c>
      <c r="K69" t="s">
        <v>38</v>
      </c>
      <c r="L69" t="str">
        <f t="shared" si="28"/>
        <v>M</v>
      </c>
      <c r="M69">
        <v>22</v>
      </c>
      <c r="N69">
        <v>0.31900000000000001</v>
      </c>
      <c r="O69">
        <v>0.30199999999999999</v>
      </c>
      <c r="P69" t="s">
        <v>29</v>
      </c>
      <c r="Q69" t="str">
        <f t="shared" si="17"/>
        <v>F</v>
      </c>
      <c r="BV69" s="1"/>
      <c r="BW69" t="s">
        <v>140</v>
      </c>
      <c r="BX69" t="str">
        <f t="shared" si="14"/>
        <v>16</v>
      </c>
      <c r="BY69" t="str">
        <f t="shared" si="15"/>
        <v>01</v>
      </c>
      <c r="BZ69" t="str">
        <f t="shared" si="16"/>
        <v>2021</v>
      </c>
      <c r="CA69" s="5">
        <f t="shared" si="29"/>
        <v>44212</v>
      </c>
      <c r="CB69">
        <v>16</v>
      </c>
      <c r="CC69">
        <v>2</v>
      </c>
      <c r="CD69" t="s">
        <v>141</v>
      </c>
      <c r="CE69">
        <f t="shared" si="19"/>
        <v>0.28618767886729923</v>
      </c>
      <c r="CF69">
        <f t="shared" si="20"/>
        <v>2.4622960911049554</v>
      </c>
      <c r="CG69">
        <f t="shared" si="21"/>
        <v>2.4695169007562896</v>
      </c>
      <c r="CH69">
        <f t="shared" si="22"/>
        <v>4.5358966656653648</v>
      </c>
      <c r="CI69">
        <f t="shared" si="24"/>
        <v>0.25533193151096445</v>
      </c>
      <c r="CJ69" s="1"/>
      <c r="CK69" s="6" t="s">
        <v>142</v>
      </c>
      <c r="CL69" s="6"/>
      <c r="CM69" s="6"/>
      <c r="CN69" s="6"/>
      <c r="CO69" s="6"/>
      <c r="CP69" s="6"/>
    </row>
    <row r="70" spans="1:99" ht="17" x14ac:dyDescent="0.2">
      <c r="A70" t="s">
        <v>183</v>
      </c>
      <c r="B70" t="s">
        <v>46</v>
      </c>
      <c r="C70" t="str">
        <f t="shared" si="25"/>
        <v>I</v>
      </c>
      <c r="D70" t="str">
        <f t="shared" si="26"/>
        <v>S</v>
      </c>
      <c r="E70" t="str">
        <f t="shared" si="27"/>
        <v>G</v>
      </c>
      <c r="F70">
        <v>65</v>
      </c>
      <c r="G70">
        <v>62</v>
      </c>
      <c r="H70">
        <v>4.5259999999999998</v>
      </c>
      <c r="I70">
        <v>0.13900000000000001</v>
      </c>
      <c r="J70">
        <v>7.0999999999999994E-2</v>
      </c>
      <c r="K70" t="s">
        <v>24</v>
      </c>
      <c r="L70" t="str">
        <f t="shared" si="28"/>
        <v>F</v>
      </c>
      <c r="M70">
        <v>22</v>
      </c>
      <c r="N70">
        <v>0.20799999999999999</v>
      </c>
      <c r="O70">
        <v>0.192</v>
      </c>
      <c r="P70" t="s">
        <v>29</v>
      </c>
      <c r="Q70" t="str">
        <f t="shared" ref="Q70:Q101" si="30">IF(P70="MT","MT","F")</f>
        <v>F</v>
      </c>
      <c r="BV70" s="1"/>
      <c r="BW70" t="s">
        <v>140</v>
      </c>
      <c r="BX70" t="str">
        <f t="shared" si="14"/>
        <v>16</v>
      </c>
      <c r="BY70" t="str">
        <f t="shared" si="15"/>
        <v>01</v>
      </c>
      <c r="BZ70" t="str">
        <f t="shared" si="16"/>
        <v>2021</v>
      </c>
      <c r="CA70" s="5">
        <f t="shared" si="29"/>
        <v>44212</v>
      </c>
      <c r="CB70">
        <v>16</v>
      </c>
      <c r="CC70">
        <v>2</v>
      </c>
      <c r="CD70" t="s">
        <v>141</v>
      </c>
      <c r="CE70">
        <f t="shared" si="19"/>
        <v>1.5937149270482602</v>
      </c>
      <c r="CF70">
        <f t="shared" si="20"/>
        <v>3.1684522452701169</v>
      </c>
      <c r="CG70">
        <f t="shared" si="21"/>
        <v>3.220574606116775</v>
      </c>
      <c r="CH70">
        <f t="shared" si="22"/>
        <v>4.2421564295183387</v>
      </c>
      <c r="CI70">
        <f t="shared" si="24"/>
        <v>0.3535130357931946</v>
      </c>
      <c r="CJ70" s="1"/>
      <c r="CK70" s="6" t="s">
        <v>142</v>
      </c>
      <c r="CL70" s="6"/>
      <c r="CM70" s="6">
        <v>0</v>
      </c>
      <c r="CN70" s="6">
        <v>0</v>
      </c>
      <c r="CO70" s="6"/>
      <c r="CP70" s="6"/>
      <c r="CQ70" s="12">
        <v>1.7500000000000002E-2</v>
      </c>
      <c r="CR70">
        <f>CQ70/(H70-I70-J70-N70)*1000</f>
        <v>4.2599805258033117</v>
      </c>
      <c r="CS70">
        <v>4.7190000000000003</v>
      </c>
      <c r="CT70">
        <v>60.203103366011064</v>
      </c>
      <c r="CU70">
        <v>100.43543353114711</v>
      </c>
    </row>
    <row r="71" spans="1:99" ht="17" x14ac:dyDescent="0.2">
      <c r="A71" t="s">
        <v>184</v>
      </c>
      <c r="B71" t="s">
        <v>46</v>
      </c>
      <c r="C71" t="str">
        <f t="shared" si="25"/>
        <v>I</v>
      </c>
      <c r="D71" t="str">
        <f t="shared" si="26"/>
        <v>B</v>
      </c>
      <c r="E71" t="str">
        <f t="shared" si="27"/>
        <v>N</v>
      </c>
      <c r="F71">
        <v>135</v>
      </c>
      <c r="G71">
        <v>127</v>
      </c>
      <c r="H71">
        <v>40.43</v>
      </c>
      <c r="I71">
        <v>0.623</v>
      </c>
      <c r="J71">
        <v>3.5000000000000003E-2</v>
      </c>
      <c r="K71" t="s">
        <v>38</v>
      </c>
      <c r="L71" t="str">
        <f t="shared" si="28"/>
        <v>M</v>
      </c>
      <c r="M71">
        <v>22</v>
      </c>
      <c r="N71">
        <v>1.6559999999999999</v>
      </c>
      <c r="O71">
        <v>1.5509999999999999</v>
      </c>
      <c r="P71" t="s">
        <v>146</v>
      </c>
      <c r="Q71" t="str">
        <f t="shared" si="30"/>
        <v>F</v>
      </c>
      <c r="BV71" s="1"/>
      <c r="BW71" t="s">
        <v>140</v>
      </c>
      <c r="BX71" t="str">
        <f t="shared" si="14"/>
        <v>16</v>
      </c>
      <c r="BY71" t="str">
        <f t="shared" si="15"/>
        <v>01</v>
      </c>
      <c r="BZ71" t="str">
        <f t="shared" si="16"/>
        <v>2021</v>
      </c>
      <c r="CA71" s="5">
        <f t="shared" si="29"/>
        <v>44212</v>
      </c>
      <c r="CB71">
        <v>16</v>
      </c>
      <c r="CC71">
        <v>2</v>
      </c>
      <c r="CD71" t="s">
        <v>144</v>
      </c>
      <c r="CE71">
        <f t="shared" si="19"/>
        <v>8.6644386681519997E-2</v>
      </c>
      <c r="CF71">
        <f t="shared" si="20"/>
        <v>1.5650513728741176</v>
      </c>
      <c r="CG71">
        <f t="shared" si="21"/>
        <v>1.5664286432666195</v>
      </c>
      <c r="CH71">
        <f t="shared" si="22"/>
        <v>3.8362602028196884</v>
      </c>
      <c r="CI71">
        <f t="shared" si="24"/>
        <v>0.25970813752164229</v>
      </c>
      <c r="CJ71" s="1"/>
      <c r="CK71" s="6" t="s">
        <v>105</v>
      </c>
      <c r="CL71" s="6"/>
      <c r="CM71" s="6"/>
      <c r="CN71" s="6"/>
      <c r="CO71" s="6"/>
      <c r="CP71" s="6"/>
    </row>
    <row r="72" spans="1:99" ht="17" x14ac:dyDescent="0.2">
      <c r="A72" t="s">
        <v>185</v>
      </c>
      <c r="B72" t="s">
        <v>46</v>
      </c>
      <c r="C72" t="str">
        <f t="shared" si="25"/>
        <v>I</v>
      </c>
      <c r="D72" t="str">
        <f t="shared" si="26"/>
        <v>B</v>
      </c>
      <c r="E72" t="str">
        <f t="shared" si="27"/>
        <v>N</v>
      </c>
      <c r="F72">
        <v>116</v>
      </c>
      <c r="G72">
        <v>110</v>
      </c>
      <c r="H72">
        <v>27.443000000000001</v>
      </c>
      <c r="I72">
        <v>0.45100000000000001</v>
      </c>
      <c r="J72">
        <v>3.4000000000000002E-2</v>
      </c>
      <c r="K72" t="s">
        <v>38</v>
      </c>
      <c r="L72" t="str">
        <f t="shared" si="28"/>
        <v>M</v>
      </c>
      <c r="M72">
        <v>22</v>
      </c>
      <c r="N72">
        <v>1.3859999999999999</v>
      </c>
      <c r="O72">
        <v>1.042</v>
      </c>
      <c r="P72" t="s">
        <v>186</v>
      </c>
      <c r="Q72" t="str">
        <f t="shared" si="30"/>
        <v>F</v>
      </c>
      <c r="BV72" s="1"/>
      <c r="BW72" t="s">
        <v>140</v>
      </c>
      <c r="BX72" t="str">
        <f t="shared" si="14"/>
        <v>16</v>
      </c>
      <c r="BY72" t="str">
        <f t="shared" si="15"/>
        <v>01</v>
      </c>
      <c r="BZ72" t="str">
        <f t="shared" si="16"/>
        <v>2021</v>
      </c>
      <c r="CA72" s="5">
        <f t="shared" si="29"/>
        <v>44212</v>
      </c>
      <c r="CB72">
        <v>16</v>
      </c>
      <c r="CC72">
        <v>2</v>
      </c>
      <c r="CD72" t="s">
        <v>187</v>
      </c>
      <c r="CE72">
        <f t="shared" si="19"/>
        <v>0.12404684592652049</v>
      </c>
      <c r="CF72">
        <f t="shared" si="20"/>
        <v>1.6708654416123296</v>
      </c>
      <c r="CG72">
        <f t="shared" si="21"/>
        <v>1.6729727724608652</v>
      </c>
      <c r="CH72">
        <f t="shared" si="22"/>
        <v>3.796960973654484</v>
      </c>
      <c r="CI72">
        <f t="shared" si="24"/>
        <v>1.25350726961338</v>
      </c>
      <c r="CJ72" s="1"/>
      <c r="CK72" s="6" t="s">
        <v>105</v>
      </c>
      <c r="CL72" s="6"/>
      <c r="CM72" s="6"/>
      <c r="CN72" s="6"/>
      <c r="CO72" s="6"/>
      <c r="CP72" s="6"/>
    </row>
    <row r="73" spans="1:99" ht="17" x14ac:dyDescent="0.2">
      <c r="A73" t="s">
        <v>188</v>
      </c>
      <c r="B73" t="s">
        <v>46</v>
      </c>
      <c r="C73" t="str">
        <f t="shared" si="25"/>
        <v>I</v>
      </c>
      <c r="D73" t="str">
        <f t="shared" si="26"/>
        <v>B</v>
      </c>
      <c r="E73" t="str">
        <f t="shared" si="27"/>
        <v>N</v>
      </c>
      <c r="F73">
        <v>116</v>
      </c>
      <c r="G73">
        <v>110</v>
      </c>
      <c r="I73">
        <v>0.53600000000000003</v>
      </c>
      <c r="J73">
        <v>1.7000000000000001E-2</v>
      </c>
      <c r="K73" t="s">
        <v>38</v>
      </c>
      <c r="L73" t="str">
        <f t="shared" si="28"/>
        <v>M</v>
      </c>
      <c r="M73">
        <v>22</v>
      </c>
      <c r="N73">
        <v>2.0299999999999998</v>
      </c>
      <c r="O73">
        <v>1.6060000000000001</v>
      </c>
      <c r="P73" t="s">
        <v>186</v>
      </c>
      <c r="Q73" t="str">
        <f t="shared" si="30"/>
        <v>F</v>
      </c>
      <c r="BV73" s="1"/>
      <c r="BW73" t="s">
        <v>140</v>
      </c>
      <c r="BX73" t="str">
        <f t="shared" si="14"/>
        <v>16</v>
      </c>
      <c r="BY73" t="str">
        <f t="shared" si="15"/>
        <v>01</v>
      </c>
      <c r="BZ73" t="str">
        <f t="shared" si="16"/>
        <v>2021</v>
      </c>
      <c r="CA73" s="5">
        <f t="shared" si="29"/>
        <v>44212</v>
      </c>
      <c r="CB73">
        <v>16</v>
      </c>
      <c r="CC73">
        <v>2</v>
      </c>
      <c r="CD73" t="s">
        <v>144</v>
      </c>
      <c r="CJ73" s="1"/>
      <c r="CK73" s="6" t="s">
        <v>105</v>
      </c>
      <c r="CL73" s="6"/>
      <c r="CM73" s="6"/>
      <c r="CN73" s="6"/>
      <c r="CO73" s="6"/>
      <c r="CP73" s="6"/>
    </row>
    <row r="74" spans="1:99" ht="17" x14ac:dyDescent="0.2">
      <c r="A74" t="s">
        <v>254</v>
      </c>
      <c r="B74" t="s">
        <v>46</v>
      </c>
      <c r="C74" t="str">
        <f t="shared" si="25"/>
        <v>I</v>
      </c>
      <c r="D74" t="str">
        <f t="shared" si="26"/>
        <v>I</v>
      </c>
      <c r="E74" t="str">
        <f t="shared" si="27"/>
        <v>G</v>
      </c>
      <c r="F74">
        <v>89</v>
      </c>
      <c r="G74">
        <v>85</v>
      </c>
      <c r="H74">
        <v>11.638999999999999</v>
      </c>
      <c r="I74">
        <v>0.224</v>
      </c>
      <c r="J74">
        <v>1.2E-2</v>
      </c>
      <c r="K74" t="s">
        <v>38</v>
      </c>
      <c r="L74" t="str">
        <f t="shared" si="28"/>
        <v>M</v>
      </c>
      <c r="M74">
        <v>22</v>
      </c>
      <c r="N74">
        <v>0.46899999999999997</v>
      </c>
      <c r="O74">
        <v>0.42299999999999999</v>
      </c>
      <c r="P74" t="s">
        <v>255</v>
      </c>
      <c r="Q74" t="str">
        <f t="shared" si="30"/>
        <v>F</v>
      </c>
      <c r="AP74">
        <v>1</v>
      </c>
      <c r="AQ74">
        <v>1.2999999999999999E-2</v>
      </c>
      <c r="BV74" s="1">
        <v>0.13</v>
      </c>
      <c r="BW74" s="5">
        <v>44318</v>
      </c>
      <c r="BX74">
        <v>5</v>
      </c>
      <c r="BY74">
        <v>2</v>
      </c>
      <c r="BZ74">
        <v>2021</v>
      </c>
      <c r="CA74" s="5">
        <f t="shared" si="29"/>
        <v>44232</v>
      </c>
      <c r="CB74">
        <v>36</v>
      </c>
      <c r="CC74">
        <v>3</v>
      </c>
      <c r="CD74" t="s">
        <v>256</v>
      </c>
      <c r="CE74">
        <f t="shared" ref="CE74:CE137" si="31">J74/(H74-J74)*100</f>
        <v>0.10320805022791781</v>
      </c>
      <c r="CF74">
        <f t="shared" ref="CF74:CF137" si="32">I74/(H74-I74)*100</f>
        <v>1.9623302671922911</v>
      </c>
      <c r="CG74">
        <f t="shared" ref="CG74:CG105" si="33">I74/(H74-I74-J74)*100</f>
        <v>1.9643953345610805</v>
      </c>
      <c r="CH74">
        <f t="shared" ref="CH74:CH105" si="34">O74/H74*100</f>
        <v>3.6343328464644729</v>
      </c>
      <c r="CI74">
        <f t="shared" ref="CI74:CI137" si="35">(N74-O74)/H74*100</f>
        <v>0.39522295729873691</v>
      </c>
      <c r="CJ74" s="1">
        <f t="shared" ref="CJ74:CJ137" si="36">(N74-O74+(BV74))/(H74)*100</f>
        <v>1.5121574018386459</v>
      </c>
      <c r="CK74" s="6" t="s">
        <v>142</v>
      </c>
      <c r="CL74" s="6"/>
      <c r="CM74" s="6"/>
      <c r="CN74" s="6"/>
      <c r="CO74" s="6"/>
      <c r="CP74" s="6"/>
    </row>
    <row r="75" spans="1:99" ht="17" x14ac:dyDescent="0.2">
      <c r="A75" t="s">
        <v>257</v>
      </c>
      <c r="B75" t="s">
        <v>46</v>
      </c>
      <c r="C75" t="str">
        <f t="shared" si="25"/>
        <v>I</v>
      </c>
      <c r="D75" t="str">
        <f t="shared" si="26"/>
        <v>S</v>
      </c>
      <c r="E75" t="str">
        <f t="shared" si="27"/>
        <v>G</v>
      </c>
      <c r="F75">
        <v>78</v>
      </c>
      <c r="G75">
        <v>74</v>
      </c>
      <c r="H75">
        <v>7.9119999999999999</v>
      </c>
      <c r="I75">
        <v>0.18099999999999999</v>
      </c>
      <c r="J75">
        <v>1.2999999999999999E-2</v>
      </c>
      <c r="K75" t="s">
        <v>38</v>
      </c>
      <c r="L75" t="str">
        <f t="shared" si="28"/>
        <v>M</v>
      </c>
      <c r="M75">
        <v>22</v>
      </c>
      <c r="N75">
        <v>0.39300000000000002</v>
      </c>
      <c r="O75">
        <v>0.38700000000000001</v>
      </c>
      <c r="P75" t="s">
        <v>36</v>
      </c>
      <c r="Q75" t="str">
        <f t="shared" si="30"/>
        <v>MT</v>
      </c>
      <c r="BV75" s="1">
        <v>0</v>
      </c>
      <c r="BW75" s="5">
        <v>44318</v>
      </c>
      <c r="BX75">
        <v>5</v>
      </c>
      <c r="BY75">
        <v>2</v>
      </c>
      <c r="BZ75">
        <v>2021</v>
      </c>
      <c r="CA75" s="5">
        <f t="shared" si="29"/>
        <v>44232</v>
      </c>
      <c r="CB75">
        <v>36</v>
      </c>
      <c r="CC75">
        <v>3</v>
      </c>
      <c r="CD75" t="s">
        <v>141</v>
      </c>
      <c r="CE75">
        <f t="shared" si="31"/>
        <v>0.1645777946575516</v>
      </c>
      <c r="CF75">
        <f t="shared" si="32"/>
        <v>2.3412236450653214</v>
      </c>
      <c r="CG75">
        <f t="shared" si="33"/>
        <v>2.3451671417465665</v>
      </c>
      <c r="CH75">
        <f t="shared" si="34"/>
        <v>4.8913043478260869</v>
      </c>
      <c r="CI75">
        <f t="shared" si="35"/>
        <v>7.5834175935288239E-2</v>
      </c>
      <c r="CJ75" s="1">
        <f t="shared" si="36"/>
        <v>7.5834175935288239E-2</v>
      </c>
      <c r="CK75" s="6" t="s">
        <v>142</v>
      </c>
      <c r="CL75" s="6"/>
      <c r="CM75" s="6"/>
      <c r="CN75" s="6"/>
      <c r="CO75" s="6"/>
      <c r="CP75" s="6"/>
    </row>
    <row r="76" spans="1:99" ht="17" x14ac:dyDescent="0.2">
      <c r="A76" t="s">
        <v>258</v>
      </c>
      <c r="B76" t="s">
        <v>46</v>
      </c>
      <c r="C76" t="str">
        <f t="shared" si="25"/>
        <v>I</v>
      </c>
      <c r="D76" t="str">
        <f t="shared" si="26"/>
        <v>I</v>
      </c>
      <c r="E76" t="str">
        <f t="shared" si="27"/>
        <v>G</v>
      </c>
      <c r="F76">
        <v>87</v>
      </c>
      <c r="G76">
        <v>83</v>
      </c>
      <c r="H76">
        <v>11.329000000000001</v>
      </c>
      <c r="I76">
        <v>0.307</v>
      </c>
      <c r="J76">
        <v>0.16600000000000001</v>
      </c>
      <c r="K76" t="s">
        <v>24</v>
      </c>
      <c r="L76" t="str">
        <f t="shared" si="28"/>
        <v>F</v>
      </c>
      <c r="M76">
        <v>22</v>
      </c>
      <c r="N76">
        <v>0.49399999999999999</v>
      </c>
      <c r="O76">
        <v>0.46700000000000003</v>
      </c>
      <c r="P76" t="s">
        <v>259</v>
      </c>
      <c r="Q76" t="str">
        <f t="shared" si="30"/>
        <v>F</v>
      </c>
      <c r="AV76">
        <v>1</v>
      </c>
      <c r="AW76">
        <v>2E-3</v>
      </c>
      <c r="BB76">
        <v>1</v>
      </c>
      <c r="BC76">
        <v>8.0000000000000002E-3</v>
      </c>
      <c r="BV76" s="1">
        <v>0.01</v>
      </c>
      <c r="BW76" s="5">
        <v>44318</v>
      </c>
      <c r="BX76">
        <v>5</v>
      </c>
      <c r="BY76">
        <v>2</v>
      </c>
      <c r="BZ76">
        <v>2021</v>
      </c>
      <c r="CA76" s="5">
        <f t="shared" si="29"/>
        <v>44232</v>
      </c>
      <c r="CB76">
        <v>36</v>
      </c>
      <c r="CC76">
        <v>3</v>
      </c>
      <c r="CD76" t="s">
        <v>141</v>
      </c>
      <c r="CE76">
        <f t="shared" si="31"/>
        <v>1.4870554510436265</v>
      </c>
      <c r="CF76">
        <f t="shared" si="32"/>
        <v>2.785338414080929</v>
      </c>
      <c r="CG76">
        <f t="shared" si="33"/>
        <v>2.8279292557111275</v>
      </c>
      <c r="CH76">
        <f t="shared" si="34"/>
        <v>4.1221643569600142</v>
      </c>
      <c r="CI76">
        <f t="shared" si="35"/>
        <v>0.23832641892488274</v>
      </c>
      <c r="CJ76" s="1">
        <f t="shared" si="36"/>
        <v>0.32659546297113573</v>
      </c>
      <c r="CK76" s="6" t="s">
        <v>142</v>
      </c>
      <c r="CL76" s="6"/>
      <c r="CM76" s="6"/>
      <c r="CN76" s="6"/>
      <c r="CO76" s="6"/>
      <c r="CP76" s="6"/>
      <c r="CQ76" s="12">
        <v>5.67E-2</v>
      </c>
      <c r="CR76">
        <f>CQ76/(H76-I76-J76-N76)*1000</f>
        <v>5.4719166184134336</v>
      </c>
    </row>
    <row r="77" spans="1:99" ht="17" x14ac:dyDescent="0.2">
      <c r="A77" t="s">
        <v>260</v>
      </c>
      <c r="B77" t="s">
        <v>46</v>
      </c>
      <c r="C77" t="str">
        <f t="shared" si="25"/>
        <v>I</v>
      </c>
      <c r="D77" t="str">
        <f t="shared" si="26"/>
        <v>I</v>
      </c>
      <c r="E77" t="str">
        <f t="shared" si="27"/>
        <v>G</v>
      </c>
      <c r="F77">
        <v>90</v>
      </c>
      <c r="G77">
        <v>85</v>
      </c>
      <c r="H77">
        <v>11.15</v>
      </c>
      <c r="I77">
        <v>0.22600000000000001</v>
      </c>
      <c r="J77">
        <v>1.7000000000000001E-2</v>
      </c>
      <c r="K77" t="s">
        <v>38</v>
      </c>
      <c r="L77" t="str">
        <f t="shared" si="28"/>
        <v>M</v>
      </c>
      <c r="M77">
        <v>22</v>
      </c>
      <c r="N77">
        <v>0.46100000000000002</v>
      </c>
      <c r="O77">
        <v>0.44800000000000001</v>
      </c>
      <c r="P77" t="s">
        <v>36</v>
      </c>
      <c r="Q77" t="str">
        <f t="shared" si="30"/>
        <v>MT</v>
      </c>
      <c r="BV77" s="1">
        <v>0</v>
      </c>
      <c r="BW77" s="5">
        <v>44318</v>
      </c>
      <c r="BX77">
        <v>5</v>
      </c>
      <c r="BY77">
        <v>2</v>
      </c>
      <c r="BZ77">
        <v>2021</v>
      </c>
      <c r="CA77" s="5">
        <f t="shared" si="29"/>
        <v>44232</v>
      </c>
      <c r="CB77">
        <v>36</v>
      </c>
      <c r="CC77">
        <v>3</v>
      </c>
      <c r="CD77" t="s">
        <v>141</v>
      </c>
      <c r="CE77">
        <f t="shared" si="31"/>
        <v>0.15269918261025781</v>
      </c>
      <c r="CF77">
        <f t="shared" si="32"/>
        <v>2.0688392530208719</v>
      </c>
      <c r="CG77">
        <f t="shared" si="33"/>
        <v>2.0720638122306774</v>
      </c>
      <c r="CH77">
        <f t="shared" si="34"/>
        <v>4.0179372197309418</v>
      </c>
      <c r="CI77">
        <f t="shared" si="35"/>
        <v>0.11659192825112118</v>
      </c>
      <c r="CJ77" s="1">
        <f t="shared" si="36"/>
        <v>0.11659192825112118</v>
      </c>
      <c r="CK77" s="6" t="s">
        <v>142</v>
      </c>
      <c r="CL77" s="6"/>
      <c r="CM77" s="6"/>
      <c r="CN77" s="6"/>
      <c r="CO77" s="6"/>
      <c r="CP77" s="6"/>
    </row>
    <row r="78" spans="1:99" ht="17" x14ac:dyDescent="0.2">
      <c r="A78" t="s">
        <v>261</v>
      </c>
      <c r="B78" t="s">
        <v>46</v>
      </c>
      <c r="C78" t="str">
        <f t="shared" si="25"/>
        <v>I</v>
      </c>
      <c r="D78" t="str">
        <f t="shared" si="26"/>
        <v>I</v>
      </c>
      <c r="E78" t="str">
        <f t="shared" si="27"/>
        <v>G</v>
      </c>
      <c r="F78">
        <v>92</v>
      </c>
      <c r="G78">
        <v>87</v>
      </c>
      <c r="H78">
        <v>14.09</v>
      </c>
      <c r="I78">
        <v>0.39700000000000002</v>
      </c>
      <c r="J78">
        <v>2.4E-2</v>
      </c>
      <c r="K78" t="s">
        <v>38</v>
      </c>
      <c r="L78" t="str">
        <f t="shared" si="28"/>
        <v>M</v>
      </c>
      <c r="M78">
        <v>22</v>
      </c>
      <c r="N78">
        <v>0.61399999999999999</v>
      </c>
      <c r="O78">
        <v>0.59599999999999997</v>
      </c>
      <c r="P78" t="s">
        <v>36</v>
      </c>
      <c r="Q78" t="str">
        <f t="shared" si="30"/>
        <v>MT</v>
      </c>
      <c r="BV78" s="1">
        <v>0</v>
      </c>
      <c r="BW78" s="5">
        <v>44318</v>
      </c>
      <c r="BX78">
        <v>5</v>
      </c>
      <c r="BY78">
        <v>2</v>
      </c>
      <c r="BZ78">
        <v>2021</v>
      </c>
      <c r="CA78" s="5">
        <f t="shared" si="29"/>
        <v>44232</v>
      </c>
      <c r="CB78">
        <v>36</v>
      </c>
      <c r="CC78">
        <v>3</v>
      </c>
      <c r="CD78" t="s">
        <v>141</v>
      </c>
      <c r="CE78">
        <f t="shared" si="31"/>
        <v>0.17062420019906155</v>
      </c>
      <c r="CF78">
        <f t="shared" si="32"/>
        <v>2.8992916088512382</v>
      </c>
      <c r="CG78">
        <f t="shared" si="33"/>
        <v>2.9043821786524253</v>
      </c>
      <c r="CH78">
        <f t="shared" si="34"/>
        <v>4.2299503193754431</v>
      </c>
      <c r="CI78">
        <f t="shared" si="35"/>
        <v>0.12775017743080211</v>
      </c>
      <c r="CJ78" s="1">
        <f t="shared" si="36"/>
        <v>0.12775017743080211</v>
      </c>
      <c r="CK78" s="6" t="s">
        <v>142</v>
      </c>
      <c r="CL78" s="6"/>
      <c r="CM78" s="6"/>
      <c r="CN78" s="6"/>
      <c r="CO78" s="6"/>
      <c r="CP78" s="6"/>
    </row>
    <row r="79" spans="1:99" ht="17" x14ac:dyDescent="0.2">
      <c r="A79" t="s">
        <v>262</v>
      </c>
      <c r="B79" t="s">
        <v>46</v>
      </c>
      <c r="C79" t="str">
        <f t="shared" si="25"/>
        <v>I</v>
      </c>
      <c r="D79" t="str">
        <f t="shared" si="26"/>
        <v>S</v>
      </c>
      <c r="E79" t="str">
        <f t="shared" si="27"/>
        <v>G</v>
      </c>
      <c r="F79">
        <v>74</v>
      </c>
      <c r="G79">
        <v>70</v>
      </c>
      <c r="H79">
        <v>6.2690000000000001</v>
      </c>
      <c r="I79">
        <v>0.13300000000000001</v>
      </c>
      <c r="J79">
        <v>0.111</v>
      </c>
      <c r="K79" t="s">
        <v>24</v>
      </c>
      <c r="L79" t="str">
        <f t="shared" si="28"/>
        <v>F</v>
      </c>
      <c r="M79">
        <v>22</v>
      </c>
      <c r="N79">
        <v>0.23100000000000001</v>
      </c>
      <c r="O79">
        <v>0.222</v>
      </c>
      <c r="P79" t="s">
        <v>36</v>
      </c>
      <c r="Q79" t="str">
        <f t="shared" si="30"/>
        <v>MT</v>
      </c>
      <c r="BV79" s="1">
        <v>0</v>
      </c>
      <c r="BW79" s="5">
        <v>44318</v>
      </c>
      <c r="BX79">
        <v>5</v>
      </c>
      <c r="BY79">
        <v>2</v>
      </c>
      <c r="BZ79">
        <v>2021</v>
      </c>
      <c r="CA79" s="5">
        <f t="shared" si="29"/>
        <v>44232</v>
      </c>
      <c r="CB79">
        <v>36</v>
      </c>
      <c r="CC79">
        <v>3</v>
      </c>
      <c r="CD79" t="s">
        <v>256</v>
      </c>
      <c r="CE79">
        <f t="shared" si="31"/>
        <v>1.8025332900292301</v>
      </c>
      <c r="CF79">
        <f t="shared" si="32"/>
        <v>2.1675358539765321</v>
      </c>
      <c r="CG79">
        <f t="shared" si="33"/>
        <v>2.2074688796680499</v>
      </c>
      <c r="CH79">
        <f t="shared" si="34"/>
        <v>3.5412346466741109</v>
      </c>
      <c r="CI79">
        <f t="shared" si="35"/>
        <v>0.14356356675705867</v>
      </c>
      <c r="CJ79" s="1">
        <f t="shared" si="36"/>
        <v>0.14356356675705867</v>
      </c>
      <c r="CK79" s="6" t="s">
        <v>142</v>
      </c>
      <c r="CL79" s="6"/>
      <c r="CM79" s="6"/>
      <c r="CN79" s="6"/>
      <c r="CO79" s="6"/>
      <c r="CP79" s="6"/>
      <c r="CQ79" s="12">
        <v>5.5999999999999999E-3</v>
      </c>
      <c r="CR79">
        <f>CQ79/(H79-I79-J79-N79)*1000</f>
        <v>0.96651708664135305</v>
      </c>
    </row>
    <row r="80" spans="1:99" ht="17" x14ac:dyDescent="0.2">
      <c r="A80" t="s">
        <v>263</v>
      </c>
      <c r="B80" t="s">
        <v>46</v>
      </c>
      <c r="C80" t="str">
        <f t="shared" si="25"/>
        <v>I</v>
      </c>
      <c r="D80" t="str">
        <f t="shared" si="26"/>
        <v>S</v>
      </c>
      <c r="E80" t="str">
        <f t="shared" si="27"/>
        <v>G</v>
      </c>
      <c r="F80">
        <v>69</v>
      </c>
      <c r="G80">
        <v>65</v>
      </c>
      <c r="H80">
        <v>5.33</v>
      </c>
      <c r="I80">
        <v>0.13900000000000001</v>
      </c>
      <c r="J80">
        <v>0.01</v>
      </c>
      <c r="K80" t="s">
        <v>38</v>
      </c>
      <c r="L80" t="str">
        <f t="shared" si="28"/>
        <v>M</v>
      </c>
      <c r="M80">
        <v>22</v>
      </c>
      <c r="N80">
        <f>0.246-0.007</f>
        <v>0.23899999999999999</v>
      </c>
      <c r="O80">
        <f>0.222-0.007</f>
        <v>0.215</v>
      </c>
      <c r="P80" t="s">
        <v>264</v>
      </c>
      <c r="Q80" t="str">
        <f t="shared" si="30"/>
        <v>F</v>
      </c>
      <c r="AV80">
        <v>3</v>
      </c>
      <c r="AW80">
        <v>8.0000000000000002E-3</v>
      </c>
      <c r="BV80" s="1">
        <v>8.0000000000000002E-3</v>
      </c>
      <c r="BW80" s="5">
        <v>44318</v>
      </c>
      <c r="BX80">
        <v>5</v>
      </c>
      <c r="BY80">
        <v>2</v>
      </c>
      <c r="BZ80">
        <v>2021</v>
      </c>
      <c r="CA80" s="5">
        <f t="shared" si="29"/>
        <v>44232</v>
      </c>
      <c r="CB80">
        <v>36</v>
      </c>
      <c r="CC80">
        <v>3</v>
      </c>
      <c r="CD80" t="s">
        <v>141</v>
      </c>
      <c r="CE80">
        <f t="shared" si="31"/>
        <v>0.18796992481203006</v>
      </c>
      <c r="CF80">
        <f t="shared" si="32"/>
        <v>2.6777114236178003</v>
      </c>
      <c r="CG80">
        <f t="shared" si="33"/>
        <v>2.6828797529434474</v>
      </c>
      <c r="CH80">
        <f t="shared" si="34"/>
        <v>4.0337711069418383</v>
      </c>
      <c r="CI80">
        <f t="shared" si="35"/>
        <v>0.45028142589118192</v>
      </c>
      <c r="CJ80" s="1">
        <f t="shared" si="36"/>
        <v>0.60037523452157593</v>
      </c>
      <c r="CK80" s="6" t="s">
        <v>142</v>
      </c>
      <c r="CL80" s="6"/>
      <c r="CM80" s="6"/>
      <c r="CN80" s="6"/>
      <c r="CO80" s="6"/>
      <c r="CP80" s="6"/>
    </row>
    <row r="81" spans="1:99" ht="17" x14ac:dyDescent="0.2">
      <c r="A81" t="s">
        <v>265</v>
      </c>
      <c r="B81" t="s">
        <v>46</v>
      </c>
      <c r="C81" t="str">
        <f t="shared" si="25"/>
        <v>S</v>
      </c>
      <c r="D81" t="str">
        <f t="shared" si="26"/>
        <v>IMM</v>
      </c>
      <c r="E81" t="str">
        <f t="shared" si="27"/>
        <v>G</v>
      </c>
      <c r="F81">
        <v>60</v>
      </c>
      <c r="G81">
        <v>57</v>
      </c>
      <c r="H81">
        <v>3.593</v>
      </c>
      <c r="I81">
        <v>0.109</v>
      </c>
      <c r="J81">
        <v>6.8000000000000005E-2</v>
      </c>
      <c r="K81" t="s">
        <v>24</v>
      </c>
      <c r="L81" t="str">
        <f t="shared" si="28"/>
        <v>F</v>
      </c>
      <c r="M81">
        <v>22</v>
      </c>
      <c r="N81">
        <v>0.14899999999999999</v>
      </c>
      <c r="O81">
        <v>0.14000000000000001</v>
      </c>
      <c r="P81" t="s">
        <v>36</v>
      </c>
      <c r="Q81" t="str">
        <f t="shared" si="30"/>
        <v>MT</v>
      </c>
      <c r="BV81" s="1">
        <v>0</v>
      </c>
      <c r="BW81" s="5">
        <v>44318</v>
      </c>
      <c r="BX81">
        <v>5</v>
      </c>
      <c r="BY81">
        <v>2</v>
      </c>
      <c r="BZ81">
        <v>2021</v>
      </c>
      <c r="CA81" s="5">
        <f t="shared" si="29"/>
        <v>44232</v>
      </c>
      <c r="CB81">
        <v>36</v>
      </c>
      <c r="CC81">
        <v>3</v>
      </c>
      <c r="CD81" t="s">
        <v>141</v>
      </c>
      <c r="CE81">
        <f t="shared" si="31"/>
        <v>1.9290780141843975</v>
      </c>
      <c r="CF81">
        <f t="shared" si="32"/>
        <v>3.1285878300803676</v>
      </c>
      <c r="CG81">
        <f t="shared" si="33"/>
        <v>3.1908665105386418</v>
      </c>
      <c r="CH81">
        <f t="shared" si="34"/>
        <v>3.8964653492902874</v>
      </c>
      <c r="CI81">
        <f t="shared" si="35"/>
        <v>0.25048705816866074</v>
      </c>
      <c r="CJ81" s="1">
        <f t="shared" si="36"/>
        <v>0.25048705816866074</v>
      </c>
      <c r="CK81" s="6" t="s">
        <v>142</v>
      </c>
      <c r="CL81" s="6"/>
      <c r="CM81" s="6"/>
      <c r="CN81" s="6"/>
      <c r="CO81" s="6"/>
      <c r="CP81" s="6"/>
      <c r="CQ81" s="12">
        <v>1.72E-2</v>
      </c>
      <c r="CR81">
        <f>CQ81/(H81-I81-J81-N81)*1000</f>
        <v>5.2647689011325376</v>
      </c>
    </row>
    <row r="82" spans="1:99" ht="17" x14ac:dyDescent="0.2">
      <c r="A82" t="s">
        <v>266</v>
      </c>
      <c r="B82" t="s">
        <v>46</v>
      </c>
      <c r="C82" t="str">
        <f t="shared" si="25"/>
        <v>S</v>
      </c>
      <c r="D82" t="str">
        <f t="shared" si="26"/>
        <v>IMM</v>
      </c>
      <c r="E82" t="str">
        <f t="shared" si="27"/>
        <v>G</v>
      </c>
      <c r="F82">
        <v>60</v>
      </c>
      <c r="G82">
        <v>57</v>
      </c>
      <c r="H82">
        <v>3.4159999999999999</v>
      </c>
      <c r="I82">
        <v>6.9000000000000006E-2</v>
      </c>
      <c r="J82">
        <v>0.06</v>
      </c>
      <c r="K82" t="s">
        <v>24</v>
      </c>
      <c r="L82" t="str">
        <f t="shared" si="28"/>
        <v>F</v>
      </c>
      <c r="M82">
        <v>22</v>
      </c>
      <c r="N82">
        <v>0.13700000000000001</v>
      </c>
      <c r="O82">
        <v>0.128</v>
      </c>
      <c r="P82" t="s">
        <v>36</v>
      </c>
      <c r="Q82" t="str">
        <f t="shared" si="30"/>
        <v>MT</v>
      </c>
      <c r="BV82" s="1">
        <v>0</v>
      </c>
      <c r="BW82" s="5">
        <v>44318</v>
      </c>
      <c r="BX82">
        <v>5</v>
      </c>
      <c r="BY82">
        <v>2</v>
      </c>
      <c r="BZ82">
        <v>2021</v>
      </c>
      <c r="CA82" s="5">
        <f t="shared" si="29"/>
        <v>44232</v>
      </c>
      <c r="CB82">
        <v>36</v>
      </c>
      <c r="CC82">
        <v>3</v>
      </c>
      <c r="CD82" t="s">
        <v>267</v>
      </c>
      <c r="CE82">
        <f t="shared" si="31"/>
        <v>1.7878426698450536</v>
      </c>
      <c r="CF82">
        <f t="shared" si="32"/>
        <v>2.0615476546160743</v>
      </c>
      <c r="CG82">
        <f t="shared" si="33"/>
        <v>2.0991785822938853</v>
      </c>
      <c r="CH82">
        <f t="shared" si="34"/>
        <v>3.7470725995316161</v>
      </c>
      <c r="CI82">
        <f t="shared" si="35"/>
        <v>0.26346604215456698</v>
      </c>
      <c r="CJ82" s="1">
        <f t="shared" si="36"/>
        <v>0.26346604215456698</v>
      </c>
      <c r="CK82" s="6" t="s">
        <v>142</v>
      </c>
      <c r="CL82" s="6"/>
      <c r="CM82" s="6"/>
      <c r="CN82" s="6"/>
      <c r="CO82" s="6"/>
      <c r="CP82" s="6"/>
      <c r="CQ82" s="12">
        <v>1.0200000000000001E-2</v>
      </c>
      <c r="CR82">
        <f>CQ82/(H82-I82-J82-N82)*1000</f>
        <v>3.2380952380952381</v>
      </c>
    </row>
    <row r="83" spans="1:99" ht="17" x14ac:dyDescent="0.2">
      <c r="A83" t="s">
        <v>268</v>
      </c>
      <c r="B83" t="s">
        <v>46</v>
      </c>
      <c r="C83" t="str">
        <f t="shared" si="25"/>
        <v>S</v>
      </c>
      <c r="D83" t="str">
        <f t="shared" si="26"/>
        <v>IMM</v>
      </c>
      <c r="E83" t="str">
        <f t="shared" si="27"/>
        <v>N</v>
      </c>
      <c r="F83">
        <v>57</v>
      </c>
      <c r="G83">
        <v>53</v>
      </c>
      <c r="H83">
        <v>2.6669999999999998</v>
      </c>
      <c r="I83">
        <v>8.2000000000000003E-2</v>
      </c>
      <c r="J83">
        <v>8.0000000000000002E-3</v>
      </c>
      <c r="K83" t="s">
        <v>38</v>
      </c>
      <c r="L83" t="str">
        <f t="shared" si="28"/>
        <v>M</v>
      </c>
      <c r="M83">
        <v>22</v>
      </c>
      <c r="N83">
        <v>0.125</v>
      </c>
      <c r="O83">
        <v>0.113</v>
      </c>
      <c r="P83" t="s">
        <v>36</v>
      </c>
      <c r="Q83" t="str">
        <f t="shared" si="30"/>
        <v>MT</v>
      </c>
      <c r="BV83" s="1">
        <v>0</v>
      </c>
      <c r="BW83" s="5">
        <v>44318</v>
      </c>
      <c r="BX83">
        <v>5</v>
      </c>
      <c r="BY83">
        <v>2</v>
      </c>
      <c r="BZ83">
        <v>2021</v>
      </c>
      <c r="CA83" s="5">
        <f t="shared" si="29"/>
        <v>44232</v>
      </c>
      <c r="CB83">
        <v>36</v>
      </c>
      <c r="CC83">
        <v>3</v>
      </c>
      <c r="CD83" t="s">
        <v>269</v>
      </c>
      <c r="CE83">
        <f t="shared" si="31"/>
        <v>0.30086498683715684</v>
      </c>
      <c r="CF83">
        <f t="shared" si="32"/>
        <v>3.1721470019342362</v>
      </c>
      <c r="CG83">
        <f t="shared" si="33"/>
        <v>3.181994567326349</v>
      </c>
      <c r="CH83">
        <f t="shared" si="34"/>
        <v>4.2369703787026625</v>
      </c>
      <c r="CI83">
        <f t="shared" si="35"/>
        <v>0.44994375703037109</v>
      </c>
      <c r="CJ83" s="1">
        <f t="shared" si="36"/>
        <v>0.44994375703037109</v>
      </c>
      <c r="CK83" s="6" t="s">
        <v>142</v>
      </c>
      <c r="CL83" s="6"/>
      <c r="CM83" s="6"/>
      <c r="CN83" s="6"/>
      <c r="CO83" s="6"/>
      <c r="CP83" s="6"/>
    </row>
    <row r="84" spans="1:99" ht="17" x14ac:dyDescent="0.2">
      <c r="A84" t="s">
        <v>270</v>
      </c>
      <c r="B84" t="s">
        <v>46</v>
      </c>
      <c r="C84" t="str">
        <f t="shared" si="25"/>
        <v>S</v>
      </c>
      <c r="D84" t="str">
        <f t="shared" si="26"/>
        <v>IMM</v>
      </c>
      <c r="E84" t="str">
        <f t="shared" si="27"/>
        <v>N</v>
      </c>
      <c r="F84">
        <v>58</v>
      </c>
      <c r="G84">
        <v>55</v>
      </c>
      <c r="H84">
        <v>2.8849999999999998</v>
      </c>
      <c r="I84">
        <v>6.3E-2</v>
      </c>
      <c r="J84">
        <v>1.0999999999999999E-2</v>
      </c>
      <c r="K84" t="s">
        <v>271</v>
      </c>
      <c r="L84" t="str">
        <f t="shared" si="28"/>
        <v>F</v>
      </c>
      <c r="M84">
        <v>10</v>
      </c>
      <c r="N84">
        <v>0.108</v>
      </c>
      <c r="O84">
        <v>0.1</v>
      </c>
      <c r="P84" t="s">
        <v>36</v>
      </c>
      <c r="Q84" t="str">
        <f t="shared" si="30"/>
        <v>MT</v>
      </c>
      <c r="BV84" s="1">
        <v>0</v>
      </c>
      <c r="BW84" s="5">
        <v>44318</v>
      </c>
      <c r="BX84">
        <v>5</v>
      </c>
      <c r="BY84">
        <v>2</v>
      </c>
      <c r="BZ84">
        <v>2021</v>
      </c>
      <c r="CA84" s="5">
        <f t="shared" si="29"/>
        <v>44232</v>
      </c>
      <c r="CB84">
        <v>36</v>
      </c>
      <c r="CC84">
        <v>3</v>
      </c>
      <c r="CD84" t="s">
        <v>272</v>
      </c>
      <c r="CE84">
        <f t="shared" si="31"/>
        <v>0.3827418232428671</v>
      </c>
      <c r="CF84">
        <f t="shared" si="32"/>
        <v>2.2324592487597452</v>
      </c>
      <c r="CG84">
        <f t="shared" si="33"/>
        <v>2.2411953041622206</v>
      </c>
      <c r="CH84">
        <f t="shared" si="34"/>
        <v>3.4662045060658584</v>
      </c>
      <c r="CI84">
        <f t="shared" si="35"/>
        <v>0.2772963604852684</v>
      </c>
      <c r="CJ84" s="1">
        <f t="shared" si="36"/>
        <v>0.2772963604852684</v>
      </c>
      <c r="CK84" s="6" t="s">
        <v>142</v>
      </c>
      <c r="CL84" s="6"/>
      <c r="CM84" s="6"/>
      <c r="CN84" s="6"/>
      <c r="CO84" s="6"/>
      <c r="CP84" s="6"/>
    </row>
    <row r="85" spans="1:99" ht="17" x14ac:dyDescent="0.2">
      <c r="A85" t="s">
        <v>286</v>
      </c>
      <c r="B85" t="s">
        <v>46</v>
      </c>
      <c r="C85" t="str">
        <f t="shared" si="25"/>
        <v>I</v>
      </c>
      <c r="D85" t="str">
        <f t="shared" si="26"/>
        <v>S</v>
      </c>
      <c r="E85" t="str">
        <f t="shared" si="27"/>
        <v>G</v>
      </c>
      <c r="F85">
        <v>78</v>
      </c>
      <c r="G85">
        <v>74</v>
      </c>
      <c r="H85">
        <v>7.0339999999999998</v>
      </c>
      <c r="I85">
        <v>0.13600000000000001</v>
      </c>
      <c r="J85">
        <v>1.2E-2</v>
      </c>
      <c r="K85" t="s">
        <v>38</v>
      </c>
      <c r="L85" t="str">
        <f t="shared" si="28"/>
        <v>M</v>
      </c>
      <c r="M85">
        <v>22</v>
      </c>
      <c r="N85">
        <v>0.30299999999999999</v>
      </c>
      <c r="O85">
        <v>0.26900000000000002</v>
      </c>
      <c r="P85" t="s">
        <v>287</v>
      </c>
      <c r="Q85" t="str">
        <f t="shared" si="30"/>
        <v>F</v>
      </c>
      <c r="AV85">
        <v>4</v>
      </c>
      <c r="AW85">
        <v>4.0000000000000001E-3</v>
      </c>
      <c r="BV85" s="1">
        <v>4.0000000000000001E-3</v>
      </c>
      <c r="BW85" s="5">
        <v>44349</v>
      </c>
      <c r="BX85">
        <v>6</v>
      </c>
      <c r="BY85">
        <v>2</v>
      </c>
      <c r="BZ85">
        <v>2021</v>
      </c>
      <c r="CA85" s="5">
        <f t="shared" si="29"/>
        <v>44233</v>
      </c>
      <c r="CB85">
        <v>37</v>
      </c>
      <c r="CC85">
        <v>3</v>
      </c>
      <c r="CD85" t="s">
        <v>288</v>
      </c>
      <c r="CE85">
        <f t="shared" si="31"/>
        <v>0.17089148390771861</v>
      </c>
      <c r="CF85">
        <f t="shared" si="32"/>
        <v>1.9715859669469413</v>
      </c>
      <c r="CG85">
        <f t="shared" si="33"/>
        <v>1.9750217833284927</v>
      </c>
      <c r="CH85">
        <f t="shared" si="34"/>
        <v>3.8242820585726478</v>
      </c>
      <c r="CI85">
        <f t="shared" si="35"/>
        <v>0.48336650554449784</v>
      </c>
      <c r="CJ85" s="1">
        <f t="shared" si="36"/>
        <v>0.54023315325561527</v>
      </c>
      <c r="CK85" s="6" t="s">
        <v>142</v>
      </c>
      <c r="CL85" s="6">
        <v>1</v>
      </c>
      <c r="CM85" s="6"/>
      <c r="CN85" s="6"/>
      <c r="CO85" s="6"/>
      <c r="CP85" s="6"/>
    </row>
    <row r="86" spans="1:99" ht="17" x14ac:dyDescent="0.2">
      <c r="A86" t="s">
        <v>289</v>
      </c>
      <c r="B86" t="s">
        <v>46</v>
      </c>
      <c r="C86" t="str">
        <f t="shared" si="25"/>
        <v>I</v>
      </c>
      <c r="D86" t="str">
        <f t="shared" si="26"/>
        <v>S</v>
      </c>
      <c r="E86" t="str">
        <f t="shared" si="27"/>
        <v>G</v>
      </c>
      <c r="F86">
        <v>82</v>
      </c>
      <c r="G86">
        <v>77</v>
      </c>
      <c r="H86">
        <v>8.3789999999999996</v>
      </c>
      <c r="I86">
        <v>0.17799999999999999</v>
      </c>
      <c r="J86">
        <v>1.7000000000000001E-2</v>
      </c>
      <c r="K86" t="s">
        <v>38</v>
      </c>
      <c r="L86" t="str">
        <f t="shared" si="28"/>
        <v>M</v>
      </c>
      <c r="M86">
        <v>22</v>
      </c>
      <c r="N86">
        <v>0.33200000000000002</v>
      </c>
      <c r="O86">
        <v>0.315</v>
      </c>
      <c r="P86" t="s">
        <v>36</v>
      </c>
      <c r="Q86" t="str">
        <f t="shared" si="30"/>
        <v>MT</v>
      </c>
      <c r="BV86" s="1">
        <v>0</v>
      </c>
      <c r="BW86" s="5">
        <v>44349</v>
      </c>
      <c r="BX86">
        <v>6</v>
      </c>
      <c r="BY86">
        <v>2</v>
      </c>
      <c r="BZ86">
        <v>2021</v>
      </c>
      <c r="CA86" s="5">
        <f t="shared" si="29"/>
        <v>44233</v>
      </c>
      <c r="CB86">
        <v>37</v>
      </c>
      <c r="CC86">
        <v>3</v>
      </c>
      <c r="CD86" t="s">
        <v>290</v>
      </c>
      <c r="CE86">
        <f t="shared" si="31"/>
        <v>0.20330064577852189</v>
      </c>
      <c r="CF86">
        <f t="shared" si="32"/>
        <v>2.1704670162175348</v>
      </c>
      <c r="CG86">
        <f t="shared" si="33"/>
        <v>2.1749755620723366</v>
      </c>
      <c r="CH86">
        <f t="shared" si="34"/>
        <v>3.759398496240602</v>
      </c>
      <c r="CI86">
        <f t="shared" si="35"/>
        <v>0.20288817281298505</v>
      </c>
      <c r="CJ86" s="1">
        <f t="shared" si="36"/>
        <v>0.20288817281298505</v>
      </c>
      <c r="CK86" s="6" t="s">
        <v>142</v>
      </c>
      <c r="CL86" s="6">
        <v>2</v>
      </c>
      <c r="CM86" s="6"/>
      <c r="CN86" s="6"/>
      <c r="CO86" s="6"/>
      <c r="CP86" s="6"/>
    </row>
    <row r="87" spans="1:99" ht="17" x14ac:dyDescent="0.2">
      <c r="A87" t="s">
        <v>291</v>
      </c>
      <c r="B87" t="s">
        <v>46</v>
      </c>
      <c r="C87" t="str">
        <f t="shared" si="25"/>
        <v>I</v>
      </c>
      <c r="D87" t="str">
        <f t="shared" si="26"/>
        <v>S</v>
      </c>
      <c r="E87" t="str">
        <f t="shared" si="27"/>
        <v>G</v>
      </c>
      <c r="F87">
        <v>74</v>
      </c>
      <c r="G87">
        <v>70</v>
      </c>
      <c r="H87">
        <v>6.2229999999999999</v>
      </c>
      <c r="I87">
        <v>0.16500000000000001</v>
      </c>
      <c r="J87">
        <v>0.106</v>
      </c>
      <c r="K87" t="s">
        <v>24</v>
      </c>
      <c r="L87" t="str">
        <f t="shared" si="28"/>
        <v>F</v>
      </c>
      <c r="M87">
        <v>22</v>
      </c>
      <c r="N87">
        <v>0.22800000000000001</v>
      </c>
      <c r="O87">
        <v>0.20100000000000001</v>
      </c>
      <c r="P87" t="s">
        <v>292</v>
      </c>
      <c r="Q87" t="str">
        <f t="shared" si="30"/>
        <v>F</v>
      </c>
      <c r="AV87">
        <v>1</v>
      </c>
      <c r="AW87">
        <v>1E-3</v>
      </c>
      <c r="BV87" s="1">
        <v>1E-3</v>
      </c>
      <c r="BW87" s="5">
        <v>44349</v>
      </c>
      <c r="BX87">
        <v>6</v>
      </c>
      <c r="BY87">
        <v>2</v>
      </c>
      <c r="BZ87">
        <v>2021</v>
      </c>
      <c r="CA87" s="5">
        <f t="shared" si="29"/>
        <v>44233</v>
      </c>
      <c r="CB87">
        <v>37</v>
      </c>
      <c r="CC87">
        <v>3</v>
      </c>
      <c r="CD87" t="s">
        <v>288</v>
      </c>
      <c r="CE87">
        <f t="shared" si="31"/>
        <v>1.7328755926107566</v>
      </c>
      <c r="CF87">
        <f t="shared" si="32"/>
        <v>2.7236711786068013</v>
      </c>
      <c r="CG87">
        <f t="shared" si="33"/>
        <v>2.772177419354839</v>
      </c>
      <c r="CH87">
        <f t="shared" si="34"/>
        <v>3.2299533986823081</v>
      </c>
      <c r="CI87">
        <f t="shared" si="35"/>
        <v>0.43387433713642937</v>
      </c>
      <c r="CJ87" s="1">
        <f t="shared" si="36"/>
        <v>0.44994375703037115</v>
      </c>
      <c r="CK87" s="6" t="s">
        <v>142</v>
      </c>
      <c r="CL87" s="6">
        <v>1</v>
      </c>
      <c r="CM87" s="6"/>
      <c r="CN87" s="6"/>
      <c r="CO87" s="6"/>
      <c r="CP87" s="6"/>
      <c r="CQ87" s="12">
        <v>8.6999999999999994E-3</v>
      </c>
      <c r="CR87">
        <f>CQ87/(H87-I87-J87-N87)*1000</f>
        <v>1.5199161425576517</v>
      </c>
    </row>
    <row r="88" spans="1:99" ht="17" x14ac:dyDescent="0.2">
      <c r="A88" t="s">
        <v>293</v>
      </c>
      <c r="B88" t="s">
        <v>46</v>
      </c>
      <c r="C88" t="str">
        <f t="shared" si="25"/>
        <v>I</v>
      </c>
      <c r="D88" t="str">
        <f t="shared" si="26"/>
        <v>S</v>
      </c>
      <c r="E88" t="str">
        <f t="shared" si="27"/>
        <v>G</v>
      </c>
      <c r="F88">
        <v>68</v>
      </c>
      <c r="G88">
        <v>64</v>
      </c>
      <c r="H88">
        <v>5.0759999999999996</v>
      </c>
      <c r="I88">
        <v>0.11899999999999999</v>
      </c>
      <c r="J88">
        <v>1.6E-2</v>
      </c>
      <c r="K88" t="s">
        <v>38</v>
      </c>
      <c r="L88" t="str">
        <f t="shared" si="28"/>
        <v>M</v>
      </c>
      <c r="M88">
        <v>22</v>
      </c>
      <c r="N88">
        <v>0.215</v>
      </c>
      <c r="O88">
        <v>0.19700000000000001</v>
      </c>
      <c r="P88" t="s">
        <v>36</v>
      </c>
      <c r="Q88" t="str">
        <f t="shared" si="30"/>
        <v>MT</v>
      </c>
      <c r="BV88" s="1">
        <v>0</v>
      </c>
      <c r="BW88" s="5">
        <v>44349</v>
      </c>
      <c r="BX88">
        <v>6</v>
      </c>
      <c r="BY88">
        <v>2</v>
      </c>
      <c r="BZ88">
        <v>2021</v>
      </c>
      <c r="CA88" s="5">
        <f t="shared" si="29"/>
        <v>44233</v>
      </c>
      <c r="CB88">
        <v>37</v>
      </c>
      <c r="CC88">
        <v>3</v>
      </c>
      <c r="CD88" t="s">
        <v>288</v>
      </c>
      <c r="CE88">
        <f t="shared" si="31"/>
        <v>0.31620553359683801</v>
      </c>
      <c r="CF88">
        <f t="shared" si="32"/>
        <v>2.4006455517450074</v>
      </c>
      <c r="CG88">
        <f t="shared" si="33"/>
        <v>2.4084193483100589</v>
      </c>
      <c r="CH88">
        <f t="shared" si="34"/>
        <v>3.8810086682427114</v>
      </c>
      <c r="CI88">
        <f t="shared" si="35"/>
        <v>0.35460992907801397</v>
      </c>
      <c r="CJ88" s="1">
        <f t="shared" si="36"/>
        <v>0.35460992907801397</v>
      </c>
      <c r="CK88" s="6" t="s">
        <v>142</v>
      </c>
      <c r="CL88" s="6">
        <v>1</v>
      </c>
      <c r="CM88" s="6"/>
      <c r="CN88" s="6"/>
      <c r="CO88" s="6"/>
      <c r="CP88" s="6"/>
    </row>
    <row r="89" spans="1:99" ht="17" x14ac:dyDescent="0.2">
      <c r="A89" t="s">
        <v>294</v>
      </c>
      <c r="B89" t="s">
        <v>46</v>
      </c>
      <c r="C89" t="str">
        <f t="shared" si="25"/>
        <v>I</v>
      </c>
      <c r="D89" t="str">
        <f t="shared" si="26"/>
        <v>S</v>
      </c>
      <c r="E89" t="str">
        <f t="shared" si="27"/>
        <v>G</v>
      </c>
      <c r="F89">
        <v>67</v>
      </c>
      <c r="G89">
        <v>63</v>
      </c>
      <c r="H89">
        <v>4.9889999999999999</v>
      </c>
      <c r="I89">
        <v>0.106</v>
      </c>
      <c r="J89">
        <v>8.0000000000000002E-3</v>
      </c>
      <c r="K89" t="s">
        <v>38</v>
      </c>
      <c r="L89" t="str">
        <f t="shared" si="28"/>
        <v>M</v>
      </c>
      <c r="M89">
        <v>22</v>
      </c>
      <c r="N89">
        <v>0.216</v>
      </c>
      <c r="O89">
        <v>0.19500000000000001</v>
      </c>
      <c r="P89" t="s">
        <v>36</v>
      </c>
      <c r="Q89" t="str">
        <f t="shared" si="30"/>
        <v>MT</v>
      </c>
      <c r="BV89" s="1">
        <v>0</v>
      </c>
      <c r="BW89" s="5">
        <v>44349</v>
      </c>
      <c r="BX89">
        <v>6</v>
      </c>
      <c r="BY89">
        <v>2</v>
      </c>
      <c r="BZ89">
        <v>2021</v>
      </c>
      <c r="CA89" s="5">
        <f t="shared" si="29"/>
        <v>44233</v>
      </c>
      <c r="CB89">
        <v>37</v>
      </c>
      <c r="CC89">
        <v>3</v>
      </c>
      <c r="CD89" t="s">
        <v>288</v>
      </c>
      <c r="CE89">
        <f t="shared" si="31"/>
        <v>0.16061031921300944</v>
      </c>
      <c r="CF89">
        <f t="shared" si="32"/>
        <v>2.1707966414089697</v>
      </c>
      <c r="CG89">
        <f t="shared" si="33"/>
        <v>2.1743589743589742</v>
      </c>
      <c r="CH89">
        <f t="shared" si="34"/>
        <v>3.9085989176187614</v>
      </c>
      <c r="CI89">
        <f t="shared" si="35"/>
        <v>0.42092603728202027</v>
      </c>
      <c r="CJ89" s="1">
        <f t="shared" si="36"/>
        <v>0.42092603728202027</v>
      </c>
      <c r="CK89" s="6" t="s">
        <v>142</v>
      </c>
      <c r="CL89" s="6">
        <v>1</v>
      </c>
      <c r="CM89" s="6"/>
      <c r="CN89" s="6"/>
      <c r="CO89" s="6"/>
      <c r="CP89" s="6"/>
    </row>
    <row r="90" spans="1:99" ht="17" x14ac:dyDescent="0.2">
      <c r="A90" t="s">
        <v>295</v>
      </c>
      <c r="B90" t="s">
        <v>46</v>
      </c>
      <c r="C90" t="str">
        <f t="shared" si="25"/>
        <v>I</v>
      </c>
      <c r="D90" t="str">
        <f t="shared" si="26"/>
        <v>IMM</v>
      </c>
      <c r="E90" t="str">
        <f t="shared" si="27"/>
        <v>G</v>
      </c>
      <c r="F90">
        <v>62</v>
      </c>
      <c r="G90">
        <v>58</v>
      </c>
      <c r="H90">
        <v>3.4249999999999998</v>
      </c>
      <c r="I90">
        <v>0.108</v>
      </c>
      <c r="J90">
        <v>7.0000000000000001E-3</v>
      </c>
      <c r="K90" t="s">
        <v>38</v>
      </c>
      <c r="L90" t="str">
        <f t="shared" si="28"/>
        <v>M</v>
      </c>
      <c r="M90">
        <v>22</v>
      </c>
      <c r="N90">
        <v>0.152</v>
      </c>
      <c r="O90">
        <v>0.14199999999999999</v>
      </c>
      <c r="P90" t="s">
        <v>36</v>
      </c>
      <c r="Q90" t="str">
        <f t="shared" si="30"/>
        <v>MT</v>
      </c>
      <c r="BV90" s="1">
        <v>0</v>
      </c>
      <c r="BW90" s="5">
        <v>44349</v>
      </c>
      <c r="BX90">
        <v>6</v>
      </c>
      <c r="BY90">
        <v>2</v>
      </c>
      <c r="BZ90">
        <v>2021</v>
      </c>
      <c r="CA90" s="5">
        <f t="shared" si="29"/>
        <v>44233</v>
      </c>
      <c r="CB90">
        <v>37</v>
      </c>
      <c r="CC90">
        <v>3</v>
      </c>
      <c r="CD90" t="s">
        <v>288</v>
      </c>
      <c r="CE90">
        <f t="shared" si="31"/>
        <v>0.20479812755997662</v>
      </c>
      <c r="CF90">
        <f t="shared" si="32"/>
        <v>3.255954175459753</v>
      </c>
      <c r="CG90">
        <f t="shared" si="33"/>
        <v>3.2628398791540789</v>
      </c>
      <c r="CH90">
        <f t="shared" si="34"/>
        <v>4.1459854014598543</v>
      </c>
      <c r="CI90">
        <f t="shared" si="35"/>
        <v>0.29197080291970834</v>
      </c>
      <c r="CJ90" s="1">
        <f t="shared" si="36"/>
        <v>0.29197080291970834</v>
      </c>
      <c r="CK90" s="6" t="s">
        <v>142</v>
      </c>
      <c r="CL90" s="6">
        <v>1</v>
      </c>
      <c r="CM90" s="6"/>
      <c r="CN90" s="6"/>
      <c r="CO90" s="6"/>
      <c r="CP90" s="6"/>
    </row>
    <row r="91" spans="1:99" ht="17" x14ac:dyDescent="0.2">
      <c r="A91" t="s">
        <v>296</v>
      </c>
      <c r="B91" t="s">
        <v>46</v>
      </c>
      <c r="C91" t="str">
        <f t="shared" si="25"/>
        <v>S</v>
      </c>
      <c r="D91" t="str">
        <f t="shared" si="26"/>
        <v>IMM</v>
      </c>
      <c r="E91" t="str">
        <f t="shared" si="27"/>
        <v>N</v>
      </c>
      <c r="F91">
        <v>49</v>
      </c>
      <c r="G91">
        <v>45</v>
      </c>
      <c r="H91">
        <v>1.7929999999999999</v>
      </c>
      <c r="I91">
        <v>2.8000000000000001E-2</v>
      </c>
      <c r="J91">
        <v>2.5000000000000001E-2</v>
      </c>
      <c r="K91" t="s">
        <v>24</v>
      </c>
      <c r="L91" t="str">
        <f t="shared" si="28"/>
        <v>F</v>
      </c>
      <c r="M91">
        <v>22</v>
      </c>
      <c r="N91">
        <v>7.8E-2</v>
      </c>
      <c r="O91">
        <v>6.5000000000000002E-2</v>
      </c>
      <c r="P91" t="s">
        <v>297</v>
      </c>
      <c r="Q91" t="str">
        <f t="shared" si="30"/>
        <v>F</v>
      </c>
      <c r="U91">
        <v>4.0000000000000001E-3</v>
      </c>
      <c r="BV91" s="1">
        <v>4.0000000000000001E-3</v>
      </c>
      <c r="BW91" s="5">
        <v>44349</v>
      </c>
      <c r="BX91">
        <v>6</v>
      </c>
      <c r="BY91">
        <v>2</v>
      </c>
      <c r="BZ91">
        <v>2021</v>
      </c>
      <c r="CA91" s="5">
        <f t="shared" si="29"/>
        <v>44233</v>
      </c>
      <c r="CB91">
        <v>37</v>
      </c>
      <c r="CC91">
        <v>3</v>
      </c>
      <c r="CD91" t="s">
        <v>298</v>
      </c>
      <c r="CE91">
        <f t="shared" si="31"/>
        <v>1.4140271493212671</v>
      </c>
      <c r="CF91">
        <f t="shared" si="32"/>
        <v>1.5864022662889519</v>
      </c>
      <c r="CG91">
        <f t="shared" si="33"/>
        <v>1.6091954022988506</v>
      </c>
      <c r="CH91">
        <f t="shared" si="34"/>
        <v>3.6252091466815397</v>
      </c>
      <c r="CI91">
        <f t="shared" si="35"/>
        <v>0.72504182933630779</v>
      </c>
      <c r="CJ91" s="1">
        <f t="shared" si="36"/>
        <v>0.9481316229782486</v>
      </c>
      <c r="CK91" s="6" t="s">
        <v>142</v>
      </c>
      <c r="CL91" s="6">
        <v>1</v>
      </c>
      <c r="CM91" s="6"/>
      <c r="CN91" s="6"/>
      <c r="CO91" s="6"/>
      <c r="CP91" s="6"/>
    </row>
    <row r="92" spans="1:99" ht="17" x14ac:dyDescent="0.2">
      <c r="A92" t="s">
        <v>382</v>
      </c>
      <c r="B92" t="s">
        <v>46</v>
      </c>
      <c r="C92" t="str">
        <f t="shared" si="25"/>
        <v>I</v>
      </c>
      <c r="D92" t="str">
        <f t="shared" si="26"/>
        <v>I</v>
      </c>
      <c r="E92" t="str">
        <f t="shared" si="27"/>
        <v>G</v>
      </c>
      <c r="F92">
        <v>85</v>
      </c>
      <c r="G92">
        <v>80</v>
      </c>
      <c r="H92">
        <v>10.663</v>
      </c>
      <c r="I92">
        <v>0.25</v>
      </c>
      <c r="J92">
        <v>0.16700000000000001</v>
      </c>
      <c r="K92" t="s">
        <v>24</v>
      </c>
      <c r="L92" t="str">
        <f t="shared" si="28"/>
        <v>F</v>
      </c>
      <c r="M92">
        <v>22</v>
      </c>
      <c r="N92">
        <v>0.33600000000000002</v>
      </c>
      <c r="O92">
        <v>0.32600000000000001</v>
      </c>
      <c r="P92" t="s">
        <v>36</v>
      </c>
      <c r="Q92" t="str">
        <f t="shared" si="30"/>
        <v>MT</v>
      </c>
      <c r="BV92" s="1">
        <v>0</v>
      </c>
      <c r="BW92" t="s">
        <v>383</v>
      </c>
      <c r="BX92" t="str">
        <f t="shared" ref="BX92:BX116" si="37">LEFT(BW92,2)</f>
        <v>19</v>
      </c>
      <c r="BY92" t="str">
        <f>MID(BW92,4,1)</f>
        <v>2</v>
      </c>
      <c r="BZ92" t="str">
        <f t="shared" ref="BZ92:BZ116" si="38">RIGHT(BW92,4)</f>
        <v>2021</v>
      </c>
      <c r="CA92" s="5">
        <f t="shared" si="29"/>
        <v>44246</v>
      </c>
      <c r="CB92">
        <v>50</v>
      </c>
      <c r="CC92">
        <v>4</v>
      </c>
      <c r="CD92" t="s">
        <v>288</v>
      </c>
      <c r="CE92">
        <f t="shared" si="31"/>
        <v>1.5910823170731707</v>
      </c>
      <c r="CF92">
        <f t="shared" si="32"/>
        <v>2.4008450974743112</v>
      </c>
      <c r="CG92">
        <f t="shared" si="33"/>
        <v>2.439976576224868</v>
      </c>
      <c r="CH92">
        <f t="shared" si="34"/>
        <v>3.0573009472006003</v>
      </c>
      <c r="CI92">
        <f t="shared" si="35"/>
        <v>9.3782237644190275E-2</v>
      </c>
      <c r="CJ92" s="1">
        <f t="shared" si="36"/>
        <v>9.3782237644190275E-2</v>
      </c>
      <c r="CK92" s="6" t="s">
        <v>142</v>
      </c>
      <c r="CL92" s="6">
        <v>1</v>
      </c>
      <c r="CM92" s="6">
        <v>0</v>
      </c>
      <c r="CN92" s="6">
        <v>0</v>
      </c>
      <c r="CO92" s="6">
        <v>0</v>
      </c>
      <c r="CP92" s="6">
        <v>0</v>
      </c>
      <c r="CQ92" s="12">
        <v>2.9700000000000001E-2</v>
      </c>
      <c r="CR92">
        <f>CQ92/(H92-I92-J92-N92)*1000</f>
        <v>2.9969727547931382</v>
      </c>
      <c r="CS92">
        <v>8.4770000000000003</v>
      </c>
      <c r="CT92">
        <v>66.182856036888325</v>
      </c>
      <c r="CU92">
        <v>99.218096597742957</v>
      </c>
    </row>
    <row r="93" spans="1:99" ht="17" x14ac:dyDescent="0.2">
      <c r="A93" t="s">
        <v>384</v>
      </c>
      <c r="B93" t="s">
        <v>46</v>
      </c>
      <c r="C93" t="str">
        <f t="shared" si="25"/>
        <v>I</v>
      </c>
      <c r="D93" t="str">
        <f t="shared" si="26"/>
        <v>I</v>
      </c>
      <c r="E93" t="str">
        <f t="shared" si="27"/>
        <v>G</v>
      </c>
      <c r="F93">
        <v>95</v>
      </c>
      <c r="G93">
        <v>89</v>
      </c>
      <c r="H93">
        <v>14.422000000000001</v>
      </c>
      <c r="I93">
        <v>0.26700000000000002</v>
      </c>
      <c r="J93">
        <v>0.20899999999999999</v>
      </c>
      <c r="K93" t="s">
        <v>24</v>
      </c>
      <c r="L93" t="str">
        <f t="shared" si="28"/>
        <v>F</v>
      </c>
      <c r="M93">
        <v>22</v>
      </c>
      <c r="N93">
        <v>0.45700000000000002</v>
      </c>
      <c r="O93">
        <v>0.45100000000000001</v>
      </c>
      <c r="P93" t="s">
        <v>36</v>
      </c>
      <c r="Q93" t="str">
        <f t="shared" si="30"/>
        <v>MT</v>
      </c>
      <c r="BV93" s="1">
        <v>0</v>
      </c>
      <c r="BW93" t="s">
        <v>383</v>
      </c>
      <c r="BX93" t="str">
        <f t="shared" si="37"/>
        <v>19</v>
      </c>
      <c r="BY93" t="str">
        <f t="shared" ref="BY93:BY116" si="39">MID(BW93,4,1)</f>
        <v>2</v>
      </c>
      <c r="BZ93" t="str">
        <f t="shared" si="38"/>
        <v>2021</v>
      </c>
      <c r="CA93" s="5">
        <f t="shared" si="29"/>
        <v>44246</v>
      </c>
      <c r="CB93">
        <v>50</v>
      </c>
      <c r="CC93">
        <v>4</v>
      </c>
      <c r="CD93" t="s">
        <v>290</v>
      </c>
      <c r="CE93">
        <f t="shared" si="31"/>
        <v>1.4704847674664039</v>
      </c>
      <c r="CF93">
        <f t="shared" si="32"/>
        <v>1.8862592723419287</v>
      </c>
      <c r="CG93">
        <f t="shared" si="33"/>
        <v>1.9145274630718485</v>
      </c>
      <c r="CH93">
        <f t="shared" si="34"/>
        <v>3.127166828456525</v>
      </c>
      <c r="CI93">
        <f t="shared" si="35"/>
        <v>4.1603106365275311E-2</v>
      </c>
      <c r="CJ93" s="1">
        <f t="shared" si="36"/>
        <v>4.1603106365275311E-2</v>
      </c>
      <c r="CK93" s="6" t="s">
        <v>142</v>
      </c>
      <c r="CL93" s="6">
        <v>2</v>
      </c>
      <c r="CM93" s="6">
        <v>0</v>
      </c>
      <c r="CN93" s="6">
        <v>3</v>
      </c>
      <c r="CO93" s="6">
        <v>1</v>
      </c>
      <c r="CP93" s="6">
        <v>0</v>
      </c>
      <c r="CQ93" s="12">
        <v>0.05</v>
      </c>
      <c r="CR93">
        <f>CQ93/(H93-I93-J93-N93)*1000</f>
        <v>3.7067239973311583</v>
      </c>
      <c r="CS93">
        <v>7.6689999999999996</v>
      </c>
      <c r="CT93">
        <v>73.330914462044007</v>
      </c>
      <c r="CU93">
        <v>96.210558724397913</v>
      </c>
    </row>
    <row r="94" spans="1:99" ht="17" x14ac:dyDescent="0.2">
      <c r="A94" t="s">
        <v>385</v>
      </c>
      <c r="B94" t="s">
        <v>46</v>
      </c>
      <c r="C94" t="str">
        <f t="shared" si="25"/>
        <v>S</v>
      </c>
      <c r="D94" t="str">
        <f t="shared" si="26"/>
        <v>IMM</v>
      </c>
      <c r="E94" t="str">
        <f t="shared" si="27"/>
        <v>N</v>
      </c>
      <c r="F94">
        <v>57</v>
      </c>
      <c r="G94">
        <v>54</v>
      </c>
      <c r="H94">
        <v>2.7959999999999998</v>
      </c>
      <c r="I94">
        <v>7.6999999999999999E-2</v>
      </c>
      <c r="J94">
        <v>1.2999999999999999E-2</v>
      </c>
      <c r="K94" t="s">
        <v>38</v>
      </c>
      <c r="L94" t="str">
        <f t="shared" si="28"/>
        <v>M</v>
      </c>
      <c r="M94">
        <v>22</v>
      </c>
      <c r="N94">
        <v>0.106</v>
      </c>
      <c r="O94">
        <v>0.1</v>
      </c>
      <c r="P94" t="s">
        <v>386</v>
      </c>
      <c r="Q94" t="str">
        <f t="shared" si="30"/>
        <v>F</v>
      </c>
      <c r="AV94">
        <v>1</v>
      </c>
      <c r="AW94">
        <v>0</v>
      </c>
      <c r="BV94" s="1">
        <v>0</v>
      </c>
      <c r="BW94" t="s">
        <v>383</v>
      </c>
      <c r="BX94" t="str">
        <f t="shared" si="37"/>
        <v>19</v>
      </c>
      <c r="BY94" t="str">
        <f t="shared" si="39"/>
        <v>2</v>
      </c>
      <c r="BZ94" t="str">
        <f t="shared" si="38"/>
        <v>2021</v>
      </c>
      <c r="CA94" s="5">
        <f t="shared" si="29"/>
        <v>44246</v>
      </c>
      <c r="CB94">
        <v>50</v>
      </c>
      <c r="CC94">
        <v>4</v>
      </c>
      <c r="CD94" t="s">
        <v>288</v>
      </c>
      <c r="CE94">
        <f t="shared" si="31"/>
        <v>0.46712181099532873</v>
      </c>
      <c r="CF94">
        <f t="shared" si="32"/>
        <v>2.8319235012872381</v>
      </c>
      <c r="CG94">
        <f t="shared" si="33"/>
        <v>2.8455284552845526</v>
      </c>
      <c r="CH94">
        <f t="shared" si="34"/>
        <v>3.5765379113018603</v>
      </c>
      <c r="CI94">
        <f t="shared" si="35"/>
        <v>0.21459227467811129</v>
      </c>
      <c r="CJ94" s="1">
        <f t="shared" si="36"/>
        <v>0.21459227467811129</v>
      </c>
      <c r="CK94" s="6" t="s">
        <v>142</v>
      </c>
      <c r="CL94" s="6">
        <v>1</v>
      </c>
      <c r="CM94" s="6"/>
      <c r="CN94" s="6"/>
      <c r="CO94" s="6"/>
      <c r="CP94" s="6"/>
    </row>
    <row r="95" spans="1:99" ht="17" x14ac:dyDescent="0.2">
      <c r="A95" t="s">
        <v>387</v>
      </c>
      <c r="B95" t="s">
        <v>46</v>
      </c>
      <c r="C95" t="str">
        <f t="shared" si="25"/>
        <v>I</v>
      </c>
      <c r="D95" t="str">
        <f t="shared" si="26"/>
        <v>S</v>
      </c>
      <c r="E95" t="str">
        <f t="shared" si="27"/>
        <v>G</v>
      </c>
      <c r="F95">
        <v>70</v>
      </c>
      <c r="G95">
        <v>66</v>
      </c>
      <c r="H95">
        <v>5.6340000000000003</v>
      </c>
      <c r="I95">
        <v>0.128</v>
      </c>
      <c r="J95">
        <v>0.01</v>
      </c>
      <c r="K95" t="s">
        <v>38</v>
      </c>
      <c r="L95" t="str">
        <f t="shared" si="28"/>
        <v>M</v>
      </c>
      <c r="M95">
        <v>22</v>
      </c>
      <c r="N95">
        <v>0.21199999999999999</v>
      </c>
      <c r="O95">
        <v>0.20499999999999999</v>
      </c>
      <c r="P95" t="s">
        <v>36</v>
      </c>
      <c r="Q95" t="str">
        <f t="shared" si="30"/>
        <v>MT</v>
      </c>
      <c r="BV95" s="1">
        <v>0</v>
      </c>
      <c r="BW95" t="s">
        <v>383</v>
      </c>
      <c r="BX95" t="str">
        <f t="shared" si="37"/>
        <v>19</v>
      </c>
      <c r="BY95" t="str">
        <f t="shared" si="39"/>
        <v>2</v>
      </c>
      <c r="BZ95" t="str">
        <f t="shared" si="38"/>
        <v>2021</v>
      </c>
      <c r="CA95" s="5">
        <f t="shared" si="29"/>
        <v>44246</v>
      </c>
      <c r="CB95">
        <v>50</v>
      </c>
      <c r="CC95">
        <v>4</v>
      </c>
      <c r="CD95" t="s">
        <v>288</v>
      </c>
      <c r="CE95">
        <f t="shared" si="31"/>
        <v>0.17780938833570412</v>
      </c>
      <c r="CF95">
        <f t="shared" si="32"/>
        <v>2.3247366509262624</v>
      </c>
      <c r="CG95">
        <f t="shared" si="33"/>
        <v>2.3289665211062589</v>
      </c>
      <c r="CH95">
        <f t="shared" si="34"/>
        <v>3.6386226482073125</v>
      </c>
      <c r="CI95">
        <f t="shared" si="35"/>
        <v>0.12424565140220103</v>
      </c>
      <c r="CJ95" s="1">
        <f t="shared" si="36"/>
        <v>0.12424565140220103</v>
      </c>
      <c r="CK95" s="6" t="s">
        <v>142</v>
      </c>
      <c r="CL95" s="6">
        <v>1</v>
      </c>
      <c r="CM95" s="6"/>
      <c r="CN95" s="6"/>
      <c r="CO95" s="6"/>
      <c r="CP95" s="6"/>
    </row>
    <row r="96" spans="1:99" ht="17" x14ac:dyDescent="0.2">
      <c r="A96" t="s">
        <v>388</v>
      </c>
      <c r="B96" t="s">
        <v>46</v>
      </c>
      <c r="C96" t="str">
        <f t="shared" si="25"/>
        <v>I</v>
      </c>
      <c r="D96" t="str">
        <f t="shared" si="26"/>
        <v>S</v>
      </c>
      <c r="E96" t="str">
        <f t="shared" si="27"/>
        <v>G</v>
      </c>
      <c r="F96">
        <v>65</v>
      </c>
      <c r="G96">
        <v>62</v>
      </c>
      <c r="H96">
        <v>4.093</v>
      </c>
      <c r="I96">
        <v>0.1</v>
      </c>
      <c r="J96">
        <v>8.9999999999999993E-3</v>
      </c>
      <c r="K96" t="s">
        <v>38</v>
      </c>
      <c r="L96" t="str">
        <f t="shared" si="28"/>
        <v>M</v>
      </c>
      <c r="M96">
        <v>22</v>
      </c>
      <c r="N96">
        <v>0.16</v>
      </c>
      <c r="O96">
        <v>0.153</v>
      </c>
      <c r="P96" t="s">
        <v>386</v>
      </c>
      <c r="Q96" t="str">
        <f t="shared" si="30"/>
        <v>F</v>
      </c>
      <c r="AV96">
        <v>1</v>
      </c>
      <c r="AW96">
        <v>0</v>
      </c>
      <c r="BV96" s="1">
        <v>0</v>
      </c>
      <c r="BW96" t="s">
        <v>383</v>
      </c>
      <c r="BX96" t="str">
        <f t="shared" si="37"/>
        <v>19</v>
      </c>
      <c r="BY96" t="str">
        <f t="shared" si="39"/>
        <v>2</v>
      </c>
      <c r="BZ96" t="str">
        <f t="shared" si="38"/>
        <v>2021</v>
      </c>
      <c r="CA96" s="5">
        <f t="shared" si="29"/>
        <v>44246</v>
      </c>
      <c r="CB96">
        <v>50</v>
      </c>
      <c r="CC96">
        <v>4</v>
      </c>
      <c r="CD96" t="s">
        <v>288</v>
      </c>
      <c r="CE96">
        <f t="shared" si="31"/>
        <v>0.22037218413320275</v>
      </c>
      <c r="CF96">
        <f t="shared" si="32"/>
        <v>2.504382669671926</v>
      </c>
      <c r="CG96">
        <f t="shared" si="33"/>
        <v>2.5100401606425704</v>
      </c>
      <c r="CH96">
        <f t="shared" si="34"/>
        <v>3.738089420962619</v>
      </c>
      <c r="CI96">
        <f t="shared" si="35"/>
        <v>0.17102369899828992</v>
      </c>
      <c r="CJ96" s="1">
        <f t="shared" si="36"/>
        <v>0.17102369899828992</v>
      </c>
      <c r="CK96" s="6" t="s">
        <v>142</v>
      </c>
      <c r="CL96" s="6">
        <v>1</v>
      </c>
      <c r="CM96" s="6"/>
      <c r="CN96" s="6"/>
      <c r="CO96" s="6"/>
      <c r="CP96" s="6"/>
    </row>
    <row r="97" spans="1:99" ht="17" x14ac:dyDescent="0.2">
      <c r="A97" t="s">
        <v>389</v>
      </c>
      <c r="B97" t="s">
        <v>46</v>
      </c>
      <c r="C97" t="str">
        <f t="shared" si="25"/>
        <v>I</v>
      </c>
      <c r="D97" t="str">
        <f t="shared" si="26"/>
        <v>IMM</v>
      </c>
      <c r="E97" t="str">
        <f t="shared" si="27"/>
        <v>G</v>
      </c>
      <c r="F97">
        <v>64</v>
      </c>
      <c r="G97">
        <v>61</v>
      </c>
      <c r="H97">
        <v>4.2069999999999999</v>
      </c>
      <c r="I97">
        <v>0.1</v>
      </c>
      <c r="J97">
        <v>1.0999999999999999E-2</v>
      </c>
      <c r="K97" t="s">
        <v>38</v>
      </c>
      <c r="L97" t="str">
        <f t="shared" si="28"/>
        <v>M</v>
      </c>
      <c r="M97">
        <v>22</v>
      </c>
      <c r="N97">
        <v>0.151</v>
      </c>
      <c r="O97">
        <v>0.14599999999999999</v>
      </c>
      <c r="P97" t="s">
        <v>36</v>
      </c>
      <c r="Q97" t="str">
        <f t="shared" si="30"/>
        <v>MT</v>
      </c>
      <c r="BV97" s="1">
        <v>0</v>
      </c>
      <c r="BW97" t="s">
        <v>383</v>
      </c>
      <c r="BX97" t="str">
        <f t="shared" si="37"/>
        <v>19</v>
      </c>
      <c r="BY97" t="str">
        <f t="shared" si="39"/>
        <v>2</v>
      </c>
      <c r="BZ97" t="str">
        <f t="shared" si="38"/>
        <v>2021</v>
      </c>
      <c r="CA97" s="5">
        <f t="shared" si="29"/>
        <v>44246</v>
      </c>
      <c r="CB97">
        <v>50</v>
      </c>
      <c r="CC97">
        <v>4</v>
      </c>
      <c r="CD97" t="s">
        <v>288</v>
      </c>
      <c r="CE97">
        <f t="shared" si="31"/>
        <v>0.26215443279313633</v>
      </c>
      <c r="CF97">
        <f t="shared" si="32"/>
        <v>2.4348672997321645</v>
      </c>
      <c r="CG97">
        <f t="shared" si="33"/>
        <v>2.44140625</v>
      </c>
      <c r="CH97">
        <f t="shared" si="34"/>
        <v>3.4704064654147846</v>
      </c>
      <c r="CI97">
        <f t="shared" si="35"/>
        <v>0.11884953648680782</v>
      </c>
      <c r="CJ97" s="1">
        <f t="shared" si="36"/>
        <v>0.11884953648680782</v>
      </c>
      <c r="CK97" s="6" t="s">
        <v>142</v>
      </c>
      <c r="CL97" s="6">
        <v>1</v>
      </c>
      <c r="CM97" s="6"/>
      <c r="CN97" s="6"/>
      <c r="CO97" s="6"/>
      <c r="CP97" s="6"/>
    </row>
    <row r="98" spans="1:99" ht="17" x14ac:dyDescent="0.2">
      <c r="A98" t="s">
        <v>390</v>
      </c>
      <c r="B98" t="s">
        <v>46</v>
      </c>
      <c r="C98" t="str">
        <f t="shared" si="25"/>
        <v>I</v>
      </c>
      <c r="D98" t="str">
        <f t="shared" si="26"/>
        <v>S</v>
      </c>
      <c r="E98" t="str">
        <f t="shared" si="27"/>
        <v>G</v>
      </c>
      <c r="F98">
        <v>69</v>
      </c>
      <c r="G98">
        <v>65</v>
      </c>
      <c r="H98">
        <v>5.2489999999999997</v>
      </c>
      <c r="I98">
        <v>0.15</v>
      </c>
      <c r="J98">
        <v>8.9999999999999993E-3</v>
      </c>
      <c r="K98" t="s">
        <v>38</v>
      </c>
      <c r="L98" t="str">
        <f t="shared" si="28"/>
        <v>M</v>
      </c>
      <c r="M98">
        <v>22</v>
      </c>
      <c r="N98">
        <v>0.185</v>
      </c>
      <c r="O98">
        <v>0.17899999999999999</v>
      </c>
      <c r="P98" t="s">
        <v>36</v>
      </c>
      <c r="Q98" t="str">
        <f t="shared" si="30"/>
        <v>MT</v>
      </c>
      <c r="BV98" s="1">
        <v>0</v>
      </c>
      <c r="BW98" t="s">
        <v>383</v>
      </c>
      <c r="BX98" t="str">
        <f t="shared" si="37"/>
        <v>19</v>
      </c>
      <c r="BY98" t="str">
        <f t="shared" si="39"/>
        <v>2</v>
      </c>
      <c r="BZ98" t="str">
        <f t="shared" si="38"/>
        <v>2021</v>
      </c>
      <c r="CA98" s="5">
        <f t="shared" si="29"/>
        <v>44246</v>
      </c>
      <c r="CB98">
        <v>50</v>
      </c>
      <c r="CC98">
        <v>4</v>
      </c>
      <c r="CD98" t="s">
        <v>290</v>
      </c>
      <c r="CE98">
        <f t="shared" si="31"/>
        <v>0.1717557251908397</v>
      </c>
      <c r="CF98">
        <f t="shared" si="32"/>
        <v>2.9417532849578354</v>
      </c>
      <c r="CG98">
        <f t="shared" si="33"/>
        <v>2.9469548133595289</v>
      </c>
      <c r="CH98">
        <f t="shared" si="34"/>
        <v>3.4101733663554965</v>
      </c>
      <c r="CI98">
        <f t="shared" si="35"/>
        <v>0.1143074871404078</v>
      </c>
      <c r="CJ98" s="1">
        <f t="shared" si="36"/>
        <v>0.1143074871404078</v>
      </c>
      <c r="CK98" s="6" t="s">
        <v>142</v>
      </c>
      <c r="CL98" s="6">
        <v>2</v>
      </c>
      <c r="CM98" s="6"/>
      <c r="CN98" s="6"/>
      <c r="CO98" s="6"/>
      <c r="CP98" s="6"/>
    </row>
    <row r="99" spans="1:99" ht="17" x14ac:dyDescent="0.2">
      <c r="A99" t="s">
        <v>391</v>
      </c>
      <c r="B99" t="s">
        <v>46</v>
      </c>
      <c r="C99" t="str">
        <f t="shared" si="25"/>
        <v>I</v>
      </c>
      <c r="D99" t="str">
        <f t="shared" si="26"/>
        <v>S</v>
      </c>
      <c r="E99" t="str">
        <f t="shared" si="27"/>
        <v>G</v>
      </c>
      <c r="F99">
        <v>69</v>
      </c>
      <c r="G99">
        <v>65</v>
      </c>
      <c r="H99">
        <v>5.274</v>
      </c>
      <c r="I99">
        <v>0.18099999999999999</v>
      </c>
      <c r="J99">
        <v>2.3E-2</v>
      </c>
      <c r="K99" t="s">
        <v>38</v>
      </c>
      <c r="L99" t="str">
        <f t="shared" si="28"/>
        <v>M</v>
      </c>
      <c r="M99">
        <v>22</v>
      </c>
      <c r="N99">
        <v>0.22900000000000001</v>
      </c>
      <c r="O99">
        <v>0.21099999999999999</v>
      </c>
      <c r="P99" t="s">
        <v>36</v>
      </c>
      <c r="Q99" t="str">
        <f t="shared" si="30"/>
        <v>MT</v>
      </c>
      <c r="BV99" s="1">
        <v>0</v>
      </c>
      <c r="BW99" t="s">
        <v>383</v>
      </c>
      <c r="BX99" t="str">
        <f t="shared" si="37"/>
        <v>19</v>
      </c>
      <c r="BY99" t="str">
        <f t="shared" si="39"/>
        <v>2</v>
      </c>
      <c r="BZ99" t="str">
        <f t="shared" si="38"/>
        <v>2021</v>
      </c>
      <c r="CA99" s="5">
        <f t="shared" si="29"/>
        <v>44246</v>
      </c>
      <c r="CB99">
        <v>50</v>
      </c>
      <c r="CC99">
        <v>4</v>
      </c>
      <c r="CD99" t="s">
        <v>290</v>
      </c>
      <c r="CE99">
        <f t="shared" si="31"/>
        <v>0.43801180727480477</v>
      </c>
      <c r="CF99">
        <f t="shared" si="32"/>
        <v>3.5538975063813072</v>
      </c>
      <c r="CG99">
        <f t="shared" si="33"/>
        <v>3.5700197238658777</v>
      </c>
      <c r="CH99">
        <f t="shared" si="34"/>
        <v>4.0007584376185052</v>
      </c>
      <c r="CI99">
        <f t="shared" si="35"/>
        <v>0.34129692832764535</v>
      </c>
      <c r="CJ99" s="1">
        <f t="shared" si="36"/>
        <v>0.34129692832764535</v>
      </c>
      <c r="CK99" s="6" t="s">
        <v>142</v>
      </c>
      <c r="CL99" s="6">
        <v>2</v>
      </c>
      <c r="CM99" s="6"/>
      <c r="CN99" s="6"/>
      <c r="CO99" s="6"/>
      <c r="CP99" s="6"/>
    </row>
    <row r="100" spans="1:99" ht="17" x14ac:dyDescent="0.2">
      <c r="A100" t="s">
        <v>392</v>
      </c>
      <c r="B100" t="s">
        <v>46</v>
      </c>
      <c r="C100" t="str">
        <f t="shared" si="25"/>
        <v>I</v>
      </c>
      <c r="D100" t="str">
        <f t="shared" si="26"/>
        <v>S</v>
      </c>
      <c r="E100" t="str">
        <f t="shared" si="27"/>
        <v>G</v>
      </c>
      <c r="F100">
        <v>73</v>
      </c>
      <c r="G100">
        <v>68</v>
      </c>
      <c r="H100">
        <v>6.2510000000000003</v>
      </c>
      <c r="I100">
        <v>0.18099999999999999</v>
      </c>
      <c r="J100">
        <v>0.10299999999999999</v>
      </c>
      <c r="K100" t="s">
        <v>24</v>
      </c>
      <c r="L100" t="str">
        <f t="shared" si="28"/>
        <v>F</v>
      </c>
      <c r="M100">
        <v>22</v>
      </c>
      <c r="N100">
        <v>0.23</v>
      </c>
      <c r="O100">
        <v>0.221</v>
      </c>
      <c r="P100" t="s">
        <v>36</v>
      </c>
      <c r="Q100" t="str">
        <f t="shared" si="30"/>
        <v>MT</v>
      </c>
      <c r="BV100" s="1">
        <v>0</v>
      </c>
      <c r="BW100" t="s">
        <v>383</v>
      </c>
      <c r="BX100" t="str">
        <f t="shared" si="37"/>
        <v>19</v>
      </c>
      <c r="BY100" t="str">
        <f t="shared" si="39"/>
        <v>2</v>
      </c>
      <c r="BZ100" t="str">
        <f t="shared" si="38"/>
        <v>2021</v>
      </c>
      <c r="CA100" s="5">
        <f t="shared" si="29"/>
        <v>44246</v>
      </c>
      <c r="CB100">
        <v>50</v>
      </c>
      <c r="CC100">
        <v>4</v>
      </c>
      <c r="CD100" t="s">
        <v>288</v>
      </c>
      <c r="CE100">
        <f t="shared" si="31"/>
        <v>1.6753415744957707</v>
      </c>
      <c r="CF100">
        <f t="shared" si="32"/>
        <v>2.9818780889621084</v>
      </c>
      <c r="CG100">
        <f t="shared" si="33"/>
        <v>3.0333500921736212</v>
      </c>
      <c r="CH100">
        <f t="shared" si="34"/>
        <v>3.5354343305071185</v>
      </c>
      <c r="CI100">
        <f t="shared" si="35"/>
        <v>0.14397696368581039</v>
      </c>
      <c r="CJ100" s="1">
        <f t="shared" si="36"/>
        <v>0.14397696368581039</v>
      </c>
      <c r="CK100" s="6" t="s">
        <v>142</v>
      </c>
      <c r="CL100" s="6">
        <v>1</v>
      </c>
      <c r="CM100" s="6">
        <v>0</v>
      </c>
      <c r="CN100" s="6">
        <v>3</v>
      </c>
      <c r="CO100" s="6">
        <v>2</v>
      </c>
      <c r="CP100" s="6">
        <v>0</v>
      </c>
      <c r="CQ100" s="12">
        <v>2.6499999999999999E-2</v>
      </c>
      <c r="CR100">
        <f>CQ100/(H100-I100-J100-N100)*1000</f>
        <v>4.619138922781941</v>
      </c>
      <c r="CS100">
        <v>9.0809999999999995</v>
      </c>
      <c r="CT100">
        <v>61.637282942865433</v>
      </c>
      <c r="CU100">
        <v>103.19574469422849</v>
      </c>
    </row>
    <row r="101" spans="1:99" ht="17" x14ac:dyDescent="0.2">
      <c r="A101" t="s">
        <v>393</v>
      </c>
      <c r="B101" t="s">
        <v>46</v>
      </c>
      <c r="C101" t="str">
        <f t="shared" si="25"/>
        <v>I</v>
      </c>
      <c r="D101" t="str">
        <f t="shared" si="26"/>
        <v>S</v>
      </c>
      <c r="E101" t="str">
        <f t="shared" si="27"/>
        <v>G</v>
      </c>
      <c r="F101">
        <v>70</v>
      </c>
      <c r="G101">
        <v>66</v>
      </c>
      <c r="H101">
        <v>5.7549999999999999</v>
      </c>
      <c r="I101">
        <v>0.152</v>
      </c>
      <c r="J101">
        <v>8.9999999999999993E-3</v>
      </c>
      <c r="K101" t="s">
        <v>38</v>
      </c>
      <c r="L101" t="str">
        <f t="shared" si="28"/>
        <v>M</v>
      </c>
      <c r="M101">
        <v>22</v>
      </c>
      <c r="N101">
        <v>0.218</v>
      </c>
      <c r="O101">
        <v>0.20899999999999999</v>
      </c>
      <c r="P101" t="s">
        <v>36</v>
      </c>
      <c r="Q101" t="str">
        <f t="shared" si="30"/>
        <v>MT</v>
      </c>
      <c r="BV101" s="1">
        <v>0</v>
      </c>
      <c r="BW101" t="s">
        <v>383</v>
      </c>
      <c r="BX101" t="str">
        <f t="shared" si="37"/>
        <v>19</v>
      </c>
      <c r="BY101" t="str">
        <f t="shared" si="39"/>
        <v>2</v>
      </c>
      <c r="BZ101" t="str">
        <f t="shared" si="38"/>
        <v>2021</v>
      </c>
      <c r="CA101" s="5">
        <f t="shared" si="29"/>
        <v>44246</v>
      </c>
      <c r="CB101">
        <v>50</v>
      </c>
      <c r="CC101">
        <v>4</v>
      </c>
      <c r="CD101" t="s">
        <v>290</v>
      </c>
      <c r="CE101">
        <f t="shared" si="31"/>
        <v>0.15663069961712495</v>
      </c>
      <c r="CF101">
        <f t="shared" si="32"/>
        <v>2.7128324112082813</v>
      </c>
      <c r="CG101">
        <f t="shared" si="33"/>
        <v>2.7171969967822669</v>
      </c>
      <c r="CH101">
        <f t="shared" si="34"/>
        <v>3.6316246741963507</v>
      </c>
      <c r="CI101">
        <f t="shared" si="35"/>
        <v>0.15638575152041717</v>
      </c>
      <c r="CJ101" s="1">
        <f t="shared" si="36"/>
        <v>0.15638575152041717</v>
      </c>
      <c r="CK101" s="6" t="s">
        <v>142</v>
      </c>
      <c r="CL101" s="6">
        <v>2</v>
      </c>
      <c r="CM101" s="6"/>
      <c r="CN101" s="6"/>
      <c r="CO101" s="6"/>
      <c r="CP101" s="6"/>
    </row>
    <row r="102" spans="1:99" ht="17" x14ac:dyDescent="0.2">
      <c r="A102" t="s">
        <v>394</v>
      </c>
      <c r="B102" t="s">
        <v>46</v>
      </c>
      <c r="C102" t="str">
        <f t="shared" si="25"/>
        <v>I</v>
      </c>
      <c r="D102" t="str">
        <f t="shared" si="26"/>
        <v>IMM</v>
      </c>
      <c r="E102" t="str">
        <f t="shared" si="27"/>
        <v>G</v>
      </c>
      <c r="F102">
        <v>61</v>
      </c>
      <c r="G102">
        <v>58</v>
      </c>
      <c r="H102">
        <v>3.6240000000000001</v>
      </c>
      <c r="I102">
        <v>0.104</v>
      </c>
      <c r="J102">
        <v>0.01</v>
      </c>
      <c r="K102" t="s">
        <v>38</v>
      </c>
      <c r="L102" t="str">
        <f t="shared" si="28"/>
        <v>M</v>
      </c>
      <c r="M102">
        <v>22</v>
      </c>
      <c r="N102">
        <v>0.13</v>
      </c>
      <c r="O102">
        <v>0.12</v>
      </c>
      <c r="P102" t="s">
        <v>395</v>
      </c>
      <c r="Q102" t="str">
        <f t="shared" ref="Q102:Q122" si="40">IF(P102="MT","MT","F")</f>
        <v>F</v>
      </c>
      <c r="AV102">
        <v>1</v>
      </c>
      <c r="AW102">
        <v>1E-3</v>
      </c>
      <c r="BV102" s="1">
        <v>1E-3</v>
      </c>
      <c r="BW102" t="s">
        <v>383</v>
      </c>
      <c r="BX102" t="str">
        <f t="shared" si="37"/>
        <v>19</v>
      </c>
      <c r="BY102" t="str">
        <f t="shared" si="39"/>
        <v>2</v>
      </c>
      <c r="BZ102" t="str">
        <f t="shared" si="38"/>
        <v>2021</v>
      </c>
      <c r="CA102" s="5">
        <f t="shared" si="29"/>
        <v>44246</v>
      </c>
      <c r="CB102">
        <v>50</v>
      </c>
      <c r="CC102">
        <v>4</v>
      </c>
      <c r="CD102" t="s">
        <v>288</v>
      </c>
      <c r="CE102">
        <f t="shared" si="31"/>
        <v>0.27670171555063638</v>
      </c>
      <c r="CF102">
        <f t="shared" si="32"/>
        <v>2.9545454545454546</v>
      </c>
      <c r="CG102">
        <f t="shared" si="33"/>
        <v>2.9629629629629628</v>
      </c>
      <c r="CH102">
        <f t="shared" si="34"/>
        <v>3.311258278145695</v>
      </c>
      <c r="CI102">
        <f t="shared" si="35"/>
        <v>0.27593818984547486</v>
      </c>
      <c r="CJ102" s="1">
        <f t="shared" si="36"/>
        <v>0.30353200883002235</v>
      </c>
      <c r="CK102" s="6" t="s">
        <v>142</v>
      </c>
      <c r="CL102" s="6">
        <v>1</v>
      </c>
      <c r="CM102" s="6"/>
      <c r="CN102" s="6"/>
      <c r="CO102" s="6"/>
      <c r="CP102" s="6"/>
    </row>
    <row r="103" spans="1:99" ht="17" x14ac:dyDescent="0.2">
      <c r="A103" t="s">
        <v>396</v>
      </c>
      <c r="B103" t="s">
        <v>46</v>
      </c>
      <c r="C103" t="str">
        <f t="shared" si="25"/>
        <v>I</v>
      </c>
      <c r="D103" t="str">
        <f t="shared" si="26"/>
        <v>IMM</v>
      </c>
      <c r="E103" t="str">
        <f t="shared" si="27"/>
        <v>G</v>
      </c>
      <c r="F103">
        <v>62</v>
      </c>
      <c r="G103">
        <v>59</v>
      </c>
      <c r="H103">
        <v>3.9820000000000002</v>
      </c>
      <c r="I103">
        <v>0.11799999999999999</v>
      </c>
      <c r="J103">
        <v>7.0000000000000001E-3</v>
      </c>
      <c r="K103" t="s">
        <v>38</v>
      </c>
      <c r="L103" t="str">
        <f t="shared" si="28"/>
        <v>M</v>
      </c>
      <c r="M103">
        <v>22</v>
      </c>
      <c r="N103">
        <v>0.155</v>
      </c>
      <c r="O103">
        <v>0.14699999999999999</v>
      </c>
      <c r="P103" t="s">
        <v>36</v>
      </c>
      <c r="Q103" t="str">
        <f t="shared" si="40"/>
        <v>MT</v>
      </c>
      <c r="BV103" s="1">
        <v>0</v>
      </c>
      <c r="BW103" t="s">
        <v>383</v>
      </c>
      <c r="BX103" t="str">
        <f t="shared" si="37"/>
        <v>19</v>
      </c>
      <c r="BY103" t="str">
        <f t="shared" si="39"/>
        <v>2</v>
      </c>
      <c r="BZ103" t="str">
        <f t="shared" si="38"/>
        <v>2021</v>
      </c>
      <c r="CA103" s="5">
        <f t="shared" si="29"/>
        <v>44246</v>
      </c>
      <c r="CB103">
        <v>50</v>
      </c>
      <c r="CC103">
        <v>4</v>
      </c>
      <c r="CD103" t="s">
        <v>288</v>
      </c>
      <c r="CE103">
        <f t="shared" si="31"/>
        <v>0.1761006289308176</v>
      </c>
      <c r="CF103">
        <f t="shared" si="32"/>
        <v>3.053830227743271</v>
      </c>
      <c r="CG103">
        <f t="shared" si="33"/>
        <v>3.0593725693544203</v>
      </c>
      <c r="CH103">
        <f t="shared" si="34"/>
        <v>3.6916122551481663</v>
      </c>
      <c r="CI103">
        <f t="shared" si="35"/>
        <v>0.20090406830738339</v>
      </c>
      <c r="CJ103" s="1">
        <f t="shared" si="36"/>
        <v>0.20090406830738339</v>
      </c>
      <c r="CK103" s="6" t="s">
        <v>142</v>
      </c>
      <c r="CL103" s="6">
        <v>1</v>
      </c>
      <c r="CM103" s="6"/>
      <c r="CN103" s="6"/>
      <c r="CO103" s="6"/>
      <c r="CP103" s="6"/>
    </row>
    <row r="104" spans="1:99" ht="17" x14ac:dyDescent="0.2">
      <c r="A104" t="s">
        <v>397</v>
      </c>
      <c r="B104" t="s">
        <v>46</v>
      </c>
      <c r="C104" t="str">
        <f t="shared" si="25"/>
        <v>I</v>
      </c>
      <c r="D104" t="str">
        <f t="shared" si="26"/>
        <v>S</v>
      </c>
      <c r="E104" t="str">
        <f t="shared" si="27"/>
        <v>G</v>
      </c>
      <c r="F104">
        <v>68</v>
      </c>
      <c r="G104">
        <v>64</v>
      </c>
      <c r="H104">
        <v>5.117</v>
      </c>
      <c r="I104">
        <v>0.14399999999999999</v>
      </c>
      <c r="J104">
        <v>8.9999999999999993E-3</v>
      </c>
      <c r="K104" t="s">
        <v>38</v>
      </c>
      <c r="L104" t="str">
        <f t="shared" si="28"/>
        <v>M</v>
      </c>
      <c r="M104">
        <v>22</v>
      </c>
      <c r="N104">
        <v>0.17199999999999999</v>
      </c>
      <c r="O104">
        <v>0.16700000000000001</v>
      </c>
      <c r="P104" t="s">
        <v>36</v>
      </c>
      <c r="Q104" t="str">
        <f t="shared" si="40"/>
        <v>MT</v>
      </c>
      <c r="BV104" s="1">
        <v>0</v>
      </c>
      <c r="BW104" t="s">
        <v>383</v>
      </c>
      <c r="BX104" t="str">
        <f t="shared" si="37"/>
        <v>19</v>
      </c>
      <c r="BY104" t="str">
        <f t="shared" si="39"/>
        <v>2</v>
      </c>
      <c r="BZ104" t="str">
        <f t="shared" si="38"/>
        <v>2021</v>
      </c>
      <c r="CA104" s="5">
        <f t="shared" si="29"/>
        <v>44246</v>
      </c>
      <c r="CB104">
        <v>50</v>
      </c>
      <c r="CC104">
        <v>4</v>
      </c>
      <c r="CD104" t="s">
        <v>288</v>
      </c>
      <c r="CE104">
        <f t="shared" si="31"/>
        <v>0.17619420516836334</v>
      </c>
      <c r="CF104">
        <f t="shared" si="32"/>
        <v>2.8956364367584957</v>
      </c>
      <c r="CG104">
        <f t="shared" si="33"/>
        <v>2.9008863819500403</v>
      </c>
      <c r="CH104">
        <f t="shared" si="34"/>
        <v>3.2636310338088723</v>
      </c>
      <c r="CI104">
        <f t="shared" si="35"/>
        <v>9.7713504006253213E-2</v>
      </c>
      <c r="CJ104" s="1">
        <f t="shared" si="36"/>
        <v>9.7713504006253213E-2</v>
      </c>
      <c r="CK104" s="6" t="s">
        <v>142</v>
      </c>
      <c r="CL104" s="6">
        <v>1</v>
      </c>
      <c r="CM104" s="6"/>
      <c r="CN104" s="6"/>
      <c r="CO104" s="6"/>
      <c r="CP104" s="6"/>
    </row>
    <row r="105" spans="1:99" ht="17" x14ac:dyDescent="0.2">
      <c r="A105" t="s">
        <v>398</v>
      </c>
      <c r="B105" t="s">
        <v>46</v>
      </c>
      <c r="C105" t="str">
        <f t="shared" si="25"/>
        <v>S</v>
      </c>
      <c r="D105" t="str">
        <f t="shared" si="26"/>
        <v>IMM</v>
      </c>
      <c r="E105" t="str">
        <f t="shared" si="27"/>
        <v>N</v>
      </c>
      <c r="F105">
        <v>59</v>
      </c>
      <c r="G105">
        <v>56</v>
      </c>
      <c r="H105">
        <v>3.2469999999999999</v>
      </c>
      <c r="I105">
        <v>0.113</v>
      </c>
      <c r="J105">
        <v>0.04</v>
      </c>
      <c r="K105" t="s">
        <v>24</v>
      </c>
      <c r="L105" t="str">
        <f t="shared" si="28"/>
        <v>F</v>
      </c>
      <c r="M105">
        <v>22</v>
      </c>
      <c r="N105">
        <v>0.16300000000000001</v>
      </c>
      <c r="O105">
        <v>0.156</v>
      </c>
      <c r="P105" t="s">
        <v>36</v>
      </c>
      <c r="Q105" t="str">
        <f t="shared" si="40"/>
        <v>MT</v>
      </c>
      <c r="BV105" s="1">
        <v>0</v>
      </c>
      <c r="BW105" t="s">
        <v>383</v>
      </c>
      <c r="BX105" t="str">
        <f t="shared" si="37"/>
        <v>19</v>
      </c>
      <c r="BY105" t="str">
        <f t="shared" si="39"/>
        <v>2</v>
      </c>
      <c r="BZ105" t="str">
        <f t="shared" si="38"/>
        <v>2021</v>
      </c>
      <c r="CA105" s="5">
        <f t="shared" si="29"/>
        <v>44246</v>
      </c>
      <c r="CB105">
        <v>50</v>
      </c>
      <c r="CC105">
        <v>4</v>
      </c>
      <c r="CD105" t="s">
        <v>288</v>
      </c>
      <c r="CE105">
        <f t="shared" si="31"/>
        <v>1.2472715933894607</v>
      </c>
      <c r="CF105">
        <f t="shared" si="32"/>
        <v>3.6056158264199114</v>
      </c>
      <c r="CG105">
        <f t="shared" si="33"/>
        <v>3.6522301228183585</v>
      </c>
      <c r="CH105">
        <f t="shared" si="34"/>
        <v>4.8044348629504157</v>
      </c>
      <c r="CI105">
        <f t="shared" si="35"/>
        <v>0.21558361564521117</v>
      </c>
      <c r="CJ105" s="1">
        <f t="shared" si="36"/>
        <v>0.21558361564521117</v>
      </c>
      <c r="CK105" s="6" t="s">
        <v>142</v>
      </c>
      <c r="CL105" s="6">
        <v>1</v>
      </c>
      <c r="CM105" s="6"/>
      <c r="CN105" s="6"/>
      <c r="CO105" s="6"/>
      <c r="CP105" s="6"/>
    </row>
    <row r="106" spans="1:99" ht="17" x14ac:dyDescent="0.2">
      <c r="A106" t="s">
        <v>399</v>
      </c>
      <c r="B106" t="s">
        <v>46</v>
      </c>
      <c r="C106" t="str">
        <f t="shared" si="25"/>
        <v>S</v>
      </c>
      <c r="D106" t="str">
        <f t="shared" si="26"/>
        <v>IMM</v>
      </c>
      <c r="E106" t="str">
        <f t="shared" si="27"/>
        <v>N</v>
      </c>
      <c r="F106">
        <v>49</v>
      </c>
      <c r="G106">
        <v>48</v>
      </c>
      <c r="H106">
        <v>1.736</v>
      </c>
      <c r="I106">
        <v>5.6000000000000001E-2</v>
      </c>
      <c r="J106">
        <v>3.1E-2</v>
      </c>
      <c r="K106" t="s">
        <v>24</v>
      </c>
      <c r="L106" t="str">
        <f t="shared" si="28"/>
        <v>F</v>
      </c>
      <c r="M106">
        <v>22</v>
      </c>
      <c r="N106">
        <v>0.08</v>
      </c>
      <c r="O106">
        <v>7.1999999999999995E-2</v>
      </c>
      <c r="P106" t="s">
        <v>400</v>
      </c>
      <c r="Q106" t="str">
        <f t="shared" si="40"/>
        <v>F</v>
      </c>
      <c r="AN106">
        <v>2</v>
      </c>
      <c r="AO106">
        <v>1E-3</v>
      </c>
      <c r="BV106" s="1">
        <v>1E-3</v>
      </c>
      <c r="BW106" t="s">
        <v>383</v>
      </c>
      <c r="BX106" t="str">
        <f t="shared" si="37"/>
        <v>19</v>
      </c>
      <c r="BY106" t="str">
        <f t="shared" si="39"/>
        <v>2</v>
      </c>
      <c r="BZ106" t="str">
        <f t="shared" si="38"/>
        <v>2021</v>
      </c>
      <c r="CA106" s="5">
        <f t="shared" si="29"/>
        <v>44246</v>
      </c>
      <c r="CB106">
        <v>50</v>
      </c>
      <c r="CC106">
        <v>4</v>
      </c>
      <c r="CD106" t="s">
        <v>290</v>
      </c>
      <c r="CE106">
        <f t="shared" si="31"/>
        <v>1.8181818181818181</v>
      </c>
      <c r="CF106">
        <f t="shared" si="32"/>
        <v>3.3333333333333335</v>
      </c>
      <c r="CG106">
        <f t="shared" ref="CG106:CG137" si="41">I106/(H106-I106-J106)*100</f>
        <v>3.3959975742874469</v>
      </c>
      <c r="CH106">
        <f t="shared" ref="CH106:CH137" si="42">O106/H106*100</f>
        <v>4.1474654377880178</v>
      </c>
      <c r="CI106">
        <f t="shared" si="35"/>
        <v>0.46082949308755805</v>
      </c>
      <c r="CJ106" s="1">
        <f t="shared" si="36"/>
        <v>0.51843317972350278</v>
      </c>
      <c r="CK106" s="6" t="s">
        <v>142</v>
      </c>
      <c r="CL106" s="6">
        <v>2</v>
      </c>
      <c r="CM106" s="6"/>
      <c r="CN106" s="6"/>
      <c r="CO106" s="6"/>
      <c r="CP106" s="6"/>
    </row>
    <row r="107" spans="1:99" ht="17" x14ac:dyDescent="0.2">
      <c r="A107" t="s">
        <v>401</v>
      </c>
      <c r="B107" t="s">
        <v>46</v>
      </c>
      <c r="C107" t="str">
        <f t="shared" si="25"/>
        <v>S</v>
      </c>
      <c r="D107" t="str">
        <f t="shared" si="26"/>
        <v>IMM</v>
      </c>
      <c r="E107" t="str">
        <f t="shared" si="27"/>
        <v>N</v>
      </c>
      <c r="F107">
        <v>56</v>
      </c>
      <c r="G107">
        <v>53</v>
      </c>
      <c r="H107">
        <v>2.7120000000000002</v>
      </c>
      <c r="I107">
        <v>7.9000000000000001E-2</v>
      </c>
      <c r="J107">
        <v>4.2999999999999997E-2</v>
      </c>
      <c r="K107" t="s">
        <v>24</v>
      </c>
      <c r="L107" t="str">
        <f t="shared" si="28"/>
        <v>F</v>
      </c>
      <c r="M107">
        <v>22</v>
      </c>
      <c r="N107">
        <v>0.113</v>
      </c>
      <c r="O107">
        <v>0.10100000000000001</v>
      </c>
      <c r="P107" t="s">
        <v>402</v>
      </c>
      <c r="Q107" t="str">
        <f t="shared" si="40"/>
        <v>F</v>
      </c>
      <c r="AN107">
        <v>3</v>
      </c>
      <c r="AO107">
        <v>1E-3</v>
      </c>
      <c r="BV107" s="1">
        <v>1E-3</v>
      </c>
      <c r="BW107" t="s">
        <v>383</v>
      </c>
      <c r="BX107" t="str">
        <f t="shared" si="37"/>
        <v>19</v>
      </c>
      <c r="BY107" t="str">
        <f t="shared" si="39"/>
        <v>2</v>
      </c>
      <c r="BZ107" t="str">
        <f t="shared" si="38"/>
        <v>2021</v>
      </c>
      <c r="CA107" s="5">
        <f t="shared" si="29"/>
        <v>44246</v>
      </c>
      <c r="CB107">
        <v>50</v>
      </c>
      <c r="CC107">
        <v>4</v>
      </c>
      <c r="CD107" t="s">
        <v>290</v>
      </c>
      <c r="CE107">
        <f t="shared" si="31"/>
        <v>1.6110902959910078</v>
      </c>
      <c r="CF107">
        <f t="shared" si="32"/>
        <v>3.000379794910748</v>
      </c>
      <c r="CG107">
        <f t="shared" si="41"/>
        <v>3.0501930501930503</v>
      </c>
      <c r="CH107">
        <f t="shared" si="42"/>
        <v>3.7241887905604716</v>
      </c>
      <c r="CI107">
        <f t="shared" si="35"/>
        <v>0.44247787610619449</v>
      </c>
      <c r="CJ107" s="1">
        <f t="shared" si="36"/>
        <v>0.47935103244837751</v>
      </c>
      <c r="CK107" s="6" t="s">
        <v>142</v>
      </c>
      <c r="CL107" s="6">
        <v>2</v>
      </c>
      <c r="CM107" s="6"/>
      <c r="CN107" s="6"/>
      <c r="CO107" s="6"/>
      <c r="CP107" s="6"/>
    </row>
    <row r="108" spans="1:99" ht="17" x14ac:dyDescent="0.2">
      <c r="A108" t="s">
        <v>403</v>
      </c>
      <c r="B108" t="s">
        <v>46</v>
      </c>
      <c r="C108" t="str">
        <f t="shared" si="25"/>
        <v>I</v>
      </c>
      <c r="D108" t="str">
        <f t="shared" si="26"/>
        <v>IMM</v>
      </c>
      <c r="E108" t="str">
        <f t="shared" si="27"/>
        <v>G</v>
      </c>
      <c r="F108">
        <v>63</v>
      </c>
      <c r="G108">
        <v>60</v>
      </c>
      <c r="H108">
        <v>4.0640000000000001</v>
      </c>
      <c r="I108">
        <v>0.122</v>
      </c>
      <c r="J108">
        <v>7.8E-2</v>
      </c>
      <c r="K108" t="s">
        <v>24</v>
      </c>
      <c r="L108" t="str">
        <f t="shared" si="28"/>
        <v>F</v>
      </c>
      <c r="M108">
        <v>22</v>
      </c>
      <c r="N108">
        <v>0.155</v>
      </c>
      <c r="O108">
        <v>0.14799999999999999</v>
      </c>
      <c r="P108" t="s">
        <v>404</v>
      </c>
      <c r="Q108" t="str">
        <f t="shared" si="40"/>
        <v>F</v>
      </c>
      <c r="AN108">
        <v>1</v>
      </c>
      <c r="AO108">
        <v>0</v>
      </c>
      <c r="BV108" s="1">
        <v>0</v>
      </c>
      <c r="BW108" t="s">
        <v>383</v>
      </c>
      <c r="BX108" t="str">
        <f t="shared" si="37"/>
        <v>19</v>
      </c>
      <c r="BY108" t="str">
        <f t="shared" si="39"/>
        <v>2</v>
      </c>
      <c r="BZ108" t="str">
        <f t="shared" si="38"/>
        <v>2021</v>
      </c>
      <c r="CA108" s="5">
        <f t="shared" si="29"/>
        <v>44246</v>
      </c>
      <c r="CB108">
        <v>50</v>
      </c>
      <c r="CC108">
        <v>4</v>
      </c>
      <c r="CD108" t="s">
        <v>290</v>
      </c>
      <c r="CE108">
        <f t="shared" si="31"/>
        <v>1.9568489713998998</v>
      </c>
      <c r="CF108">
        <f t="shared" si="32"/>
        <v>3.0948756976154232</v>
      </c>
      <c r="CG108">
        <f t="shared" si="41"/>
        <v>3.1573498964803313</v>
      </c>
      <c r="CH108">
        <f t="shared" si="42"/>
        <v>3.6417322834645667</v>
      </c>
      <c r="CI108">
        <f t="shared" si="35"/>
        <v>0.17224409448818911</v>
      </c>
      <c r="CJ108" s="1">
        <f t="shared" si="36"/>
        <v>0.17224409448818911</v>
      </c>
      <c r="CK108" s="6" t="s">
        <v>142</v>
      </c>
      <c r="CL108" s="6">
        <v>2</v>
      </c>
      <c r="CM108" s="6">
        <v>0</v>
      </c>
      <c r="CN108" s="6">
        <v>3</v>
      </c>
      <c r="CO108" s="6">
        <v>2</v>
      </c>
      <c r="CP108" s="6">
        <v>0</v>
      </c>
      <c r="CQ108" s="12">
        <v>0.02</v>
      </c>
      <c r="CR108">
        <f>CQ108/(H108-I108-J108-N108)*1000</f>
        <v>5.39228902669183</v>
      </c>
      <c r="CS108">
        <v>9.2040000000000006</v>
      </c>
      <c r="CU108">
        <v>104.79336496151043</v>
      </c>
    </row>
    <row r="109" spans="1:99" ht="17" x14ac:dyDescent="0.2">
      <c r="A109" t="s">
        <v>405</v>
      </c>
      <c r="B109" t="s">
        <v>46</v>
      </c>
      <c r="C109" t="str">
        <f t="shared" si="25"/>
        <v>I</v>
      </c>
      <c r="D109" t="str">
        <f t="shared" si="26"/>
        <v>S</v>
      </c>
      <c r="E109" t="str">
        <f t="shared" si="27"/>
        <v>G</v>
      </c>
      <c r="F109">
        <v>65</v>
      </c>
      <c r="G109">
        <v>61</v>
      </c>
      <c r="H109">
        <v>4.1379999999999999</v>
      </c>
      <c r="I109">
        <v>0.126</v>
      </c>
      <c r="J109">
        <v>6.9000000000000006E-2</v>
      </c>
      <c r="K109" t="s">
        <v>24</v>
      </c>
      <c r="L109" t="str">
        <f t="shared" si="28"/>
        <v>F</v>
      </c>
      <c r="M109">
        <v>22</v>
      </c>
      <c r="N109">
        <v>0.17399999999999999</v>
      </c>
      <c r="O109">
        <v>0.155</v>
      </c>
      <c r="P109" t="s">
        <v>406</v>
      </c>
      <c r="Q109" t="str">
        <f t="shared" si="40"/>
        <v>F</v>
      </c>
      <c r="AN109">
        <v>10</v>
      </c>
      <c r="AO109">
        <v>2E-3</v>
      </c>
      <c r="BV109" s="1">
        <v>2E-3</v>
      </c>
      <c r="BW109" t="s">
        <v>383</v>
      </c>
      <c r="BX109" t="str">
        <f t="shared" si="37"/>
        <v>19</v>
      </c>
      <c r="BY109" t="str">
        <f t="shared" si="39"/>
        <v>2</v>
      </c>
      <c r="BZ109" t="str">
        <f t="shared" si="38"/>
        <v>2021</v>
      </c>
      <c r="CA109" s="5">
        <f t="shared" si="29"/>
        <v>44246</v>
      </c>
      <c r="CB109">
        <v>50</v>
      </c>
      <c r="CC109">
        <v>4</v>
      </c>
      <c r="CD109" t="s">
        <v>288</v>
      </c>
      <c r="CE109">
        <f t="shared" si="31"/>
        <v>1.6957483411157535</v>
      </c>
      <c r="CF109">
        <f t="shared" si="32"/>
        <v>3.140578265204387</v>
      </c>
      <c r="CG109">
        <f t="shared" si="41"/>
        <v>3.1955363936089274</v>
      </c>
      <c r="CH109">
        <f t="shared" si="42"/>
        <v>3.7457709038182698</v>
      </c>
      <c r="CI109">
        <f t="shared" si="35"/>
        <v>0.45915901401643283</v>
      </c>
      <c r="CJ109" s="1">
        <f t="shared" si="36"/>
        <v>0.50749154180763634</v>
      </c>
      <c r="CK109" s="6" t="s">
        <v>142</v>
      </c>
      <c r="CL109" s="6">
        <v>1</v>
      </c>
      <c r="CM109" s="6">
        <v>0</v>
      </c>
      <c r="CN109" s="6">
        <v>0</v>
      </c>
      <c r="CO109" s="6">
        <v>0</v>
      </c>
      <c r="CP109" s="6">
        <v>0</v>
      </c>
      <c r="CQ109" s="12">
        <v>9.7999999999999997E-3</v>
      </c>
      <c r="CR109">
        <f>CQ109/(H109-I109-J109-N109)*1000</f>
        <v>2.6001591934200055</v>
      </c>
      <c r="CS109">
        <v>8.9730000000000008</v>
      </c>
      <c r="CT109">
        <v>67.427653900598798</v>
      </c>
      <c r="CU109">
        <v>112.35338688794349</v>
      </c>
    </row>
    <row r="110" spans="1:99" ht="17" x14ac:dyDescent="0.2">
      <c r="A110" t="s">
        <v>407</v>
      </c>
      <c r="B110" t="s">
        <v>46</v>
      </c>
      <c r="C110" t="str">
        <f t="shared" si="25"/>
        <v>S</v>
      </c>
      <c r="D110" t="str">
        <f t="shared" si="26"/>
        <v>IMM</v>
      </c>
      <c r="E110" t="str">
        <f t="shared" si="27"/>
        <v>N</v>
      </c>
      <c r="F110">
        <v>59</v>
      </c>
      <c r="G110">
        <v>56</v>
      </c>
      <c r="H110">
        <v>3.18</v>
      </c>
      <c r="I110">
        <v>9.6000000000000002E-2</v>
      </c>
      <c r="J110">
        <v>5.3999999999999999E-2</v>
      </c>
      <c r="K110" t="s">
        <v>24</v>
      </c>
      <c r="L110" t="str">
        <f t="shared" si="28"/>
        <v>F</v>
      </c>
      <c r="M110">
        <v>22</v>
      </c>
      <c r="N110">
        <v>0.126</v>
      </c>
      <c r="O110">
        <v>0.11899999999999999</v>
      </c>
      <c r="P110" t="s">
        <v>408</v>
      </c>
      <c r="Q110" t="str">
        <f t="shared" si="40"/>
        <v>F</v>
      </c>
      <c r="AN110">
        <v>2</v>
      </c>
      <c r="AO110">
        <v>1E-3</v>
      </c>
      <c r="BV110" s="1">
        <v>0</v>
      </c>
      <c r="BW110" t="s">
        <v>383</v>
      </c>
      <c r="BX110" t="str">
        <f t="shared" si="37"/>
        <v>19</v>
      </c>
      <c r="BY110" t="str">
        <f t="shared" si="39"/>
        <v>2</v>
      </c>
      <c r="BZ110" t="str">
        <f t="shared" si="38"/>
        <v>2021</v>
      </c>
      <c r="CA110" s="5">
        <f t="shared" si="29"/>
        <v>44246</v>
      </c>
      <c r="CB110">
        <v>50</v>
      </c>
      <c r="CC110">
        <v>4</v>
      </c>
      <c r="CD110" t="s">
        <v>290</v>
      </c>
      <c r="CE110">
        <f t="shared" si="31"/>
        <v>1.7274472168905948</v>
      </c>
      <c r="CF110">
        <f t="shared" si="32"/>
        <v>3.1128404669260701</v>
      </c>
      <c r="CG110">
        <f t="shared" si="41"/>
        <v>3.1683168316831685</v>
      </c>
      <c r="CH110">
        <f t="shared" si="42"/>
        <v>3.742138364779874</v>
      </c>
      <c r="CI110">
        <f t="shared" si="35"/>
        <v>0.22012578616352219</v>
      </c>
      <c r="CJ110" s="1">
        <f t="shared" si="36"/>
        <v>0.22012578616352219</v>
      </c>
      <c r="CK110" s="6" t="s">
        <v>142</v>
      </c>
      <c r="CL110" s="6">
        <v>2</v>
      </c>
      <c r="CM110" s="6"/>
      <c r="CN110" s="6"/>
      <c r="CO110" s="6"/>
      <c r="CP110" s="6"/>
    </row>
    <row r="111" spans="1:99" ht="17" x14ac:dyDescent="0.2">
      <c r="A111" t="s">
        <v>409</v>
      </c>
      <c r="B111" t="s">
        <v>46</v>
      </c>
      <c r="C111" t="str">
        <f t="shared" si="25"/>
        <v>S</v>
      </c>
      <c r="D111" t="str">
        <f t="shared" si="26"/>
        <v>IMM</v>
      </c>
      <c r="E111" t="str">
        <f t="shared" si="27"/>
        <v>N</v>
      </c>
      <c r="F111">
        <v>39</v>
      </c>
      <c r="G111">
        <v>37</v>
      </c>
      <c r="H111">
        <v>0.84199999999999997</v>
      </c>
      <c r="I111">
        <v>2.1999999999999999E-2</v>
      </c>
      <c r="J111">
        <v>1.2999999999999999E-2</v>
      </c>
      <c r="K111" t="s">
        <v>336</v>
      </c>
      <c r="L111" t="str">
        <f t="shared" si="28"/>
        <v>F</v>
      </c>
      <c r="M111">
        <v>20</v>
      </c>
      <c r="N111">
        <v>3.5000000000000003E-2</v>
      </c>
      <c r="O111">
        <v>0.03</v>
      </c>
      <c r="P111" t="s">
        <v>410</v>
      </c>
      <c r="Q111" t="str">
        <f t="shared" si="40"/>
        <v>F</v>
      </c>
      <c r="AN111">
        <v>5</v>
      </c>
      <c r="AO111">
        <v>0</v>
      </c>
      <c r="BV111" s="1">
        <v>0</v>
      </c>
      <c r="BW111" t="s">
        <v>383</v>
      </c>
      <c r="BX111" t="str">
        <f t="shared" si="37"/>
        <v>19</v>
      </c>
      <c r="BY111" t="str">
        <f t="shared" si="39"/>
        <v>2</v>
      </c>
      <c r="BZ111" t="str">
        <f t="shared" si="38"/>
        <v>2021</v>
      </c>
      <c r="CA111" s="5">
        <f t="shared" si="29"/>
        <v>44246</v>
      </c>
      <c r="CB111">
        <v>50</v>
      </c>
      <c r="CC111">
        <v>4</v>
      </c>
      <c r="CD111" t="s">
        <v>288</v>
      </c>
      <c r="CE111">
        <f t="shared" si="31"/>
        <v>1.5681544028950543</v>
      </c>
      <c r="CF111">
        <f t="shared" si="32"/>
        <v>2.6829268292682928</v>
      </c>
      <c r="CG111">
        <f t="shared" si="41"/>
        <v>2.7261462205700124</v>
      </c>
      <c r="CH111">
        <f t="shared" si="42"/>
        <v>3.5629453681710213</v>
      </c>
      <c r="CI111">
        <f t="shared" si="35"/>
        <v>0.59382422802850421</v>
      </c>
      <c r="CJ111" s="1">
        <f t="shared" si="36"/>
        <v>0.59382422802850421</v>
      </c>
      <c r="CK111" s="6" t="s">
        <v>142</v>
      </c>
      <c r="CL111" s="6">
        <v>1</v>
      </c>
      <c r="CM111" s="6"/>
      <c r="CN111" s="6"/>
      <c r="CO111" s="6"/>
      <c r="CP111" s="6"/>
    </row>
    <row r="112" spans="1:99" ht="17" x14ac:dyDescent="0.2">
      <c r="A112" t="s">
        <v>411</v>
      </c>
      <c r="B112" t="s">
        <v>46</v>
      </c>
      <c r="C112" t="str">
        <f t="shared" si="25"/>
        <v>S</v>
      </c>
      <c r="D112" t="str">
        <f t="shared" si="26"/>
        <v>IMM</v>
      </c>
      <c r="E112" t="str">
        <f t="shared" si="27"/>
        <v>N</v>
      </c>
      <c r="F112">
        <v>37</v>
      </c>
      <c r="G112">
        <v>35</v>
      </c>
      <c r="H112">
        <v>0.67600000000000005</v>
      </c>
      <c r="I112">
        <v>1.4999999999999999E-2</v>
      </c>
      <c r="J112">
        <v>0.05</v>
      </c>
      <c r="K112" t="s">
        <v>359</v>
      </c>
      <c r="L112" t="str">
        <f t="shared" si="28"/>
        <v>M</v>
      </c>
      <c r="M112">
        <v>20</v>
      </c>
      <c r="N112">
        <v>3.1E-2</v>
      </c>
      <c r="O112">
        <v>2.5999999999999999E-2</v>
      </c>
      <c r="P112" t="s">
        <v>410</v>
      </c>
      <c r="Q112" t="str">
        <f t="shared" si="40"/>
        <v>F</v>
      </c>
      <c r="AN112">
        <v>5</v>
      </c>
      <c r="AO112">
        <v>0</v>
      </c>
      <c r="BV112" s="1">
        <v>0</v>
      </c>
      <c r="BW112" t="s">
        <v>383</v>
      </c>
      <c r="BX112" t="str">
        <f t="shared" si="37"/>
        <v>19</v>
      </c>
      <c r="BY112" t="str">
        <f t="shared" si="39"/>
        <v>2</v>
      </c>
      <c r="BZ112" t="str">
        <f t="shared" si="38"/>
        <v>2021</v>
      </c>
      <c r="CA112" s="5">
        <f t="shared" si="29"/>
        <v>44246</v>
      </c>
      <c r="CB112">
        <v>50</v>
      </c>
      <c r="CC112">
        <v>4</v>
      </c>
      <c r="CD112" t="s">
        <v>288</v>
      </c>
      <c r="CE112">
        <f t="shared" si="31"/>
        <v>7.9872204472843462</v>
      </c>
      <c r="CF112">
        <f t="shared" si="32"/>
        <v>2.2692889561270801</v>
      </c>
      <c r="CG112">
        <f t="shared" si="41"/>
        <v>2.4549918166939442</v>
      </c>
      <c r="CH112">
        <f t="shared" si="42"/>
        <v>3.8461538461538458</v>
      </c>
      <c r="CI112">
        <f t="shared" si="35"/>
        <v>0.7396449704142013</v>
      </c>
      <c r="CJ112" s="1">
        <f t="shared" si="36"/>
        <v>0.7396449704142013</v>
      </c>
      <c r="CK112" s="6" t="s">
        <v>142</v>
      </c>
      <c r="CL112" s="6">
        <v>1</v>
      </c>
      <c r="CM112" s="6"/>
      <c r="CN112" s="6"/>
      <c r="CO112" s="6"/>
      <c r="CP112" s="6"/>
    </row>
    <row r="113" spans="1:96" ht="17" x14ac:dyDescent="0.2">
      <c r="A113" t="s">
        <v>412</v>
      </c>
      <c r="B113" t="s">
        <v>46</v>
      </c>
      <c r="C113" t="str">
        <f t="shared" si="25"/>
        <v>S</v>
      </c>
      <c r="D113" t="str">
        <f t="shared" si="26"/>
        <v>IMM</v>
      </c>
      <c r="E113" t="str">
        <f t="shared" si="27"/>
        <v>N</v>
      </c>
      <c r="F113">
        <v>48</v>
      </c>
      <c r="G113">
        <v>45</v>
      </c>
      <c r="H113">
        <v>1.593</v>
      </c>
      <c r="I113">
        <v>4.9000000000000002E-2</v>
      </c>
      <c r="J113">
        <v>2.4E-2</v>
      </c>
      <c r="K113" t="s">
        <v>24</v>
      </c>
      <c r="L113" t="str">
        <f t="shared" si="28"/>
        <v>F</v>
      </c>
      <c r="M113">
        <v>22</v>
      </c>
      <c r="N113">
        <v>0.08</v>
      </c>
      <c r="O113">
        <v>6.9000000000000006E-2</v>
      </c>
      <c r="P113" t="s">
        <v>413</v>
      </c>
      <c r="Q113" t="str">
        <f t="shared" si="40"/>
        <v>F</v>
      </c>
      <c r="AN113">
        <v>20</v>
      </c>
      <c r="AO113">
        <v>3.0000000000000001E-3</v>
      </c>
      <c r="BV113" s="1">
        <v>3.0000000000000001E-3</v>
      </c>
      <c r="BW113" t="s">
        <v>383</v>
      </c>
      <c r="BX113" t="str">
        <f t="shared" si="37"/>
        <v>19</v>
      </c>
      <c r="BY113" t="str">
        <f t="shared" si="39"/>
        <v>2</v>
      </c>
      <c r="BZ113" t="str">
        <f t="shared" si="38"/>
        <v>2021</v>
      </c>
      <c r="CA113" s="5">
        <f t="shared" si="29"/>
        <v>44246</v>
      </c>
      <c r="CB113">
        <v>50</v>
      </c>
      <c r="CC113">
        <v>4</v>
      </c>
      <c r="CD113" t="s">
        <v>288</v>
      </c>
      <c r="CE113">
        <f t="shared" si="31"/>
        <v>1.5296367112810709</v>
      </c>
      <c r="CF113">
        <f t="shared" si="32"/>
        <v>3.1735751295336789</v>
      </c>
      <c r="CG113">
        <f t="shared" si="41"/>
        <v>3.2236842105263159</v>
      </c>
      <c r="CH113">
        <f t="shared" si="42"/>
        <v>4.3314500941619585</v>
      </c>
      <c r="CI113">
        <f t="shared" si="35"/>
        <v>0.69052102950408012</v>
      </c>
      <c r="CJ113" s="1">
        <f t="shared" si="36"/>
        <v>0.87884494664155643</v>
      </c>
      <c r="CK113" s="6" t="s">
        <v>142</v>
      </c>
      <c r="CL113" s="6">
        <v>1</v>
      </c>
      <c r="CM113" s="6"/>
      <c r="CN113" s="6"/>
      <c r="CO113" s="6"/>
      <c r="CP113" s="6"/>
    </row>
    <row r="114" spans="1:96" ht="17" x14ac:dyDescent="0.2">
      <c r="A114" t="s">
        <v>414</v>
      </c>
      <c r="B114" t="s">
        <v>46</v>
      </c>
      <c r="C114" t="str">
        <f t="shared" si="25"/>
        <v>S</v>
      </c>
      <c r="D114" t="str">
        <f t="shared" si="26"/>
        <v>IMM</v>
      </c>
      <c r="E114" t="str">
        <f t="shared" si="27"/>
        <v>N</v>
      </c>
      <c r="F114">
        <v>49</v>
      </c>
      <c r="G114">
        <v>46</v>
      </c>
      <c r="H114">
        <v>1.6120000000000001</v>
      </c>
      <c r="I114">
        <v>5.1999999999999998E-2</v>
      </c>
      <c r="J114">
        <v>3.0000000000000001E-3</v>
      </c>
      <c r="K114" t="s">
        <v>359</v>
      </c>
      <c r="L114" t="str">
        <f t="shared" si="28"/>
        <v>M</v>
      </c>
      <c r="M114">
        <v>20</v>
      </c>
      <c r="N114">
        <v>7.0000000000000007E-2</v>
      </c>
      <c r="O114">
        <v>6.4000000000000001E-2</v>
      </c>
      <c r="P114" t="s">
        <v>408</v>
      </c>
      <c r="Q114" t="str">
        <f t="shared" si="40"/>
        <v>F</v>
      </c>
      <c r="AN114">
        <v>2</v>
      </c>
      <c r="AO114">
        <v>0</v>
      </c>
      <c r="BV114" s="1">
        <v>0</v>
      </c>
      <c r="BW114" t="s">
        <v>383</v>
      </c>
      <c r="BX114" t="str">
        <f t="shared" si="37"/>
        <v>19</v>
      </c>
      <c r="BY114" t="str">
        <f t="shared" si="39"/>
        <v>2</v>
      </c>
      <c r="BZ114" t="str">
        <f t="shared" si="38"/>
        <v>2021</v>
      </c>
      <c r="CA114" s="5">
        <f t="shared" si="29"/>
        <v>44246</v>
      </c>
      <c r="CB114">
        <v>50</v>
      </c>
      <c r="CC114">
        <v>4</v>
      </c>
      <c r="CD114" t="s">
        <v>288</v>
      </c>
      <c r="CE114">
        <f t="shared" si="31"/>
        <v>0.18645121193287753</v>
      </c>
      <c r="CF114">
        <f t="shared" si="32"/>
        <v>3.3333333333333335</v>
      </c>
      <c r="CG114">
        <f t="shared" si="41"/>
        <v>3.3397559409120099</v>
      </c>
      <c r="CH114">
        <f t="shared" si="42"/>
        <v>3.9702233250620349</v>
      </c>
      <c r="CI114">
        <f t="shared" si="35"/>
        <v>0.37220843672456605</v>
      </c>
      <c r="CJ114" s="1">
        <f t="shared" si="36"/>
        <v>0.37220843672456605</v>
      </c>
      <c r="CK114" s="6" t="s">
        <v>142</v>
      </c>
      <c r="CL114" s="6">
        <v>1</v>
      </c>
      <c r="CM114" s="6"/>
      <c r="CN114" s="6"/>
      <c r="CO114" s="6"/>
      <c r="CP114" s="6"/>
    </row>
    <row r="115" spans="1:96" ht="17" x14ac:dyDescent="0.2">
      <c r="A115" t="s">
        <v>415</v>
      </c>
      <c r="B115" t="s">
        <v>46</v>
      </c>
      <c r="C115" t="str">
        <f t="shared" si="25"/>
        <v>S</v>
      </c>
      <c r="D115" t="str">
        <f t="shared" si="26"/>
        <v>IMM</v>
      </c>
      <c r="E115" t="str">
        <f t="shared" si="27"/>
        <v>N</v>
      </c>
      <c r="F115">
        <v>51</v>
      </c>
      <c r="G115">
        <v>48</v>
      </c>
      <c r="H115">
        <v>1.9590000000000001</v>
      </c>
      <c r="I115">
        <v>6.4000000000000001E-2</v>
      </c>
      <c r="J115">
        <v>3.3000000000000002E-2</v>
      </c>
      <c r="K115" t="s">
        <v>24</v>
      </c>
      <c r="L115" t="str">
        <f t="shared" si="28"/>
        <v>F</v>
      </c>
      <c r="M115">
        <v>22</v>
      </c>
      <c r="N115">
        <v>8.1000000000000003E-2</v>
      </c>
      <c r="O115">
        <v>7.4999999999999997E-2</v>
      </c>
      <c r="P115" t="s">
        <v>416</v>
      </c>
      <c r="Q115" t="str">
        <f t="shared" si="40"/>
        <v>F</v>
      </c>
      <c r="AN115">
        <v>3</v>
      </c>
      <c r="AO115">
        <v>0</v>
      </c>
      <c r="BV115" s="1">
        <v>0</v>
      </c>
      <c r="BW115" t="s">
        <v>383</v>
      </c>
      <c r="BX115" t="str">
        <f t="shared" si="37"/>
        <v>19</v>
      </c>
      <c r="BY115" t="str">
        <f t="shared" si="39"/>
        <v>2</v>
      </c>
      <c r="BZ115" t="str">
        <f t="shared" si="38"/>
        <v>2021</v>
      </c>
      <c r="CA115" s="5">
        <f t="shared" si="29"/>
        <v>44246</v>
      </c>
      <c r="CB115">
        <v>50</v>
      </c>
      <c r="CC115">
        <v>4</v>
      </c>
      <c r="CD115" t="s">
        <v>288</v>
      </c>
      <c r="CE115">
        <f t="shared" si="31"/>
        <v>1.7133956386292832</v>
      </c>
      <c r="CF115">
        <f t="shared" si="32"/>
        <v>3.3773087071240102</v>
      </c>
      <c r="CG115">
        <f t="shared" si="41"/>
        <v>3.4371643394199785</v>
      </c>
      <c r="CH115">
        <f t="shared" si="42"/>
        <v>3.828483920367534</v>
      </c>
      <c r="CI115">
        <f t="shared" si="35"/>
        <v>0.30627871362940301</v>
      </c>
      <c r="CJ115" s="1">
        <f t="shared" si="36"/>
        <v>0.30627871362940301</v>
      </c>
      <c r="CK115" s="6" t="s">
        <v>142</v>
      </c>
      <c r="CL115" s="6">
        <v>1</v>
      </c>
      <c r="CM115" s="6"/>
      <c r="CN115" s="6"/>
      <c r="CO115" s="6"/>
      <c r="CP115" s="6"/>
    </row>
    <row r="116" spans="1:96" ht="17" x14ac:dyDescent="0.2">
      <c r="A116" t="s">
        <v>417</v>
      </c>
      <c r="B116" t="s">
        <v>46</v>
      </c>
      <c r="C116" t="str">
        <f t="shared" si="25"/>
        <v>S</v>
      </c>
      <c r="D116" t="str">
        <f t="shared" si="26"/>
        <v>IMM</v>
      </c>
      <c r="E116" t="str">
        <f t="shared" si="27"/>
        <v>N</v>
      </c>
      <c r="F116">
        <v>50</v>
      </c>
      <c r="G116">
        <v>48</v>
      </c>
      <c r="H116">
        <v>2.0089999999999999</v>
      </c>
      <c r="I116">
        <v>6.3E-2</v>
      </c>
      <c r="J116">
        <v>8.0000000000000002E-3</v>
      </c>
      <c r="K116" t="s">
        <v>38</v>
      </c>
      <c r="L116" t="str">
        <f t="shared" si="28"/>
        <v>M</v>
      </c>
      <c r="M116">
        <v>22</v>
      </c>
      <c r="N116">
        <v>8.4000000000000005E-2</v>
      </c>
      <c r="O116">
        <v>7.6999999999999999E-2</v>
      </c>
      <c r="P116" t="s">
        <v>36</v>
      </c>
      <c r="Q116" t="str">
        <f t="shared" si="40"/>
        <v>MT</v>
      </c>
      <c r="BV116" s="1">
        <v>0</v>
      </c>
      <c r="BW116" t="s">
        <v>383</v>
      </c>
      <c r="BX116" t="str">
        <f t="shared" si="37"/>
        <v>19</v>
      </c>
      <c r="BY116" t="str">
        <f t="shared" si="39"/>
        <v>2</v>
      </c>
      <c r="BZ116" t="str">
        <f t="shared" si="38"/>
        <v>2021</v>
      </c>
      <c r="CA116" s="5">
        <f t="shared" si="29"/>
        <v>44246</v>
      </c>
      <c r="CB116">
        <v>50</v>
      </c>
      <c r="CC116">
        <v>4</v>
      </c>
      <c r="CD116" t="s">
        <v>290</v>
      </c>
      <c r="CE116">
        <f t="shared" si="31"/>
        <v>0.39980009995002508</v>
      </c>
      <c r="CF116">
        <f t="shared" si="32"/>
        <v>3.2374100719424459</v>
      </c>
      <c r="CG116">
        <f t="shared" si="41"/>
        <v>3.2507739938080498</v>
      </c>
      <c r="CH116">
        <f t="shared" si="42"/>
        <v>3.8327526132404186</v>
      </c>
      <c r="CI116">
        <f t="shared" si="35"/>
        <v>0.34843205574912928</v>
      </c>
      <c r="CJ116" s="1">
        <f t="shared" si="36"/>
        <v>0.34843205574912928</v>
      </c>
      <c r="CK116" s="6" t="s">
        <v>142</v>
      </c>
      <c r="CL116" s="6">
        <v>2</v>
      </c>
      <c r="CM116" s="6"/>
      <c r="CN116" s="6"/>
      <c r="CO116" s="6"/>
      <c r="CP116" s="6"/>
    </row>
    <row r="117" spans="1:96" x14ac:dyDescent="0.2">
      <c r="A117" s="7" t="s">
        <v>492</v>
      </c>
      <c r="B117" s="7" t="s">
        <v>46</v>
      </c>
      <c r="C117" t="str">
        <f t="shared" si="25"/>
        <v>I</v>
      </c>
      <c r="D117" t="str">
        <f t="shared" si="26"/>
        <v>I</v>
      </c>
      <c r="E117" t="str">
        <f t="shared" si="27"/>
        <v>G</v>
      </c>
      <c r="F117" s="7">
        <v>105</v>
      </c>
      <c r="G117" s="7">
        <v>100</v>
      </c>
      <c r="H117" s="7">
        <v>20.396000000000001</v>
      </c>
      <c r="I117" s="7">
        <v>0.55800000000000005</v>
      </c>
      <c r="J117" s="7">
        <v>3.2000000000000001E-2</v>
      </c>
      <c r="K117" s="7" t="s">
        <v>38</v>
      </c>
      <c r="L117" t="str">
        <f t="shared" si="28"/>
        <v>M</v>
      </c>
      <c r="M117">
        <v>22</v>
      </c>
      <c r="N117" s="7">
        <v>0.86399999999999999</v>
      </c>
      <c r="O117" s="7">
        <v>0.81899999999999995</v>
      </c>
      <c r="P117" s="7" t="s">
        <v>36</v>
      </c>
      <c r="Q117" t="str">
        <f t="shared" si="40"/>
        <v>MT</v>
      </c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7"/>
      <c r="BU117" s="7"/>
      <c r="BV117" s="11">
        <v>0</v>
      </c>
      <c r="BW117" s="10">
        <v>44319</v>
      </c>
      <c r="BX117" s="7">
        <v>5</v>
      </c>
      <c r="BY117" s="7">
        <v>3</v>
      </c>
      <c r="BZ117" s="7">
        <v>2021</v>
      </c>
      <c r="CA117" s="5">
        <f t="shared" si="29"/>
        <v>44260</v>
      </c>
      <c r="CB117">
        <v>64</v>
      </c>
      <c r="CC117" s="7">
        <v>5</v>
      </c>
      <c r="CD117" s="7" t="s">
        <v>288</v>
      </c>
      <c r="CE117">
        <f t="shared" si="31"/>
        <v>0.1571400510705166</v>
      </c>
      <c r="CF117">
        <f t="shared" si="32"/>
        <v>2.8127835467285012</v>
      </c>
      <c r="CG117">
        <f t="shared" si="41"/>
        <v>2.817328082399273</v>
      </c>
      <c r="CH117">
        <f t="shared" si="42"/>
        <v>4.0154932339674438</v>
      </c>
      <c r="CI117">
        <f t="shared" si="35"/>
        <v>0.22063149637183782</v>
      </c>
      <c r="CJ117" s="1">
        <f t="shared" si="36"/>
        <v>0.22063149637183782</v>
      </c>
      <c r="CK117" s="7" t="s">
        <v>142</v>
      </c>
      <c r="CL117" s="7">
        <v>1</v>
      </c>
      <c r="CM117" s="7"/>
      <c r="CN117" s="7"/>
      <c r="CO117" s="7"/>
      <c r="CP117" s="7"/>
    </row>
    <row r="118" spans="1:96" x14ac:dyDescent="0.2">
      <c r="A118" s="7" t="s">
        <v>493</v>
      </c>
      <c r="B118" s="7" t="s">
        <v>46</v>
      </c>
      <c r="C118" t="str">
        <f t="shared" si="25"/>
        <v>I</v>
      </c>
      <c r="D118" t="str">
        <f t="shared" si="26"/>
        <v>B</v>
      </c>
      <c r="E118" t="str">
        <f t="shared" si="27"/>
        <v>N</v>
      </c>
      <c r="F118" s="7">
        <v>125</v>
      </c>
      <c r="G118" s="7">
        <v>119</v>
      </c>
      <c r="H118" s="7">
        <v>31.574999999999999</v>
      </c>
      <c r="I118" s="7">
        <v>0.5</v>
      </c>
      <c r="J118" s="7">
        <v>0.04</v>
      </c>
      <c r="K118" s="7" t="s">
        <v>38</v>
      </c>
      <c r="L118" t="str">
        <f t="shared" si="28"/>
        <v>M</v>
      </c>
      <c r="M118">
        <v>22</v>
      </c>
      <c r="N118" s="7">
        <v>1.2709999999999999</v>
      </c>
      <c r="O118" s="7">
        <v>1.254</v>
      </c>
      <c r="P118" s="7" t="s">
        <v>36</v>
      </c>
      <c r="Q118" t="str">
        <f t="shared" si="40"/>
        <v>MT</v>
      </c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11">
        <v>0</v>
      </c>
      <c r="BW118" s="10">
        <v>44319</v>
      </c>
      <c r="BX118" s="7">
        <v>5</v>
      </c>
      <c r="BY118" s="7">
        <v>3</v>
      </c>
      <c r="BZ118" s="7">
        <v>2021</v>
      </c>
      <c r="CA118" s="5">
        <f t="shared" si="29"/>
        <v>44260</v>
      </c>
      <c r="CB118">
        <v>64</v>
      </c>
      <c r="CC118" s="7">
        <v>5</v>
      </c>
      <c r="CD118" s="7"/>
      <c r="CE118">
        <f t="shared" si="31"/>
        <v>0.12684319010623119</v>
      </c>
      <c r="CF118">
        <f t="shared" si="32"/>
        <v>1.6090104585679808</v>
      </c>
      <c r="CG118">
        <f t="shared" si="41"/>
        <v>1.6110842597067827</v>
      </c>
      <c r="CH118">
        <f t="shared" si="42"/>
        <v>3.9714964370546322</v>
      </c>
      <c r="CI118">
        <f t="shared" si="35"/>
        <v>5.3840063341250688E-2</v>
      </c>
      <c r="CJ118" s="1">
        <f t="shared" si="36"/>
        <v>5.3840063341250688E-2</v>
      </c>
      <c r="CK118" s="7" t="s">
        <v>142</v>
      </c>
      <c r="CL118" s="7">
        <v>3</v>
      </c>
      <c r="CM118" s="7"/>
      <c r="CN118" s="7"/>
      <c r="CO118" s="7"/>
      <c r="CP118" s="7"/>
    </row>
    <row r="119" spans="1:96" x14ac:dyDescent="0.2">
      <c r="A119" s="7" t="s">
        <v>494</v>
      </c>
      <c r="B119" s="7" t="s">
        <v>46</v>
      </c>
      <c r="C119" t="str">
        <f t="shared" si="25"/>
        <v>I</v>
      </c>
      <c r="D119" t="str">
        <f t="shared" si="26"/>
        <v>I</v>
      </c>
      <c r="E119" t="str">
        <f t="shared" si="27"/>
        <v>G</v>
      </c>
      <c r="F119" s="7">
        <v>89</v>
      </c>
      <c r="G119" s="7">
        <v>85</v>
      </c>
      <c r="H119" s="7">
        <v>11.228999999999999</v>
      </c>
      <c r="I119" s="7">
        <v>0.27100000000000002</v>
      </c>
      <c r="J119" s="7">
        <v>2.1999999999999999E-2</v>
      </c>
      <c r="K119" s="7" t="s">
        <v>38</v>
      </c>
      <c r="L119" t="str">
        <f t="shared" si="28"/>
        <v>M</v>
      </c>
      <c r="M119">
        <v>22</v>
      </c>
      <c r="N119" s="7">
        <v>0.442</v>
      </c>
      <c r="O119" s="7">
        <v>0.41799999999999998</v>
      </c>
      <c r="P119" s="7" t="s">
        <v>36</v>
      </c>
      <c r="Q119" t="str">
        <f t="shared" si="40"/>
        <v>MT</v>
      </c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11">
        <v>0</v>
      </c>
      <c r="BW119" s="10">
        <v>44319</v>
      </c>
      <c r="BX119" s="7">
        <v>5</v>
      </c>
      <c r="BY119" s="7">
        <v>3</v>
      </c>
      <c r="BZ119" s="7">
        <v>2021</v>
      </c>
      <c r="CA119" s="5">
        <f t="shared" si="29"/>
        <v>44260</v>
      </c>
      <c r="CB119">
        <v>64</v>
      </c>
      <c r="CC119" s="7">
        <v>5</v>
      </c>
      <c r="CD119" s="7"/>
      <c r="CE119">
        <f t="shared" si="31"/>
        <v>0.19630588025341306</v>
      </c>
      <c r="CF119">
        <f t="shared" si="32"/>
        <v>2.4730790290198947</v>
      </c>
      <c r="CG119">
        <f t="shared" si="41"/>
        <v>2.4780541331382593</v>
      </c>
      <c r="CH119">
        <f t="shared" si="42"/>
        <v>3.7225042301184432</v>
      </c>
      <c r="CI119">
        <f t="shared" si="35"/>
        <v>0.2137323002938821</v>
      </c>
      <c r="CJ119" s="1">
        <f t="shared" si="36"/>
        <v>0.2137323002938821</v>
      </c>
      <c r="CK119" s="7" t="s">
        <v>142</v>
      </c>
      <c r="CL119" s="7">
        <v>1</v>
      </c>
      <c r="CM119" s="7"/>
      <c r="CN119" s="7"/>
      <c r="CO119" s="7"/>
      <c r="CP119" s="7"/>
    </row>
    <row r="120" spans="1:96" x14ac:dyDescent="0.2">
      <c r="A120" s="7" t="s">
        <v>495</v>
      </c>
      <c r="B120" s="7" t="s">
        <v>46</v>
      </c>
      <c r="C120" t="str">
        <f t="shared" si="25"/>
        <v>S</v>
      </c>
      <c r="D120" t="str">
        <f t="shared" si="26"/>
        <v>IMM</v>
      </c>
      <c r="E120" t="str">
        <f t="shared" si="27"/>
        <v>G</v>
      </c>
      <c r="F120" s="7">
        <v>60</v>
      </c>
      <c r="G120" s="7">
        <v>58</v>
      </c>
      <c r="H120" s="7">
        <v>3.508</v>
      </c>
      <c r="I120" s="7">
        <v>0.12</v>
      </c>
      <c r="J120" s="7">
        <v>6.3E-2</v>
      </c>
      <c r="K120" s="7" t="s">
        <v>24</v>
      </c>
      <c r="L120" t="str">
        <f t="shared" si="28"/>
        <v>F</v>
      </c>
      <c r="M120">
        <v>22</v>
      </c>
      <c r="N120" s="7">
        <v>0.13600000000000001</v>
      </c>
      <c r="O120" s="7">
        <v>0.121</v>
      </c>
      <c r="P120" s="7" t="s">
        <v>496</v>
      </c>
      <c r="Q120" t="str">
        <f t="shared" si="40"/>
        <v>F</v>
      </c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7"/>
      <c r="BU120" s="7"/>
      <c r="BV120" s="11">
        <v>0</v>
      </c>
      <c r="BW120" s="10">
        <v>44319</v>
      </c>
      <c r="BX120" s="7">
        <v>5</v>
      </c>
      <c r="BY120" s="7">
        <v>3</v>
      </c>
      <c r="BZ120" s="7">
        <v>2021</v>
      </c>
      <c r="CA120" s="5">
        <f t="shared" si="29"/>
        <v>44260</v>
      </c>
      <c r="CB120">
        <v>64</v>
      </c>
      <c r="CC120" s="7">
        <v>5</v>
      </c>
      <c r="CD120" s="7"/>
      <c r="CE120">
        <f t="shared" si="31"/>
        <v>1.8287373004354137</v>
      </c>
      <c r="CF120">
        <f t="shared" si="32"/>
        <v>3.5419126328217239</v>
      </c>
      <c r="CG120">
        <f t="shared" si="41"/>
        <v>3.6090225563909777</v>
      </c>
      <c r="CH120">
        <f t="shared" si="42"/>
        <v>3.4492588369441273</v>
      </c>
      <c r="CI120">
        <f t="shared" si="35"/>
        <v>0.42759407069555339</v>
      </c>
      <c r="CJ120" s="1">
        <f t="shared" si="36"/>
        <v>0.42759407069555339</v>
      </c>
      <c r="CK120" s="7" t="s">
        <v>142</v>
      </c>
      <c r="CL120" s="7">
        <v>1</v>
      </c>
      <c r="CM120" s="7"/>
      <c r="CN120" s="7"/>
      <c r="CO120" s="7"/>
      <c r="CP120" s="7"/>
    </row>
    <row r="121" spans="1:96" x14ac:dyDescent="0.2">
      <c r="A121" s="7" t="s">
        <v>497</v>
      </c>
      <c r="B121" s="7" t="s">
        <v>46</v>
      </c>
      <c r="C121" t="str">
        <f t="shared" si="25"/>
        <v>I</v>
      </c>
      <c r="D121" t="str">
        <f t="shared" si="26"/>
        <v>I</v>
      </c>
      <c r="E121" t="str">
        <f t="shared" si="27"/>
        <v>G</v>
      </c>
      <c r="F121" s="7">
        <v>103</v>
      </c>
      <c r="G121" s="7">
        <v>98</v>
      </c>
      <c r="H121" s="7">
        <v>19.109000000000002</v>
      </c>
      <c r="I121" s="7">
        <v>0.38600000000000001</v>
      </c>
      <c r="J121" s="7">
        <v>2.3E-2</v>
      </c>
      <c r="K121" s="7" t="s">
        <v>38</v>
      </c>
      <c r="L121" t="str">
        <f t="shared" si="28"/>
        <v>M</v>
      </c>
      <c r="M121">
        <v>22</v>
      </c>
      <c r="N121" s="7">
        <v>0.77900000000000003</v>
      </c>
      <c r="O121" s="7">
        <v>0.75600000000000001</v>
      </c>
      <c r="P121" s="7" t="s">
        <v>36</v>
      </c>
      <c r="Q121" t="str">
        <f t="shared" si="40"/>
        <v>MT</v>
      </c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  <c r="BM121" s="7"/>
      <c r="BN121" s="7"/>
      <c r="BO121" s="7"/>
      <c r="BP121" s="7"/>
      <c r="BQ121" s="7"/>
      <c r="BR121" s="7"/>
      <c r="BS121" s="7"/>
      <c r="BT121" s="7"/>
      <c r="BU121" s="7"/>
      <c r="BV121" s="11">
        <v>0</v>
      </c>
      <c r="BW121" s="10">
        <v>44319</v>
      </c>
      <c r="BX121" s="7">
        <v>5</v>
      </c>
      <c r="BY121" s="7">
        <v>3</v>
      </c>
      <c r="BZ121" s="7">
        <v>2021</v>
      </c>
      <c r="CA121" s="5">
        <f t="shared" si="29"/>
        <v>44260</v>
      </c>
      <c r="CB121">
        <v>64</v>
      </c>
      <c r="CC121" s="7">
        <v>5</v>
      </c>
      <c r="CD121" s="7"/>
      <c r="CE121">
        <f t="shared" si="31"/>
        <v>0.12050717803625693</v>
      </c>
      <c r="CF121">
        <f t="shared" si="32"/>
        <v>2.061635421673877</v>
      </c>
      <c r="CG121">
        <f t="shared" si="41"/>
        <v>2.0641711229946522</v>
      </c>
      <c r="CH121">
        <f t="shared" si="42"/>
        <v>3.9562509812130409</v>
      </c>
      <c r="CI121">
        <f t="shared" si="35"/>
        <v>0.12036213302632277</v>
      </c>
      <c r="CJ121" s="1">
        <f t="shared" si="36"/>
        <v>0.12036213302632277</v>
      </c>
      <c r="CK121" s="7" t="s">
        <v>142</v>
      </c>
      <c r="CL121" s="7">
        <v>1</v>
      </c>
      <c r="CM121" s="7"/>
      <c r="CN121" s="7"/>
      <c r="CO121" s="7"/>
      <c r="CP121" s="7"/>
    </row>
    <row r="122" spans="1:96" x14ac:dyDescent="0.2">
      <c r="A122" s="7" t="s">
        <v>498</v>
      </c>
      <c r="B122" s="7" t="s">
        <v>46</v>
      </c>
      <c r="C122" t="str">
        <f t="shared" si="25"/>
        <v>I</v>
      </c>
      <c r="D122" t="str">
        <f t="shared" si="26"/>
        <v>I</v>
      </c>
      <c r="E122" t="str">
        <f t="shared" si="27"/>
        <v>G</v>
      </c>
      <c r="F122" s="7">
        <v>93</v>
      </c>
      <c r="G122" s="7">
        <v>88</v>
      </c>
      <c r="H122" s="7">
        <v>13.201000000000001</v>
      </c>
      <c r="I122" s="7">
        <v>0.30299999999999999</v>
      </c>
      <c r="J122" s="7">
        <v>2.1999999999999999E-2</v>
      </c>
      <c r="K122" s="7" t="s">
        <v>38</v>
      </c>
      <c r="L122" t="str">
        <f t="shared" si="28"/>
        <v>M</v>
      </c>
      <c r="M122">
        <v>22</v>
      </c>
      <c r="N122" s="7">
        <v>0.49299999999999999</v>
      </c>
      <c r="O122" s="7">
        <v>0.47</v>
      </c>
      <c r="P122" s="7" t="s">
        <v>499</v>
      </c>
      <c r="Q122" t="str">
        <f t="shared" si="40"/>
        <v>F</v>
      </c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>
        <v>2</v>
      </c>
      <c r="AW122" s="7">
        <v>3.0000000000000001E-3</v>
      </c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L122" s="7"/>
      <c r="BM122" s="7"/>
      <c r="BN122" s="7"/>
      <c r="BO122" s="7"/>
      <c r="BP122" s="7"/>
      <c r="BQ122" s="7"/>
      <c r="BR122" s="7"/>
      <c r="BS122" s="7"/>
      <c r="BT122" s="7"/>
      <c r="BU122" s="7"/>
      <c r="BV122" s="11">
        <v>3.0000000000000001E-3</v>
      </c>
      <c r="BW122" s="10">
        <v>44319</v>
      </c>
      <c r="BX122" s="7">
        <v>5</v>
      </c>
      <c r="BY122" s="7">
        <v>3</v>
      </c>
      <c r="BZ122" s="7">
        <v>2021</v>
      </c>
      <c r="CA122" s="5">
        <f t="shared" si="29"/>
        <v>44260</v>
      </c>
      <c r="CB122">
        <v>64</v>
      </c>
      <c r="CC122" s="7">
        <v>5</v>
      </c>
      <c r="CD122" s="7"/>
      <c r="CE122">
        <f t="shared" si="31"/>
        <v>0.16693224068593973</v>
      </c>
      <c r="CF122">
        <f t="shared" si="32"/>
        <v>2.3492014265777641</v>
      </c>
      <c r="CG122">
        <f t="shared" si="41"/>
        <v>2.3532152842497669</v>
      </c>
      <c r="CH122">
        <f t="shared" si="42"/>
        <v>3.5603363381561994</v>
      </c>
      <c r="CI122">
        <f t="shared" si="35"/>
        <v>0.17422922505870783</v>
      </c>
      <c r="CJ122" s="1">
        <f t="shared" si="36"/>
        <v>0.19695477615332188</v>
      </c>
      <c r="CK122" s="7" t="s">
        <v>142</v>
      </c>
      <c r="CL122" s="7">
        <v>1</v>
      </c>
      <c r="CM122" s="7"/>
      <c r="CN122" s="7"/>
      <c r="CO122" s="7"/>
      <c r="CP122" s="7"/>
    </row>
    <row r="123" spans="1:96" x14ac:dyDescent="0.2">
      <c r="A123" s="7" t="s">
        <v>500</v>
      </c>
      <c r="B123" s="7" t="s">
        <v>46</v>
      </c>
      <c r="C123" t="str">
        <f t="shared" si="25"/>
        <v>I</v>
      </c>
      <c r="D123" t="str">
        <f t="shared" si="26"/>
        <v>S</v>
      </c>
      <c r="E123" t="str">
        <f t="shared" si="27"/>
        <v>G</v>
      </c>
      <c r="F123" s="7">
        <v>74</v>
      </c>
      <c r="G123" s="7">
        <v>70</v>
      </c>
      <c r="H123" s="7">
        <v>6.0339999999999998</v>
      </c>
      <c r="I123" s="7">
        <v>0.10299999999999999</v>
      </c>
      <c r="J123" s="7">
        <v>0.10199999999999999</v>
      </c>
      <c r="K123" s="7" t="s">
        <v>24</v>
      </c>
      <c r="L123" t="str">
        <f t="shared" si="28"/>
        <v>F</v>
      </c>
      <c r="M123">
        <v>22</v>
      </c>
      <c r="N123" s="7">
        <v>0.23799999999999999</v>
      </c>
      <c r="O123" s="7">
        <v>0.218</v>
      </c>
      <c r="P123" s="7" t="s">
        <v>501</v>
      </c>
      <c r="Q123" t="s">
        <v>36</v>
      </c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  <c r="BL123" s="7"/>
      <c r="BM123" s="7"/>
      <c r="BN123" s="7"/>
      <c r="BO123" s="7"/>
      <c r="BP123" s="7"/>
      <c r="BQ123" s="7"/>
      <c r="BR123" s="7"/>
      <c r="BS123" s="7"/>
      <c r="BT123" s="7"/>
      <c r="BU123" s="7"/>
      <c r="BV123" s="11">
        <v>0</v>
      </c>
      <c r="BW123" s="10">
        <v>44319</v>
      </c>
      <c r="BX123" s="7">
        <v>5</v>
      </c>
      <c r="BY123" s="7">
        <v>3</v>
      </c>
      <c r="BZ123" s="7">
        <v>2021</v>
      </c>
      <c r="CA123" s="5">
        <f t="shared" si="29"/>
        <v>44260</v>
      </c>
      <c r="CB123">
        <v>64</v>
      </c>
      <c r="CC123" s="7">
        <v>5</v>
      </c>
      <c r="CD123" s="7"/>
      <c r="CE123">
        <f t="shared" si="31"/>
        <v>1.7194875252865813</v>
      </c>
      <c r="CF123">
        <f t="shared" si="32"/>
        <v>1.7366380037093239</v>
      </c>
      <c r="CG123">
        <f t="shared" si="41"/>
        <v>1.767026934294047</v>
      </c>
      <c r="CH123">
        <f t="shared" si="42"/>
        <v>3.6128604574080216</v>
      </c>
      <c r="CI123">
        <f t="shared" si="35"/>
        <v>0.33145508783559813</v>
      </c>
      <c r="CJ123" s="1">
        <f t="shared" si="36"/>
        <v>0.33145508783559813</v>
      </c>
      <c r="CK123" s="7" t="s">
        <v>142</v>
      </c>
      <c r="CL123" s="7">
        <v>2</v>
      </c>
      <c r="CM123" s="7"/>
      <c r="CN123" s="7"/>
      <c r="CO123" s="7"/>
      <c r="CP123" s="7"/>
    </row>
    <row r="124" spans="1:96" x14ac:dyDescent="0.2">
      <c r="A124" s="7" t="s">
        <v>502</v>
      </c>
      <c r="B124" s="7" t="s">
        <v>46</v>
      </c>
      <c r="C124" t="str">
        <f t="shared" si="25"/>
        <v>I</v>
      </c>
      <c r="D124" t="str">
        <f t="shared" si="26"/>
        <v>B</v>
      </c>
      <c r="E124" t="str">
        <f t="shared" si="27"/>
        <v>N</v>
      </c>
      <c r="F124" s="7">
        <v>117</v>
      </c>
      <c r="G124" s="7">
        <v>111</v>
      </c>
      <c r="H124" s="7">
        <v>27.686</v>
      </c>
      <c r="I124" s="7">
        <v>0.53100000000000003</v>
      </c>
      <c r="J124" s="7">
        <v>0.378</v>
      </c>
      <c r="K124" s="7" t="s">
        <v>24</v>
      </c>
      <c r="L124" t="str">
        <f t="shared" si="28"/>
        <v>F</v>
      </c>
      <c r="M124">
        <v>22</v>
      </c>
      <c r="N124" s="7">
        <v>1.3460000000000001</v>
      </c>
      <c r="O124" s="7">
        <v>1.3240000000000001</v>
      </c>
      <c r="P124" s="7" t="s">
        <v>36</v>
      </c>
      <c r="Q124" t="str">
        <f t="shared" ref="Q124:Q187" si="43">IF(P124="MT","MT","F")</f>
        <v>MT</v>
      </c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  <c r="BL124" s="7"/>
      <c r="BM124" s="7"/>
      <c r="BN124" s="7"/>
      <c r="BO124" s="7"/>
      <c r="BP124" s="7"/>
      <c r="BQ124" s="7"/>
      <c r="BR124" s="7"/>
      <c r="BS124" s="7"/>
      <c r="BT124" s="7"/>
      <c r="BU124" s="7"/>
      <c r="BV124" s="11">
        <v>0</v>
      </c>
      <c r="BW124" s="10">
        <v>44319</v>
      </c>
      <c r="BX124" s="7">
        <v>5</v>
      </c>
      <c r="BY124" s="7">
        <v>3</v>
      </c>
      <c r="BZ124" s="7">
        <v>2021</v>
      </c>
      <c r="CA124" s="5">
        <f t="shared" si="29"/>
        <v>44260</v>
      </c>
      <c r="CB124">
        <v>64</v>
      </c>
      <c r="CC124" s="7">
        <v>5</v>
      </c>
      <c r="CD124" s="7"/>
      <c r="CE124">
        <f t="shared" si="31"/>
        <v>1.3842097553830379</v>
      </c>
      <c r="CF124">
        <f t="shared" si="32"/>
        <v>1.9554409869269014</v>
      </c>
      <c r="CG124">
        <f t="shared" si="41"/>
        <v>1.9830451506890241</v>
      </c>
      <c r="CH124">
        <f t="shared" si="42"/>
        <v>4.7822003900888541</v>
      </c>
      <c r="CI124">
        <f t="shared" si="35"/>
        <v>7.9462544246189482E-2</v>
      </c>
      <c r="CJ124" s="1">
        <f t="shared" si="36"/>
        <v>7.9462544246189482E-2</v>
      </c>
      <c r="CK124" s="7" t="s">
        <v>142</v>
      </c>
      <c r="CL124" s="7">
        <v>3</v>
      </c>
      <c r="CM124" s="7"/>
      <c r="CN124" s="7"/>
      <c r="CO124" s="7"/>
      <c r="CP124" s="7"/>
    </row>
    <row r="125" spans="1:96" x14ac:dyDescent="0.2">
      <c r="A125" s="7" t="s">
        <v>503</v>
      </c>
      <c r="B125" s="7" t="s">
        <v>46</v>
      </c>
      <c r="C125" t="str">
        <f t="shared" si="25"/>
        <v>I</v>
      </c>
      <c r="D125" t="str">
        <f t="shared" si="26"/>
        <v>I</v>
      </c>
      <c r="E125" t="str">
        <f t="shared" si="27"/>
        <v>G</v>
      </c>
      <c r="F125" s="7">
        <v>89</v>
      </c>
      <c r="G125" s="7">
        <v>83</v>
      </c>
      <c r="H125" s="7">
        <v>12.843999999999999</v>
      </c>
      <c r="I125" s="7">
        <v>0.32100000000000001</v>
      </c>
      <c r="J125" s="7">
        <v>0.17799999999999999</v>
      </c>
      <c r="K125" s="7" t="s">
        <v>24</v>
      </c>
      <c r="L125" t="str">
        <f t="shared" si="28"/>
        <v>F</v>
      </c>
      <c r="M125">
        <v>22</v>
      </c>
      <c r="N125" s="7">
        <v>0.53</v>
      </c>
      <c r="O125" s="7">
        <v>0.47399999999999998</v>
      </c>
      <c r="P125" s="7" t="s">
        <v>504</v>
      </c>
      <c r="Q125" t="str">
        <f t="shared" si="43"/>
        <v>F</v>
      </c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>
        <v>7</v>
      </c>
      <c r="AW125" s="7">
        <v>2.4E-2</v>
      </c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Q125" s="7"/>
      <c r="BR125" s="7"/>
      <c r="BS125" s="7"/>
      <c r="BT125" s="7"/>
      <c r="BU125" s="7"/>
      <c r="BV125" s="11">
        <v>2.4E-2</v>
      </c>
      <c r="BW125" s="10">
        <v>44319</v>
      </c>
      <c r="BX125" s="7">
        <v>5</v>
      </c>
      <c r="BY125" s="7">
        <v>3</v>
      </c>
      <c r="BZ125" s="7">
        <v>2021</v>
      </c>
      <c r="CA125" s="5">
        <f t="shared" si="29"/>
        <v>44260</v>
      </c>
      <c r="CB125">
        <v>64</v>
      </c>
      <c r="CC125" s="7">
        <v>5</v>
      </c>
      <c r="CD125" s="7"/>
      <c r="CE125">
        <f t="shared" si="31"/>
        <v>1.4053371230064742</v>
      </c>
      <c r="CF125">
        <f t="shared" si="32"/>
        <v>2.5632835582528148</v>
      </c>
      <c r="CG125">
        <f t="shared" si="41"/>
        <v>2.600243013365735</v>
      </c>
      <c r="CH125">
        <f t="shared" si="42"/>
        <v>3.6904391155403302</v>
      </c>
      <c r="CI125">
        <f t="shared" si="35"/>
        <v>0.43600124571784532</v>
      </c>
      <c r="CJ125" s="1">
        <f t="shared" si="36"/>
        <v>0.62285892245406449</v>
      </c>
      <c r="CK125" s="7" t="s">
        <v>142</v>
      </c>
      <c r="CL125" s="7">
        <v>1</v>
      </c>
      <c r="CM125" s="7"/>
      <c r="CN125" s="7"/>
      <c r="CO125" s="7"/>
      <c r="CP125" s="7"/>
      <c r="CQ125" s="12">
        <v>4.3400000000000001E-2</v>
      </c>
      <c r="CR125">
        <f>CQ125/(H125-I125-J125-N125)*1000</f>
        <v>3.6732966567922136</v>
      </c>
    </row>
    <row r="126" spans="1:96" x14ac:dyDescent="0.2">
      <c r="A126" s="7" t="s">
        <v>505</v>
      </c>
      <c r="B126" s="7" t="s">
        <v>46</v>
      </c>
      <c r="C126" t="str">
        <f t="shared" si="25"/>
        <v>I</v>
      </c>
      <c r="D126" t="str">
        <f t="shared" si="26"/>
        <v>IMM</v>
      </c>
      <c r="E126" t="str">
        <f t="shared" si="27"/>
        <v>G</v>
      </c>
      <c r="F126" s="7">
        <v>64</v>
      </c>
      <c r="G126" s="7">
        <v>59</v>
      </c>
      <c r="H126" s="7">
        <v>4.202</v>
      </c>
      <c r="I126" s="7">
        <v>0.11</v>
      </c>
      <c r="J126" s="7">
        <v>8.9999999999999993E-3</v>
      </c>
      <c r="K126" s="7" t="s">
        <v>38</v>
      </c>
      <c r="L126" t="str">
        <f t="shared" si="28"/>
        <v>M</v>
      </c>
      <c r="M126">
        <v>22</v>
      </c>
      <c r="N126" s="7">
        <v>0.17799999999999999</v>
      </c>
      <c r="O126" s="7">
        <v>0.17299999999999999</v>
      </c>
      <c r="P126" s="7" t="s">
        <v>36</v>
      </c>
      <c r="Q126" t="str">
        <f t="shared" si="43"/>
        <v>MT</v>
      </c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7"/>
      <c r="BI126" s="7"/>
      <c r="BJ126" s="7"/>
      <c r="BK126" s="7"/>
      <c r="BL126" s="7"/>
      <c r="BM126" s="7"/>
      <c r="BN126" s="7"/>
      <c r="BO126" s="7"/>
      <c r="BP126" s="7"/>
      <c r="BQ126" s="7"/>
      <c r="BR126" s="7"/>
      <c r="BS126" s="7"/>
      <c r="BT126" s="7"/>
      <c r="BU126" s="7"/>
      <c r="BV126" s="11">
        <v>0</v>
      </c>
      <c r="BW126" s="10">
        <v>44319</v>
      </c>
      <c r="BX126" s="7">
        <v>5</v>
      </c>
      <c r="BY126" s="7">
        <v>3</v>
      </c>
      <c r="BZ126" s="7">
        <v>2021</v>
      </c>
      <c r="CA126" s="5">
        <f t="shared" si="29"/>
        <v>44260</v>
      </c>
      <c r="CB126">
        <v>64</v>
      </c>
      <c r="CC126" s="7">
        <v>5</v>
      </c>
      <c r="CD126" s="7"/>
      <c r="CE126">
        <f t="shared" si="31"/>
        <v>0.21464345337467208</v>
      </c>
      <c r="CF126">
        <f t="shared" si="32"/>
        <v>2.688172043010753</v>
      </c>
      <c r="CG126">
        <f t="shared" si="41"/>
        <v>2.6940974773450899</v>
      </c>
      <c r="CH126">
        <f t="shared" si="42"/>
        <v>4.117087101380295</v>
      </c>
      <c r="CI126">
        <f t="shared" si="35"/>
        <v>0.11899095668729187</v>
      </c>
      <c r="CJ126" s="1">
        <f t="shared" si="36"/>
        <v>0.11899095668729187</v>
      </c>
      <c r="CK126" s="7" t="s">
        <v>142</v>
      </c>
      <c r="CL126" s="7">
        <v>2</v>
      </c>
      <c r="CM126" s="7"/>
      <c r="CN126" s="7"/>
      <c r="CO126" s="7"/>
      <c r="CP126" s="7"/>
    </row>
    <row r="127" spans="1:96" x14ac:dyDescent="0.2">
      <c r="A127" s="7" t="s">
        <v>506</v>
      </c>
      <c r="B127" s="7" t="s">
        <v>46</v>
      </c>
      <c r="C127" t="str">
        <f t="shared" si="25"/>
        <v>I</v>
      </c>
      <c r="D127" t="str">
        <f t="shared" si="26"/>
        <v>IMM</v>
      </c>
      <c r="E127" t="str">
        <f t="shared" si="27"/>
        <v>G</v>
      </c>
      <c r="F127" s="7">
        <v>61</v>
      </c>
      <c r="G127" s="7">
        <v>57</v>
      </c>
      <c r="H127" s="7">
        <v>3.4780000000000002</v>
      </c>
      <c r="I127" s="7">
        <v>7.2999999999999995E-2</v>
      </c>
      <c r="J127" s="7">
        <v>1.2E-2</v>
      </c>
      <c r="K127" s="7" t="s">
        <v>38</v>
      </c>
      <c r="L127" t="str">
        <f t="shared" si="28"/>
        <v>M</v>
      </c>
      <c r="M127">
        <v>22</v>
      </c>
      <c r="N127" s="7">
        <v>0.151</v>
      </c>
      <c r="O127" s="7">
        <v>0.14699999999999999</v>
      </c>
      <c r="P127" s="7" t="s">
        <v>36</v>
      </c>
      <c r="Q127" t="str">
        <f t="shared" si="43"/>
        <v>MT</v>
      </c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L127" s="7"/>
      <c r="BM127" s="7"/>
      <c r="BN127" s="7"/>
      <c r="BO127" s="7"/>
      <c r="BP127" s="7"/>
      <c r="BQ127" s="7"/>
      <c r="BR127" s="7"/>
      <c r="BS127" s="7"/>
      <c r="BT127" s="7"/>
      <c r="BU127" s="7"/>
      <c r="BV127" s="11">
        <v>0</v>
      </c>
      <c r="BW127" s="10">
        <v>44319</v>
      </c>
      <c r="BX127" s="7">
        <v>5</v>
      </c>
      <c r="BY127" s="7">
        <v>3</v>
      </c>
      <c r="BZ127" s="7">
        <v>2021</v>
      </c>
      <c r="CA127" s="5">
        <f t="shared" si="29"/>
        <v>44260</v>
      </c>
      <c r="CB127">
        <v>64</v>
      </c>
      <c r="CC127" s="7">
        <v>5</v>
      </c>
      <c r="CD127" s="7"/>
      <c r="CE127">
        <f t="shared" si="31"/>
        <v>0.34622042700519329</v>
      </c>
      <c r="CF127">
        <f t="shared" si="32"/>
        <v>2.1439060205580027</v>
      </c>
      <c r="CG127">
        <f t="shared" si="41"/>
        <v>2.1514883583849098</v>
      </c>
      <c r="CH127">
        <f t="shared" si="42"/>
        <v>4.2265669925244387</v>
      </c>
      <c r="CI127">
        <f t="shared" si="35"/>
        <v>0.1150086256469236</v>
      </c>
      <c r="CJ127" s="1">
        <f t="shared" si="36"/>
        <v>0.1150086256469236</v>
      </c>
      <c r="CK127" s="7" t="s">
        <v>142</v>
      </c>
      <c r="CL127" s="7">
        <v>1</v>
      </c>
      <c r="CM127" s="7"/>
      <c r="CN127" s="7"/>
      <c r="CO127" s="7"/>
      <c r="CP127" s="7"/>
    </row>
    <row r="128" spans="1:96" x14ac:dyDescent="0.2">
      <c r="A128" s="7" t="s">
        <v>507</v>
      </c>
      <c r="B128" s="7" t="s">
        <v>46</v>
      </c>
      <c r="C128" t="str">
        <f t="shared" si="25"/>
        <v>I</v>
      </c>
      <c r="D128" t="str">
        <f t="shared" si="26"/>
        <v>I</v>
      </c>
      <c r="E128" t="str">
        <f t="shared" si="27"/>
        <v>G</v>
      </c>
      <c r="F128" s="7">
        <v>89</v>
      </c>
      <c r="G128" s="7">
        <v>82</v>
      </c>
      <c r="H128" s="7">
        <v>12.449</v>
      </c>
      <c r="I128" s="7">
        <v>0.26400000000000001</v>
      </c>
      <c r="J128" s="7">
        <v>1.9E-2</v>
      </c>
      <c r="K128" s="7" t="s">
        <v>38</v>
      </c>
      <c r="L128" t="str">
        <f t="shared" si="28"/>
        <v>M</v>
      </c>
      <c r="M128">
        <v>22</v>
      </c>
      <c r="N128" s="7">
        <v>0.43099999999999999</v>
      </c>
      <c r="O128" s="7">
        <v>0.38100000000000001</v>
      </c>
      <c r="P128" s="7" t="s">
        <v>508</v>
      </c>
      <c r="Q128" t="str">
        <f t="shared" si="43"/>
        <v>F</v>
      </c>
      <c r="R128" s="7"/>
      <c r="S128" s="7"/>
      <c r="T128" s="7"/>
      <c r="U128" s="7">
        <v>1.2999999999999999E-2</v>
      </c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>
        <v>3</v>
      </c>
      <c r="AW128" s="7">
        <v>3.0000000000000001E-3</v>
      </c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/>
      <c r="BK128" s="7"/>
      <c r="BL128" s="7"/>
      <c r="BM128" s="7"/>
      <c r="BN128" s="7"/>
      <c r="BO128" s="7"/>
      <c r="BP128" s="7"/>
      <c r="BQ128" s="7"/>
      <c r="BR128" s="7"/>
      <c r="BS128" s="7"/>
      <c r="BT128" s="7"/>
      <c r="BU128" s="7"/>
      <c r="BV128" s="11">
        <v>1.6E-2</v>
      </c>
      <c r="BW128" s="10">
        <v>44319</v>
      </c>
      <c r="BX128" s="7">
        <v>5</v>
      </c>
      <c r="BY128" s="7">
        <v>3</v>
      </c>
      <c r="BZ128" s="7">
        <v>2021</v>
      </c>
      <c r="CA128" s="5">
        <f t="shared" si="29"/>
        <v>44260</v>
      </c>
      <c r="CB128">
        <v>64</v>
      </c>
      <c r="CC128" s="7">
        <v>5</v>
      </c>
      <c r="CD128" s="7"/>
      <c r="CE128">
        <f t="shared" si="31"/>
        <v>0.15285599356395818</v>
      </c>
      <c r="CF128">
        <f t="shared" si="32"/>
        <v>2.1665982765695526</v>
      </c>
      <c r="CG128">
        <f t="shared" si="41"/>
        <v>2.1699819168173597</v>
      </c>
      <c r="CH128">
        <f t="shared" si="42"/>
        <v>3.0604867860872362</v>
      </c>
      <c r="CI128">
        <f t="shared" si="35"/>
        <v>0.40163868583821988</v>
      </c>
      <c r="CJ128" s="1">
        <f t="shared" si="36"/>
        <v>0.5301630653064503</v>
      </c>
      <c r="CK128" s="7" t="s">
        <v>142</v>
      </c>
      <c r="CL128" s="7">
        <v>2</v>
      </c>
      <c r="CM128" s="7"/>
      <c r="CN128" s="7"/>
      <c r="CO128" s="7"/>
      <c r="CP128" s="7"/>
    </row>
    <row r="129" spans="1:96" x14ac:dyDescent="0.2">
      <c r="A129" s="7" t="s">
        <v>509</v>
      </c>
      <c r="B129" s="7" t="s">
        <v>46</v>
      </c>
      <c r="C129" t="str">
        <f t="shared" si="25"/>
        <v>I</v>
      </c>
      <c r="D129" t="str">
        <f t="shared" si="26"/>
        <v>S</v>
      </c>
      <c r="E129" t="str">
        <f t="shared" si="27"/>
        <v>G</v>
      </c>
      <c r="F129" s="7">
        <v>82</v>
      </c>
      <c r="G129" s="7">
        <v>77</v>
      </c>
      <c r="H129" s="7">
        <v>9.3219999999999992</v>
      </c>
      <c r="I129" s="7">
        <v>0.223</v>
      </c>
      <c r="J129" s="7">
        <v>0.13500000000000001</v>
      </c>
      <c r="K129" s="7" t="s">
        <v>24</v>
      </c>
      <c r="L129" t="str">
        <f t="shared" si="28"/>
        <v>F</v>
      </c>
      <c r="M129">
        <v>22</v>
      </c>
      <c r="N129" s="7">
        <v>0.41199999999999998</v>
      </c>
      <c r="O129" s="7">
        <v>0.39400000000000002</v>
      </c>
      <c r="P129" s="7" t="s">
        <v>510</v>
      </c>
      <c r="Q129" t="str">
        <f t="shared" si="43"/>
        <v>F</v>
      </c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>
        <v>3</v>
      </c>
      <c r="AW129" s="7">
        <v>4.0000000000000001E-3</v>
      </c>
      <c r="AX129" s="7"/>
      <c r="AY129" s="7"/>
      <c r="AZ129" s="7"/>
      <c r="BA129" s="7"/>
      <c r="BB129" s="7"/>
      <c r="BC129" s="7"/>
      <c r="BD129" s="7"/>
      <c r="BE129" s="7"/>
      <c r="BF129" s="7"/>
      <c r="BG129" s="7"/>
      <c r="BH129" s="7"/>
      <c r="BI129" s="7"/>
      <c r="BJ129" s="7"/>
      <c r="BK129" s="7"/>
      <c r="BL129" s="7"/>
      <c r="BM129" s="7"/>
      <c r="BN129" s="7"/>
      <c r="BO129" s="7"/>
      <c r="BP129" s="7"/>
      <c r="BQ129" s="7"/>
      <c r="BR129" s="7"/>
      <c r="BS129" s="7"/>
      <c r="BT129" s="7"/>
      <c r="BU129" s="7"/>
      <c r="BV129" s="11">
        <v>4.0000000000000001E-3</v>
      </c>
      <c r="BW129" s="10">
        <v>44319</v>
      </c>
      <c r="BX129" s="7">
        <v>5</v>
      </c>
      <c r="BY129" s="7">
        <v>3</v>
      </c>
      <c r="BZ129" s="7">
        <v>2021</v>
      </c>
      <c r="CA129" s="5">
        <f t="shared" si="29"/>
        <v>44260</v>
      </c>
      <c r="CB129">
        <v>64</v>
      </c>
      <c r="CC129" s="7">
        <v>5</v>
      </c>
      <c r="CD129" s="7"/>
      <c r="CE129">
        <f t="shared" si="31"/>
        <v>1.4694677261347557</v>
      </c>
      <c r="CF129">
        <f t="shared" si="32"/>
        <v>2.4508187712935494</v>
      </c>
      <c r="CG129">
        <f t="shared" si="41"/>
        <v>2.4877286925479702</v>
      </c>
      <c r="CH129">
        <f t="shared" si="42"/>
        <v>4.2265608238575423</v>
      </c>
      <c r="CI129">
        <f t="shared" si="35"/>
        <v>0.19309161124222229</v>
      </c>
      <c r="CJ129" s="1">
        <f t="shared" si="36"/>
        <v>0.23600085818493843</v>
      </c>
      <c r="CK129" s="7" t="s">
        <v>142</v>
      </c>
      <c r="CL129" s="7">
        <v>2</v>
      </c>
      <c r="CM129" s="7"/>
      <c r="CN129" s="7"/>
      <c r="CO129" s="7"/>
      <c r="CP129" s="7"/>
      <c r="CQ129" s="12">
        <v>1.09E-2</v>
      </c>
      <c r="CR129">
        <f>CQ129/(H129-I129-J129-N129)*1000</f>
        <v>1.2745556594948553</v>
      </c>
    </row>
    <row r="130" spans="1:96" x14ac:dyDescent="0.2">
      <c r="A130" s="7" t="s">
        <v>511</v>
      </c>
      <c r="B130" s="7" t="s">
        <v>46</v>
      </c>
      <c r="C130" t="str">
        <f t="shared" ref="C130:C193" si="44">IF(F130&gt;=150,"B",IF(F130&lt;=60,"S","I"))</f>
        <v>I</v>
      </c>
      <c r="D130" t="str">
        <f t="shared" ref="D130:D193" si="45">IF(F130&gt;=110,"B",IF(F130&gt;=85,"I",IF(F130&gt;=65,"S","IMM")))</f>
        <v>I</v>
      </c>
      <c r="E130" t="str">
        <f t="shared" ref="E130:E193" si="46">IF(AND(F130&gt;=60,F130&lt;=110),"G","N")</f>
        <v>G</v>
      </c>
      <c r="F130" s="7">
        <v>93</v>
      </c>
      <c r="G130" s="7">
        <v>90</v>
      </c>
      <c r="H130" s="7">
        <v>13.888</v>
      </c>
      <c r="I130" s="7">
        <v>0.25800000000000001</v>
      </c>
      <c r="J130" s="7">
        <v>2.3E-2</v>
      </c>
      <c r="K130" s="7" t="s">
        <v>38</v>
      </c>
      <c r="L130" t="str">
        <f t="shared" ref="L130:L193" si="47">LEFT(K130,1)</f>
        <v>M</v>
      </c>
      <c r="M130">
        <v>22</v>
      </c>
      <c r="N130" s="7">
        <v>0.53</v>
      </c>
      <c r="O130" s="7">
        <v>0.50900000000000001</v>
      </c>
      <c r="P130" s="7" t="s">
        <v>36</v>
      </c>
      <c r="Q130" t="str">
        <f t="shared" si="43"/>
        <v>MT</v>
      </c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  <c r="BM130" s="7"/>
      <c r="BN130" s="7"/>
      <c r="BO130" s="7"/>
      <c r="BP130" s="7"/>
      <c r="BQ130" s="7"/>
      <c r="BR130" s="7"/>
      <c r="BS130" s="7"/>
      <c r="BT130" s="7"/>
      <c r="BU130" s="7"/>
      <c r="BV130" s="11">
        <v>0</v>
      </c>
      <c r="BW130" s="10">
        <v>44319</v>
      </c>
      <c r="BX130" s="7">
        <v>5</v>
      </c>
      <c r="BY130" s="7">
        <v>3</v>
      </c>
      <c r="BZ130" s="7">
        <v>2021</v>
      </c>
      <c r="CA130" s="5">
        <f t="shared" si="29"/>
        <v>44260</v>
      </c>
      <c r="CB130">
        <v>64</v>
      </c>
      <c r="CC130" s="7">
        <v>5</v>
      </c>
      <c r="CD130" s="7"/>
      <c r="CE130">
        <f t="shared" si="31"/>
        <v>0.16588532275513884</v>
      </c>
      <c r="CF130">
        <f t="shared" si="32"/>
        <v>1.8928833455612619</v>
      </c>
      <c r="CG130">
        <f t="shared" si="41"/>
        <v>1.8960828985081211</v>
      </c>
      <c r="CH130">
        <f t="shared" si="42"/>
        <v>3.6650345622119813</v>
      </c>
      <c r="CI130">
        <f t="shared" si="35"/>
        <v>0.15120967741935495</v>
      </c>
      <c r="CJ130" s="1">
        <f t="shared" si="36"/>
        <v>0.15120967741935495</v>
      </c>
      <c r="CK130" s="7" t="s">
        <v>142</v>
      </c>
      <c r="CL130" s="7">
        <v>3</v>
      </c>
      <c r="CM130" s="7"/>
      <c r="CN130" s="7"/>
      <c r="CO130" s="7"/>
      <c r="CP130" s="7"/>
    </row>
    <row r="131" spans="1:96" x14ac:dyDescent="0.2">
      <c r="A131" s="7" t="s">
        <v>512</v>
      </c>
      <c r="B131" s="7" t="s">
        <v>46</v>
      </c>
      <c r="C131" t="str">
        <f t="shared" si="44"/>
        <v>I</v>
      </c>
      <c r="D131" t="str">
        <f t="shared" si="45"/>
        <v>S</v>
      </c>
      <c r="E131" t="str">
        <f t="shared" si="46"/>
        <v>G</v>
      </c>
      <c r="F131" s="7">
        <v>83</v>
      </c>
      <c r="G131" s="7">
        <v>80</v>
      </c>
      <c r="H131" s="7">
        <v>9.6150000000000002</v>
      </c>
      <c r="I131" s="7">
        <v>0.151</v>
      </c>
      <c r="J131" s="7">
        <v>0.151</v>
      </c>
      <c r="K131" s="7" t="s">
        <v>24</v>
      </c>
      <c r="L131" t="str">
        <f t="shared" si="47"/>
        <v>F</v>
      </c>
      <c r="M131">
        <v>22</v>
      </c>
      <c r="N131" s="7">
        <v>0.41</v>
      </c>
      <c r="O131" s="7">
        <v>0.32500000000000001</v>
      </c>
      <c r="P131" s="7" t="s">
        <v>513</v>
      </c>
      <c r="Q131" t="str">
        <f t="shared" si="43"/>
        <v>F</v>
      </c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>
        <v>5</v>
      </c>
      <c r="AW131" s="7">
        <v>5.1999999999999998E-2</v>
      </c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  <c r="BL131" s="7"/>
      <c r="BM131" s="7"/>
      <c r="BN131" s="7"/>
      <c r="BO131" s="7"/>
      <c r="BP131" s="7"/>
      <c r="BQ131" s="7"/>
      <c r="BR131" s="7"/>
      <c r="BS131" s="7"/>
      <c r="BT131" s="7"/>
      <c r="BU131" s="7"/>
      <c r="BV131" s="11">
        <v>5.1999999999999998E-2</v>
      </c>
      <c r="BW131" s="10">
        <v>44319</v>
      </c>
      <c r="BX131" s="7">
        <v>5</v>
      </c>
      <c r="BY131" s="7">
        <v>3</v>
      </c>
      <c r="BZ131" s="7">
        <v>2021</v>
      </c>
      <c r="CA131" s="5">
        <f t="shared" ref="CA131:CA194" si="48">DATE(BZ131,BY131,BX131)</f>
        <v>44260</v>
      </c>
      <c r="CB131">
        <v>64</v>
      </c>
      <c r="CC131" s="7">
        <v>5</v>
      </c>
      <c r="CD131" s="7"/>
      <c r="CE131">
        <f t="shared" si="31"/>
        <v>1.5955198647506337</v>
      </c>
      <c r="CF131">
        <f t="shared" si="32"/>
        <v>1.5955198647506337</v>
      </c>
      <c r="CG131">
        <f t="shared" si="41"/>
        <v>1.621389455599699</v>
      </c>
      <c r="CH131">
        <f t="shared" si="42"/>
        <v>3.3801352054082163</v>
      </c>
      <c r="CI131">
        <f t="shared" si="35"/>
        <v>0.88403536141445616</v>
      </c>
      <c r="CJ131" s="1">
        <f t="shared" si="36"/>
        <v>1.4248569942797706</v>
      </c>
      <c r="CK131" s="7" t="s">
        <v>142</v>
      </c>
      <c r="CL131" s="7">
        <v>2</v>
      </c>
      <c r="CM131" s="7"/>
      <c r="CN131" s="7"/>
      <c r="CO131" s="7"/>
      <c r="CP131" s="7"/>
      <c r="CQ131" s="12">
        <v>8.0000000000000004E-4</v>
      </c>
      <c r="CR131">
        <f>CQ131/(H131-I131-J131-N131)*1000</f>
        <v>8.9857351454565873E-2</v>
      </c>
    </row>
    <row r="132" spans="1:96" x14ac:dyDescent="0.2">
      <c r="A132" s="7" t="s">
        <v>514</v>
      </c>
      <c r="B132" s="7" t="s">
        <v>46</v>
      </c>
      <c r="C132" t="str">
        <f t="shared" si="44"/>
        <v>I</v>
      </c>
      <c r="D132" t="str">
        <f t="shared" si="45"/>
        <v>S</v>
      </c>
      <c r="E132" t="str">
        <f t="shared" si="46"/>
        <v>G</v>
      </c>
      <c r="F132" s="7">
        <v>74</v>
      </c>
      <c r="G132" s="7">
        <v>70</v>
      </c>
      <c r="H132" s="7">
        <v>6.6559999999999997</v>
      </c>
      <c r="I132" s="7">
        <v>0.115</v>
      </c>
      <c r="J132" s="7">
        <v>1.4999999999999999E-2</v>
      </c>
      <c r="K132" s="7" t="s">
        <v>38</v>
      </c>
      <c r="L132" t="str">
        <f t="shared" si="47"/>
        <v>M</v>
      </c>
      <c r="M132">
        <v>22</v>
      </c>
      <c r="N132" s="7">
        <v>0.36699999999999999</v>
      </c>
      <c r="O132" s="7">
        <v>0.33600000000000002</v>
      </c>
      <c r="P132" s="7" t="s">
        <v>36</v>
      </c>
      <c r="Q132" t="str">
        <f t="shared" si="43"/>
        <v>MT</v>
      </c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  <c r="BG132" s="7"/>
      <c r="BH132" s="7"/>
      <c r="BI132" s="7"/>
      <c r="BJ132" s="7"/>
      <c r="BK132" s="7"/>
      <c r="BL132" s="7"/>
      <c r="BM132" s="7"/>
      <c r="BN132" s="7"/>
      <c r="BO132" s="7"/>
      <c r="BP132" s="7"/>
      <c r="BQ132" s="7"/>
      <c r="BR132" s="7"/>
      <c r="BS132" s="7"/>
      <c r="BT132" s="7"/>
      <c r="BU132" s="7"/>
      <c r="BV132" s="11">
        <v>0</v>
      </c>
      <c r="BW132" s="10">
        <v>44319</v>
      </c>
      <c r="BX132" s="7">
        <v>5</v>
      </c>
      <c r="BY132" s="7">
        <v>3</v>
      </c>
      <c r="BZ132" s="7">
        <v>2021</v>
      </c>
      <c r="CA132" s="5">
        <f t="shared" si="48"/>
        <v>44260</v>
      </c>
      <c r="CB132">
        <v>64</v>
      </c>
      <c r="CC132" s="7">
        <v>5</v>
      </c>
      <c r="CD132" s="7"/>
      <c r="CE132">
        <f t="shared" si="31"/>
        <v>0.22586959795211561</v>
      </c>
      <c r="CF132">
        <f t="shared" si="32"/>
        <v>1.7581409570402082</v>
      </c>
      <c r="CG132">
        <f t="shared" si="41"/>
        <v>1.7621820410665032</v>
      </c>
      <c r="CH132">
        <f t="shared" si="42"/>
        <v>5.0480769230769242</v>
      </c>
      <c r="CI132">
        <f t="shared" si="35"/>
        <v>0.46574519230769185</v>
      </c>
      <c r="CJ132" s="1">
        <f t="shared" si="36"/>
        <v>0.46574519230769185</v>
      </c>
      <c r="CK132" s="7" t="s">
        <v>142</v>
      </c>
      <c r="CL132" s="7">
        <v>2</v>
      </c>
      <c r="CM132" s="7"/>
      <c r="CN132" s="7"/>
      <c r="CO132" s="7"/>
      <c r="CP132" s="7"/>
    </row>
    <row r="133" spans="1:96" x14ac:dyDescent="0.2">
      <c r="A133" s="7" t="s">
        <v>515</v>
      </c>
      <c r="B133" s="7" t="s">
        <v>46</v>
      </c>
      <c r="C133" t="str">
        <f t="shared" si="44"/>
        <v>I</v>
      </c>
      <c r="D133" t="str">
        <f t="shared" si="45"/>
        <v>S</v>
      </c>
      <c r="E133" t="str">
        <f t="shared" si="46"/>
        <v>G</v>
      </c>
      <c r="F133" s="7">
        <v>72</v>
      </c>
      <c r="G133" s="7">
        <v>69</v>
      </c>
      <c r="H133" s="7">
        <v>5.6989999999999998</v>
      </c>
      <c r="I133" s="7">
        <v>0.11799999999999999</v>
      </c>
      <c r="J133" s="7">
        <v>8.0000000000000002E-3</v>
      </c>
      <c r="K133" s="7" t="s">
        <v>38</v>
      </c>
      <c r="L133" t="str">
        <f t="shared" si="47"/>
        <v>M</v>
      </c>
      <c r="M133">
        <v>22</v>
      </c>
      <c r="N133" s="7">
        <v>0.23</v>
      </c>
      <c r="O133" s="7">
        <v>0.223</v>
      </c>
      <c r="P133" s="7" t="s">
        <v>36</v>
      </c>
      <c r="Q133" t="str">
        <f t="shared" si="43"/>
        <v>MT</v>
      </c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/>
      <c r="BD133" s="7"/>
      <c r="BE133" s="7"/>
      <c r="BF133" s="7"/>
      <c r="BG133" s="7"/>
      <c r="BH133" s="7"/>
      <c r="BI133" s="7"/>
      <c r="BJ133" s="7"/>
      <c r="BK133" s="7"/>
      <c r="BL133" s="7"/>
      <c r="BM133" s="7"/>
      <c r="BN133" s="7"/>
      <c r="BO133" s="7"/>
      <c r="BP133" s="7"/>
      <c r="BQ133" s="7"/>
      <c r="BR133" s="7"/>
      <c r="BS133" s="7"/>
      <c r="BT133" s="7"/>
      <c r="BU133" s="7"/>
      <c r="BV133" s="11">
        <v>0</v>
      </c>
      <c r="BW133" s="10">
        <v>44319</v>
      </c>
      <c r="BX133" s="7">
        <v>5</v>
      </c>
      <c r="BY133" s="7">
        <v>3</v>
      </c>
      <c r="BZ133" s="7">
        <v>2021</v>
      </c>
      <c r="CA133" s="5">
        <f t="shared" si="48"/>
        <v>44260</v>
      </c>
      <c r="CB133">
        <v>64</v>
      </c>
      <c r="CC133" s="7">
        <v>5</v>
      </c>
      <c r="CD133" s="7"/>
      <c r="CE133">
        <f t="shared" si="31"/>
        <v>0.14057283429977158</v>
      </c>
      <c r="CF133">
        <f t="shared" si="32"/>
        <v>2.114316430747178</v>
      </c>
      <c r="CG133">
        <f t="shared" si="41"/>
        <v>2.1173515162390095</v>
      </c>
      <c r="CH133">
        <f t="shared" si="42"/>
        <v>3.9129671872258291</v>
      </c>
      <c r="CI133">
        <f t="shared" si="35"/>
        <v>0.12282856641516067</v>
      </c>
      <c r="CJ133" s="1">
        <f t="shared" si="36"/>
        <v>0.12282856641516067</v>
      </c>
      <c r="CK133" s="7" t="s">
        <v>142</v>
      </c>
      <c r="CL133" s="7">
        <v>1</v>
      </c>
      <c r="CM133" s="7"/>
      <c r="CN133" s="7"/>
      <c r="CO133" s="7"/>
      <c r="CP133" s="7"/>
    </row>
    <row r="134" spans="1:96" x14ac:dyDescent="0.2">
      <c r="A134" s="7" t="s">
        <v>516</v>
      </c>
      <c r="B134" s="7" t="s">
        <v>46</v>
      </c>
      <c r="C134" t="str">
        <f t="shared" si="44"/>
        <v>I</v>
      </c>
      <c r="D134" t="str">
        <f t="shared" si="45"/>
        <v>S</v>
      </c>
      <c r="E134" t="str">
        <f t="shared" si="46"/>
        <v>G</v>
      </c>
      <c r="F134" s="7">
        <v>69</v>
      </c>
      <c r="G134" s="7">
        <v>65</v>
      </c>
      <c r="H134" s="7">
        <v>4.99</v>
      </c>
      <c r="I134" s="7">
        <v>0.107</v>
      </c>
      <c r="J134" s="7">
        <v>0.1</v>
      </c>
      <c r="K134" s="7" t="s">
        <v>24</v>
      </c>
      <c r="L134" t="str">
        <f t="shared" si="47"/>
        <v>F</v>
      </c>
      <c r="M134">
        <v>22</v>
      </c>
      <c r="N134" s="7">
        <v>0.21199999999999999</v>
      </c>
      <c r="O134" s="7">
        <v>0.193</v>
      </c>
      <c r="P134" s="7" t="s">
        <v>517</v>
      </c>
      <c r="Q134" t="str">
        <f t="shared" si="43"/>
        <v>F</v>
      </c>
      <c r="R134" s="7"/>
      <c r="S134" s="7"/>
      <c r="T134" s="7"/>
      <c r="U134" s="7">
        <v>0.01</v>
      </c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  <c r="BG134" s="7"/>
      <c r="BH134" s="7"/>
      <c r="BI134" s="7"/>
      <c r="BJ134" s="7"/>
      <c r="BK134" s="7"/>
      <c r="BL134" s="7"/>
      <c r="BM134" s="7"/>
      <c r="BN134" s="7"/>
      <c r="BO134" s="7"/>
      <c r="BP134" s="7"/>
      <c r="BQ134" s="7"/>
      <c r="BR134" s="7"/>
      <c r="BS134" s="7"/>
      <c r="BT134" s="7"/>
      <c r="BU134" s="7"/>
      <c r="BV134" s="11">
        <v>0.01</v>
      </c>
      <c r="BW134" s="10">
        <v>44319</v>
      </c>
      <c r="BX134" s="7">
        <v>5</v>
      </c>
      <c r="BY134" s="7">
        <v>3</v>
      </c>
      <c r="BZ134" s="7">
        <v>2021</v>
      </c>
      <c r="CA134" s="5">
        <f t="shared" si="48"/>
        <v>44260</v>
      </c>
      <c r="CB134">
        <v>64</v>
      </c>
      <c r="CC134" s="7">
        <v>5</v>
      </c>
      <c r="CD134" s="7"/>
      <c r="CE134">
        <f t="shared" si="31"/>
        <v>2.0449897750511243</v>
      </c>
      <c r="CF134">
        <f t="shared" si="32"/>
        <v>2.1912758550071678</v>
      </c>
      <c r="CG134">
        <f t="shared" si="41"/>
        <v>2.2370896926615091</v>
      </c>
      <c r="CH134">
        <f t="shared" si="42"/>
        <v>3.8677354709418839</v>
      </c>
      <c r="CI134">
        <f t="shared" si="35"/>
        <v>0.38076152304609195</v>
      </c>
      <c r="CJ134" s="1">
        <f t="shared" si="36"/>
        <v>0.5811623246492984</v>
      </c>
      <c r="CK134" s="7" t="s">
        <v>142</v>
      </c>
      <c r="CL134" s="7">
        <v>2</v>
      </c>
      <c r="CM134" s="7"/>
      <c r="CN134" s="7"/>
      <c r="CO134" s="7"/>
      <c r="CP134" s="7"/>
    </row>
    <row r="135" spans="1:96" x14ac:dyDescent="0.2">
      <c r="A135" s="7" t="s">
        <v>518</v>
      </c>
      <c r="B135" s="7" t="s">
        <v>46</v>
      </c>
      <c r="C135" t="str">
        <f t="shared" si="44"/>
        <v>I</v>
      </c>
      <c r="D135" t="str">
        <f t="shared" si="45"/>
        <v>S</v>
      </c>
      <c r="E135" t="str">
        <f t="shared" si="46"/>
        <v>G</v>
      </c>
      <c r="F135" s="7">
        <v>73</v>
      </c>
      <c r="G135" s="7">
        <v>70</v>
      </c>
      <c r="H135" s="7">
        <v>6.22</v>
      </c>
      <c r="I135" s="7">
        <v>0.13</v>
      </c>
      <c r="J135" s="7">
        <v>1.2E-2</v>
      </c>
      <c r="K135" s="7" t="s">
        <v>38</v>
      </c>
      <c r="L135" t="str">
        <f t="shared" si="47"/>
        <v>M</v>
      </c>
      <c r="M135">
        <v>22</v>
      </c>
      <c r="N135" s="7">
        <v>0.24</v>
      </c>
      <c r="O135" s="7">
        <v>0.22800000000000001</v>
      </c>
      <c r="P135" s="7" t="s">
        <v>36</v>
      </c>
      <c r="Q135" t="str">
        <f t="shared" si="43"/>
        <v>MT</v>
      </c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  <c r="BK135" s="7"/>
      <c r="BL135" s="7"/>
      <c r="BM135" s="7"/>
      <c r="BN135" s="7"/>
      <c r="BO135" s="7"/>
      <c r="BP135" s="7"/>
      <c r="BQ135" s="7"/>
      <c r="BR135" s="7"/>
      <c r="BS135" s="7"/>
      <c r="BT135" s="7"/>
      <c r="BU135" s="7"/>
      <c r="BV135" s="11">
        <v>0</v>
      </c>
      <c r="BW135" s="10">
        <v>44319</v>
      </c>
      <c r="BX135" s="7">
        <v>5</v>
      </c>
      <c r="BY135" s="7">
        <v>3</v>
      </c>
      <c r="BZ135" s="7">
        <v>2021</v>
      </c>
      <c r="CA135" s="5">
        <f t="shared" si="48"/>
        <v>44260</v>
      </c>
      <c r="CB135">
        <v>64</v>
      </c>
      <c r="CC135" s="7">
        <v>5</v>
      </c>
      <c r="CD135" s="7"/>
      <c r="CE135">
        <f t="shared" si="31"/>
        <v>0.19329896907216496</v>
      </c>
      <c r="CF135">
        <f t="shared" si="32"/>
        <v>2.1346469622331692</v>
      </c>
      <c r="CG135">
        <f t="shared" si="41"/>
        <v>2.1388614675880224</v>
      </c>
      <c r="CH135">
        <f t="shared" si="42"/>
        <v>3.6655948553054665</v>
      </c>
      <c r="CI135">
        <f t="shared" si="35"/>
        <v>0.19292604501607691</v>
      </c>
      <c r="CJ135" s="1">
        <f t="shared" si="36"/>
        <v>0.19292604501607691</v>
      </c>
      <c r="CK135" s="7" t="s">
        <v>142</v>
      </c>
      <c r="CL135" s="7">
        <v>2</v>
      </c>
      <c r="CM135" s="7"/>
      <c r="CN135" s="7"/>
      <c r="CO135" s="7"/>
      <c r="CP135" s="7"/>
    </row>
    <row r="136" spans="1:96" x14ac:dyDescent="0.2">
      <c r="A136" s="7" t="s">
        <v>519</v>
      </c>
      <c r="B136" s="7" t="s">
        <v>46</v>
      </c>
      <c r="C136" t="str">
        <f t="shared" si="44"/>
        <v>I</v>
      </c>
      <c r="D136" t="str">
        <f t="shared" si="45"/>
        <v>IMM</v>
      </c>
      <c r="E136" t="str">
        <f t="shared" si="46"/>
        <v>G</v>
      </c>
      <c r="F136" s="7">
        <v>64</v>
      </c>
      <c r="G136" s="7">
        <v>60</v>
      </c>
      <c r="H136" s="7">
        <v>4.5330000000000004</v>
      </c>
      <c r="I136" s="7">
        <v>0.125</v>
      </c>
      <c r="J136" s="7">
        <v>5.8000000000000003E-2</v>
      </c>
      <c r="K136" s="7" t="s">
        <v>24</v>
      </c>
      <c r="L136" t="str">
        <f t="shared" si="47"/>
        <v>F</v>
      </c>
      <c r="M136">
        <v>22</v>
      </c>
      <c r="N136" s="7">
        <v>0.18099999999999999</v>
      </c>
      <c r="O136" s="7">
        <v>0.17</v>
      </c>
      <c r="P136" s="7" t="s">
        <v>36</v>
      </c>
      <c r="Q136" t="str">
        <f t="shared" si="43"/>
        <v>MT</v>
      </c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  <c r="BL136" s="7"/>
      <c r="BM136" s="7"/>
      <c r="BN136" s="7"/>
      <c r="BO136" s="7"/>
      <c r="BP136" s="7"/>
      <c r="BQ136" s="7"/>
      <c r="BR136" s="7"/>
      <c r="BS136" s="7"/>
      <c r="BT136" s="7"/>
      <c r="BU136" s="7"/>
      <c r="BV136" s="11">
        <v>0</v>
      </c>
      <c r="BW136" s="10">
        <v>44319</v>
      </c>
      <c r="BX136" s="7">
        <v>5</v>
      </c>
      <c r="BY136" s="7">
        <v>3</v>
      </c>
      <c r="BZ136" s="7">
        <v>2021</v>
      </c>
      <c r="CA136" s="5">
        <f t="shared" si="48"/>
        <v>44260</v>
      </c>
      <c r="CB136">
        <v>64</v>
      </c>
      <c r="CC136" s="7">
        <v>5</v>
      </c>
      <c r="CD136" s="7"/>
      <c r="CE136">
        <f t="shared" si="31"/>
        <v>1.2960893854748603</v>
      </c>
      <c r="CF136">
        <f t="shared" si="32"/>
        <v>2.835753176043557</v>
      </c>
      <c r="CG136">
        <f t="shared" si="41"/>
        <v>2.8735632183908044</v>
      </c>
      <c r="CH136">
        <f t="shared" si="42"/>
        <v>3.7502757555702626</v>
      </c>
      <c r="CI136">
        <f t="shared" si="35"/>
        <v>0.24266490183101658</v>
      </c>
      <c r="CJ136" s="1">
        <f t="shared" si="36"/>
        <v>0.24266490183101658</v>
      </c>
      <c r="CK136" s="7" t="s">
        <v>142</v>
      </c>
      <c r="CL136" s="7">
        <v>2</v>
      </c>
      <c r="CM136" s="7"/>
      <c r="CN136" s="7"/>
      <c r="CO136" s="7"/>
      <c r="CP136" s="7"/>
      <c r="CQ136" s="12">
        <v>2.3E-2</v>
      </c>
      <c r="CR136">
        <f>CQ136/(H136-I136-J136-N136)*1000</f>
        <v>5.516910530103142</v>
      </c>
    </row>
    <row r="137" spans="1:96" x14ac:dyDescent="0.2">
      <c r="A137" s="7" t="s">
        <v>520</v>
      </c>
      <c r="B137" s="7" t="s">
        <v>46</v>
      </c>
      <c r="C137" t="str">
        <f t="shared" si="44"/>
        <v>S</v>
      </c>
      <c r="D137" t="str">
        <f t="shared" si="45"/>
        <v>IMM</v>
      </c>
      <c r="E137" t="str">
        <f t="shared" si="46"/>
        <v>G</v>
      </c>
      <c r="F137" s="7">
        <v>60</v>
      </c>
      <c r="G137" s="7">
        <v>58</v>
      </c>
      <c r="H137" s="7">
        <v>3.3380000000000001</v>
      </c>
      <c r="I137" s="7">
        <v>9.4E-2</v>
      </c>
      <c r="J137" s="7">
        <v>6.3E-2</v>
      </c>
      <c r="K137" s="7" t="s">
        <v>24</v>
      </c>
      <c r="L137" t="str">
        <f t="shared" si="47"/>
        <v>F</v>
      </c>
      <c r="M137">
        <v>22</v>
      </c>
      <c r="N137" s="7">
        <v>0.13</v>
      </c>
      <c r="O137" s="7">
        <v>0.11799999999999999</v>
      </c>
      <c r="P137" s="7" t="s">
        <v>521</v>
      </c>
      <c r="Q137" t="str">
        <f t="shared" si="43"/>
        <v>F</v>
      </c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>
        <v>1</v>
      </c>
      <c r="AW137" s="7">
        <v>4.0000000000000001E-3</v>
      </c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7"/>
      <c r="BI137" s="7"/>
      <c r="BJ137" s="7"/>
      <c r="BK137" s="7"/>
      <c r="BL137" s="7"/>
      <c r="BM137" s="7"/>
      <c r="BN137" s="7"/>
      <c r="BO137" s="7"/>
      <c r="BP137" s="7"/>
      <c r="BQ137" s="7"/>
      <c r="BR137" s="7"/>
      <c r="BS137" s="7"/>
      <c r="BT137" s="7"/>
      <c r="BU137" s="7"/>
      <c r="BV137" s="11">
        <v>4.0000000000000001E-3</v>
      </c>
      <c r="BW137" s="10">
        <v>44319</v>
      </c>
      <c r="BX137" s="7">
        <v>5</v>
      </c>
      <c r="BY137" s="7">
        <v>3</v>
      </c>
      <c r="BZ137" s="7">
        <v>2021</v>
      </c>
      <c r="CA137" s="5">
        <f t="shared" si="48"/>
        <v>44260</v>
      </c>
      <c r="CB137">
        <v>64</v>
      </c>
      <c r="CC137" s="7">
        <v>5</v>
      </c>
      <c r="CD137" s="7"/>
      <c r="CE137">
        <f t="shared" si="31"/>
        <v>1.9236641221374047</v>
      </c>
      <c r="CF137">
        <f t="shared" si="32"/>
        <v>2.8976572133168927</v>
      </c>
      <c r="CG137">
        <f t="shared" si="41"/>
        <v>2.9550455831499529</v>
      </c>
      <c r="CH137">
        <f t="shared" si="42"/>
        <v>3.5350509286998197</v>
      </c>
      <c r="CI137">
        <f t="shared" si="35"/>
        <v>0.35949670461354133</v>
      </c>
      <c r="CJ137" s="1">
        <f t="shared" si="36"/>
        <v>0.47932893948472166</v>
      </c>
      <c r="CK137" s="7" t="s">
        <v>142</v>
      </c>
      <c r="CL137" s="7">
        <v>2</v>
      </c>
      <c r="CM137" s="7"/>
      <c r="CN137" s="7"/>
      <c r="CO137" s="7"/>
      <c r="CP137" s="7"/>
    </row>
    <row r="138" spans="1:96" x14ac:dyDescent="0.2">
      <c r="A138" s="7" t="s">
        <v>522</v>
      </c>
      <c r="B138" s="7" t="s">
        <v>46</v>
      </c>
      <c r="C138" t="str">
        <f t="shared" si="44"/>
        <v>I</v>
      </c>
      <c r="D138" t="str">
        <f t="shared" si="45"/>
        <v>IMM</v>
      </c>
      <c r="E138" t="str">
        <f t="shared" si="46"/>
        <v>G</v>
      </c>
      <c r="F138" s="7">
        <v>61</v>
      </c>
      <c r="G138" s="7">
        <v>57</v>
      </c>
      <c r="H138" s="7">
        <v>3.8919999999999999</v>
      </c>
      <c r="I138" s="7">
        <v>0.104</v>
      </c>
      <c r="J138" s="7">
        <v>7.4999999999999997E-2</v>
      </c>
      <c r="K138" s="7" t="s">
        <v>24</v>
      </c>
      <c r="L138" t="str">
        <f t="shared" si="47"/>
        <v>F</v>
      </c>
      <c r="M138">
        <v>22</v>
      </c>
      <c r="N138" s="7">
        <v>0.182</v>
      </c>
      <c r="O138" s="7">
        <v>0.16500000000000001</v>
      </c>
      <c r="P138" s="7" t="s">
        <v>485</v>
      </c>
      <c r="Q138" t="str">
        <f t="shared" si="43"/>
        <v>F</v>
      </c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>
        <v>1</v>
      </c>
      <c r="AW138" s="7">
        <v>2E-3</v>
      </c>
      <c r="AX138" s="7"/>
      <c r="AY138" s="7"/>
      <c r="AZ138" s="7"/>
      <c r="BA138" s="7"/>
      <c r="BB138" s="7"/>
      <c r="BC138" s="7"/>
      <c r="BD138" s="7"/>
      <c r="BE138" s="7"/>
      <c r="BF138" s="7"/>
      <c r="BG138" s="7"/>
      <c r="BH138" s="7"/>
      <c r="BI138" s="7"/>
      <c r="BJ138" s="7"/>
      <c r="BK138" s="7"/>
      <c r="BL138" s="7"/>
      <c r="BM138" s="7"/>
      <c r="BN138" s="7"/>
      <c r="BO138" s="7"/>
      <c r="BP138" s="7"/>
      <c r="BQ138" s="7"/>
      <c r="BR138" s="7"/>
      <c r="BS138" s="7"/>
      <c r="BT138" s="7"/>
      <c r="BU138" s="7"/>
      <c r="BV138" s="11">
        <v>2E-3</v>
      </c>
      <c r="BW138" s="10">
        <v>44319</v>
      </c>
      <c r="BX138" s="7">
        <v>5</v>
      </c>
      <c r="BY138" s="7">
        <v>3</v>
      </c>
      <c r="BZ138" s="7">
        <v>2021</v>
      </c>
      <c r="CA138" s="5">
        <f t="shared" si="48"/>
        <v>44260</v>
      </c>
      <c r="CB138">
        <v>64</v>
      </c>
      <c r="CC138" s="7">
        <v>5</v>
      </c>
      <c r="CD138" s="7"/>
      <c r="CE138">
        <f t="shared" ref="CE138:CE201" si="49">J138/(H138-J138)*100</f>
        <v>1.9648938957296307</v>
      </c>
      <c r="CF138">
        <f t="shared" ref="CF138:CF201" si="50">I138/(H138-I138)*100</f>
        <v>2.7455121436114043</v>
      </c>
      <c r="CG138">
        <f t="shared" ref="CG138:CG145" si="51">I138/(H138-I138-J138)*100</f>
        <v>2.8009695663883654</v>
      </c>
      <c r="CH138">
        <f t="shared" ref="CH138:CH145" si="52">O138/H138*100</f>
        <v>4.2394655704008226</v>
      </c>
      <c r="CI138">
        <f t="shared" ref="CI138:CI201" si="53">(N138-O138)/H138*100</f>
        <v>0.43679342240493291</v>
      </c>
      <c r="CJ138" s="1">
        <f t="shared" ref="CJ138:CJ201" si="54">(N138-O138+(BV138))/(H138)*100</f>
        <v>0.48818088386433678</v>
      </c>
      <c r="CK138" s="7" t="s">
        <v>142</v>
      </c>
      <c r="CL138" s="7">
        <v>1</v>
      </c>
      <c r="CM138" s="7"/>
      <c r="CN138" s="7"/>
      <c r="CO138" s="7"/>
      <c r="CP138" s="7"/>
      <c r="CQ138" s="12">
        <v>2.0899999999999998E-2</v>
      </c>
      <c r="CR138">
        <f>CQ138/(H138-I138-J138-N138)*1000</f>
        <v>5.9190031152647977</v>
      </c>
    </row>
    <row r="139" spans="1:96" x14ac:dyDescent="0.2">
      <c r="A139" s="7" t="s">
        <v>523</v>
      </c>
      <c r="B139" s="7" t="s">
        <v>46</v>
      </c>
      <c r="C139" t="str">
        <f t="shared" si="44"/>
        <v>I</v>
      </c>
      <c r="D139" t="str">
        <f t="shared" si="45"/>
        <v>IMM</v>
      </c>
      <c r="E139" t="str">
        <f t="shared" si="46"/>
        <v>G</v>
      </c>
      <c r="F139" s="7">
        <v>63</v>
      </c>
      <c r="G139" s="7">
        <v>60</v>
      </c>
      <c r="H139" s="7">
        <v>3.9889999999999999</v>
      </c>
      <c r="I139" s="7">
        <v>0.111</v>
      </c>
      <c r="J139" s="7">
        <v>6.0000000000000001E-3</v>
      </c>
      <c r="K139" s="7" t="s">
        <v>38</v>
      </c>
      <c r="L139" t="str">
        <f t="shared" si="47"/>
        <v>M</v>
      </c>
      <c r="M139">
        <v>22</v>
      </c>
      <c r="N139" s="7">
        <v>0.16700000000000001</v>
      </c>
      <c r="O139" s="7">
        <v>0.14899999999999999</v>
      </c>
      <c r="P139" s="7" t="s">
        <v>524</v>
      </c>
      <c r="Q139" t="str">
        <f t="shared" si="43"/>
        <v>F</v>
      </c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>
        <v>2</v>
      </c>
      <c r="AW139" s="7">
        <v>8.0000000000000002E-3</v>
      </c>
      <c r="AX139" s="7"/>
      <c r="AY139" s="7"/>
      <c r="AZ139" s="7"/>
      <c r="BA139" s="7"/>
      <c r="BB139" s="7"/>
      <c r="BC139" s="7"/>
      <c r="BD139" s="7"/>
      <c r="BE139" s="7"/>
      <c r="BF139" s="7"/>
      <c r="BG139" s="7"/>
      <c r="BH139" s="7"/>
      <c r="BI139" s="7"/>
      <c r="BJ139" s="7"/>
      <c r="BK139" s="7"/>
      <c r="BL139" s="7"/>
      <c r="BM139" s="7"/>
      <c r="BN139" s="7"/>
      <c r="BO139" s="7"/>
      <c r="BP139" s="7"/>
      <c r="BQ139" s="7"/>
      <c r="BR139" s="7"/>
      <c r="BS139" s="7"/>
      <c r="BT139" s="7"/>
      <c r="BU139" s="7"/>
      <c r="BV139" s="11">
        <v>8.0000000000000002E-3</v>
      </c>
      <c r="BW139" s="10">
        <v>44319</v>
      </c>
      <c r="BX139" s="7">
        <v>5</v>
      </c>
      <c r="BY139" s="7">
        <v>3</v>
      </c>
      <c r="BZ139" s="7">
        <v>2021</v>
      </c>
      <c r="CA139" s="5">
        <f t="shared" si="48"/>
        <v>44260</v>
      </c>
      <c r="CB139">
        <v>64</v>
      </c>
      <c r="CC139" s="7">
        <v>5</v>
      </c>
      <c r="CD139" s="7"/>
      <c r="CE139">
        <f t="shared" si="49"/>
        <v>0.15064022093899071</v>
      </c>
      <c r="CF139">
        <f t="shared" si="50"/>
        <v>2.8623001547189277</v>
      </c>
      <c r="CG139">
        <f t="shared" si="51"/>
        <v>2.8667355371900829</v>
      </c>
      <c r="CH139">
        <f t="shared" si="52"/>
        <v>3.7352719979944848</v>
      </c>
      <c r="CI139">
        <f t="shared" si="53"/>
        <v>0.45124091250940124</v>
      </c>
      <c r="CJ139" s="1">
        <f t="shared" si="54"/>
        <v>0.65179242918024616</v>
      </c>
      <c r="CK139" s="7" t="s">
        <v>142</v>
      </c>
      <c r="CL139" s="7">
        <v>2</v>
      </c>
      <c r="CM139" s="7"/>
      <c r="CN139" s="7"/>
      <c r="CO139" s="7"/>
      <c r="CP139" s="7"/>
    </row>
    <row r="140" spans="1:96" x14ac:dyDescent="0.2">
      <c r="A140" s="7" t="s">
        <v>525</v>
      </c>
      <c r="B140" s="7" t="s">
        <v>46</v>
      </c>
      <c r="C140" t="str">
        <f t="shared" si="44"/>
        <v>I</v>
      </c>
      <c r="D140" t="str">
        <f t="shared" si="45"/>
        <v>IMM</v>
      </c>
      <c r="E140" t="str">
        <f t="shared" si="46"/>
        <v>G</v>
      </c>
      <c r="F140" s="7">
        <v>62</v>
      </c>
      <c r="G140" s="7">
        <v>60</v>
      </c>
      <c r="H140" s="7">
        <v>3.6659999999999999</v>
      </c>
      <c r="I140" s="7">
        <v>8.1000000000000003E-2</v>
      </c>
      <c r="J140" s="7">
        <v>1.0999999999999999E-2</v>
      </c>
      <c r="K140" s="7" t="s">
        <v>38</v>
      </c>
      <c r="L140" t="str">
        <f t="shared" si="47"/>
        <v>M</v>
      </c>
      <c r="M140">
        <v>22</v>
      </c>
      <c r="N140" s="7">
        <v>0.17899999999999999</v>
      </c>
      <c r="O140" s="7">
        <v>0.16500000000000001</v>
      </c>
      <c r="P140" s="7" t="s">
        <v>36</v>
      </c>
      <c r="Q140" t="str">
        <f t="shared" si="43"/>
        <v>MT</v>
      </c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  <c r="BV140" s="11">
        <v>0</v>
      </c>
      <c r="BW140" s="10">
        <v>44319</v>
      </c>
      <c r="BX140" s="7">
        <v>5</v>
      </c>
      <c r="BY140" s="7">
        <v>3</v>
      </c>
      <c r="BZ140" s="7">
        <v>2021</v>
      </c>
      <c r="CA140" s="5">
        <f t="shared" si="48"/>
        <v>44260</v>
      </c>
      <c r="CB140">
        <v>64</v>
      </c>
      <c r="CC140" s="7">
        <v>5</v>
      </c>
      <c r="CD140" s="7"/>
      <c r="CE140">
        <f t="shared" si="49"/>
        <v>0.30095759233926128</v>
      </c>
      <c r="CF140">
        <f t="shared" si="50"/>
        <v>2.2594142259414229</v>
      </c>
      <c r="CG140">
        <f t="shared" si="51"/>
        <v>2.2663682148852828</v>
      </c>
      <c r="CH140">
        <f t="shared" si="52"/>
        <v>4.5008183306055649</v>
      </c>
      <c r="CI140">
        <f t="shared" si="53"/>
        <v>0.38188761593016868</v>
      </c>
      <c r="CJ140" s="1">
        <f t="shared" si="54"/>
        <v>0.38188761593016868</v>
      </c>
      <c r="CK140" s="7" t="s">
        <v>142</v>
      </c>
      <c r="CL140" s="7">
        <v>1</v>
      </c>
      <c r="CM140" s="7"/>
      <c r="CN140" s="7"/>
      <c r="CO140" s="7"/>
      <c r="CP140" s="7"/>
    </row>
    <row r="141" spans="1:96" x14ac:dyDescent="0.2">
      <c r="A141" s="7" t="s">
        <v>526</v>
      </c>
      <c r="B141" s="7" t="s">
        <v>46</v>
      </c>
      <c r="C141" t="str">
        <f t="shared" si="44"/>
        <v>S</v>
      </c>
      <c r="D141" t="str">
        <f t="shared" si="45"/>
        <v>IMM</v>
      </c>
      <c r="E141" t="str">
        <f t="shared" si="46"/>
        <v>N</v>
      </c>
      <c r="F141" s="7">
        <v>58</v>
      </c>
      <c r="G141" s="7">
        <v>55</v>
      </c>
      <c r="H141" s="7">
        <v>3.2959999999999998</v>
      </c>
      <c r="I141" s="7">
        <v>0.09</v>
      </c>
      <c r="J141" s="7">
        <v>0.06</v>
      </c>
      <c r="K141" s="7" t="s">
        <v>24</v>
      </c>
      <c r="L141" t="str">
        <f t="shared" si="47"/>
        <v>F</v>
      </c>
      <c r="M141">
        <v>22</v>
      </c>
      <c r="N141" s="7">
        <v>0.16400000000000001</v>
      </c>
      <c r="O141" s="7">
        <v>0.13100000000000001</v>
      </c>
      <c r="P141" s="7" t="s">
        <v>521</v>
      </c>
      <c r="Q141" t="str">
        <f t="shared" si="43"/>
        <v>F</v>
      </c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>
        <v>1</v>
      </c>
      <c r="AW141" s="7">
        <v>4.0000000000000001E-3</v>
      </c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7"/>
      <c r="BU141" s="7"/>
      <c r="BV141" s="11">
        <v>4.0000000000000001E-3</v>
      </c>
      <c r="BW141" s="10">
        <v>44319</v>
      </c>
      <c r="BX141" s="7">
        <v>5</v>
      </c>
      <c r="BY141" s="7">
        <v>3</v>
      </c>
      <c r="BZ141" s="7">
        <v>2021</v>
      </c>
      <c r="CA141" s="5">
        <f t="shared" si="48"/>
        <v>44260</v>
      </c>
      <c r="CB141">
        <v>64</v>
      </c>
      <c r="CC141" s="7">
        <v>5</v>
      </c>
      <c r="CD141" s="7"/>
      <c r="CE141">
        <f t="shared" si="49"/>
        <v>1.8541409147095183</v>
      </c>
      <c r="CF141">
        <f t="shared" si="50"/>
        <v>2.8072364316905802</v>
      </c>
      <c r="CG141">
        <f t="shared" si="51"/>
        <v>2.8607755880483152</v>
      </c>
      <c r="CH141">
        <f t="shared" si="52"/>
        <v>3.9745145631067964</v>
      </c>
      <c r="CI141">
        <f t="shared" si="53"/>
        <v>1.0012135922330099</v>
      </c>
      <c r="CJ141" s="1">
        <f t="shared" si="54"/>
        <v>1.1225728155339807</v>
      </c>
      <c r="CK141" s="7" t="s">
        <v>142</v>
      </c>
      <c r="CL141" s="7">
        <v>1</v>
      </c>
      <c r="CM141" s="7"/>
      <c r="CN141" s="7"/>
      <c r="CO141" s="7"/>
      <c r="CP141" s="7"/>
    </row>
    <row r="142" spans="1:96" x14ac:dyDescent="0.2">
      <c r="A142" s="7" t="s">
        <v>527</v>
      </c>
      <c r="B142" s="7" t="s">
        <v>46</v>
      </c>
      <c r="C142" t="str">
        <f t="shared" si="44"/>
        <v>S</v>
      </c>
      <c r="D142" t="str">
        <f t="shared" si="45"/>
        <v>IMM</v>
      </c>
      <c r="E142" t="str">
        <f t="shared" si="46"/>
        <v>N</v>
      </c>
      <c r="F142" s="7">
        <v>58</v>
      </c>
      <c r="G142" s="7">
        <v>55</v>
      </c>
      <c r="H142" s="7">
        <v>2.9420000000000002</v>
      </c>
      <c r="I142" s="7">
        <v>5.8000000000000003E-2</v>
      </c>
      <c r="J142" s="7">
        <v>0.05</v>
      </c>
      <c r="K142" s="7" t="s">
        <v>24</v>
      </c>
      <c r="L142" t="str">
        <f t="shared" si="47"/>
        <v>F</v>
      </c>
      <c r="M142">
        <v>22</v>
      </c>
      <c r="N142" s="7">
        <v>0.13400000000000001</v>
      </c>
      <c r="O142" s="7">
        <v>0.11700000000000001</v>
      </c>
      <c r="P142" s="7" t="s">
        <v>36</v>
      </c>
      <c r="Q142" t="str">
        <f t="shared" si="43"/>
        <v>MT</v>
      </c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7"/>
      <c r="BM142" s="7"/>
      <c r="BN142" s="7"/>
      <c r="BO142" s="7"/>
      <c r="BP142" s="7"/>
      <c r="BQ142" s="7"/>
      <c r="BR142" s="7"/>
      <c r="BS142" s="7"/>
      <c r="BT142" s="7"/>
      <c r="BU142" s="7"/>
      <c r="BV142" s="11">
        <v>0</v>
      </c>
      <c r="BW142" s="10">
        <v>44319</v>
      </c>
      <c r="BX142" s="7">
        <v>5</v>
      </c>
      <c r="BY142" s="7">
        <v>3</v>
      </c>
      <c r="BZ142" s="7">
        <v>2021</v>
      </c>
      <c r="CA142" s="5">
        <f t="shared" si="48"/>
        <v>44260</v>
      </c>
      <c r="CB142">
        <v>64</v>
      </c>
      <c r="CC142" s="7">
        <v>5</v>
      </c>
      <c r="CD142" s="7"/>
      <c r="CE142">
        <f t="shared" si="49"/>
        <v>1.7289073305670815</v>
      </c>
      <c r="CF142">
        <f t="shared" si="50"/>
        <v>2.0110957004160888</v>
      </c>
      <c r="CG142">
        <f t="shared" si="51"/>
        <v>2.046577275935074</v>
      </c>
      <c r="CH142">
        <f t="shared" si="52"/>
        <v>3.9768864717878993</v>
      </c>
      <c r="CI142">
        <f t="shared" si="53"/>
        <v>0.57783820530251528</v>
      </c>
      <c r="CJ142" s="1">
        <f t="shared" si="54"/>
        <v>0.57783820530251528</v>
      </c>
      <c r="CK142" s="7" t="s">
        <v>142</v>
      </c>
      <c r="CL142" s="7">
        <v>1</v>
      </c>
      <c r="CM142" s="7"/>
      <c r="CN142" s="7"/>
      <c r="CO142" s="7"/>
      <c r="CP142" s="7"/>
    </row>
    <row r="143" spans="1:96" x14ac:dyDescent="0.2">
      <c r="A143" s="7" t="s">
        <v>528</v>
      </c>
      <c r="B143" s="7" t="s">
        <v>46</v>
      </c>
      <c r="C143" t="str">
        <f t="shared" si="44"/>
        <v>S</v>
      </c>
      <c r="D143" t="str">
        <f t="shared" si="45"/>
        <v>IMM</v>
      </c>
      <c r="E143" t="str">
        <f t="shared" si="46"/>
        <v>N</v>
      </c>
      <c r="F143" s="7">
        <v>55</v>
      </c>
      <c r="G143" s="7">
        <v>52</v>
      </c>
      <c r="H143" s="7">
        <v>2.665</v>
      </c>
      <c r="I143" s="7">
        <v>7.8E-2</v>
      </c>
      <c r="J143" s="7">
        <v>3.7999999999999999E-2</v>
      </c>
      <c r="K143" s="7" t="s">
        <v>24</v>
      </c>
      <c r="L143" t="str">
        <f t="shared" si="47"/>
        <v>F</v>
      </c>
      <c r="M143">
        <v>22</v>
      </c>
      <c r="N143" s="7">
        <v>0.10199999999999999</v>
      </c>
      <c r="O143" s="7">
        <v>9.7000000000000003E-2</v>
      </c>
      <c r="P143" s="7" t="s">
        <v>36</v>
      </c>
      <c r="Q143" t="str">
        <f t="shared" si="43"/>
        <v>MT</v>
      </c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/>
      <c r="BD143" s="7"/>
      <c r="BE143" s="7"/>
      <c r="BF143" s="7"/>
      <c r="BG143" s="7"/>
      <c r="BH143" s="7"/>
      <c r="BI143" s="7"/>
      <c r="BJ143" s="7"/>
      <c r="BK143" s="7"/>
      <c r="BL143" s="7"/>
      <c r="BM143" s="7"/>
      <c r="BN143" s="7"/>
      <c r="BO143" s="7"/>
      <c r="BP143" s="7"/>
      <c r="BQ143" s="7"/>
      <c r="BR143" s="7"/>
      <c r="BS143" s="7"/>
      <c r="BT143" s="7"/>
      <c r="BU143" s="7"/>
      <c r="BV143" s="11">
        <v>0</v>
      </c>
      <c r="BW143" s="10">
        <v>44319</v>
      </c>
      <c r="BX143" s="7">
        <v>5</v>
      </c>
      <c r="BY143" s="7">
        <v>3</v>
      </c>
      <c r="BZ143" s="7">
        <v>2021</v>
      </c>
      <c r="CA143" s="5">
        <f t="shared" si="48"/>
        <v>44260</v>
      </c>
      <c r="CB143">
        <v>64</v>
      </c>
      <c r="CC143" s="7">
        <v>5</v>
      </c>
      <c r="CD143" s="7"/>
      <c r="CE143">
        <f t="shared" si="49"/>
        <v>1.4465169394746857</v>
      </c>
      <c r="CF143">
        <f t="shared" si="50"/>
        <v>3.0150753768844218</v>
      </c>
      <c r="CG143">
        <f t="shared" si="51"/>
        <v>3.0600235386426045</v>
      </c>
      <c r="CH143">
        <f t="shared" si="52"/>
        <v>3.6397748592870545</v>
      </c>
      <c r="CI143">
        <f t="shared" si="53"/>
        <v>0.18761726078799215</v>
      </c>
      <c r="CJ143" s="1">
        <f t="shared" si="54"/>
        <v>0.18761726078799215</v>
      </c>
      <c r="CK143" s="7" t="s">
        <v>142</v>
      </c>
      <c r="CL143" s="7">
        <v>1</v>
      </c>
      <c r="CM143" s="7"/>
      <c r="CN143" s="7"/>
      <c r="CO143" s="7"/>
      <c r="CP143" s="7"/>
    </row>
    <row r="144" spans="1:96" x14ac:dyDescent="0.2">
      <c r="A144" s="7" t="s">
        <v>529</v>
      </c>
      <c r="B144" s="7" t="s">
        <v>46</v>
      </c>
      <c r="C144" t="str">
        <f t="shared" si="44"/>
        <v>S</v>
      </c>
      <c r="D144" t="str">
        <f t="shared" si="45"/>
        <v>IMM</v>
      </c>
      <c r="E144" t="str">
        <f t="shared" si="46"/>
        <v>N</v>
      </c>
      <c r="F144" s="7">
        <v>46</v>
      </c>
      <c r="G144" s="7">
        <v>43</v>
      </c>
      <c r="H144" s="7">
        <v>1.5009999999999999</v>
      </c>
      <c r="I144" s="7">
        <v>4.4999999999999998E-2</v>
      </c>
      <c r="J144" s="7">
        <v>7.0000000000000001E-3</v>
      </c>
      <c r="K144" s="7" t="s">
        <v>359</v>
      </c>
      <c r="L144" t="str">
        <f t="shared" si="47"/>
        <v>M</v>
      </c>
      <c r="M144">
        <v>20</v>
      </c>
      <c r="N144" s="7">
        <v>7.2999999999999995E-2</v>
      </c>
      <c r="O144" s="7">
        <v>7.0000000000000007E-2</v>
      </c>
      <c r="P144" s="7" t="s">
        <v>36</v>
      </c>
      <c r="Q144" t="str">
        <f t="shared" si="43"/>
        <v>MT</v>
      </c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E144" s="7"/>
      <c r="BF144" s="7"/>
      <c r="BG144" s="7"/>
      <c r="BH144" s="7"/>
      <c r="BI144" s="7"/>
      <c r="BJ144" s="7"/>
      <c r="BK144" s="7"/>
      <c r="BL144" s="7"/>
      <c r="BM144" s="7"/>
      <c r="BN144" s="7"/>
      <c r="BO144" s="7"/>
      <c r="BP144" s="7"/>
      <c r="BQ144" s="7"/>
      <c r="BR144" s="7"/>
      <c r="BS144" s="7"/>
      <c r="BT144" s="7"/>
      <c r="BU144" s="7"/>
      <c r="BV144" s="11">
        <v>0</v>
      </c>
      <c r="BW144" s="10">
        <v>44319</v>
      </c>
      <c r="BX144" s="7">
        <v>5</v>
      </c>
      <c r="BY144" s="7">
        <v>3</v>
      </c>
      <c r="BZ144" s="7">
        <v>2021</v>
      </c>
      <c r="CA144" s="5">
        <f t="shared" si="48"/>
        <v>44260</v>
      </c>
      <c r="CB144">
        <v>64</v>
      </c>
      <c r="CC144" s="7">
        <v>5</v>
      </c>
      <c r="CD144" s="7"/>
      <c r="CE144">
        <f t="shared" si="49"/>
        <v>0.46854082998661312</v>
      </c>
      <c r="CF144">
        <f t="shared" si="50"/>
        <v>3.0906593406593408</v>
      </c>
      <c r="CG144">
        <f t="shared" si="51"/>
        <v>3.1055900621118009</v>
      </c>
      <c r="CH144">
        <f t="shared" si="52"/>
        <v>4.6635576282478359</v>
      </c>
      <c r="CI144">
        <f t="shared" si="53"/>
        <v>0.19986675549633504</v>
      </c>
      <c r="CJ144" s="1">
        <f t="shared" si="54"/>
        <v>0.19986675549633504</v>
      </c>
      <c r="CK144" s="7" t="s">
        <v>142</v>
      </c>
      <c r="CL144" s="7">
        <v>1</v>
      </c>
      <c r="CM144" s="7"/>
      <c r="CN144" s="7"/>
      <c r="CO144" s="7"/>
      <c r="CP144" s="7"/>
    </row>
    <row r="145" spans="1:99" x14ac:dyDescent="0.2">
      <c r="A145" s="7" t="s">
        <v>530</v>
      </c>
      <c r="B145" s="7" t="s">
        <v>46</v>
      </c>
      <c r="C145" t="str">
        <f t="shared" si="44"/>
        <v>S</v>
      </c>
      <c r="D145" t="str">
        <f t="shared" si="45"/>
        <v>IMM</v>
      </c>
      <c r="E145" t="str">
        <f t="shared" si="46"/>
        <v>N</v>
      </c>
      <c r="F145" s="7">
        <v>47</v>
      </c>
      <c r="G145" s="7">
        <v>44</v>
      </c>
      <c r="H145" s="7">
        <v>1.48</v>
      </c>
      <c r="I145" s="7">
        <v>0.03</v>
      </c>
      <c r="J145" s="7">
        <v>2.9000000000000001E-2</v>
      </c>
      <c r="K145" s="7" t="s">
        <v>24</v>
      </c>
      <c r="L145" t="str">
        <f t="shared" si="47"/>
        <v>F</v>
      </c>
      <c r="M145">
        <v>22</v>
      </c>
      <c r="N145" s="7">
        <v>7.3999999999999996E-2</v>
      </c>
      <c r="O145" s="7">
        <v>6.9000000000000006E-2</v>
      </c>
      <c r="P145" s="7" t="s">
        <v>36</v>
      </c>
      <c r="Q145" t="str">
        <f t="shared" si="43"/>
        <v>MT</v>
      </c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7"/>
      <c r="BU145" s="7"/>
      <c r="BV145" s="11">
        <v>0</v>
      </c>
      <c r="BW145" s="10">
        <v>44319</v>
      </c>
      <c r="BX145" s="7">
        <v>5</v>
      </c>
      <c r="BY145" s="7">
        <v>3</v>
      </c>
      <c r="BZ145" s="7">
        <v>2021</v>
      </c>
      <c r="CA145" s="5">
        <f t="shared" si="48"/>
        <v>44260</v>
      </c>
      <c r="CB145">
        <v>64</v>
      </c>
      <c r="CC145" s="7">
        <v>5</v>
      </c>
      <c r="CD145" s="7"/>
      <c r="CE145">
        <f t="shared" si="49"/>
        <v>1.9986216402481045</v>
      </c>
      <c r="CF145">
        <f t="shared" si="50"/>
        <v>2.0689655172413794</v>
      </c>
      <c r="CG145">
        <f t="shared" si="51"/>
        <v>2.1111893033075297</v>
      </c>
      <c r="CH145">
        <f t="shared" si="52"/>
        <v>4.6621621621621623</v>
      </c>
      <c r="CI145">
        <f t="shared" si="53"/>
        <v>0.33783783783783722</v>
      </c>
      <c r="CJ145" s="1">
        <f t="shared" si="54"/>
        <v>0.33783783783783722</v>
      </c>
      <c r="CK145" s="7" t="s">
        <v>142</v>
      </c>
      <c r="CL145" s="7">
        <v>1</v>
      </c>
      <c r="CM145" s="7"/>
      <c r="CN145" s="7"/>
      <c r="CO145" s="7"/>
      <c r="CP145" s="7"/>
    </row>
    <row r="146" spans="1:99" ht="32" x14ac:dyDescent="0.2">
      <c r="A146" s="7" t="s">
        <v>661</v>
      </c>
      <c r="B146" s="7" t="s">
        <v>46</v>
      </c>
      <c r="C146" t="str">
        <f t="shared" si="44"/>
        <v>I</v>
      </c>
      <c r="D146" t="str">
        <f t="shared" si="45"/>
        <v>B</v>
      </c>
      <c r="E146" t="str">
        <f t="shared" si="46"/>
        <v>N</v>
      </c>
      <c r="F146" s="7">
        <v>113</v>
      </c>
      <c r="G146" s="7">
        <v>108</v>
      </c>
      <c r="H146" s="7">
        <v>25.878</v>
      </c>
      <c r="I146" s="7">
        <v>0.45200000000000001</v>
      </c>
      <c r="J146" s="7">
        <v>0.04</v>
      </c>
      <c r="K146" s="7" t="s">
        <v>38</v>
      </c>
      <c r="L146" t="str">
        <f t="shared" si="47"/>
        <v>M</v>
      </c>
      <c r="M146">
        <v>22</v>
      </c>
      <c r="N146" s="7">
        <v>2.4790000000000001</v>
      </c>
      <c r="O146" s="7">
        <v>1.2</v>
      </c>
      <c r="P146" s="7" t="s">
        <v>681</v>
      </c>
      <c r="Q146" t="str">
        <f t="shared" si="43"/>
        <v>F</v>
      </c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>
        <v>2</v>
      </c>
      <c r="AQ146" s="7">
        <v>7.8E-2</v>
      </c>
      <c r="AR146" s="7"/>
      <c r="AS146" s="7"/>
      <c r="AT146" s="7"/>
      <c r="AU146" s="7"/>
      <c r="AV146" s="7"/>
      <c r="AW146" s="7"/>
      <c r="AX146" s="7">
        <v>8</v>
      </c>
      <c r="AY146" s="7">
        <v>0.80900000000000005</v>
      </c>
      <c r="AZ146" s="7"/>
      <c r="BA146" s="7"/>
      <c r="BB146" s="7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7"/>
      <c r="BU146" s="7"/>
      <c r="BV146">
        <f>0.809+0.078</f>
        <v>0.88700000000000001</v>
      </c>
      <c r="BW146" t="s">
        <v>700</v>
      </c>
      <c r="BX146" t="str">
        <f t="shared" ref="BX146:BX171" si="55">LEFT(BW146,2)</f>
        <v>17</v>
      </c>
      <c r="BY146" t="str">
        <f t="shared" ref="BY146:BY171" si="56">MID(BW146,4,1)</f>
        <v>3</v>
      </c>
      <c r="BZ146" t="str">
        <f t="shared" ref="BZ146:BZ171" si="57">RIGHT(BW146,4)</f>
        <v>2021</v>
      </c>
      <c r="CA146" s="5">
        <f t="shared" si="48"/>
        <v>44272</v>
      </c>
      <c r="CB146">
        <v>76</v>
      </c>
      <c r="CC146" s="7">
        <v>6</v>
      </c>
      <c r="CE146">
        <f t="shared" si="49"/>
        <v>0.15481074386562427</v>
      </c>
      <c r="CF146">
        <f t="shared" si="50"/>
        <v>1.7777078580980099</v>
      </c>
      <c r="CG146">
        <f t="shared" ref="CG146:CG177" si="58">I146/(H146-I146-J146)</f>
        <v>1.7805089419365004E-2</v>
      </c>
      <c r="CH146">
        <f t="shared" ref="CH146:CH177" si="59">O146/(H146-O146)*100</f>
        <v>4.8626306831996109</v>
      </c>
      <c r="CI146">
        <f t="shared" si="53"/>
        <v>4.9424221346317339</v>
      </c>
      <c r="CJ146" s="1">
        <f t="shared" si="54"/>
        <v>8.3700440528634381</v>
      </c>
      <c r="CK146" s="7" t="s">
        <v>142</v>
      </c>
      <c r="CL146" s="7">
        <v>2</v>
      </c>
      <c r="CM146" s="7"/>
      <c r="CN146" s="7"/>
      <c r="CO146" s="7"/>
      <c r="CP146" s="7"/>
    </row>
    <row r="147" spans="1:99" x14ac:dyDescent="0.2">
      <c r="A147" s="7" t="s">
        <v>662</v>
      </c>
      <c r="B147" s="7" t="s">
        <v>46</v>
      </c>
      <c r="C147" t="str">
        <f t="shared" si="44"/>
        <v>I</v>
      </c>
      <c r="D147" t="str">
        <f t="shared" si="45"/>
        <v>B</v>
      </c>
      <c r="E147" t="str">
        <f t="shared" si="46"/>
        <v>N</v>
      </c>
      <c r="F147" s="7">
        <v>118</v>
      </c>
      <c r="G147" s="7">
        <v>112</v>
      </c>
      <c r="H147" s="7">
        <v>27.276</v>
      </c>
      <c r="I147" s="7">
        <v>0.45400000000000001</v>
      </c>
      <c r="J147" s="7">
        <v>0.40300000000000002</v>
      </c>
      <c r="K147" s="7" t="s">
        <v>24</v>
      </c>
      <c r="L147" t="str">
        <f t="shared" si="47"/>
        <v>F</v>
      </c>
      <c r="M147">
        <v>22</v>
      </c>
      <c r="N147" s="7">
        <v>1.343</v>
      </c>
      <c r="O147" s="7">
        <v>1.2509999999999999</v>
      </c>
      <c r="P147" s="7" t="s">
        <v>682</v>
      </c>
      <c r="Q147" t="str">
        <f t="shared" si="43"/>
        <v>F</v>
      </c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>
        <v>2</v>
      </c>
      <c r="AW147" s="7">
        <v>1.4999999999999999E-2</v>
      </c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/>
      <c r="BS147" s="7"/>
      <c r="BT147" s="7"/>
      <c r="BU147" s="7"/>
      <c r="BV147" s="11">
        <v>1.4999999999999999E-2</v>
      </c>
      <c r="BW147" t="s">
        <v>700</v>
      </c>
      <c r="BX147" t="str">
        <f t="shared" si="55"/>
        <v>17</v>
      </c>
      <c r="BY147" t="str">
        <f t="shared" si="56"/>
        <v>3</v>
      </c>
      <c r="BZ147" t="str">
        <f t="shared" si="57"/>
        <v>2021</v>
      </c>
      <c r="CA147" s="5">
        <f t="shared" si="48"/>
        <v>44272</v>
      </c>
      <c r="CB147">
        <v>76</v>
      </c>
      <c r="CC147" s="7">
        <v>6</v>
      </c>
      <c r="CE147">
        <f t="shared" si="49"/>
        <v>1.4996464853198377</v>
      </c>
      <c r="CF147">
        <f t="shared" si="50"/>
        <v>1.6926403698456494</v>
      </c>
      <c r="CG147">
        <f t="shared" si="58"/>
        <v>1.7184601990991331E-2</v>
      </c>
      <c r="CH147">
        <f t="shared" si="59"/>
        <v>4.8069164265129682</v>
      </c>
      <c r="CI147">
        <f t="shared" si="53"/>
        <v>0.33729285819035076</v>
      </c>
      <c r="CJ147" s="1">
        <f t="shared" si="54"/>
        <v>0.39228625898225578</v>
      </c>
      <c r="CK147" s="7" t="s">
        <v>142</v>
      </c>
      <c r="CL147" s="7">
        <v>2</v>
      </c>
      <c r="CM147" s="7"/>
      <c r="CN147" s="7"/>
      <c r="CO147" s="7"/>
      <c r="CP147" s="7"/>
    </row>
    <row r="148" spans="1:99" ht="64" x14ac:dyDescent="0.2">
      <c r="A148" s="7" t="s">
        <v>663</v>
      </c>
      <c r="B148" s="7" t="s">
        <v>46</v>
      </c>
      <c r="C148" t="str">
        <f t="shared" si="44"/>
        <v>I</v>
      </c>
      <c r="D148" t="str">
        <f t="shared" si="45"/>
        <v>I</v>
      </c>
      <c r="E148" t="str">
        <f t="shared" si="46"/>
        <v>G</v>
      </c>
      <c r="F148" s="7">
        <v>107</v>
      </c>
      <c r="G148" s="7">
        <v>102</v>
      </c>
      <c r="H148" s="7">
        <v>23.006</v>
      </c>
      <c r="I148" s="7">
        <v>0.48699999999999999</v>
      </c>
      <c r="J148" s="7">
        <v>3.5000000000000003E-2</v>
      </c>
      <c r="K148" s="7" t="s">
        <v>38</v>
      </c>
      <c r="L148" t="str">
        <f t="shared" si="47"/>
        <v>M</v>
      </c>
      <c r="M148">
        <v>22</v>
      </c>
      <c r="N148" s="7">
        <v>2.677</v>
      </c>
      <c r="O148" s="7">
        <v>1.1930000000000001</v>
      </c>
      <c r="P148" s="7" t="s">
        <v>683</v>
      </c>
      <c r="Q148" t="str">
        <f t="shared" si="43"/>
        <v>F</v>
      </c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>
        <v>1</v>
      </c>
      <c r="AI148" s="7">
        <v>4.2000000000000003E-2</v>
      </c>
      <c r="AJ148" s="7"/>
      <c r="AK148" s="7"/>
      <c r="AL148" s="7"/>
      <c r="AM148" s="7"/>
      <c r="AN148" s="7"/>
      <c r="AO148" s="7"/>
      <c r="AP148" s="7">
        <v>1</v>
      </c>
      <c r="AQ148" s="7">
        <v>2.5999999999999999E-2</v>
      </c>
      <c r="AR148" s="7"/>
      <c r="AS148" s="7"/>
      <c r="AT148" s="7"/>
      <c r="AU148" s="7"/>
      <c r="AV148" s="7"/>
      <c r="AW148" s="7"/>
      <c r="AX148" s="7"/>
      <c r="AY148" s="7"/>
      <c r="AZ148" s="7">
        <v>1</v>
      </c>
      <c r="BA148" s="7">
        <v>3.1E-2</v>
      </c>
      <c r="BB148" s="7"/>
      <c r="BC148" s="7"/>
      <c r="BD148" s="7"/>
      <c r="BE148" s="7"/>
      <c r="BF148" s="7"/>
      <c r="BG148" s="7"/>
      <c r="BH148" s="7">
        <v>4</v>
      </c>
      <c r="BI148" s="7">
        <v>0.76</v>
      </c>
      <c r="BJ148" s="7"/>
      <c r="BK148" s="7"/>
      <c r="BL148" s="7"/>
      <c r="BM148" s="7"/>
      <c r="BN148" s="7"/>
      <c r="BO148" s="7"/>
      <c r="BP148" s="7"/>
      <c r="BQ148" s="7"/>
      <c r="BR148" s="7"/>
      <c r="BS148" s="7"/>
      <c r="BT148" s="7"/>
      <c r="BU148" s="7"/>
      <c r="BV148">
        <f>0.76+0.031+0.042+0.026</f>
        <v>0.8590000000000001</v>
      </c>
      <c r="BW148" t="s">
        <v>700</v>
      </c>
      <c r="BX148" t="str">
        <f t="shared" si="55"/>
        <v>17</v>
      </c>
      <c r="BY148" t="str">
        <f t="shared" si="56"/>
        <v>3</v>
      </c>
      <c r="BZ148" t="str">
        <f t="shared" si="57"/>
        <v>2021</v>
      </c>
      <c r="CA148" s="5">
        <f t="shared" si="48"/>
        <v>44272</v>
      </c>
      <c r="CB148">
        <v>76</v>
      </c>
      <c r="CC148" s="7">
        <v>6</v>
      </c>
      <c r="CE148">
        <f t="shared" si="49"/>
        <v>0.1523660267293544</v>
      </c>
      <c r="CF148">
        <f t="shared" si="50"/>
        <v>2.1626182334917177</v>
      </c>
      <c r="CG148">
        <f t="shared" si="58"/>
        <v>2.1659847002312754E-2</v>
      </c>
      <c r="CH148">
        <f t="shared" si="59"/>
        <v>5.4692156053729439</v>
      </c>
      <c r="CI148">
        <f t="shared" si="53"/>
        <v>6.4504911762149009</v>
      </c>
      <c r="CJ148" s="1">
        <f t="shared" si="54"/>
        <v>10.184299747891853</v>
      </c>
      <c r="CK148" s="7" t="s">
        <v>142</v>
      </c>
      <c r="CL148" s="7">
        <v>2</v>
      </c>
      <c r="CM148" s="7"/>
      <c r="CN148" s="7"/>
      <c r="CO148" s="7"/>
      <c r="CP148" s="7"/>
    </row>
    <row r="149" spans="1:99" ht="32" x14ac:dyDescent="0.2">
      <c r="A149" s="7" t="s">
        <v>664</v>
      </c>
      <c r="B149" s="7" t="s">
        <v>46</v>
      </c>
      <c r="C149" t="str">
        <f t="shared" si="44"/>
        <v>I</v>
      </c>
      <c r="D149" t="str">
        <f t="shared" si="45"/>
        <v>I</v>
      </c>
      <c r="E149" t="str">
        <f t="shared" si="46"/>
        <v>G</v>
      </c>
      <c r="F149" s="7">
        <v>92</v>
      </c>
      <c r="G149" s="7">
        <v>87</v>
      </c>
      <c r="H149" s="7">
        <v>13.935</v>
      </c>
      <c r="I149" s="7">
        <v>0.312</v>
      </c>
      <c r="J149" s="7">
        <v>0.186</v>
      </c>
      <c r="K149" s="7" t="s">
        <v>24</v>
      </c>
      <c r="L149" t="str">
        <f t="shared" si="47"/>
        <v>F</v>
      </c>
      <c r="M149">
        <v>22</v>
      </c>
      <c r="N149" s="7">
        <v>1.2849999999999999</v>
      </c>
      <c r="O149" s="7">
        <v>0.67800000000000005</v>
      </c>
      <c r="P149" s="7" t="s">
        <v>684</v>
      </c>
      <c r="Q149" t="str">
        <f t="shared" si="43"/>
        <v>F</v>
      </c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>
        <v>7</v>
      </c>
      <c r="AW149" s="7">
        <v>6.4000000000000001E-2</v>
      </c>
      <c r="AX149" s="7"/>
      <c r="AY149" s="7"/>
      <c r="AZ149" s="7"/>
      <c r="BA149" s="7"/>
      <c r="BB149" s="7"/>
      <c r="BC149" s="7"/>
      <c r="BD149" s="7"/>
      <c r="BE149" s="7"/>
      <c r="BF149" s="7"/>
      <c r="BG149" s="7"/>
      <c r="BH149" s="7">
        <v>1</v>
      </c>
      <c r="BI149" s="7">
        <v>0.22500000000000001</v>
      </c>
      <c r="BJ149" s="7"/>
      <c r="BK149" s="7"/>
      <c r="BL149" s="7"/>
      <c r="BM149" s="7"/>
      <c r="BN149" s="7"/>
      <c r="BO149" s="7"/>
      <c r="BP149" s="7"/>
      <c r="BQ149" s="7"/>
      <c r="BR149" s="7"/>
      <c r="BS149" s="7"/>
      <c r="BT149" s="7"/>
      <c r="BU149" s="7"/>
      <c r="BV149">
        <f>0.225+0.064</f>
        <v>0.28900000000000003</v>
      </c>
      <c r="BW149" t="s">
        <v>700</v>
      </c>
      <c r="BX149" t="str">
        <f t="shared" si="55"/>
        <v>17</v>
      </c>
      <c r="BY149" t="str">
        <f t="shared" si="56"/>
        <v>3</v>
      </c>
      <c r="BZ149" t="str">
        <f t="shared" si="57"/>
        <v>2021</v>
      </c>
      <c r="CA149" s="5">
        <f t="shared" si="48"/>
        <v>44272</v>
      </c>
      <c r="CB149">
        <v>76</v>
      </c>
      <c r="CC149" s="7">
        <v>6</v>
      </c>
      <c r="CE149">
        <f t="shared" si="49"/>
        <v>1.3528256600480035</v>
      </c>
      <c r="CF149">
        <f t="shared" si="50"/>
        <v>2.2902444395507597</v>
      </c>
      <c r="CG149">
        <f t="shared" si="58"/>
        <v>2.3219468631390933E-2</v>
      </c>
      <c r="CH149">
        <f t="shared" si="59"/>
        <v>5.1142792486988009</v>
      </c>
      <c r="CI149">
        <f t="shared" si="53"/>
        <v>4.3559382848941501</v>
      </c>
      <c r="CJ149" s="1">
        <f t="shared" si="54"/>
        <v>6.4298528884104771</v>
      </c>
      <c r="CK149" s="7" t="s">
        <v>142</v>
      </c>
      <c r="CL149" s="7">
        <v>2</v>
      </c>
      <c r="CM149" s="7"/>
      <c r="CN149" s="7"/>
      <c r="CO149" s="7"/>
      <c r="CP149" s="7"/>
    </row>
    <row r="150" spans="1:99" x14ac:dyDescent="0.2">
      <c r="A150" s="7" t="s">
        <v>665</v>
      </c>
      <c r="B150" s="7" t="s">
        <v>46</v>
      </c>
      <c r="C150" t="str">
        <f t="shared" si="44"/>
        <v>I</v>
      </c>
      <c r="D150" t="str">
        <f t="shared" si="45"/>
        <v>B</v>
      </c>
      <c r="E150" t="str">
        <f t="shared" si="46"/>
        <v>N</v>
      </c>
      <c r="F150" s="7">
        <v>121</v>
      </c>
      <c r="G150" s="7">
        <v>114</v>
      </c>
      <c r="H150" s="7">
        <v>32.979999999999997</v>
      </c>
      <c r="I150" s="7">
        <v>0.58499999999999996</v>
      </c>
      <c r="J150" s="7">
        <v>0.44700000000000001</v>
      </c>
      <c r="K150" s="7" t="s">
        <v>24</v>
      </c>
      <c r="L150" t="str">
        <f t="shared" si="47"/>
        <v>F</v>
      </c>
      <c r="M150">
        <v>22</v>
      </c>
      <c r="N150" s="7">
        <v>1.4470000000000001</v>
      </c>
      <c r="O150" s="7">
        <v>1.4059999999999999</v>
      </c>
      <c r="P150" s="7" t="s">
        <v>36</v>
      </c>
      <c r="Q150" t="str">
        <f t="shared" si="43"/>
        <v>MT</v>
      </c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  <c r="BC150" s="7"/>
      <c r="BD150" s="7"/>
      <c r="BE150" s="7"/>
      <c r="BF150" s="7"/>
      <c r="BG150" s="7"/>
      <c r="BH150" s="7"/>
      <c r="BI150" s="7"/>
      <c r="BJ150" s="7"/>
      <c r="BK150" s="7"/>
      <c r="BL150" s="7"/>
      <c r="BM150" s="7"/>
      <c r="BN150" s="7"/>
      <c r="BO150" s="7"/>
      <c r="BP150" s="7"/>
      <c r="BQ150" s="7"/>
      <c r="BR150" s="7"/>
      <c r="BS150" s="7"/>
      <c r="BT150" s="7"/>
      <c r="BU150" s="7"/>
      <c r="BV150" s="7">
        <v>0</v>
      </c>
      <c r="BW150" t="s">
        <v>700</v>
      </c>
      <c r="BX150" t="str">
        <f t="shared" si="55"/>
        <v>17</v>
      </c>
      <c r="BY150" t="str">
        <f t="shared" si="56"/>
        <v>3</v>
      </c>
      <c r="BZ150" t="str">
        <f t="shared" si="57"/>
        <v>2021</v>
      </c>
      <c r="CA150" s="5">
        <f t="shared" si="48"/>
        <v>44272</v>
      </c>
      <c r="CB150">
        <v>76</v>
      </c>
      <c r="CC150" s="7">
        <v>6</v>
      </c>
      <c r="CE150">
        <f t="shared" si="49"/>
        <v>1.3739894875972092</v>
      </c>
      <c r="CF150">
        <f t="shared" si="50"/>
        <v>1.8058342336780369</v>
      </c>
      <c r="CG150">
        <f t="shared" si="58"/>
        <v>1.8311005383748594E-2</v>
      </c>
      <c r="CH150">
        <f t="shared" si="59"/>
        <v>4.4530309748527275</v>
      </c>
      <c r="CI150">
        <f t="shared" si="53"/>
        <v>0.12431776834445166</v>
      </c>
      <c r="CJ150" s="1">
        <f t="shared" si="54"/>
        <v>0.12431776834445166</v>
      </c>
      <c r="CK150" s="7" t="s">
        <v>142</v>
      </c>
      <c r="CL150" s="7">
        <v>2</v>
      </c>
      <c r="CM150" s="7"/>
      <c r="CN150" s="7"/>
      <c r="CO150" s="7"/>
      <c r="CP150" s="7"/>
    </row>
    <row r="151" spans="1:99" ht="32" x14ac:dyDescent="0.2">
      <c r="A151" s="7" t="s">
        <v>666</v>
      </c>
      <c r="B151" s="7" t="s">
        <v>46</v>
      </c>
      <c r="C151" t="str">
        <f t="shared" si="44"/>
        <v>I</v>
      </c>
      <c r="D151" t="str">
        <f t="shared" si="45"/>
        <v>I</v>
      </c>
      <c r="E151" t="str">
        <f t="shared" si="46"/>
        <v>G</v>
      </c>
      <c r="F151" s="7">
        <v>92</v>
      </c>
      <c r="G151" s="7">
        <v>87</v>
      </c>
      <c r="H151" s="7">
        <v>13.771000000000001</v>
      </c>
      <c r="I151" s="7">
        <v>0.30599999999999999</v>
      </c>
      <c r="J151" s="7">
        <v>2.5999999999999999E-2</v>
      </c>
      <c r="K151" s="7" t="s">
        <v>38</v>
      </c>
      <c r="L151" t="str">
        <f t="shared" si="47"/>
        <v>M</v>
      </c>
      <c r="M151">
        <v>22</v>
      </c>
      <c r="N151" s="7">
        <v>0.90200000000000002</v>
      </c>
      <c r="O151" s="7">
        <v>0.753</v>
      </c>
      <c r="P151" s="7" t="s">
        <v>685</v>
      </c>
      <c r="Q151" t="str">
        <f t="shared" si="43"/>
        <v>F</v>
      </c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>
        <v>1</v>
      </c>
      <c r="AY151" s="7">
        <v>1.7000000000000001E-2</v>
      </c>
      <c r="AZ151" s="7">
        <v>1</v>
      </c>
      <c r="BA151" s="7">
        <v>0.01</v>
      </c>
      <c r="BB151" s="7">
        <v>1</v>
      </c>
      <c r="BC151" s="7">
        <v>0.08</v>
      </c>
      <c r="BD151" s="7"/>
      <c r="BE151" s="7"/>
      <c r="BF151" s="7"/>
      <c r="BG151" s="7"/>
      <c r="BH151" s="7"/>
      <c r="BI151" s="7"/>
      <c r="BJ151" s="7"/>
      <c r="BK151" s="7"/>
      <c r="BL151" s="7"/>
      <c r="BM151" s="7"/>
      <c r="BN151" s="7"/>
      <c r="BO151" s="7"/>
      <c r="BP151" s="7"/>
      <c r="BQ151" s="7"/>
      <c r="BR151" s="7"/>
      <c r="BS151" s="7"/>
      <c r="BT151" s="7"/>
      <c r="BU151" s="7"/>
      <c r="BV151" s="7">
        <v>3.5000000000000003E-2</v>
      </c>
      <c r="BW151" t="s">
        <v>700</v>
      </c>
      <c r="BX151" t="str">
        <f t="shared" si="55"/>
        <v>17</v>
      </c>
      <c r="BY151" t="str">
        <f t="shared" si="56"/>
        <v>3</v>
      </c>
      <c r="BZ151" t="str">
        <f t="shared" si="57"/>
        <v>2021</v>
      </c>
      <c r="CA151" s="5">
        <f t="shared" si="48"/>
        <v>44272</v>
      </c>
      <c r="CB151">
        <v>76</v>
      </c>
      <c r="CC151" s="7">
        <v>6</v>
      </c>
      <c r="CE151">
        <f t="shared" si="49"/>
        <v>0.18915969443433975</v>
      </c>
      <c r="CF151">
        <f t="shared" si="50"/>
        <v>2.2725584849610097</v>
      </c>
      <c r="CG151">
        <f t="shared" si="58"/>
        <v>2.2769551305900734E-2</v>
      </c>
      <c r="CH151">
        <f t="shared" si="59"/>
        <v>5.7842986633891531</v>
      </c>
      <c r="CI151">
        <f t="shared" si="53"/>
        <v>1.0819838791663643</v>
      </c>
      <c r="CJ151" s="1">
        <f t="shared" si="54"/>
        <v>1.3361411662188658</v>
      </c>
      <c r="CK151" s="7" t="s">
        <v>142</v>
      </c>
      <c r="CL151" s="7">
        <v>2</v>
      </c>
      <c r="CM151" s="7"/>
      <c r="CN151" s="7"/>
      <c r="CO151" s="7"/>
      <c r="CP151" s="7"/>
    </row>
    <row r="152" spans="1:99" x14ac:dyDescent="0.2">
      <c r="A152" s="7" t="s">
        <v>667</v>
      </c>
      <c r="B152" s="7" t="s">
        <v>46</v>
      </c>
      <c r="C152" t="str">
        <f t="shared" si="44"/>
        <v>I</v>
      </c>
      <c r="D152" t="str">
        <f t="shared" si="45"/>
        <v>I</v>
      </c>
      <c r="E152" t="str">
        <f t="shared" si="46"/>
        <v>G</v>
      </c>
      <c r="F152" s="7">
        <v>89</v>
      </c>
      <c r="G152" s="7">
        <v>85</v>
      </c>
      <c r="H152" s="7">
        <v>12.061</v>
      </c>
      <c r="I152" s="7">
        <v>0.28199999999999997</v>
      </c>
      <c r="J152" s="7">
        <v>0.187</v>
      </c>
      <c r="K152" s="7" t="s">
        <v>24</v>
      </c>
      <c r="L152" t="str">
        <f t="shared" si="47"/>
        <v>F</v>
      </c>
      <c r="M152">
        <v>22</v>
      </c>
      <c r="N152" s="7">
        <v>0.46300000000000002</v>
      </c>
      <c r="O152" s="7">
        <v>0.40699999999999997</v>
      </c>
      <c r="P152" s="7" t="s">
        <v>686</v>
      </c>
      <c r="Q152" t="str">
        <f t="shared" si="43"/>
        <v>F</v>
      </c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>
        <v>8</v>
      </c>
      <c r="AW152" s="7">
        <v>3.3000000000000002E-2</v>
      </c>
      <c r="AX152" s="7"/>
      <c r="AY152" s="7"/>
      <c r="AZ152" s="7"/>
      <c r="BA152" s="7"/>
      <c r="BB152" s="7"/>
      <c r="BC152" s="7"/>
      <c r="BD152" s="7"/>
      <c r="BE152" s="7"/>
      <c r="BF152" s="7"/>
      <c r="BG152" s="7"/>
      <c r="BH152" s="7"/>
      <c r="BI152" s="7"/>
      <c r="BJ152" s="7"/>
      <c r="BK152" s="7"/>
      <c r="BL152" s="7"/>
      <c r="BM152" s="7"/>
      <c r="BN152" s="7"/>
      <c r="BO152" s="7"/>
      <c r="BP152" s="7"/>
      <c r="BQ152" s="7"/>
      <c r="BR152" s="7"/>
      <c r="BS152" s="7"/>
      <c r="BT152" s="7"/>
      <c r="BU152" s="7"/>
      <c r="BV152" s="7">
        <v>3.3000000000000002E-2</v>
      </c>
      <c r="BW152" t="s">
        <v>700</v>
      </c>
      <c r="BX152" t="str">
        <f t="shared" si="55"/>
        <v>17</v>
      </c>
      <c r="BY152" t="str">
        <f t="shared" si="56"/>
        <v>3</v>
      </c>
      <c r="BZ152" t="str">
        <f t="shared" si="57"/>
        <v>2021</v>
      </c>
      <c r="CA152" s="5">
        <f t="shared" si="48"/>
        <v>44272</v>
      </c>
      <c r="CB152">
        <v>76</v>
      </c>
      <c r="CC152" s="7">
        <v>6</v>
      </c>
      <c r="CE152">
        <f t="shared" si="49"/>
        <v>1.5748694626915951</v>
      </c>
      <c r="CF152">
        <f t="shared" si="50"/>
        <v>2.3940911792172508</v>
      </c>
      <c r="CG152">
        <f t="shared" si="58"/>
        <v>2.4327122153209105E-2</v>
      </c>
      <c r="CH152">
        <f t="shared" si="59"/>
        <v>3.4923631371203014</v>
      </c>
      <c r="CI152">
        <f t="shared" si="53"/>
        <v>0.46430644225188666</v>
      </c>
      <c r="CJ152" s="1">
        <f t="shared" si="54"/>
        <v>0.73791559572174825</v>
      </c>
      <c r="CK152" s="7" t="s">
        <v>142</v>
      </c>
      <c r="CL152" s="7">
        <v>1</v>
      </c>
      <c r="CM152" s="7"/>
      <c r="CN152" s="7"/>
      <c r="CO152" s="7"/>
      <c r="CP152" s="7"/>
    </row>
    <row r="153" spans="1:99" x14ac:dyDescent="0.2">
      <c r="A153" s="7" t="s">
        <v>668</v>
      </c>
      <c r="B153" s="7" t="s">
        <v>46</v>
      </c>
      <c r="C153" t="str">
        <f t="shared" si="44"/>
        <v>I</v>
      </c>
      <c r="D153" t="str">
        <f t="shared" si="45"/>
        <v>I</v>
      </c>
      <c r="E153" t="str">
        <f t="shared" si="46"/>
        <v>G</v>
      </c>
      <c r="F153" s="7">
        <v>99</v>
      </c>
      <c r="G153" s="7">
        <v>93</v>
      </c>
      <c r="H153" s="7">
        <v>15.602</v>
      </c>
      <c r="I153" s="7">
        <v>0.33800000000000002</v>
      </c>
      <c r="J153" s="7">
        <v>2.1999999999999999E-2</v>
      </c>
      <c r="K153" s="7" t="s">
        <v>38</v>
      </c>
      <c r="L153" t="str">
        <f t="shared" si="47"/>
        <v>M</v>
      </c>
      <c r="M153">
        <v>22</v>
      </c>
      <c r="N153" s="7">
        <v>1.4019999999999999</v>
      </c>
      <c r="O153" s="7">
        <v>1.0049999999999999</v>
      </c>
      <c r="P153" s="7" t="s">
        <v>687</v>
      </c>
      <c r="Q153" t="str">
        <f t="shared" si="43"/>
        <v>F</v>
      </c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>
        <v>2</v>
      </c>
      <c r="AQ153" s="7">
        <v>4.5999999999999999E-2</v>
      </c>
      <c r="AR153" s="7"/>
      <c r="AS153" s="7"/>
      <c r="AT153" s="7"/>
      <c r="AU153" s="7"/>
      <c r="AV153" s="7"/>
      <c r="AW153" s="7"/>
      <c r="AX153" s="7">
        <v>2</v>
      </c>
      <c r="AY153" s="7">
        <v>0.11</v>
      </c>
      <c r="AZ153" s="7"/>
      <c r="BA153" s="7"/>
      <c r="BB153" s="7"/>
      <c r="BC153" s="7"/>
      <c r="BD153" s="7"/>
      <c r="BE153" s="7"/>
      <c r="BF153" s="7"/>
      <c r="BG153" s="7"/>
      <c r="BH153" s="7"/>
      <c r="BI153" s="7"/>
      <c r="BJ153" s="7"/>
      <c r="BK153" s="7"/>
      <c r="BL153" s="7"/>
      <c r="BM153" s="7"/>
      <c r="BN153" s="7"/>
      <c r="BO153" s="7"/>
      <c r="BP153" s="7"/>
      <c r="BQ153" s="7"/>
      <c r="BR153" s="7"/>
      <c r="BS153" s="7"/>
      <c r="BT153" s="7"/>
      <c r="BU153" s="7"/>
      <c r="BV153" s="7">
        <v>0.156</v>
      </c>
      <c r="BW153" t="s">
        <v>700</v>
      </c>
      <c r="BX153" t="str">
        <f t="shared" si="55"/>
        <v>17</v>
      </c>
      <c r="BY153" t="str">
        <f t="shared" si="56"/>
        <v>3</v>
      </c>
      <c r="BZ153" t="str">
        <f t="shared" si="57"/>
        <v>2021</v>
      </c>
      <c r="CA153" s="5">
        <f t="shared" si="48"/>
        <v>44272</v>
      </c>
      <c r="CB153">
        <v>76</v>
      </c>
      <c r="CC153" s="7">
        <v>6</v>
      </c>
      <c r="CE153">
        <f t="shared" si="49"/>
        <v>0.14120667522464697</v>
      </c>
      <c r="CF153">
        <f t="shared" si="50"/>
        <v>2.2143605870020964</v>
      </c>
      <c r="CG153">
        <f t="shared" si="58"/>
        <v>2.2175567510825351E-2</v>
      </c>
      <c r="CH153">
        <f t="shared" si="59"/>
        <v>6.8849763650065068</v>
      </c>
      <c r="CI153">
        <f t="shared" si="53"/>
        <v>2.5445455710806311</v>
      </c>
      <c r="CJ153" s="1">
        <f t="shared" si="54"/>
        <v>3.5444173823868739</v>
      </c>
      <c r="CK153" s="7" t="s">
        <v>142</v>
      </c>
      <c r="CL153" s="7">
        <v>3</v>
      </c>
      <c r="CM153" s="7"/>
      <c r="CN153" s="7"/>
      <c r="CO153" s="7"/>
      <c r="CP153" s="7"/>
    </row>
    <row r="154" spans="1:99" ht="32" x14ac:dyDescent="0.2">
      <c r="A154" s="7" t="s">
        <v>669</v>
      </c>
      <c r="B154" s="7" t="s">
        <v>46</v>
      </c>
      <c r="C154" t="str">
        <f t="shared" si="44"/>
        <v>I</v>
      </c>
      <c r="D154" t="str">
        <f t="shared" si="45"/>
        <v>I</v>
      </c>
      <c r="E154" t="str">
        <f t="shared" si="46"/>
        <v>G</v>
      </c>
      <c r="F154" s="7">
        <v>91</v>
      </c>
      <c r="G154" s="7">
        <v>86</v>
      </c>
      <c r="H154" s="7">
        <v>13.385</v>
      </c>
      <c r="I154" s="7">
        <v>0.32900000000000001</v>
      </c>
      <c r="J154" s="7">
        <v>1.7999999999999999E-2</v>
      </c>
      <c r="K154" s="7" t="s">
        <v>38</v>
      </c>
      <c r="L154" t="str">
        <f t="shared" si="47"/>
        <v>M</v>
      </c>
      <c r="M154">
        <v>22</v>
      </c>
      <c r="N154" s="7">
        <v>1.252</v>
      </c>
      <c r="O154" s="7">
        <v>0.60799999999999998</v>
      </c>
      <c r="P154" s="7" t="s">
        <v>688</v>
      </c>
      <c r="Q154" t="str">
        <f t="shared" si="43"/>
        <v>F</v>
      </c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>
        <v>1</v>
      </c>
      <c r="AQ154" s="7">
        <v>3.5999999999999997E-2</v>
      </c>
      <c r="AR154" s="7"/>
      <c r="AS154" s="7"/>
      <c r="AT154" s="7"/>
      <c r="AU154" s="7"/>
      <c r="AV154" s="7">
        <v>25</v>
      </c>
      <c r="AW154" s="7">
        <v>0.11700000000000001</v>
      </c>
      <c r="AX154" s="7"/>
      <c r="AY154" s="7"/>
      <c r="AZ154" s="7"/>
      <c r="BA154" s="7"/>
      <c r="BB154" s="7"/>
      <c r="BC154" s="7"/>
      <c r="BD154" s="7"/>
      <c r="BE154" s="7"/>
      <c r="BF154" s="7"/>
      <c r="BG154" s="7"/>
      <c r="BH154" s="7">
        <v>3</v>
      </c>
      <c r="BI154" s="7">
        <v>0.36599999999999999</v>
      </c>
      <c r="BJ154" s="7"/>
      <c r="BK154" s="7"/>
      <c r="BL154" s="7"/>
      <c r="BM154" s="7"/>
      <c r="BN154" s="7"/>
      <c r="BO154" s="7"/>
      <c r="BP154" s="7"/>
      <c r="BQ154" s="7"/>
      <c r="BR154" s="7"/>
      <c r="BS154" s="7"/>
      <c r="BT154" s="7"/>
      <c r="BU154" s="7"/>
      <c r="BV154">
        <f>0.366+0.117+0.036</f>
        <v>0.51900000000000002</v>
      </c>
      <c r="BW154" t="s">
        <v>700</v>
      </c>
      <c r="BX154" t="str">
        <f t="shared" si="55"/>
        <v>17</v>
      </c>
      <c r="BY154" t="str">
        <f t="shared" si="56"/>
        <v>3</v>
      </c>
      <c r="BZ154" t="str">
        <f t="shared" si="57"/>
        <v>2021</v>
      </c>
      <c r="CA154" s="5">
        <f t="shared" si="48"/>
        <v>44272</v>
      </c>
      <c r="CB154">
        <v>76</v>
      </c>
      <c r="CC154" s="7">
        <v>6</v>
      </c>
      <c r="CE154">
        <f t="shared" si="49"/>
        <v>0.13465998354155756</v>
      </c>
      <c r="CF154">
        <f t="shared" si="50"/>
        <v>2.519914215686275</v>
      </c>
      <c r="CG154">
        <f t="shared" si="58"/>
        <v>2.523393158459887E-2</v>
      </c>
      <c r="CH154">
        <f t="shared" si="59"/>
        <v>4.7585505204664633</v>
      </c>
      <c r="CI154">
        <f t="shared" si="53"/>
        <v>4.8113559955173706</v>
      </c>
      <c r="CJ154" s="1">
        <f t="shared" si="54"/>
        <v>8.6888307807246914</v>
      </c>
      <c r="CK154" s="7" t="s">
        <v>142</v>
      </c>
      <c r="CL154" s="7">
        <v>1</v>
      </c>
      <c r="CM154" s="7"/>
      <c r="CN154" s="7"/>
      <c r="CO154" s="7"/>
      <c r="CP154" s="7"/>
    </row>
    <row r="155" spans="1:99" ht="48" x14ac:dyDescent="0.2">
      <c r="A155" s="7" t="s">
        <v>670</v>
      </c>
      <c r="B155" s="7" t="s">
        <v>46</v>
      </c>
      <c r="C155" t="str">
        <f t="shared" si="44"/>
        <v>I</v>
      </c>
      <c r="D155" t="str">
        <f t="shared" si="45"/>
        <v>I</v>
      </c>
      <c r="E155" t="str">
        <f t="shared" si="46"/>
        <v>G</v>
      </c>
      <c r="F155" s="7">
        <v>88</v>
      </c>
      <c r="G155" s="7">
        <v>83</v>
      </c>
      <c r="H155" s="7">
        <v>12.167999999999999</v>
      </c>
      <c r="I155" s="7">
        <v>0.315</v>
      </c>
      <c r="J155" s="7">
        <v>0.193</v>
      </c>
      <c r="K155" s="7" t="s">
        <v>24</v>
      </c>
      <c r="L155" t="str">
        <f t="shared" si="47"/>
        <v>F</v>
      </c>
      <c r="M155">
        <v>22</v>
      </c>
      <c r="N155" s="7">
        <v>0.96699999999999997</v>
      </c>
      <c r="O155" s="7">
        <v>0.60699999999999998</v>
      </c>
      <c r="P155" s="7" t="s">
        <v>689</v>
      </c>
      <c r="Q155" t="str">
        <f t="shared" si="43"/>
        <v>F</v>
      </c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>
        <v>1</v>
      </c>
      <c r="AS155" s="7">
        <v>2.1000000000000001E-2</v>
      </c>
      <c r="AT155" s="7"/>
      <c r="AU155" s="7"/>
      <c r="AV155" s="7"/>
      <c r="AW155" s="7"/>
      <c r="AX155" s="7">
        <v>3</v>
      </c>
      <c r="AY155" s="7">
        <v>8.3000000000000004E-2</v>
      </c>
      <c r="AZ155" s="7"/>
      <c r="BA155" s="7"/>
      <c r="BB155" s="7"/>
      <c r="BC155" s="7"/>
      <c r="BD155" s="7"/>
      <c r="BE155" s="7"/>
      <c r="BF155" s="7"/>
      <c r="BG155" s="7"/>
      <c r="BH155" s="7">
        <v>1</v>
      </c>
      <c r="BI155" s="7">
        <v>0.16200000000000001</v>
      </c>
      <c r="BJ155" s="7"/>
      <c r="BK155" s="7"/>
      <c r="BL155" s="7"/>
      <c r="BM155" s="7"/>
      <c r="BN155" s="7"/>
      <c r="BO155" s="7"/>
      <c r="BP155" s="7"/>
      <c r="BQ155" s="7"/>
      <c r="BR155" s="7"/>
      <c r="BS155" s="7"/>
      <c r="BT155" s="7"/>
      <c r="BU155" s="7"/>
      <c r="BV155">
        <f>0.021+0.162+0.083</f>
        <v>0.26600000000000001</v>
      </c>
      <c r="BW155" t="s">
        <v>700</v>
      </c>
      <c r="BX155" t="str">
        <f t="shared" si="55"/>
        <v>17</v>
      </c>
      <c r="BY155" t="str">
        <f t="shared" si="56"/>
        <v>3</v>
      </c>
      <c r="BZ155" t="str">
        <f t="shared" si="57"/>
        <v>2021</v>
      </c>
      <c r="CA155" s="5">
        <f t="shared" si="48"/>
        <v>44272</v>
      </c>
      <c r="CB155">
        <v>76</v>
      </c>
      <c r="CC155" s="7">
        <v>6</v>
      </c>
      <c r="CE155">
        <f t="shared" si="49"/>
        <v>1.6116910229645096</v>
      </c>
      <c r="CF155">
        <f t="shared" si="50"/>
        <v>2.6575550493545941</v>
      </c>
      <c r="CG155">
        <f t="shared" si="58"/>
        <v>2.7015437392795882E-2</v>
      </c>
      <c r="CH155">
        <f t="shared" si="59"/>
        <v>5.2504108641121015</v>
      </c>
      <c r="CI155">
        <f t="shared" si="53"/>
        <v>2.9585798816568047</v>
      </c>
      <c r="CJ155" s="1">
        <f t="shared" si="54"/>
        <v>5.144641683103222</v>
      </c>
      <c r="CK155" s="7" t="s">
        <v>142</v>
      </c>
      <c r="CL155" s="7">
        <v>1</v>
      </c>
      <c r="CM155" s="7">
        <v>1</v>
      </c>
      <c r="CN155" s="7">
        <v>0</v>
      </c>
      <c r="CO155" s="7">
        <v>4</v>
      </c>
      <c r="CP155" s="7">
        <v>0</v>
      </c>
      <c r="CQ155" s="12">
        <v>5.4699999999999999E-2</v>
      </c>
      <c r="CR155">
        <f>CQ155/(H155-I155-J155-N155)*1000</f>
        <v>5.1154961189563259</v>
      </c>
      <c r="CS155">
        <v>7.5430000000000001</v>
      </c>
      <c r="CT155">
        <v>74.216019500564684</v>
      </c>
      <c r="CU155">
        <v>95.860219033434007</v>
      </c>
    </row>
    <row r="156" spans="1:99" ht="48" x14ac:dyDescent="0.2">
      <c r="A156" s="7" t="s">
        <v>671</v>
      </c>
      <c r="B156" s="7" t="s">
        <v>46</v>
      </c>
      <c r="C156" t="str">
        <f t="shared" si="44"/>
        <v>I</v>
      </c>
      <c r="D156" t="str">
        <f t="shared" si="45"/>
        <v>S</v>
      </c>
      <c r="E156" t="str">
        <f t="shared" si="46"/>
        <v>G</v>
      </c>
      <c r="F156" s="7">
        <v>81</v>
      </c>
      <c r="G156" s="7">
        <v>76</v>
      </c>
      <c r="H156" s="7">
        <v>9.0909999999999993</v>
      </c>
      <c r="I156" s="7">
        <v>0.27</v>
      </c>
      <c r="J156" s="7">
        <v>0.13700000000000001</v>
      </c>
      <c r="K156" s="7" t="s">
        <v>24</v>
      </c>
      <c r="L156" t="str">
        <f t="shared" si="47"/>
        <v>F</v>
      </c>
      <c r="M156">
        <v>22</v>
      </c>
      <c r="N156" s="7">
        <v>0.9</v>
      </c>
      <c r="O156" s="7">
        <v>0.56499999999999995</v>
      </c>
      <c r="P156" s="7" t="s">
        <v>690</v>
      </c>
      <c r="Q156" t="str">
        <f t="shared" si="43"/>
        <v>F</v>
      </c>
      <c r="R156" s="7"/>
      <c r="S156" s="7"/>
      <c r="T156" s="7"/>
      <c r="U156" s="7">
        <v>0.02</v>
      </c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>
        <v>2</v>
      </c>
      <c r="AS156" s="7">
        <v>4.2000000000000003E-2</v>
      </c>
      <c r="AT156" s="7"/>
      <c r="AU156" s="7"/>
      <c r="AV156" s="7">
        <v>8</v>
      </c>
      <c r="AW156" s="7">
        <v>4.9000000000000002E-2</v>
      </c>
      <c r="AX156" s="7">
        <v>1</v>
      </c>
      <c r="AY156" s="7">
        <v>3.5999999999999997E-2</v>
      </c>
      <c r="AZ156" s="7"/>
      <c r="BA156" s="7"/>
      <c r="BB156" s="7"/>
      <c r="BC156" s="7"/>
      <c r="BD156" s="7"/>
      <c r="BE156" s="7"/>
      <c r="BF156" s="7"/>
      <c r="BG156" s="7"/>
      <c r="BH156" s="7"/>
      <c r="BI156" s="7"/>
      <c r="BJ156" s="7"/>
      <c r="BK156" s="7"/>
      <c r="BL156" s="7"/>
      <c r="BM156" s="7"/>
      <c r="BN156" s="7"/>
      <c r="BO156" s="7"/>
      <c r="BP156" s="7"/>
      <c r="BQ156" s="7"/>
      <c r="BR156" s="7"/>
      <c r="BS156" s="7"/>
      <c r="BT156" s="7"/>
      <c r="BU156" s="7"/>
      <c r="BV156">
        <f>0.049+0.042+0.036+0.02</f>
        <v>0.14699999999999999</v>
      </c>
      <c r="BW156" t="s">
        <v>700</v>
      </c>
      <c r="BX156" t="str">
        <f t="shared" si="55"/>
        <v>17</v>
      </c>
      <c r="BY156" t="str">
        <f t="shared" si="56"/>
        <v>3</v>
      </c>
      <c r="BZ156" t="str">
        <f t="shared" si="57"/>
        <v>2021</v>
      </c>
      <c r="CA156" s="5">
        <f t="shared" si="48"/>
        <v>44272</v>
      </c>
      <c r="CB156">
        <v>76</v>
      </c>
      <c r="CC156" s="7">
        <v>6</v>
      </c>
      <c r="CE156">
        <f t="shared" si="49"/>
        <v>1.5300424391333485</v>
      </c>
      <c r="CF156">
        <f t="shared" si="50"/>
        <v>3.0608774515361072</v>
      </c>
      <c r="CG156">
        <f t="shared" si="58"/>
        <v>3.109166282818978E-2</v>
      </c>
      <c r="CH156">
        <f t="shared" si="59"/>
        <v>6.6267886464930799</v>
      </c>
      <c r="CI156">
        <f t="shared" si="53"/>
        <v>3.6849631503684979</v>
      </c>
      <c r="CJ156" s="1">
        <f t="shared" si="54"/>
        <v>5.3019469805301966</v>
      </c>
      <c r="CK156" s="7" t="s">
        <v>142</v>
      </c>
      <c r="CL156" s="7">
        <v>1</v>
      </c>
      <c r="CM156" s="7"/>
      <c r="CN156" s="7"/>
      <c r="CO156" s="7"/>
      <c r="CP156" s="7"/>
    </row>
    <row r="157" spans="1:99" ht="32" x14ac:dyDescent="0.2">
      <c r="A157" s="7" t="s">
        <v>672</v>
      </c>
      <c r="B157" s="7" t="s">
        <v>46</v>
      </c>
      <c r="C157" t="str">
        <f t="shared" si="44"/>
        <v>I</v>
      </c>
      <c r="D157" t="str">
        <f t="shared" si="45"/>
        <v>S</v>
      </c>
      <c r="E157" t="str">
        <f t="shared" si="46"/>
        <v>G</v>
      </c>
      <c r="F157" s="7">
        <v>79</v>
      </c>
      <c r="G157" s="7">
        <v>76</v>
      </c>
      <c r="H157" s="7">
        <v>8.2810000000000006</v>
      </c>
      <c r="I157" s="7">
        <v>0.16</v>
      </c>
      <c r="J157" s="7">
        <v>0.13200000000000001</v>
      </c>
      <c r="K157" s="7" t="s">
        <v>24</v>
      </c>
      <c r="L157" t="str">
        <f t="shared" si="47"/>
        <v>F</v>
      </c>
      <c r="M157">
        <v>22</v>
      </c>
      <c r="N157" s="7">
        <v>0.83399999999999996</v>
      </c>
      <c r="O157" s="7">
        <v>0.39200000000000002</v>
      </c>
      <c r="P157" s="7" t="s">
        <v>691</v>
      </c>
      <c r="Q157" t="str">
        <f t="shared" si="43"/>
        <v>F</v>
      </c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>
        <v>41</v>
      </c>
      <c r="AW157" s="7">
        <v>0.28599999999999998</v>
      </c>
      <c r="AX157" s="7">
        <v>1</v>
      </c>
      <c r="AY157" s="7">
        <v>2.1000000000000001E-2</v>
      </c>
      <c r="AZ157" s="7"/>
      <c r="BA157" s="7"/>
      <c r="BB157" s="7"/>
      <c r="BC157" s="7"/>
      <c r="BD157" s="7"/>
      <c r="BE157" s="7"/>
      <c r="BF157" s="7"/>
      <c r="BG157" s="7"/>
      <c r="BH157" s="7"/>
      <c r="BI157" s="7"/>
      <c r="BJ157" s="7"/>
      <c r="BK157" s="7"/>
      <c r="BL157" s="7"/>
      <c r="BM157" s="7"/>
      <c r="BN157" s="7"/>
      <c r="BO157" s="7"/>
      <c r="BP157" s="7"/>
      <c r="BQ157" s="7"/>
      <c r="BR157" s="7"/>
      <c r="BS157" s="7"/>
      <c r="BT157" s="7"/>
      <c r="BU157" s="7"/>
      <c r="BV157">
        <f>0.286+0.021</f>
        <v>0.307</v>
      </c>
      <c r="BW157" t="s">
        <v>700</v>
      </c>
      <c r="BX157" t="str">
        <f t="shared" si="55"/>
        <v>17</v>
      </c>
      <c r="BY157" t="str">
        <f t="shared" si="56"/>
        <v>3</v>
      </c>
      <c r="BZ157" t="str">
        <f t="shared" si="57"/>
        <v>2021</v>
      </c>
      <c r="CA157" s="5">
        <f t="shared" si="48"/>
        <v>44272</v>
      </c>
      <c r="CB157">
        <v>76</v>
      </c>
      <c r="CC157" s="7">
        <v>6</v>
      </c>
      <c r="CE157">
        <f t="shared" si="49"/>
        <v>1.6198306540679837</v>
      </c>
      <c r="CF157">
        <f t="shared" si="50"/>
        <v>1.9702007141977589</v>
      </c>
      <c r="CG157">
        <f t="shared" si="58"/>
        <v>2.0027537864563773E-2</v>
      </c>
      <c r="CH157">
        <f t="shared" si="59"/>
        <v>4.9689440993788825</v>
      </c>
      <c r="CI157">
        <f t="shared" si="53"/>
        <v>5.3375196232339075</v>
      </c>
      <c r="CJ157" s="1">
        <f t="shared" si="54"/>
        <v>9.0448013524936588</v>
      </c>
      <c r="CK157" s="7" t="s">
        <v>142</v>
      </c>
      <c r="CL157" s="7">
        <v>1</v>
      </c>
      <c r="CM157" s="7"/>
      <c r="CN157" s="7"/>
      <c r="CO157" s="7"/>
      <c r="CP157" s="7"/>
    </row>
    <row r="158" spans="1:99" ht="48" x14ac:dyDescent="0.2">
      <c r="A158" s="7" t="s">
        <v>673</v>
      </c>
      <c r="B158" s="7" t="s">
        <v>46</v>
      </c>
      <c r="C158" t="str">
        <f t="shared" si="44"/>
        <v>I</v>
      </c>
      <c r="D158" t="str">
        <f t="shared" si="45"/>
        <v>S</v>
      </c>
      <c r="E158" t="str">
        <f t="shared" si="46"/>
        <v>G</v>
      </c>
      <c r="F158" s="7">
        <v>80</v>
      </c>
      <c r="G158" s="7">
        <v>76</v>
      </c>
      <c r="H158" s="7">
        <v>8.2639999999999993</v>
      </c>
      <c r="I158" s="7">
        <v>0.219</v>
      </c>
      <c r="J158" s="7">
        <v>1.2E-2</v>
      </c>
      <c r="K158" s="7" t="s">
        <v>38</v>
      </c>
      <c r="L158" t="str">
        <f t="shared" si="47"/>
        <v>M</v>
      </c>
      <c r="M158">
        <v>22</v>
      </c>
      <c r="N158" s="7">
        <v>0.82199999999999995</v>
      </c>
      <c r="O158" s="7">
        <v>0.43</v>
      </c>
      <c r="P158" s="7" t="s">
        <v>692</v>
      </c>
      <c r="Q158" t="str">
        <f t="shared" si="43"/>
        <v>F</v>
      </c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>
        <v>16</v>
      </c>
      <c r="AW158" s="7">
        <v>0.106</v>
      </c>
      <c r="AX158" s="7"/>
      <c r="AY158" s="7"/>
      <c r="AZ158" s="7">
        <v>1</v>
      </c>
      <c r="BA158" s="7">
        <v>3.5000000000000003E-2</v>
      </c>
      <c r="BB158" s="7"/>
      <c r="BC158" s="7"/>
      <c r="BD158" s="7"/>
      <c r="BE158" s="7"/>
      <c r="BF158" s="7"/>
      <c r="BG158" s="7"/>
      <c r="BH158" s="7">
        <v>1</v>
      </c>
      <c r="BI158" s="7">
        <v>0.04</v>
      </c>
      <c r="BJ158" s="7"/>
      <c r="BK158" s="7"/>
      <c r="BL158" s="7"/>
      <c r="BM158" s="7"/>
      <c r="BN158" s="7"/>
      <c r="BO158" s="7"/>
      <c r="BP158" s="7"/>
      <c r="BQ158" s="7"/>
      <c r="BR158" s="7"/>
      <c r="BS158" s="7"/>
      <c r="BT158" s="7"/>
      <c r="BU158" s="7"/>
      <c r="BV158">
        <f>0.106+0.04+0.035</f>
        <v>0.18099999999999999</v>
      </c>
      <c r="BW158" t="s">
        <v>700</v>
      </c>
      <c r="BX158" t="str">
        <f t="shared" si="55"/>
        <v>17</v>
      </c>
      <c r="BY158" t="str">
        <f t="shared" si="56"/>
        <v>3</v>
      </c>
      <c r="BZ158" t="str">
        <f t="shared" si="57"/>
        <v>2021</v>
      </c>
      <c r="CA158" s="5">
        <f t="shared" si="48"/>
        <v>44272</v>
      </c>
      <c r="CB158">
        <v>76</v>
      </c>
      <c r="CC158" s="7">
        <v>6</v>
      </c>
      <c r="CE158">
        <f t="shared" si="49"/>
        <v>0.14541929229277753</v>
      </c>
      <c r="CF158">
        <f t="shared" si="50"/>
        <v>2.7221876942200125</v>
      </c>
      <c r="CG158">
        <f t="shared" si="58"/>
        <v>2.7262542014191461E-2</v>
      </c>
      <c r="CH158">
        <f t="shared" si="59"/>
        <v>5.4888945621649219</v>
      </c>
      <c r="CI158">
        <f t="shared" si="53"/>
        <v>4.7434656340755081</v>
      </c>
      <c r="CJ158" s="1">
        <f t="shared" si="54"/>
        <v>6.9336882865440455</v>
      </c>
      <c r="CK158" s="7" t="s">
        <v>142</v>
      </c>
      <c r="CL158" s="7">
        <v>2</v>
      </c>
      <c r="CM158" s="7"/>
      <c r="CN158" s="7"/>
      <c r="CO158" s="7"/>
      <c r="CP158" s="7"/>
    </row>
    <row r="159" spans="1:99" ht="32" x14ac:dyDescent="0.2">
      <c r="A159" s="7" t="s">
        <v>674</v>
      </c>
      <c r="B159" s="7" t="s">
        <v>46</v>
      </c>
      <c r="C159" t="str">
        <f t="shared" si="44"/>
        <v>I</v>
      </c>
      <c r="D159" t="str">
        <f t="shared" si="45"/>
        <v>I</v>
      </c>
      <c r="E159" t="str">
        <f t="shared" si="46"/>
        <v>G</v>
      </c>
      <c r="F159" s="7">
        <v>87</v>
      </c>
      <c r="G159" s="7">
        <v>82</v>
      </c>
      <c r="H159" s="7">
        <v>10.629</v>
      </c>
      <c r="I159" s="7">
        <v>0.247</v>
      </c>
      <c r="J159" s="7">
        <v>0.16800000000000001</v>
      </c>
      <c r="K159" s="7" t="s">
        <v>24</v>
      </c>
      <c r="L159" t="str">
        <f t="shared" si="47"/>
        <v>F</v>
      </c>
      <c r="M159">
        <v>22</v>
      </c>
      <c r="N159" s="7">
        <v>0.74299999999999999</v>
      </c>
      <c r="O159" s="7">
        <v>0.40200000000000002</v>
      </c>
      <c r="P159" s="7" t="s">
        <v>693</v>
      </c>
      <c r="Q159" t="str">
        <f t="shared" si="43"/>
        <v>F</v>
      </c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>
        <v>2</v>
      </c>
      <c r="AS159" s="7">
        <v>3.5999999999999997E-2</v>
      </c>
      <c r="AT159" s="7"/>
      <c r="AU159" s="7"/>
      <c r="AV159" s="7">
        <v>32</v>
      </c>
      <c r="AW159" s="7">
        <v>0.17</v>
      </c>
      <c r="AX159" s="7"/>
      <c r="AY159" s="7"/>
      <c r="AZ159" s="7"/>
      <c r="BA159" s="7"/>
      <c r="BB159" s="7"/>
      <c r="BC159" s="7"/>
      <c r="BD159" s="7"/>
      <c r="BE159" s="7"/>
      <c r="BF159" s="7"/>
      <c r="BG159" s="7"/>
      <c r="BH159" s="7">
        <v>1</v>
      </c>
      <c r="BI159" s="7">
        <v>0.03</v>
      </c>
      <c r="BJ159" s="7"/>
      <c r="BK159" s="7"/>
      <c r="BL159" s="7"/>
      <c r="BM159" s="7"/>
      <c r="BN159" s="7"/>
      <c r="BO159" s="7"/>
      <c r="BP159" s="7"/>
      <c r="BQ159" s="7"/>
      <c r="BR159" s="7"/>
      <c r="BS159" s="7"/>
      <c r="BT159" s="7"/>
      <c r="BU159" s="7"/>
      <c r="BV159">
        <f>0.17+0.036+0.03</f>
        <v>0.23600000000000002</v>
      </c>
      <c r="BW159" t="s">
        <v>700</v>
      </c>
      <c r="BX159" t="str">
        <f t="shared" si="55"/>
        <v>17</v>
      </c>
      <c r="BY159" t="str">
        <f t="shared" si="56"/>
        <v>3</v>
      </c>
      <c r="BZ159" t="str">
        <f t="shared" si="57"/>
        <v>2021</v>
      </c>
      <c r="CA159" s="5">
        <f t="shared" si="48"/>
        <v>44272</v>
      </c>
      <c r="CB159">
        <v>76</v>
      </c>
      <c r="CC159" s="7">
        <v>6</v>
      </c>
      <c r="CE159">
        <f t="shared" si="49"/>
        <v>1.6059650129050762</v>
      </c>
      <c r="CF159">
        <f t="shared" si="50"/>
        <v>2.3791177037179736</v>
      </c>
      <c r="CG159">
        <f t="shared" si="58"/>
        <v>2.4182494615233991E-2</v>
      </c>
      <c r="CH159">
        <f t="shared" si="59"/>
        <v>3.9307714872396602</v>
      </c>
      <c r="CI159">
        <f t="shared" si="53"/>
        <v>3.208203970270016</v>
      </c>
      <c r="CJ159" s="1">
        <f t="shared" si="54"/>
        <v>5.4285445479348953</v>
      </c>
      <c r="CK159" s="7" t="s">
        <v>142</v>
      </c>
      <c r="CL159" s="7">
        <v>1</v>
      </c>
      <c r="CM159" s="7">
        <v>0</v>
      </c>
      <c r="CN159" s="7">
        <v>1</v>
      </c>
      <c r="CO159" s="7">
        <v>0</v>
      </c>
      <c r="CP159" s="7">
        <v>0</v>
      </c>
      <c r="CQ159" s="12">
        <v>1.4500000000000001E-2</v>
      </c>
      <c r="CR159">
        <f>CQ159/(H159-I159-J159-N159)*1000</f>
        <v>1.5309893358673847</v>
      </c>
      <c r="CS159">
        <v>7.0540000000000003</v>
      </c>
      <c r="CT159">
        <v>81.544303884442584</v>
      </c>
      <c r="CU159">
        <v>101.51055095852982</v>
      </c>
    </row>
    <row r="160" spans="1:99" ht="32" x14ac:dyDescent="0.2">
      <c r="A160" s="7" t="s">
        <v>675</v>
      </c>
      <c r="B160" s="7" t="s">
        <v>46</v>
      </c>
      <c r="C160" t="str">
        <f t="shared" si="44"/>
        <v>I</v>
      </c>
      <c r="D160" t="str">
        <f t="shared" si="45"/>
        <v>S</v>
      </c>
      <c r="E160" t="str">
        <f t="shared" si="46"/>
        <v>G</v>
      </c>
      <c r="F160" s="7">
        <v>70</v>
      </c>
      <c r="G160" s="7">
        <v>66</v>
      </c>
      <c r="H160" s="7">
        <v>5.8929999999999998</v>
      </c>
      <c r="I160" s="7">
        <v>0.14799999999999999</v>
      </c>
      <c r="J160" s="7">
        <v>1.2E-2</v>
      </c>
      <c r="K160" s="7" t="s">
        <v>38</v>
      </c>
      <c r="L160" t="str">
        <f t="shared" si="47"/>
        <v>M</v>
      </c>
      <c r="M160">
        <v>22</v>
      </c>
      <c r="N160" s="7">
        <v>0.379</v>
      </c>
      <c r="O160" s="7">
        <v>0.251</v>
      </c>
      <c r="P160" s="7" t="s">
        <v>694</v>
      </c>
      <c r="Q160" t="str">
        <f t="shared" si="43"/>
        <v>F</v>
      </c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>
        <v>16</v>
      </c>
      <c r="AW160" s="7">
        <v>7.6999999999999999E-2</v>
      </c>
      <c r="AX160" s="7"/>
      <c r="AY160" s="7"/>
      <c r="AZ160" s="7"/>
      <c r="BA160" s="7"/>
      <c r="BB160" s="7"/>
      <c r="BC160" s="7"/>
      <c r="BD160" s="7"/>
      <c r="BE160" s="7"/>
      <c r="BF160" s="7">
        <v>1</v>
      </c>
      <c r="BG160" s="7">
        <v>1.2E-2</v>
      </c>
      <c r="BH160" s="7"/>
      <c r="BI160" s="7"/>
      <c r="BJ160" s="7"/>
      <c r="BK160" s="7"/>
      <c r="BL160" s="7"/>
      <c r="BM160" s="7"/>
      <c r="BN160" s="7"/>
      <c r="BO160" s="7"/>
      <c r="BP160" s="7"/>
      <c r="BQ160" s="7"/>
      <c r="BR160" s="7"/>
      <c r="BS160" s="7"/>
      <c r="BT160" s="7"/>
      <c r="BU160" s="7"/>
      <c r="BV160" s="7">
        <v>8.8999999999999996E-2</v>
      </c>
      <c r="BW160" t="s">
        <v>700</v>
      </c>
      <c r="BX160" t="str">
        <f t="shared" si="55"/>
        <v>17</v>
      </c>
      <c r="BY160" t="str">
        <f t="shared" si="56"/>
        <v>3</v>
      </c>
      <c r="BZ160" t="str">
        <f t="shared" si="57"/>
        <v>2021</v>
      </c>
      <c r="CA160" s="5">
        <f t="shared" si="48"/>
        <v>44272</v>
      </c>
      <c r="CB160">
        <v>76</v>
      </c>
      <c r="CC160" s="7">
        <v>6</v>
      </c>
      <c r="CE160">
        <f t="shared" si="49"/>
        <v>0.20404693079408265</v>
      </c>
      <c r="CF160">
        <f t="shared" si="50"/>
        <v>2.5761531766753696</v>
      </c>
      <c r="CG160">
        <f t="shared" si="58"/>
        <v>2.5815454386882954E-2</v>
      </c>
      <c r="CH160">
        <f t="shared" si="59"/>
        <v>4.4487770294221916</v>
      </c>
      <c r="CI160">
        <f t="shared" si="53"/>
        <v>2.1720685559137962</v>
      </c>
      <c r="CJ160" s="1">
        <f t="shared" si="54"/>
        <v>3.6823349736976074</v>
      </c>
      <c r="CK160" s="7" t="s">
        <v>142</v>
      </c>
      <c r="CL160" s="7">
        <v>1</v>
      </c>
      <c r="CM160" s="7"/>
      <c r="CN160" s="7"/>
      <c r="CO160" s="7"/>
      <c r="CP160" s="7"/>
    </row>
    <row r="161" spans="1:99" x14ac:dyDescent="0.2">
      <c r="A161" s="7" t="s">
        <v>676</v>
      </c>
      <c r="B161" s="7" t="s">
        <v>46</v>
      </c>
      <c r="C161" t="str">
        <f t="shared" si="44"/>
        <v>I</v>
      </c>
      <c r="D161" t="str">
        <f t="shared" si="45"/>
        <v>S</v>
      </c>
      <c r="E161" t="str">
        <f t="shared" si="46"/>
        <v>G</v>
      </c>
      <c r="F161" s="7">
        <v>73</v>
      </c>
      <c r="G161" s="7">
        <v>68</v>
      </c>
      <c r="H161" s="7">
        <v>6.5949999999999998</v>
      </c>
      <c r="I161" s="7">
        <v>0.189</v>
      </c>
      <c r="J161" s="7">
        <v>1.2E-2</v>
      </c>
      <c r="K161" s="7" t="s">
        <v>38</v>
      </c>
      <c r="L161" t="str">
        <f t="shared" si="47"/>
        <v>M</v>
      </c>
      <c r="M161">
        <v>22</v>
      </c>
      <c r="N161" s="7">
        <v>0.44</v>
      </c>
      <c r="O161" s="7">
        <v>0.28100000000000003</v>
      </c>
      <c r="P161" s="7" t="s">
        <v>695</v>
      </c>
      <c r="Q161" t="str">
        <f t="shared" si="43"/>
        <v>F</v>
      </c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>
        <v>29</v>
      </c>
      <c r="AW161" s="7">
        <v>0.126</v>
      </c>
      <c r="AX161" s="7"/>
      <c r="AY161" s="7"/>
      <c r="AZ161" s="7"/>
      <c r="BA161" s="7"/>
      <c r="BB161" s="7"/>
      <c r="BC161" s="7"/>
      <c r="BD161" s="7"/>
      <c r="BE161" s="7"/>
      <c r="BF161" s="7"/>
      <c r="BG161" s="7"/>
      <c r="BH161" s="7"/>
      <c r="BI161" s="7"/>
      <c r="BJ161" s="7"/>
      <c r="BK161" s="7"/>
      <c r="BL161" s="7"/>
      <c r="BM161" s="7"/>
      <c r="BN161" s="7"/>
      <c r="BO161" s="7"/>
      <c r="BP161" s="7"/>
      <c r="BQ161" s="7"/>
      <c r="BR161" s="7"/>
      <c r="BS161" s="7"/>
      <c r="BT161" s="7"/>
      <c r="BU161" s="7"/>
      <c r="BV161" s="7">
        <v>0.126</v>
      </c>
      <c r="BW161" t="s">
        <v>700</v>
      </c>
      <c r="BX161" t="str">
        <f t="shared" si="55"/>
        <v>17</v>
      </c>
      <c r="BY161" t="str">
        <f t="shared" si="56"/>
        <v>3</v>
      </c>
      <c r="BZ161" t="str">
        <f t="shared" si="57"/>
        <v>2021</v>
      </c>
      <c r="CA161" s="5">
        <f t="shared" si="48"/>
        <v>44272</v>
      </c>
      <c r="CB161">
        <v>76</v>
      </c>
      <c r="CC161" s="7">
        <v>6</v>
      </c>
      <c r="CE161">
        <f t="shared" si="49"/>
        <v>0.18228771077016559</v>
      </c>
      <c r="CF161">
        <f t="shared" si="50"/>
        <v>2.9503590384014986</v>
      </c>
      <c r="CG161">
        <f t="shared" si="58"/>
        <v>2.9558961526431029E-2</v>
      </c>
      <c r="CH161">
        <f t="shared" si="59"/>
        <v>4.4504276211593288</v>
      </c>
      <c r="CI161">
        <f t="shared" si="53"/>
        <v>2.4109173616376038</v>
      </c>
      <c r="CJ161" s="1">
        <f t="shared" si="54"/>
        <v>4.3214556482183468</v>
      </c>
      <c r="CK161" s="7" t="s">
        <v>142</v>
      </c>
      <c r="CL161" s="7">
        <v>1</v>
      </c>
      <c r="CM161" s="7"/>
      <c r="CN161" s="7"/>
      <c r="CO161" s="7"/>
      <c r="CP161" s="7"/>
    </row>
    <row r="162" spans="1:99" x14ac:dyDescent="0.2">
      <c r="A162" s="7" t="s">
        <v>677</v>
      </c>
      <c r="B162" s="7" t="s">
        <v>46</v>
      </c>
      <c r="C162" t="str">
        <f t="shared" si="44"/>
        <v>I</v>
      </c>
      <c r="D162" t="str">
        <f t="shared" si="45"/>
        <v>S</v>
      </c>
      <c r="E162" t="str">
        <f t="shared" si="46"/>
        <v>G</v>
      </c>
      <c r="F162" s="7">
        <v>76</v>
      </c>
      <c r="G162" s="7">
        <v>72</v>
      </c>
      <c r="H162" s="7">
        <v>6.9930000000000003</v>
      </c>
      <c r="I162" s="7">
        <v>0.218</v>
      </c>
      <c r="J162" s="7">
        <v>0.124</v>
      </c>
      <c r="K162" s="7" t="s">
        <v>24</v>
      </c>
      <c r="L162" t="str">
        <f t="shared" si="47"/>
        <v>F</v>
      </c>
      <c r="M162">
        <v>22</v>
      </c>
      <c r="N162" s="7">
        <v>0.29899999999999999</v>
      </c>
      <c r="O162" s="7">
        <v>0.26700000000000002</v>
      </c>
      <c r="P162" s="7" t="s">
        <v>696</v>
      </c>
      <c r="Q162" t="str">
        <f t="shared" si="43"/>
        <v>F</v>
      </c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>
        <v>17</v>
      </c>
      <c r="AU162" s="7">
        <v>1.6E-2</v>
      </c>
      <c r="AV162" s="7"/>
      <c r="AW162" s="7"/>
      <c r="AX162" s="7"/>
      <c r="AY162" s="7"/>
      <c r="AZ162" s="7"/>
      <c r="BA162" s="7"/>
      <c r="BB162" s="7"/>
      <c r="BC162" s="7"/>
      <c r="BD162" s="7"/>
      <c r="BE162" s="7"/>
      <c r="BF162" s="7"/>
      <c r="BG162" s="7"/>
      <c r="BH162" s="7"/>
      <c r="BI162" s="7"/>
      <c r="BJ162" s="7"/>
      <c r="BK162" s="7"/>
      <c r="BL162" s="7"/>
      <c r="BM162" s="7"/>
      <c r="BN162" s="7"/>
      <c r="BO162" s="7"/>
      <c r="BP162" s="7"/>
      <c r="BQ162" s="7"/>
      <c r="BR162" s="7"/>
      <c r="BS162" s="7"/>
      <c r="BT162" s="7"/>
      <c r="BU162" s="7"/>
      <c r="BV162" s="7">
        <v>1.6E-2</v>
      </c>
      <c r="BW162" t="s">
        <v>700</v>
      </c>
      <c r="BX162" t="str">
        <f t="shared" si="55"/>
        <v>17</v>
      </c>
      <c r="BY162" t="str">
        <f t="shared" si="56"/>
        <v>3</v>
      </c>
      <c r="BZ162" t="str">
        <f t="shared" si="57"/>
        <v>2021</v>
      </c>
      <c r="CA162" s="5">
        <f t="shared" si="48"/>
        <v>44272</v>
      </c>
      <c r="CB162">
        <v>76</v>
      </c>
      <c r="CC162" s="7">
        <v>6</v>
      </c>
      <c r="CE162">
        <f t="shared" si="49"/>
        <v>1.8052118212257966</v>
      </c>
      <c r="CF162">
        <f t="shared" si="50"/>
        <v>3.2177121771217712</v>
      </c>
      <c r="CG162">
        <f t="shared" si="58"/>
        <v>3.2777026011126142E-2</v>
      </c>
      <c r="CH162">
        <f t="shared" si="59"/>
        <v>3.969669937555754</v>
      </c>
      <c r="CI162">
        <f t="shared" si="53"/>
        <v>0.4576004576004572</v>
      </c>
      <c r="CJ162" s="1">
        <f t="shared" si="54"/>
        <v>0.68640068640068597</v>
      </c>
      <c r="CK162" s="7" t="s">
        <v>142</v>
      </c>
      <c r="CL162" s="7">
        <v>1</v>
      </c>
      <c r="CM162" s="7"/>
      <c r="CN162" s="7"/>
      <c r="CO162" s="7"/>
      <c r="CP162" s="7"/>
    </row>
    <row r="163" spans="1:99" x14ac:dyDescent="0.2">
      <c r="A163" s="7" t="s">
        <v>678</v>
      </c>
      <c r="B163" s="7" t="s">
        <v>46</v>
      </c>
      <c r="C163" t="str">
        <f t="shared" si="44"/>
        <v>S</v>
      </c>
      <c r="D163" t="str">
        <f t="shared" si="45"/>
        <v>IMM</v>
      </c>
      <c r="E163" t="str">
        <f t="shared" si="46"/>
        <v>G</v>
      </c>
      <c r="F163" s="7">
        <v>60</v>
      </c>
      <c r="G163" s="7">
        <v>56</v>
      </c>
      <c r="H163" s="7">
        <v>3.7610000000000001</v>
      </c>
      <c r="I163" s="7">
        <v>9.4E-2</v>
      </c>
      <c r="J163" s="7">
        <v>6.8000000000000005E-2</v>
      </c>
      <c r="K163" s="7" t="s">
        <v>24</v>
      </c>
      <c r="L163" t="str">
        <f t="shared" si="47"/>
        <v>F</v>
      </c>
      <c r="M163">
        <v>22</v>
      </c>
      <c r="N163" s="7">
        <v>0.23</v>
      </c>
      <c r="O163" s="7">
        <v>0.159</v>
      </c>
      <c r="P163" s="7" t="s">
        <v>697</v>
      </c>
      <c r="Q163" t="str">
        <f t="shared" si="43"/>
        <v>F</v>
      </c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>
        <v>12</v>
      </c>
      <c r="AW163" s="7">
        <v>0.05</v>
      </c>
      <c r="AX163" s="7"/>
      <c r="AY163" s="7"/>
      <c r="AZ163" s="7"/>
      <c r="BA163" s="7"/>
      <c r="BB163" s="7"/>
      <c r="BC163" s="7"/>
      <c r="BD163" s="7"/>
      <c r="BE163" s="7"/>
      <c r="BF163" s="7"/>
      <c r="BG163" s="7"/>
      <c r="BH163" s="7"/>
      <c r="BI163" s="7"/>
      <c r="BJ163" s="7"/>
      <c r="BK163" s="7"/>
      <c r="BL163" s="7"/>
      <c r="BM163" s="7"/>
      <c r="BN163" s="7"/>
      <c r="BO163" s="7"/>
      <c r="BP163" s="7"/>
      <c r="BQ163" s="7"/>
      <c r="BR163" s="7"/>
      <c r="BS163" s="7"/>
      <c r="BT163" s="7"/>
      <c r="BU163" s="7"/>
      <c r="BV163" s="7">
        <v>0.05</v>
      </c>
      <c r="BW163" t="s">
        <v>700</v>
      </c>
      <c r="BX163" t="str">
        <f t="shared" si="55"/>
        <v>17</v>
      </c>
      <c r="BY163" t="str">
        <f t="shared" si="56"/>
        <v>3</v>
      </c>
      <c r="BZ163" t="str">
        <f t="shared" si="57"/>
        <v>2021</v>
      </c>
      <c r="CA163" s="5">
        <f t="shared" si="48"/>
        <v>44272</v>
      </c>
      <c r="CB163">
        <v>76</v>
      </c>
      <c r="CC163" s="7">
        <v>6</v>
      </c>
      <c r="CE163">
        <f t="shared" si="49"/>
        <v>1.8413214189006228</v>
      </c>
      <c r="CF163">
        <f t="shared" si="50"/>
        <v>2.5634033269702754</v>
      </c>
      <c r="CG163">
        <f t="shared" si="58"/>
        <v>2.6118366212836898E-2</v>
      </c>
      <c r="CH163">
        <f t="shared" si="59"/>
        <v>4.4142143253747914</v>
      </c>
      <c r="CI163">
        <f t="shared" si="53"/>
        <v>1.8877957989896306</v>
      </c>
      <c r="CJ163" s="1">
        <f t="shared" si="54"/>
        <v>3.2172294602499338</v>
      </c>
      <c r="CK163" s="7" t="s">
        <v>142</v>
      </c>
      <c r="CL163" s="7">
        <v>1</v>
      </c>
      <c r="CM163" s="7"/>
      <c r="CN163" s="7"/>
      <c r="CO163" s="7"/>
      <c r="CP163" s="7"/>
    </row>
    <row r="164" spans="1:99" x14ac:dyDescent="0.2">
      <c r="A164" s="7" t="s">
        <v>679</v>
      </c>
      <c r="B164" s="7" t="s">
        <v>46</v>
      </c>
      <c r="C164" t="str">
        <f t="shared" si="44"/>
        <v>I</v>
      </c>
      <c r="D164" t="str">
        <f t="shared" si="45"/>
        <v>IMM</v>
      </c>
      <c r="E164" t="str">
        <f t="shared" si="46"/>
        <v>G</v>
      </c>
      <c r="F164" s="7">
        <v>61</v>
      </c>
      <c r="G164" s="7">
        <v>57</v>
      </c>
      <c r="H164" s="7">
        <v>3.3149999999999999</v>
      </c>
      <c r="I164" s="7">
        <v>6.9000000000000006E-2</v>
      </c>
      <c r="J164" s="7">
        <v>6.4000000000000001E-2</v>
      </c>
      <c r="K164" s="7" t="s">
        <v>24</v>
      </c>
      <c r="L164" t="str">
        <f t="shared" si="47"/>
        <v>F</v>
      </c>
      <c r="M164">
        <v>22</v>
      </c>
      <c r="N164" s="7">
        <v>0.14000000000000001</v>
      </c>
      <c r="O164" s="7">
        <v>0.128</v>
      </c>
      <c r="P164" s="7" t="s">
        <v>698</v>
      </c>
      <c r="Q164" t="str">
        <f t="shared" si="43"/>
        <v>F</v>
      </c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>
        <v>1</v>
      </c>
      <c r="AO164" s="7">
        <v>4.0000000000000001E-3</v>
      </c>
      <c r="AP164" s="7"/>
      <c r="AQ164" s="7"/>
      <c r="AR164" s="7"/>
      <c r="AS164" s="7"/>
      <c r="AT164" s="7"/>
      <c r="AU164" s="7"/>
      <c r="AV164" s="7"/>
      <c r="AW164" s="7"/>
      <c r="AX164" s="7"/>
      <c r="AY164" s="7"/>
      <c r="AZ164" s="7"/>
      <c r="BA164" s="7"/>
      <c r="BB164" s="7"/>
      <c r="BC164" s="7"/>
      <c r="BD164" s="7"/>
      <c r="BE164" s="7"/>
      <c r="BF164" s="7"/>
      <c r="BG164" s="7"/>
      <c r="BH164" s="7"/>
      <c r="BI164" s="7"/>
      <c r="BJ164" s="7"/>
      <c r="BK164" s="7"/>
      <c r="BL164" s="7"/>
      <c r="BM164" s="7"/>
      <c r="BN164" s="7"/>
      <c r="BO164" s="7"/>
      <c r="BP164" s="7"/>
      <c r="BQ164" s="7"/>
      <c r="BR164" s="7"/>
      <c r="BS164" s="7"/>
      <c r="BT164" s="7"/>
      <c r="BU164" s="7"/>
      <c r="BV164" s="7">
        <v>4.0000000000000001E-3</v>
      </c>
      <c r="BW164" t="s">
        <v>700</v>
      </c>
      <c r="BX164" t="str">
        <f t="shared" si="55"/>
        <v>17</v>
      </c>
      <c r="BY164" t="str">
        <f t="shared" si="56"/>
        <v>3</v>
      </c>
      <c r="BZ164" t="str">
        <f t="shared" si="57"/>
        <v>2021</v>
      </c>
      <c r="CA164" s="5">
        <f t="shared" si="48"/>
        <v>44272</v>
      </c>
      <c r="CB164">
        <v>76</v>
      </c>
      <c r="CC164" s="7">
        <v>6</v>
      </c>
      <c r="CE164">
        <f t="shared" si="49"/>
        <v>1.9686250384497079</v>
      </c>
      <c r="CF164">
        <f t="shared" si="50"/>
        <v>2.1256931608133089</v>
      </c>
      <c r="CG164">
        <f t="shared" si="58"/>
        <v>2.1684475172847269E-2</v>
      </c>
      <c r="CH164">
        <f t="shared" si="59"/>
        <v>4.016316284907437</v>
      </c>
      <c r="CI164">
        <f t="shared" si="53"/>
        <v>0.36199095022624467</v>
      </c>
      <c r="CJ164" s="1">
        <f t="shared" si="54"/>
        <v>0.48265460030165952</v>
      </c>
      <c r="CK164" s="7" t="s">
        <v>142</v>
      </c>
      <c r="CL164" s="7">
        <v>1</v>
      </c>
      <c r="CM164" s="7">
        <v>0</v>
      </c>
      <c r="CN164" s="7">
        <v>0</v>
      </c>
      <c r="CO164" s="7">
        <v>0</v>
      </c>
      <c r="CP164" s="7">
        <v>0</v>
      </c>
      <c r="CQ164" s="12">
        <v>8.0999999999999996E-3</v>
      </c>
      <c r="CR164">
        <f>CQ164/(H164-I164-J164-N164)*1000</f>
        <v>2.6627218934911241</v>
      </c>
      <c r="CS164">
        <v>8.452</v>
      </c>
      <c r="CU164">
        <v>103.50336546890948</v>
      </c>
    </row>
    <row r="165" spans="1:99" x14ac:dyDescent="0.2">
      <c r="A165" s="7" t="s">
        <v>680</v>
      </c>
      <c r="B165" s="7" t="s">
        <v>46</v>
      </c>
      <c r="C165" t="str">
        <f t="shared" si="44"/>
        <v>I</v>
      </c>
      <c r="D165" t="str">
        <f t="shared" si="45"/>
        <v>IMM</v>
      </c>
      <c r="E165" t="str">
        <f t="shared" si="46"/>
        <v>G</v>
      </c>
      <c r="F165" s="7">
        <v>61</v>
      </c>
      <c r="G165" s="7">
        <v>57</v>
      </c>
      <c r="H165" s="7">
        <v>3.9340000000000002</v>
      </c>
      <c r="I165" s="7">
        <v>0.123</v>
      </c>
      <c r="J165" s="7">
        <v>7.0000000000000007E-2</v>
      </c>
      <c r="K165" s="7" t="s">
        <v>24</v>
      </c>
      <c r="L165" t="str">
        <f t="shared" si="47"/>
        <v>F</v>
      </c>
      <c r="M165">
        <v>22</v>
      </c>
      <c r="N165" s="7">
        <v>0.29899999999999999</v>
      </c>
      <c r="O165" s="7">
        <v>0.186</v>
      </c>
      <c r="P165" s="7" t="s">
        <v>699</v>
      </c>
      <c r="Q165" t="str">
        <f t="shared" si="43"/>
        <v>F</v>
      </c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>
        <v>23</v>
      </c>
      <c r="AW165" s="7">
        <v>9.7000000000000003E-2</v>
      </c>
      <c r="AX165" s="7"/>
      <c r="AY165" s="7"/>
      <c r="AZ165" s="7"/>
      <c r="BA165" s="7"/>
      <c r="BB165" s="7"/>
      <c r="BC165" s="7"/>
      <c r="BD165" s="7"/>
      <c r="BE165" s="7"/>
      <c r="BF165" s="7"/>
      <c r="BG165" s="7"/>
      <c r="BH165" s="7"/>
      <c r="BI165" s="7"/>
      <c r="BJ165" s="7"/>
      <c r="BK165" s="7"/>
      <c r="BL165" s="7"/>
      <c r="BM165" s="7"/>
      <c r="BN165" s="7"/>
      <c r="BO165" s="7"/>
      <c r="BP165" s="7"/>
      <c r="BQ165" s="7"/>
      <c r="BR165" s="7"/>
      <c r="BS165" s="7"/>
      <c r="BT165" s="7"/>
      <c r="BU165" s="7"/>
      <c r="BV165" s="7">
        <v>9.7000000000000003E-2</v>
      </c>
      <c r="BW165" t="s">
        <v>700</v>
      </c>
      <c r="BX165" t="str">
        <f t="shared" si="55"/>
        <v>17</v>
      </c>
      <c r="BY165" t="str">
        <f t="shared" si="56"/>
        <v>3</v>
      </c>
      <c r="BZ165" t="str">
        <f t="shared" si="57"/>
        <v>2021</v>
      </c>
      <c r="CA165" s="5">
        <f t="shared" si="48"/>
        <v>44272</v>
      </c>
      <c r="CB165">
        <v>76</v>
      </c>
      <c r="CC165" s="7">
        <v>6</v>
      </c>
      <c r="CE165">
        <f t="shared" si="49"/>
        <v>1.8115942028985508</v>
      </c>
      <c r="CF165">
        <f t="shared" si="50"/>
        <v>3.2274993440041984</v>
      </c>
      <c r="CG165">
        <f t="shared" si="58"/>
        <v>3.2878909382518043E-2</v>
      </c>
      <c r="CH165">
        <f t="shared" si="59"/>
        <v>4.9626467449306295</v>
      </c>
      <c r="CI165">
        <f t="shared" si="53"/>
        <v>2.872394509405185</v>
      </c>
      <c r="CJ165" s="1">
        <f t="shared" si="54"/>
        <v>5.3380782918149459</v>
      </c>
      <c r="CK165" s="7" t="s">
        <v>142</v>
      </c>
      <c r="CL165" s="7">
        <v>2</v>
      </c>
      <c r="CM165" s="7">
        <v>0</v>
      </c>
      <c r="CN165" s="7">
        <v>3</v>
      </c>
      <c r="CO165" s="7">
        <v>0</v>
      </c>
      <c r="CP165" s="7">
        <v>0</v>
      </c>
      <c r="CQ165" s="12">
        <v>1.8200000000000001E-2</v>
      </c>
      <c r="CR165">
        <f>CQ165/(H165-I165-J165-N165)*1000</f>
        <v>5.2876234747239979</v>
      </c>
      <c r="CS165">
        <v>8.266</v>
      </c>
      <c r="CT165">
        <v>76.474097283735915</v>
      </c>
      <c r="CU165">
        <v>97.285997826220537</v>
      </c>
    </row>
    <row r="166" spans="1:99" x14ac:dyDescent="0.2">
      <c r="A166" s="7" t="s">
        <v>701</v>
      </c>
      <c r="B166" s="7" t="s">
        <v>46</v>
      </c>
      <c r="C166" t="str">
        <f t="shared" si="44"/>
        <v>I</v>
      </c>
      <c r="D166" t="str">
        <f t="shared" si="45"/>
        <v>S</v>
      </c>
      <c r="E166" t="str">
        <f t="shared" si="46"/>
        <v>G</v>
      </c>
      <c r="F166" s="7">
        <v>72</v>
      </c>
      <c r="G166" s="7">
        <v>68</v>
      </c>
      <c r="H166" s="7">
        <v>5.8639999999999999</v>
      </c>
      <c r="I166" s="7">
        <v>0.152</v>
      </c>
      <c r="J166" s="7">
        <v>9.8000000000000004E-2</v>
      </c>
      <c r="K166" s="7" t="s">
        <v>24</v>
      </c>
      <c r="L166" t="str">
        <f t="shared" si="47"/>
        <v>F</v>
      </c>
      <c r="M166">
        <v>22</v>
      </c>
      <c r="N166" s="7">
        <v>0.33900000000000002</v>
      </c>
      <c r="O166" s="7">
        <v>0.28799999999999998</v>
      </c>
      <c r="P166" s="7" t="s">
        <v>727</v>
      </c>
      <c r="Q166" t="str">
        <f t="shared" si="43"/>
        <v>F</v>
      </c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>
        <v>50</v>
      </c>
      <c r="AU166" s="7">
        <v>2.4E-2</v>
      </c>
      <c r="AV166" s="7"/>
      <c r="AW166" s="7"/>
      <c r="AX166" s="7"/>
      <c r="AY166" s="7"/>
      <c r="AZ166" s="7"/>
      <c r="BA166" s="7"/>
      <c r="BB166" s="7"/>
      <c r="BC166" s="7"/>
      <c r="BD166" s="7"/>
      <c r="BE166" s="7"/>
      <c r="BF166" s="7"/>
      <c r="BG166" s="7"/>
      <c r="BH166" s="7"/>
      <c r="BI166" s="7"/>
      <c r="BJ166" s="7"/>
      <c r="BK166" s="7"/>
      <c r="BL166" s="7"/>
      <c r="BM166" s="7"/>
      <c r="BN166" s="7"/>
      <c r="BO166" s="7"/>
      <c r="BP166" s="7"/>
      <c r="BQ166" s="7"/>
      <c r="BR166" s="7"/>
      <c r="BS166" s="7"/>
      <c r="BT166" s="7"/>
      <c r="BU166" s="7"/>
      <c r="BV166" s="7">
        <v>2.4E-2</v>
      </c>
      <c r="BW166" t="s">
        <v>700</v>
      </c>
      <c r="BX166" t="str">
        <f t="shared" si="55"/>
        <v>17</v>
      </c>
      <c r="BY166" t="str">
        <f t="shared" si="56"/>
        <v>3</v>
      </c>
      <c r="BZ166" t="str">
        <f t="shared" si="57"/>
        <v>2021</v>
      </c>
      <c r="CA166" s="5">
        <f t="shared" si="48"/>
        <v>44272</v>
      </c>
      <c r="CB166">
        <v>76</v>
      </c>
      <c r="CC166" s="7">
        <v>6</v>
      </c>
      <c r="CE166">
        <f t="shared" si="49"/>
        <v>1.6996184530003469</v>
      </c>
      <c r="CF166">
        <f t="shared" si="50"/>
        <v>2.661064425770308</v>
      </c>
      <c r="CG166">
        <f t="shared" si="58"/>
        <v>2.7075169219807623E-2</v>
      </c>
      <c r="CH166">
        <f t="shared" si="59"/>
        <v>5.1649928263988523</v>
      </c>
      <c r="CI166">
        <f t="shared" si="53"/>
        <v>0.86971350613915499</v>
      </c>
      <c r="CJ166" s="1">
        <f t="shared" si="54"/>
        <v>1.2789904502046392</v>
      </c>
      <c r="CK166" s="7" t="s">
        <v>142</v>
      </c>
      <c r="CL166" s="7">
        <v>2</v>
      </c>
      <c r="CM166" s="7">
        <v>0</v>
      </c>
      <c r="CN166" s="7">
        <v>9</v>
      </c>
      <c r="CO166" s="7">
        <v>4</v>
      </c>
      <c r="CP166" s="7">
        <v>0</v>
      </c>
      <c r="CQ166" s="12">
        <v>1.2999999999999999E-3</v>
      </c>
      <c r="CR166">
        <f>CQ166/(H166-I166-J166-N166)*1000</f>
        <v>0.24644549763033177</v>
      </c>
      <c r="CS166">
        <v>6.84</v>
      </c>
      <c r="CT166">
        <v>75.535582464768751</v>
      </c>
      <c r="CU166">
        <v>101.69724665875947</v>
      </c>
    </row>
    <row r="167" spans="1:99" x14ac:dyDescent="0.2">
      <c r="A167" s="7" t="s">
        <v>702</v>
      </c>
      <c r="B167" s="7" t="s">
        <v>46</v>
      </c>
      <c r="C167" t="str">
        <f t="shared" si="44"/>
        <v>I</v>
      </c>
      <c r="D167" t="str">
        <f t="shared" si="45"/>
        <v>S</v>
      </c>
      <c r="E167" t="str">
        <f t="shared" si="46"/>
        <v>G</v>
      </c>
      <c r="F167" s="7">
        <v>73</v>
      </c>
      <c r="G167" s="7">
        <v>69</v>
      </c>
      <c r="H167" s="7">
        <v>6.7610000000000001</v>
      </c>
      <c r="I167" s="7">
        <v>0.156</v>
      </c>
      <c r="J167" s="7">
        <v>1.2999999999999999E-2</v>
      </c>
      <c r="K167" s="7" t="s">
        <v>38</v>
      </c>
      <c r="L167" t="str">
        <f t="shared" si="47"/>
        <v>M</v>
      </c>
      <c r="M167">
        <v>22</v>
      </c>
      <c r="N167" s="7">
        <v>0.42399999999999999</v>
      </c>
      <c r="O167" s="7">
        <v>0.28199999999999997</v>
      </c>
      <c r="P167" s="7" t="s">
        <v>728</v>
      </c>
      <c r="Q167" t="str">
        <f t="shared" si="43"/>
        <v>F</v>
      </c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>
        <v>20</v>
      </c>
      <c r="AW167" s="7">
        <v>0.09</v>
      </c>
      <c r="AX167" s="7"/>
      <c r="AY167" s="7"/>
      <c r="AZ167" s="7"/>
      <c r="BA167" s="7"/>
      <c r="BB167" s="7"/>
      <c r="BC167" s="7"/>
      <c r="BD167" s="7"/>
      <c r="BE167" s="7"/>
      <c r="BF167" s="7"/>
      <c r="BG167" s="7"/>
      <c r="BH167" s="7"/>
      <c r="BI167" s="7"/>
      <c r="BJ167" s="7"/>
      <c r="BK167" s="7"/>
      <c r="BL167" s="7"/>
      <c r="BM167" s="7"/>
      <c r="BN167" s="7"/>
      <c r="BO167" s="7"/>
      <c r="BP167" s="7"/>
      <c r="BQ167" s="7"/>
      <c r="BR167" s="7"/>
      <c r="BS167" s="7"/>
      <c r="BT167" s="7"/>
      <c r="BU167" s="7"/>
      <c r="BV167" s="7">
        <v>0.09</v>
      </c>
      <c r="BW167" t="s">
        <v>700</v>
      </c>
      <c r="BX167" t="str">
        <f t="shared" si="55"/>
        <v>17</v>
      </c>
      <c r="BY167" t="str">
        <f t="shared" si="56"/>
        <v>3</v>
      </c>
      <c r="BZ167" t="str">
        <f t="shared" si="57"/>
        <v>2021</v>
      </c>
      <c r="CA167" s="5">
        <f t="shared" si="48"/>
        <v>44272</v>
      </c>
      <c r="CB167">
        <v>76</v>
      </c>
      <c r="CC167" s="7">
        <v>6</v>
      </c>
      <c r="CE167">
        <f t="shared" si="49"/>
        <v>0.19264967397747479</v>
      </c>
      <c r="CF167">
        <f t="shared" si="50"/>
        <v>2.3618470855412568</v>
      </c>
      <c r="CG167">
        <f t="shared" si="58"/>
        <v>2.3665048543689317E-2</v>
      </c>
      <c r="CH167">
        <f t="shared" si="59"/>
        <v>4.3525235375829601</v>
      </c>
      <c r="CI167">
        <f t="shared" si="53"/>
        <v>2.1002810235172311</v>
      </c>
      <c r="CJ167" s="1">
        <f t="shared" si="54"/>
        <v>3.4314450525070255</v>
      </c>
      <c r="CK167" s="7" t="s">
        <v>142</v>
      </c>
      <c r="CL167" s="7">
        <v>1</v>
      </c>
      <c r="CM167" s="7"/>
      <c r="CN167" s="7"/>
      <c r="CO167" s="7"/>
      <c r="CP167" s="7"/>
    </row>
    <row r="168" spans="1:99" x14ac:dyDescent="0.2">
      <c r="A168" s="7" t="s">
        <v>703</v>
      </c>
      <c r="B168" s="7" t="s">
        <v>46</v>
      </c>
      <c r="C168" t="str">
        <f t="shared" si="44"/>
        <v>I</v>
      </c>
      <c r="D168" t="str">
        <f t="shared" si="45"/>
        <v>IMM</v>
      </c>
      <c r="E168" t="str">
        <f t="shared" si="46"/>
        <v>G</v>
      </c>
      <c r="F168" s="7">
        <v>64</v>
      </c>
      <c r="G168" s="7">
        <v>60</v>
      </c>
      <c r="H168" s="7">
        <v>4.125</v>
      </c>
      <c r="I168" s="7">
        <v>8.7999999999999995E-2</v>
      </c>
      <c r="J168" s="7">
        <v>7.8E-2</v>
      </c>
      <c r="K168" s="7" t="s">
        <v>24</v>
      </c>
      <c r="L168" t="str">
        <f t="shared" si="47"/>
        <v>F</v>
      </c>
      <c r="M168">
        <v>22</v>
      </c>
      <c r="N168" s="7">
        <v>0.27400000000000002</v>
      </c>
      <c r="O168" s="7">
        <v>0.17399999999999999</v>
      </c>
      <c r="P168" s="7" t="s">
        <v>729</v>
      </c>
      <c r="Q168" t="str">
        <f t="shared" si="43"/>
        <v>F</v>
      </c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>
        <v>11</v>
      </c>
      <c r="AW168" s="7">
        <v>0.06</v>
      </c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/>
      <c r="BI168" s="7"/>
      <c r="BJ168" s="7"/>
      <c r="BK168" s="7"/>
      <c r="BL168" s="7"/>
      <c r="BM168" s="7"/>
      <c r="BN168" s="7"/>
      <c r="BO168" s="7"/>
      <c r="BP168" s="7"/>
      <c r="BQ168" s="7"/>
      <c r="BR168" s="7"/>
      <c r="BS168" s="7"/>
      <c r="BT168" s="7"/>
      <c r="BU168" s="7"/>
      <c r="BV168" s="7">
        <v>0.06</v>
      </c>
      <c r="BW168" t="s">
        <v>700</v>
      </c>
      <c r="BX168" t="str">
        <f t="shared" si="55"/>
        <v>17</v>
      </c>
      <c r="BY168" t="str">
        <f t="shared" si="56"/>
        <v>3</v>
      </c>
      <c r="BZ168" t="str">
        <f t="shared" si="57"/>
        <v>2021</v>
      </c>
      <c r="CA168" s="5">
        <f t="shared" si="48"/>
        <v>44272</v>
      </c>
      <c r="CB168">
        <v>76</v>
      </c>
      <c r="CC168" s="7">
        <v>6</v>
      </c>
      <c r="CE168">
        <f t="shared" si="49"/>
        <v>1.927353595255745</v>
      </c>
      <c r="CF168">
        <f t="shared" si="50"/>
        <v>2.1798365122615802</v>
      </c>
      <c r="CG168">
        <f t="shared" si="58"/>
        <v>2.2227835311947459E-2</v>
      </c>
      <c r="CH168">
        <f t="shared" si="59"/>
        <v>4.4039483675018971</v>
      </c>
      <c r="CI168">
        <f t="shared" si="53"/>
        <v>2.4242424242424248</v>
      </c>
      <c r="CJ168" s="1">
        <f t="shared" si="54"/>
        <v>3.8787878787878793</v>
      </c>
      <c r="CK168" s="7" t="s">
        <v>142</v>
      </c>
      <c r="CL168" s="7">
        <v>1</v>
      </c>
      <c r="CM168" s="7"/>
      <c r="CN168" s="7"/>
      <c r="CO168" s="7"/>
      <c r="CP168" s="7"/>
    </row>
    <row r="169" spans="1:99" x14ac:dyDescent="0.2">
      <c r="A169" s="7" t="s">
        <v>704</v>
      </c>
      <c r="B169" s="7" t="s">
        <v>46</v>
      </c>
      <c r="C169" t="str">
        <f t="shared" si="44"/>
        <v>S</v>
      </c>
      <c r="D169" t="str">
        <f t="shared" si="45"/>
        <v>IMM</v>
      </c>
      <c r="E169" t="str">
        <f t="shared" si="46"/>
        <v>N</v>
      </c>
      <c r="F169" s="7">
        <v>59</v>
      </c>
      <c r="G169" s="7">
        <v>56</v>
      </c>
      <c r="H169" s="7">
        <v>3.3460000000000001</v>
      </c>
      <c r="I169" s="7">
        <v>7.5999999999999998E-2</v>
      </c>
      <c r="J169" s="7">
        <v>5.6000000000000001E-2</v>
      </c>
      <c r="K169" s="7" t="s">
        <v>24</v>
      </c>
      <c r="L169" t="str">
        <f t="shared" si="47"/>
        <v>F</v>
      </c>
      <c r="M169">
        <v>22</v>
      </c>
      <c r="N169" s="7">
        <v>0.23400000000000001</v>
      </c>
      <c r="O169" s="7">
        <v>0.13300000000000001</v>
      </c>
      <c r="P169" s="7" t="s">
        <v>730</v>
      </c>
      <c r="Q169" t="str">
        <f t="shared" si="43"/>
        <v>F</v>
      </c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>
        <v>15</v>
      </c>
      <c r="AW169" s="7">
        <v>7.8E-2</v>
      </c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  <c r="BJ169" s="7"/>
      <c r="BK169" s="7"/>
      <c r="BL169" s="7"/>
      <c r="BM169" s="7"/>
      <c r="BN169" s="7"/>
      <c r="BO169" s="7"/>
      <c r="BP169" s="7"/>
      <c r="BQ169" s="7"/>
      <c r="BR169" s="7"/>
      <c r="BS169" s="7"/>
      <c r="BT169" s="7"/>
      <c r="BU169" s="7"/>
      <c r="BV169" s="7">
        <v>7.8E-2</v>
      </c>
      <c r="BW169" t="s">
        <v>700</v>
      </c>
      <c r="BX169" t="str">
        <f t="shared" si="55"/>
        <v>17</v>
      </c>
      <c r="BY169" t="str">
        <f t="shared" si="56"/>
        <v>3</v>
      </c>
      <c r="BZ169" t="str">
        <f t="shared" si="57"/>
        <v>2021</v>
      </c>
      <c r="CA169" s="5">
        <f t="shared" si="48"/>
        <v>44272</v>
      </c>
      <c r="CB169">
        <v>76</v>
      </c>
      <c r="CC169" s="7">
        <v>6</v>
      </c>
      <c r="CE169">
        <f t="shared" si="49"/>
        <v>1.7021276595744681</v>
      </c>
      <c r="CF169">
        <f t="shared" si="50"/>
        <v>2.3241590214067278</v>
      </c>
      <c r="CG169">
        <f t="shared" si="58"/>
        <v>2.3646546359676415E-2</v>
      </c>
      <c r="CH169">
        <f t="shared" si="59"/>
        <v>4.1394335511982572</v>
      </c>
      <c r="CI169">
        <f t="shared" si="53"/>
        <v>3.0185295875672447</v>
      </c>
      <c r="CJ169" s="1">
        <f t="shared" si="54"/>
        <v>5.3496712492528387</v>
      </c>
      <c r="CK169" s="7" t="s">
        <v>142</v>
      </c>
      <c r="CL169" s="7">
        <v>1</v>
      </c>
      <c r="CM169" s="7"/>
      <c r="CN169" s="7"/>
      <c r="CO169" s="7"/>
      <c r="CP169" s="7"/>
    </row>
    <row r="170" spans="1:99" x14ac:dyDescent="0.2">
      <c r="A170" s="7" t="s">
        <v>705</v>
      </c>
      <c r="B170" s="7" t="s">
        <v>46</v>
      </c>
      <c r="C170" t="str">
        <f t="shared" si="44"/>
        <v>S</v>
      </c>
      <c r="D170" t="str">
        <f t="shared" si="45"/>
        <v>IMM</v>
      </c>
      <c r="E170" t="str">
        <f t="shared" si="46"/>
        <v>N</v>
      </c>
      <c r="F170" s="7">
        <v>58</v>
      </c>
      <c r="G170" s="7">
        <v>56</v>
      </c>
      <c r="H170" s="7">
        <v>2.9670000000000001</v>
      </c>
      <c r="I170" s="7">
        <v>7.9000000000000001E-2</v>
      </c>
      <c r="J170" s="7">
        <v>1.7999999999999999E-2</v>
      </c>
      <c r="K170" s="7" t="s">
        <v>38</v>
      </c>
      <c r="L170" t="str">
        <f t="shared" si="47"/>
        <v>M</v>
      </c>
      <c r="M170">
        <v>22</v>
      </c>
      <c r="N170" s="7">
        <v>0.13</v>
      </c>
      <c r="O170" s="7">
        <v>0.11600000000000001</v>
      </c>
      <c r="P170" s="7" t="s">
        <v>463</v>
      </c>
      <c r="Q170" t="str">
        <f t="shared" si="43"/>
        <v>F</v>
      </c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>
        <v>2</v>
      </c>
      <c r="AW170" s="7">
        <v>4.0000000000000001E-3</v>
      </c>
      <c r="AX170" s="7"/>
      <c r="AY170" s="7"/>
      <c r="AZ170" s="7"/>
      <c r="BA170" s="7"/>
      <c r="BB170" s="7"/>
      <c r="BC170" s="7"/>
      <c r="BD170" s="7"/>
      <c r="BE170" s="7"/>
      <c r="BF170" s="7"/>
      <c r="BG170" s="7"/>
      <c r="BH170" s="7"/>
      <c r="BI170" s="7"/>
      <c r="BJ170" s="7"/>
      <c r="BK170" s="7"/>
      <c r="BL170" s="7"/>
      <c r="BM170" s="7"/>
      <c r="BN170" s="7"/>
      <c r="BO170" s="7"/>
      <c r="BP170" s="7"/>
      <c r="BQ170" s="7"/>
      <c r="BR170" s="7"/>
      <c r="BS170" s="7"/>
      <c r="BT170" s="7"/>
      <c r="BU170" s="7"/>
      <c r="BV170" s="7">
        <v>4.0000000000000001E-3</v>
      </c>
      <c r="BW170" t="s">
        <v>700</v>
      </c>
      <c r="BX170" t="str">
        <f t="shared" si="55"/>
        <v>17</v>
      </c>
      <c r="BY170" t="str">
        <f t="shared" si="56"/>
        <v>3</v>
      </c>
      <c r="BZ170" t="str">
        <f t="shared" si="57"/>
        <v>2021</v>
      </c>
      <c r="CA170" s="5">
        <f t="shared" si="48"/>
        <v>44272</v>
      </c>
      <c r="CB170">
        <v>76</v>
      </c>
      <c r="CC170" s="7">
        <v>6</v>
      </c>
      <c r="CE170">
        <f t="shared" si="49"/>
        <v>0.6103763987792471</v>
      </c>
      <c r="CF170">
        <f t="shared" si="50"/>
        <v>2.7354570637119116</v>
      </c>
      <c r="CG170">
        <f t="shared" si="58"/>
        <v>2.7526132404181183E-2</v>
      </c>
      <c r="CH170">
        <f t="shared" si="59"/>
        <v>4.0687478077867416</v>
      </c>
      <c r="CI170">
        <f t="shared" si="53"/>
        <v>0.47185709470845966</v>
      </c>
      <c r="CJ170" s="1">
        <f t="shared" si="54"/>
        <v>0.60667340748230525</v>
      </c>
      <c r="CK170" s="7" t="s">
        <v>142</v>
      </c>
      <c r="CL170" s="7">
        <v>1</v>
      </c>
      <c r="CM170" s="7"/>
      <c r="CN170" s="7"/>
      <c r="CO170" s="7"/>
      <c r="CP170" s="7"/>
    </row>
    <row r="171" spans="1:99" x14ac:dyDescent="0.2">
      <c r="A171" s="7" t="s">
        <v>706</v>
      </c>
      <c r="B171" s="7" t="s">
        <v>46</v>
      </c>
      <c r="C171" t="str">
        <f t="shared" si="44"/>
        <v>S</v>
      </c>
      <c r="D171" t="str">
        <f t="shared" si="45"/>
        <v>IMM</v>
      </c>
      <c r="E171" t="str">
        <f t="shared" si="46"/>
        <v>N</v>
      </c>
      <c r="F171" s="7">
        <v>54</v>
      </c>
      <c r="G171" s="7">
        <v>51</v>
      </c>
      <c r="H171" s="7">
        <v>2.4359999999999999</v>
      </c>
      <c r="I171" s="7">
        <v>7.0000000000000007E-2</v>
      </c>
      <c r="J171" s="7">
        <v>0.04</v>
      </c>
      <c r="K171" s="7" t="s">
        <v>24</v>
      </c>
      <c r="L171" t="str">
        <f t="shared" si="47"/>
        <v>F</v>
      </c>
      <c r="M171">
        <v>22</v>
      </c>
      <c r="N171" s="7">
        <v>0.104</v>
      </c>
      <c r="O171" s="7">
        <v>9.0999999999999998E-2</v>
      </c>
      <c r="P171" s="7" t="s">
        <v>508</v>
      </c>
      <c r="Q171" t="str">
        <f t="shared" si="43"/>
        <v>F</v>
      </c>
      <c r="R171" s="7"/>
      <c r="S171" s="7"/>
      <c r="T171" s="7"/>
      <c r="U171" s="7">
        <v>1.2999999999999999E-2</v>
      </c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7">
        <v>3</v>
      </c>
      <c r="AW171" s="7">
        <v>3.0000000000000001E-3</v>
      </c>
      <c r="AX171" s="7"/>
      <c r="AY171" s="7"/>
      <c r="AZ171" s="7"/>
      <c r="BA171" s="7"/>
      <c r="BB171" s="7"/>
      <c r="BC171" s="7"/>
      <c r="BD171" s="7"/>
      <c r="BE171" s="7"/>
      <c r="BF171" s="7"/>
      <c r="BG171" s="7"/>
      <c r="BH171" s="7"/>
      <c r="BI171" s="7"/>
      <c r="BJ171" s="7"/>
      <c r="BK171" s="7"/>
      <c r="BL171" s="7"/>
      <c r="BM171" s="7"/>
      <c r="BN171" s="7"/>
      <c r="BO171" s="7"/>
      <c r="BP171" s="7"/>
      <c r="BQ171" s="7"/>
      <c r="BR171" s="7"/>
      <c r="BS171" s="7"/>
      <c r="BT171" s="7"/>
      <c r="BU171" s="7"/>
      <c r="BV171" s="7">
        <v>1.6E-2</v>
      </c>
      <c r="BW171" t="s">
        <v>700</v>
      </c>
      <c r="BX171" t="str">
        <f t="shared" si="55"/>
        <v>17</v>
      </c>
      <c r="BY171" t="str">
        <f t="shared" si="56"/>
        <v>3</v>
      </c>
      <c r="BZ171" t="str">
        <f t="shared" si="57"/>
        <v>2021</v>
      </c>
      <c r="CA171" s="5">
        <f t="shared" si="48"/>
        <v>44272</v>
      </c>
      <c r="CB171">
        <v>76</v>
      </c>
      <c r="CC171" s="7">
        <v>6</v>
      </c>
      <c r="CE171">
        <f t="shared" si="49"/>
        <v>1.6694490818030052</v>
      </c>
      <c r="CF171">
        <f t="shared" si="50"/>
        <v>2.9585798816568047</v>
      </c>
      <c r="CG171">
        <f t="shared" si="58"/>
        <v>3.0094582975064489E-2</v>
      </c>
      <c r="CH171">
        <f t="shared" si="59"/>
        <v>3.8805970149253737</v>
      </c>
      <c r="CI171">
        <f t="shared" si="53"/>
        <v>0.53366174055829219</v>
      </c>
      <c r="CJ171" s="1">
        <f t="shared" si="54"/>
        <v>1.1904761904761905</v>
      </c>
      <c r="CK171" s="7" t="s">
        <v>142</v>
      </c>
      <c r="CL171" s="7">
        <v>2</v>
      </c>
      <c r="CM171" s="7"/>
      <c r="CN171" s="7"/>
      <c r="CO171" s="7"/>
      <c r="CP171" s="7"/>
    </row>
    <row r="172" spans="1:99" ht="32" x14ac:dyDescent="0.2">
      <c r="A172" s="7" t="s">
        <v>773</v>
      </c>
      <c r="B172" s="7" t="s">
        <v>46</v>
      </c>
      <c r="C172" t="str">
        <f t="shared" si="44"/>
        <v>I</v>
      </c>
      <c r="D172" t="str">
        <f t="shared" si="45"/>
        <v>B</v>
      </c>
      <c r="E172" t="str">
        <f t="shared" si="46"/>
        <v>N</v>
      </c>
      <c r="F172" s="7">
        <v>112</v>
      </c>
      <c r="G172" s="7">
        <v>106</v>
      </c>
      <c r="H172" s="7">
        <v>25.076000000000001</v>
      </c>
      <c r="I172" s="7">
        <v>0.76900000000000002</v>
      </c>
      <c r="J172" s="7">
        <v>0.42699999999999999</v>
      </c>
      <c r="K172" s="7" t="s">
        <v>24</v>
      </c>
      <c r="L172" t="str">
        <f t="shared" si="47"/>
        <v>F</v>
      </c>
      <c r="M172" s="7">
        <v>22</v>
      </c>
      <c r="N172" s="7">
        <v>2.012</v>
      </c>
      <c r="O172" s="7">
        <v>1.57</v>
      </c>
      <c r="P172" s="7" t="s">
        <v>787</v>
      </c>
      <c r="Q172" t="str">
        <f t="shared" si="43"/>
        <v>F</v>
      </c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>
        <v>1</v>
      </c>
      <c r="AK172" s="7">
        <v>4.0000000000000001E-3</v>
      </c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  <c r="AZ172" s="7"/>
      <c r="BA172" s="7"/>
      <c r="BB172" s="7"/>
      <c r="BC172" s="7"/>
      <c r="BD172" s="7"/>
      <c r="BE172" s="7"/>
      <c r="BF172" s="7"/>
      <c r="BG172" s="7"/>
      <c r="BH172">
        <v>2</v>
      </c>
      <c r="BI172">
        <v>0.28799999999999998</v>
      </c>
      <c r="BJ172" s="7"/>
      <c r="BK172" s="7"/>
      <c r="BL172" s="7"/>
      <c r="BM172" s="7"/>
      <c r="BN172" s="7"/>
      <c r="BO172" s="7"/>
      <c r="BP172" s="7"/>
      <c r="BQ172" s="7"/>
      <c r="BR172" s="7"/>
      <c r="BS172" s="7"/>
      <c r="BT172" s="7"/>
      <c r="BU172" s="7"/>
      <c r="BV172">
        <f>0.21+0.078+0.03</f>
        <v>0.31799999999999995</v>
      </c>
      <c r="BW172" s="5">
        <v>44259</v>
      </c>
      <c r="BX172">
        <v>3</v>
      </c>
      <c r="BY172">
        <v>4</v>
      </c>
      <c r="BZ172">
        <v>2021</v>
      </c>
      <c r="CA172" s="5">
        <f t="shared" si="48"/>
        <v>44289</v>
      </c>
      <c r="CB172">
        <v>93</v>
      </c>
      <c r="CC172" s="7">
        <v>7</v>
      </c>
      <c r="CE172">
        <f t="shared" si="49"/>
        <v>1.7323217980445453</v>
      </c>
      <c r="CF172">
        <f t="shared" si="50"/>
        <v>3.1636977002509568</v>
      </c>
      <c r="CG172">
        <f t="shared" si="58"/>
        <v>3.2202680067001672E-2</v>
      </c>
      <c r="CH172">
        <f t="shared" si="59"/>
        <v>6.6791457500212719</v>
      </c>
      <c r="CI172">
        <f t="shared" si="53"/>
        <v>1.7626415696283297</v>
      </c>
      <c r="CJ172" s="1">
        <f t="shared" si="54"/>
        <v>3.03078640931568</v>
      </c>
      <c r="CK172" s="7" t="s">
        <v>142</v>
      </c>
      <c r="CL172" s="7">
        <v>2</v>
      </c>
      <c r="CM172" s="7"/>
      <c r="CN172" s="7"/>
      <c r="CO172" s="7"/>
      <c r="CP172" s="7"/>
    </row>
    <row r="173" spans="1:99" x14ac:dyDescent="0.2">
      <c r="A173" s="7" t="s">
        <v>774</v>
      </c>
      <c r="B173" s="7" t="s">
        <v>46</v>
      </c>
      <c r="C173" t="str">
        <f t="shared" si="44"/>
        <v>I</v>
      </c>
      <c r="D173" t="str">
        <f t="shared" si="45"/>
        <v>I</v>
      </c>
      <c r="E173" t="str">
        <f t="shared" si="46"/>
        <v>G</v>
      </c>
      <c r="F173" s="7">
        <v>96</v>
      </c>
      <c r="G173" s="7">
        <v>90</v>
      </c>
      <c r="H173" s="7">
        <v>17.012</v>
      </c>
      <c r="I173" s="7">
        <v>0.58399999999999996</v>
      </c>
      <c r="J173" s="7">
        <v>0.03</v>
      </c>
      <c r="K173" s="7" t="s">
        <v>38</v>
      </c>
      <c r="L173" t="str">
        <f t="shared" si="47"/>
        <v>M</v>
      </c>
      <c r="M173" s="7">
        <v>22</v>
      </c>
      <c r="N173" s="7">
        <v>1.492</v>
      </c>
      <c r="O173" s="7">
        <v>1.0329999999999999</v>
      </c>
      <c r="P173" s="7" t="s">
        <v>788</v>
      </c>
      <c r="Q173" t="str">
        <f t="shared" si="43"/>
        <v>F</v>
      </c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7"/>
      <c r="BB173" s="7"/>
      <c r="BC173" s="7"/>
      <c r="BD173" s="7"/>
      <c r="BE173" s="7"/>
      <c r="BF173" s="7"/>
      <c r="BG173" s="7"/>
      <c r="BH173" s="7">
        <v>1</v>
      </c>
      <c r="BI173" s="7">
        <v>0.307</v>
      </c>
      <c r="BJ173" s="7"/>
      <c r="BK173" s="7"/>
      <c r="BL173" s="7"/>
      <c r="BM173" s="7"/>
      <c r="BN173" s="7"/>
      <c r="BO173" s="7"/>
      <c r="BP173" s="7"/>
      <c r="BQ173" s="7"/>
      <c r="BR173" s="7"/>
      <c r="BS173" s="7"/>
      <c r="BT173" s="7"/>
      <c r="BU173" s="7"/>
      <c r="BV173" s="7">
        <v>0.307</v>
      </c>
      <c r="BW173" s="5">
        <v>44259</v>
      </c>
      <c r="BX173">
        <v>3</v>
      </c>
      <c r="BY173">
        <v>4</v>
      </c>
      <c r="BZ173">
        <v>2021</v>
      </c>
      <c r="CA173" s="5">
        <f t="shared" si="48"/>
        <v>44289</v>
      </c>
      <c r="CB173">
        <v>93</v>
      </c>
      <c r="CC173" s="7">
        <v>7</v>
      </c>
      <c r="CE173">
        <f t="shared" si="49"/>
        <v>0.17665763749852784</v>
      </c>
      <c r="CF173">
        <f t="shared" si="50"/>
        <v>3.5549062576089598</v>
      </c>
      <c r="CG173">
        <f t="shared" si="58"/>
        <v>3.5614099280400047E-2</v>
      </c>
      <c r="CH173">
        <f t="shared" si="59"/>
        <v>6.4647349646410905</v>
      </c>
      <c r="CI173">
        <f t="shared" si="53"/>
        <v>2.6980954620268052</v>
      </c>
      <c r="CJ173" s="1">
        <f t="shared" si="54"/>
        <v>4.502703973665648</v>
      </c>
      <c r="CK173" s="7" t="s">
        <v>142</v>
      </c>
      <c r="CL173" s="7">
        <v>2</v>
      </c>
      <c r="CM173" s="7"/>
      <c r="CN173" s="7"/>
      <c r="CO173" s="7"/>
      <c r="CP173" s="7"/>
    </row>
    <row r="174" spans="1:99" x14ac:dyDescent="0.2">
      <c r="A174" s="7" t="s">
        <v>775</v>
      </c>
      <c r="B174" s="7" t="s">
        <v>46</v>
      </c>
      <c r="C174" t="str">
        <f t="shared" si="44"/>
        <v>I</v>
      </c>
      <c r="D174" t="str">
        <f t="shared" si="45"/>
        <v>I</v>
      </c>
      <c r="E174" t="str">
        <f t="shared" si="46"/>
        <v>G</v>
      </c>
      <c r="F174" s="7">
        <v>86</v>
      </c>
      <c r="G174" s="7">
        <v>79</v>
      </c>
      <c r="H174" s="7">
        <v>10.15</v>
      </c>
      <c r="I174" s="7">
        <v>0.28299999999999997</v>
      </c>
      <c r="J174" s="7">
        <v>0.19500000000000001</v>
      </c>
      <c r="K174" s="7" t="s">
        <v>24</v>
      </c>
      <c r="L174" t="str">
        <f t="shared" si="47"/>
        <v>F</v>
      </c>
      <c r="M174" s="7">
        <v>22</v>
      </c>
      <c r="N174" s="7">
        <v>0.56699999999999995</v>
      </c>
      <c r="O174" s="7">
        <v>0.46200000000000002</v>
      </c>
      <c r="P174" s="7" t="s">
        <v>789</v>
      </c>
      <c r="Q174" t="str">
        <f t="shared" si="43"/>
        <v>F</v>
      </c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>
        <v>1</v>
      </c>
      <c r="BC174" s="7">
        <v>6.9000000000000006E-2</v>
      </c>
      <c r="BD174" s="7"/>
      <c r="BE174" s="7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  <c r="BT174" s="7"/>
      <c r="BU174" s="7"/>
      <c r="BV174" s="7">
        <v>6.9000000000000006E-2</v>
      </c>
      <c r="BW174" s="5">
        <v>44259</v>
      </c>
      <c r="BX174">
        <v>3</v>
      </c>
      <c r="BY174">
        <v>4</v>
      </c>
      <c r="BZ174">
        <v>2021</v>
      </c>
      <c r="CA174" s="5">
        <f t="shared" si="48"/>
        <v>44289</v>
      </c>
      <c r="CB174">
        <v>93</v>
      </c>
      <c r="CC174" s="7">
        <v>7</v>
      </c>
      <c r="CE174">
        <f t="shared" si="49"/>
        <v>1.9588146659969865</v>
      </c>
      <c r="CF174">
        <f t="shared" si="50"/>
        <v>2.8681463464072152</v>
      </c>
      <c r="CG174">
        <f t="shared" si="58"/>
        <v>2.9259718775847803E-2</v>
      </c>
      <c r="CH174">
        <f t="shared" si="59"/>
        <v>4.7687861271676297</v>
      </c>
      <c r="CI174">
        <f t="shared" si="53"/>
        <v>1.0344827586206891</v>
      </c>
      <c r="CJ174" s="1">
        <f t="shared" si="54"/>
        <v>1.7142857142857137</v>
      </c>
      <c r="CK174" s="7" t="s">
        <v>142</v>
      </c>
      <c r="CL174" s="7">
        <v>2</v>
      </c>
      <c r="CM174" s="7"/>
      <c r="CN174" s="7"/>
      <c r="CO174" s="7"/>
      <c r="CP174" s="7"/>
      <c r="CQ174" s="12">
        <v>2.75E-2</v>
      </c>
      <c r="CR174">
        <f>CQ174/(H174-I174-J174-N174)*1000</f>
        <v>3.0203185063152111</v>
      </c>
    </row>
    <row r="175" spans="1:99" x14ac:dyDescent="0.2">
      <c r="A175" s="7" t="s">
        <v>776</v>
      </c>
      <c r="B175" s="7" t="s">
        <v>46</v>
      </c>
      <c r="C175" t="str">
        <f t="shared" si="44"/>
        <v>I</v>
      </c>
      <c r="D175" t="str">
        <f t="shared" si="45"/>
        <v>I</v>
      </c>
      <c r="E175" t="str">
        <f t="shared" si="46"/>
        <v>G</v>
      </c>
      <c r="F175" s="7">
        <v>86</v>
      </c>
      <c r="G175" s="7">
        <v>80</v>
      </c>
      <c r="H175" s="7">
        <v>11.685</v>
      </c>
      <c r="I175" s="7">
        <v>0.39300000000000002</v>
      </c>
      <c r="J175" s="7">
        <v>2.3E-2</v>
      </c>
      <c r="K175" s="7" t="s">
        <v>38</v>
      </c>
      <c r="L175" t="str">
        <f t="shared" si="47"/>
        <v>M</v>
      </c>
      <c r="M175" s="7">
        <v>22</v>
      </c>
      <c r="N175" s="7">
        <v>0.61399999999999999</v>
      </c>
      <c r="O175" s="7">
        <v>0.56699999999999995</v>
      </c>
      <c r="P175" s="7" t="s">
        <v>548</v>
      </c>
      <c r="Q175" t="str">
        <f t="shared" si="43"/>
        <v>F</v>
      </c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s="7">
        <v>2</v>
      </c>
      <c r="AW175" s="7">
        <v>1.2E-2</v>
      </c>
      <c r="AX175" s="7"/>
      <c r="AY175" s="7"/>
      <c r="AZ175" s="7"/>
      <c r="BA175" s="7"/>
      <c r="BB175" s="7"/>
      <c r="BC175" s="7"/>
      <c r="BD175" s="7"/>
      <c r="BE175" s="7"/>
      <c r="BF175" s="7"/>
      <c r="BG175" s="7"/>
      <c r="BH175" s="7"/>
      <c r="BI175" s="7"/>
      <c r="BJ175" s="7"/>
      <c r="BK175" s="7"/>
      <c r="BL175" s="7"/>
      <c r="BM175" s="7"/>
      <c r="BN175" s="7"/>
      <c r="BO175" s="7"/>
      <c r="BP175" s="7"/>
      <c r="BQ175" s="7"/>
      <c r="BR175" s="7"/>
      <c r="BS175" s="7"/>
      <c r="BT175" s="7"/>
      <c r="BU175" s="7"/>
      <c r="BV175" s="7">
        <v>1.2E-2</v>
      </c>
      <c r="BW175" s="5">
        <v>44259</v>
      </c>
      <c r="BX175">
        <v>3</v>
      </c>
      <c r="BY175">
        <v>4</v>
      </c>
      <c r="BZ175">
        <v>2021</v>
      </c>
      <c r="CA175" s="5">
        <f t="shared" si="48"/>
        <v>44289</v>
      </c>
      <c r="CB175">
        <v>93</v>
      </c>
      <c r="CC175" s="7">
        <v>7</v>
      </c>
      <c r="CE175">
        <f t="shared" si="49"/>
        <v>0.19722174584119362</v>
      </c>
      <c r="CF175">
        <f t="shared" si="50"/>
        <v>3.4803400637619553</v>
      </c>
      <c r="CG175">
        <f t="shared" si="58"/>
        <v>3.4874434288756764E-2</v>
      </c>
      <c r="CH175">
        <f t="shared" si="59"/>
        <v>5.0998381003777657</v>
      </c>
      <c r="CI175">
        <f t="shared" si="53"/>
        <v>0.40222507488232812</v>
      </c>
      <c r="CJ175" s="1">
        <f t="shared" si="54"/>
        <v>0.50492083868207138</v>
      </c>
      <c r="CK175" s="7" t="s">
        <v>142</v>
      </c>
      <c r="CL175" s="7">
        <v>1</v>
      </c>
      <c r="CM175" s="7"/>
      <c r="CN175" s="7"/>
      <c r="CO175" s="7"/>
      <c r="CP175" s="7"/>
    </row>
    <row r="176" spans="1:99" ht="32" x14ac:dyDescent="0.2">
      <c r="A176" s="7" t="s">
        <v>777</v>
      </c>
      <c r="B176" s="7" t="s">
        <v>46</v>
      </c>
      <c r="C176" t="str">
        <f t="shared" si="44"/>
        <v>I</v>
      </c>
      <c r="D176" t="str">
        <f t="shared" si="45"/>
        <v>I</v>
      </c>
      <c r="E176" t="str">
        <f t="shared" si="46"/>
        <v>G</v>
      </c>
      <c r="F176" s="7">
        <v>87</v>
      </c>
      <c r="G176" s="7">
        <v>81</v>
      </c>
      <c r="H176" s="7">
        <v>10.406000000000001</v>
      </c>
      <c r="I176" s="7">
        <v>0.29599999999999999</v>
      </c>
      <c r="J176" s="7">
        <v>0.02</v>
      </c>
      <c r="K176" s="7" t="s">
        <v>38</v>
      </c>
      <c r="L176" t="str">
        <f t="shared" si="47"/>
        <v>M</v>
      </c>
      <c r="M176" s="7">
        <v>22</v>
      </c>
      <c r="N176" s="7">
        <v>0.60199999999999998</v>
      </c>
      <c r="O176" s="7">
        <v>0.501</v>
      </c>
      <c r="P176" s="7" t="s">
        <v>790</v>
      </c>
      <c r="Q176" t="str">
        <f t="shared" si="43"/>
        <v>F</v>
      </c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>
        <v>1</v>
      </c>
      <c r="AS176" s="7">
        <v>1.4E-2</v>
      </c>
      <c r="AT176" s="7"/>
      <c r="AU176" s="7"/>
      <c r="AV176" s="7"/>
      <c r="AW176" s="7"/>
      <c r="AX176" s="7"/>
      <c r="AY176" s="7"/>
      <c r="AZ176" s="7"/>
      <c r="BA176" s="7"/>
      <c r="BB176" s="7">
        <v>1</v>
      </c>
      <c r="BC176" s="7">
        <v>0.03</v>
      </c>
      <c r="BD176" s="7"/>
      <c r="BE176" s="7"/>
      <c r="BF176" s="7"/>
      <c r="BG176" s="7"/>
      <c r="BH176" s="7"/>
      <c r="BI176" s="7"/>
      <c r="BJ176" s="7"/>
      <c r="BK176" s="7"/>
      <c r="BL176" s="7"/>
      <c r="BM176" s="7"/>
      <c r="BN176" s="7"/>
      <c r="BO176" s="7"/>
      <c r="BP176" s="7"/>
      <c r="BQ176" s="7"/>
      <c r="BR176" s="7"/>
      <c r="BS176" s="7"/>
      <c r="BT176" s="7"/>
      <c r="BU176" s="7"/>
      <c r="BV176" s="7">
        <v>4.3999999999999997E-2</v>
      </c>
      <c r="BW176" s="5">
        <v>44259</v>
      </c>
      <c r="BX176">
        <v>3</v>
      </c>
      <c r="BY176">
        <v>4</v>
      </c>
      <c r="BZ176">
        <v>2021</v>
      </c>
      <c r="CA176" s="5">
        <f t="shared" si="48"/>
        <v>44289</v>
      </c>
      <c r="CB176">
        <v>93</v>
      </c>
      <c r="CC176" s="7">
        <v>7</v>
      </c>
      <c r="CE176">
        <f t="shared" si="49"/>
        <v>0.19256691700365874</v>
      </c>
      <c r="CF176">
        <f t="shared" si="50"/>
        <v>2.9277942631058353</v>
      </c>
      <c r="CG176">
        <f t="shared" si="58"/>
        <v>2.9335976214073335E-2</v>
      </c>
      <c r="CH176">
        <f t="shared" si="59"/>
        <v>5.0580514891468944</v>
      </c>
      <c r="CI176">
        <f t="shared" si="53"/>
        <v>0.97059388814145653</v>
      </c>
      <c r="CJ176" s="1">
        <f t="shared" si="54"/>
        <v>1.3934268691139724</v>
      </c>
      <c r="CK176" s="7" t="s">
        <v>142</v>
      </c>
      <c r="CL176" s="7">
        <v>2</v>
      </c>
      <c r="CM176" s="7"/>
      <c r="CN176" s="7"/>
      <c r="CO176" s="7"/>
      <c r="CP176" s="7"/>
    </row>
    <row r="177" spans="1:96" ht="32" x14ac:dyDescent="0.2">
      <c r="A177" s="7" t="s">
        <v>778</v>
      </c>
      <c r="B177" s="7" t="s">
        <v>46</v>
      </c>
      <c r="C177" t="str">
        <f t="shared" si="44"/>
        <v>I</v>
      </c>
      <c r="D177" t="str">
        <f t="shared" si="45"/>
        <v>I</v>
      </c>
      <c r="E177" t="str">
        <f t="shared" si="46"/>
        <v>G</v>
      </c>
      <c r="F177" s="7">
        <v>85</v>
      </c>
      <c r="G177" s="7">
        <v>80</v>
      </c>
      <c r="H177" s="7">
        <v>10.61</v>
      </c>
      <c r="I177" s="7">
        <v>0.30099999999999999</v>
      </c>
      <c r="J177" s="7">
        <v>1.9E-2</v>
      </c>
      <c r="K177" s="7" t="s">
        <v>38</v>
      </c>
      <c r="L177" t="str">
        <f t="shared" si="47"/>
        <v>M</v>
      </c>
      <c r="M177" s="7">
        <v>22</v>
      </c>
      <c r="N177" s="7">
        <v>0.622</v>
      </c>
      <c r="O177" s="7">
        <v>0.42</v>
      </c>
      <c r="P177" s="7" t="s">
        <v>791</v>
      </c>
      <c r="Q177" t="str">
        <f t="shared" si="43"/>
        <v>F</v>
      </c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>
        <v>1</v>
      </c>
      <c r="BA177" s="7">
        <v>7.0000000000000007E-2</v>
      </c>
      <c r="BB177" s="7"/>
      <c r="BC177" s="7"/>
      <c r="BD177" s="7"/>
      <c r="BE177" s="7"/>
      <c r="BF177" s="7"/>
      <c r="BG177" s="7"/>
      <c r="BH177" s="7">
        <v>2</v>
      </c>
      <c r="BI177" s="7">
        <v>0.01</v>
      </c>
      <c r="BJ177" s="7"/>
      <c r="BK177" s="7"/>
      <c r="BL177" s="7"/>
      <c r="BM177" s="7"/>
      <c r="BN177" s="7"/>
      <c r="BO177" s="7"/>
      <c r="BP177" s="7"/>
      <c r="BQ177" s="7"/>
      <c r="BR177" s="7"/>
      <c r="BS177" s="7"/>
      <c r="BT177" s="7"/>
      <c r="BU177" s="7"/>
      <c r="BV177" s="7">
        <v>0.14099999999999999</v>
      </c>
      <c r="BW177" s="5">
        <v>44259</v>
      </c>
      <c r="BX177">
        <v>3</v>
      </c>
      <c r="BY177">
        <v>4</v>
      </c>
      <c r="BZ177">
        <v>2021</v>
      </c>
      <c r="CA177" s="5">
        <f t="shared" si="48"/>
        <v>44289</v>
      </c>
      <c r="CB177">
        <v>93</v>
      </c>
      <c r="CC177" s="7">
        <v>7</v>
      </c>
      <c r="CE177">
        <f t="shared" si="49"/>
        <v>0.17939760173732416</v>
      </c>
      <c r="CF177">
        <f t="shared" si="50"/>
        <v>2.9197788340285187</v>
      </c>
      <c r="CG177">
        <f t="shared" si="58"/>
        <v>2.9251700680272111E-2</v>
      </c>
      <c r="CH177">
        <f t="shared" si="59"/>
        <v>4.1216879293424924</v>
      </c>
      <c r="CI177">
        <f t="shared" si="53"/>
        <v>1.9038642789820925</v>
      </c>
      <c r="CJ177" s="1">
        <f t="shared" si="54"/>
        <v>3.2327992459943453</v>
      </c>
      <c r="CK177" s="7" t="s">
        <v>142</v>
      </c>
      <c r="CL177" s="7">
        <v>1</v>
      </c>
      <c r="CM177" s="7"/>
      <c r="CN177" s="7"/>
      <c r="CO177" s="7"/>
      <c r="CP177" s="7"/>
    </row>
    <row r="178" spans="1:96" ht="32" x14ac:dyDescent="0.2">
      <c r="A178" s="7" t="s">
        <v>779</v>
      </c>
      <c r="B178" s="7" t="s">
        <v>46</v>
      </c>
      <c r="C178" t="str">
        <f t="shared" si="44"/>
        <v>I</v>
      </c>
      <c r="D178" t="str">
        <f t="shared" si="45"/>
        <v>I</v>
      </c>
      <c r="E178" t="str">
        <f t="shared" si="46"/>
        <v>G</v>
      </c>
      <c r="F178" s="7">
        <v>93</v>
      </c>
      <c r="G178" s="7">
        <v>88</v>
      </c>
      <c r="H178" s="7">
        <v>15.144</v>
      </c>
      <c r="I178" s="7">
        <v>0.5</v>
      </c>
      <c r="J178" s="7">
        <v>0.23400000000000001</v>
      </c>
      <c r="K178" s="7" t="s">
        <v>24</v>
      </c>
      <c r="L178" t="str">
        <f t="shared" si="47"/>
        <v>F</v>
      </c>
      <c r="M178" s="7">
        <v>22</v>
      </c>
      <c r="N178" s="7">
        <v>1.359</v>
      </c>
      <c r="O178" s="7">
        <v>0.78300000000000003</v>
      </c>
      <c r="P178" s="7" t="s">
        <v>792</v>
      </c>
      <c r="Q178" t="str">
        <f t="shared" si="43"/>
        <v>F</v>
      </c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>
        <v>50</v>
      </c>
      <c r="AW178" s="7">
        <v>0.48399999999999999</v>
      </c>
      <c r="AX178" s="7">
        <v>1</v>
      </c>
      <c r="AY178" s="7">
        <v>1.6E-2</v>
      </c>
      <c r="AZ178" s="7"/>
      <c r="BA178" s="7"/>
      <c r="BB178" s="7"/>
      <c r="BC178" s="7"/>
      <c r="BD178" s="7"/>
      <c r="BE178" s="7"/>
      <c r="BF178" s="7"/>
      <c r="BG178" s="7"/>
      <c r="BH178" s="7"/>
      <c r="BI178" s="7"/>
      <c r="BJ178" s="7"/>
      <c r="BK178" s="7"/>
      <c r="BL178" s="7"/>
      <c r="BM178" s="7"/>
      <c r="BN178" s="7"/>
      <c r="BO178" s="7"/>
      <c r="BP178" s="7"/>
      <c r="BQ178" s="7"/>
      <c r="BR178" s="7"/>
      <c r="BS178" s="7"/>
      <c r="BT178" s="7"/>
      <c r="BU178" s="7"/>
      <c r="BV178">
        <f>0.484+0.016</f>
        <v>0.5</v>
      </c>
      <c r="BW178" s="5">
        <v>44259</v>
      </c>
      <c r="BX178">
        <v>3</v>
      </c>
      <c r="BY178">
        <v>4</v>
      </c>
      <c r="BZ178">
        <v>2021</v>
      </c>
      <c r="CA178" s="5">
        <f t="shared" si="48"/>
        <v>44289</v>
      </c>
      <c r="CB178">
        <v>93</v>
      </c>
      <c r="CC178" s="7">
        <v>7</v>
      </c>
      <c r="CE178">
        <f t="shared" si="49"/>
        <v>1.5694164989939636</v>
      </c>
      <c r="CF178">
        <f t="shared" si="50"/>
        <v>3.4143676591095331</v>
      </c>
      <c r="CG178">
        <f t="shared" ref="CG178:CG209" si="60">I178/(H178-I178-J178)</f>
        <v>3.4698126301179737E-2</v>
      </c>
      <c r="CH178">
        <f t="shared" ref="CH178:CH209" si="61">O178/(H178-O178)*100</f>
        <v>5.4522665552538125</v>
      </c>
      <c r="CI178">
        <f t="shared" si="53"/>
        <v>3.8034865293185414</v>
      </c>
      <c r="CJ178" s="1">
        <f t="shared" si="54"/>
        <v>7.1051241415742208</v>
      </c>
      <c r="CK178" s="7" t="s">
        <v>142</v>
      </c>
      <c r="CL178" s="7">
        <v>1</v>
      </c>
      <c r="CM178" s="7"/>
      <c r="CN178" s="7"/>
      <c r="CO178" s="7"/>
      <c r="CP178" s="7"/>
      <c r="CQ178" s="12">
        <v>6.2799999999999995E-2</v>
      </c>
      <c r="CR178">
        <f>CQ178/(H178-I178-J178-N178)*1000</f>
        <v>4.8118918090567773</v>
      </c>
    </row>
    <row r="179" spans="1:96" x14ac:dyDescent="0.2">
      <c r="A179" s="7" t="s">
        <v>780</v>
      </c>
      <c r="B179" s="7" t="s">
        <v>46</v>
      </c>
      <c r="C179" t="str">
        <f t="shared" si="44"/>
        <v>I</v>
      </c>
      <c r="D179" t="str">
        <f t="shared" si="45"/>
        <v>I</v>
      </c>
      <c r="E179" t="str">
        <f t="shared" si="46"/>
        <v>G</v>
      </c>
      <c r="F179" s="7">
        <v>87</v>
      </c>
      <c r="G179" s="7">
        <v>83</v>
      </c>
      <c r="H179" s="7">
        <v>11.083</v>
      </c>
      <c r="I179" s="7">
        <v>0.33300000000000002</v>
      </c>
      <c r="J179" s="7">
        <v>0.21</v>
      </c>
      <c r="K179" s="7" t="s">
        <v>786</v>
      </c>
      <c r="L179" t="str">
        <f t="shared" si="47"/>
        <v>F</v>
      </c>
      <c r="M179" s="7">
        <v>23</v>
      </c>
      <c r="N179" s="7">
        <v>0.63300000000000001</v>
      </c>
      <c r="O179" s="7">
        <v>0.53800000000000003</v>
      </c>
      <c r="P179" s="7" t="s">
        <v>793</v>
      </c>
      <c r="Q179" t="str">
        <f t="shared" si="43"/>
        <v>F</v>
      </c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  <c r="AZ179" s="7"/>
      <c r="BA179" s="7"/>
      <c r="BB179" s="7">
        <v>1</v>
      </c>
      <c r="BC179" s="7">
        <v>2.4E-2</v>
      </c>
      <c r="BD179" s="7"/>
      <c r="BE179" s="7"/>
      <c r="BF179" s="7"/>
      <c r="BG179" s="7"/>
      <c r="BH179" s="7"/>
      <c r="BI179" s="7"/>
      <c r="BJ179" s="7"/>
      <c r="BK179" s="7"/>
      <c r="BL179" s="7"/>
      <c r="BM179" s="7"/>
      <c r="BN179" s="7"/>
      <c r="BO179" s="7"/>
      <c r="BP179" s="7"/>
      <c r="BQ179" s="7"/>
      <c r="BR179" s="7"/>
      <c r="BS179" s="7"/>
      <c r="BT179" s="7"/>
      <c r="BU179" s="7"/>
      <c r="BV179" s="7">
        <v>2.4E-2</v>
      </c>
      <c r="BW179" s="5">
        <v>44259</v>
      </c>
      <c r="BX179">
        <v>3</v>
      </c>
      <c r="BY179">
        <v>4</v>
      </c>
      <c r="BZ179">
        <v>2021</v>
      </c>
      <c r="CA179" s="5">
        <f t="shared" si="48"/>
        <v>44289</v>
      </c>
      <c r="CB179">
        <v>93</v>
      </c>
      <c r="CC179" s="7">
        <v>7</v>
      </c>
      <c r="CE179">
        <f t="shared" si="49"/>
        <v>1.9313896808608479</v>
      </c>
      <c r="CF179">
        <f t="shared" si="50"/>
        <v>3.097674418604651</v>
      </c>
      <c r="CG179">
        <f t="shared" si="60"/>
        <v>3.1593927893738147E-2</v>
      </c>
      <c r="CH179">
        <f t="shared" si="61"/>
        <v>5.101944049312471</v>
      </c>
      <c r="CI179">
        <f t="shared" si="53"/>
        <v>0.85716863665072607</v>
      </c>
      <c r="CJ179" s="1">
        <f t="shared" si="54"/>
        <v>1.0737165027519622</v>
      </c>
      <c r="CK179" s="7" t="s">
        <v>142</v>
      </c>
      <c r="CL179" s="7">
        <v>1</v>
      </c>
      <c r="CM179" s="7"/>
      <c r="CN179" s="7"/>
      <c r="CO179" s="7"/>
      <c r="CP179" s="7"/>
    </row>
    <row r="180" spans="1:96" x14ac:dyDescent="0.2">
      <c r="A180" s="7" t="s">
        <v>781</v>
      </c>
      <c r="B180" s="7" t="s">
        <v>46</v>
      </c>
      <c r="C180" t="str">
        <f t="shared" si="44"/>
        <v>I</v>
      </c>
      <c r="D180" t="str">
        <f t="shared" si="45"/>
        <v>S</v>
      </c>
      <c r="E180" t="str">
        <f t="shared" si="46"/>
        <v>G</v>
      </c>
      <c r="F180" s="7">
        <v>76</v>
      </c>
      <c r="G180" s="7">
        <v>72</v>
      </c>
      <c r="H180" s="7">
        <v>7.0510000000000002</v>
      </c>
      <c r="I180" s="7">
        <v>0.20799999999999999</v>
      </c>
      <c r="J180" s="7">
        <v>0.155</v>
      </c>
      <c r="K180" s="7" t="s">
        <v>786</v>
      </c>
      <c r="L180" t="str">
        <f t="shared" si="47"/>
        <v>F</v>
      </c>
      <c r="M180" s="7">
        <v>23</v>
      </c>
      <c r="N180" s="7">
        <v>0.36899999999999999</v>
      </c>
      <c r="O180" s="7">
        <v>0.30099999999999999</v>
      </c>
      <c r="P180" s="7" t="s">
        <v>794</v>
      </c>
      <c r="Q180" t="str">
        <f t="shared" si="43"/>
        <v>F</v>
      </c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>
        <v>15</v>
      </c>
      <c r="AW180" s="7">
        <v>2.5000000000000001E-2</v>
      </c>
      <c r="AX180" s="7"/>
      <c r="AY180" s="7"/>
      <c r="AZ180" s="7"/>
      <c r="BA180" s="7"/>
      <c r="BB180" s="7"/>
      <c r="BC180" s="7"/>
      <c r="BD180" s="7"/>
      <c r="BE180" s="7"/>
      <c r="BF180" s="7"/>
      <c r="BG180" s="7"/>
      <c r="BH180" s="7"/>
      <c r="BI180" s="7"/>
      <c r="BJ180" s="7"/>
      <c r="BK180" s="7"/>
      <c r="BL180" s="7"/>
      <c r="BM180" s="7"/>
      <c r="BN180" s="7"/>
      <c r="BO180" s="7"/>
      <c r="BP180" s="7"/>
      <c r="BQ180" s="7"/>
      <c r="BR180" s="7"/>
      <c r="BS180" s="7"/>
      <c r="BT180" s="7"/>
      <c r="BU180" s="7"/>
      <c r="BV180" s="7">
        <v>2.5000000000000001E-2</v>
      </c>
      <c r="BW180" s="5">
        <v>44259</v>
      </c>
      <c r="BX180">
        <v>3</v>
      </c>
      <c r="BY180">
        <v>4</v>
      </c>
      <c r="BZ180">
        <v>2021</v>
      </c>
      <c r="CA180" s="5">
        <f t="shared" si="48"/>
        <v>44289</v>
      </c>
      <c r="CB180">
        <v>93</v>
      </c>
      <c r="CC180" s="7">
        <v>7</v>
      </c>
      <c r="CE180">
        <f t="shared" si="49"/>
        <v>2.2476798143851511</v>
      </c>
      <c r="CF180">
        <f t="shared" si="50"/>
        <v>3.0396025135174627</v>
      </c>
      <c r="CG180">
        <f t="shared" si="60"/>
        <v>3.1100478468899521E-2</v>
      </c>
      <c r="CH180">
        <f t="shared" si="61"/>
        <v>4.4592592592592597</v>
      </c>
      <c r="CI180">
        <f t="shared" si="53"/>
        <v>0.96440221245213453</v>
      </c>
      <c r="CJ180" s="1">
        <f t="shared" si="54"/>
        <v>1.3189618493830662</v>
      </c>
      <c r="CK180" s="7" t="s">
        <v>142</v>
      </c>
      <c r="CL180" s="7">
        <v>1</v>
      </c>
      <c r="CM180" s="7"/>
      <c r="CN180" s="7"/>
      <c r="CO180" s="7"/>
      <c r="CP180" s="7"/>
    </row>
    <row r="181" spans="1:96" x14ac:dyDescent="0.2">
      <c r="A181" s="7" t="s">
        <v>782</v>
      </c>
      <c r="B181" s="7" t="s">
        <v>46</v>
      </c>
      <c r="C181" t="str">
        <f t="shared" si="44"/>
        <v>S</v>
      </c>
      <c r="D181" t="str">
        <f t="shared" si="45"/>
        <v>IMM</v>
      </c>
      <c r="E181" t="str">
        <f t="shared" si="46"/>
        <v>G</v>
      </c>
      <c r="F181" s="7">
        <v>60</v>
      </c>
      <c r="G181" s="7">
        <v>57</v>
      </c>
      <c r="H181" s="7">
        <v>3.4809999999999999</v>
      </c>
      <c r="I181" s="7">
        <v>0.108</v>
      </c>
      <c r="J181" s="7">
        <v>7.4999999999999997E-2</v>
      </c>
      <c r="K181" s="7" t="s">
        <v>24</v>
      </c>
      <c r="L181" t="str">
        <f t="shared" si="47"/>
        <v>F</v>
      </c>
      <c r="M181" s="7">
        <v>22</v>
      </c>
      <c r="N181" s="7">
        <v>0.14000000000000001</v>
      </c>
      <c r="O181" s="7">
        <v>0.13100000000000001</v>
      </c>
      <c r="P181" s="7" t="s">
        <v>36</v>
      </c>
      <c r="Q181" t="str">
        <f t="shared" si="43"/>
        <v>MT</v>
      </c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7"/>
      <c r="AY181" s="7"/>
      <c r="AZ181" s="7"/>
      <c r="BA181" s="7"/>
      <c r="BB181" s="7"/>
      <c r="BC181" s="7"/>
      <c r="BD181" s="7"/>
      <c r="BE181" s="7"/>
      <c r="BF181" s="7"/>
      <c r="BG181" s="7"/>
      <c r="BH181" s="7"/>
      <c r="BI181" s="7"/>
      <c r="BJ181" s="7"/>
      <c r="BK181" s="7"/>
      <c r="BL181" s="7"/>
      <c r="BM181" s="7"/>
      <c r="BN181" s="7"/>
      <c r="BO181" s="7"/>
      <c r="BP181" s="7"/>
      <c r="BQ181" s="7"/>
      <c r="BR181" s="7"/>
      <c r="BS181" s="7"/>
      <c r="BT181" s="7"/>
      <c r="BU181" s="7"/>
      <c r="BW181" s="5">
        <v>44259</v>
      </c>
      <c r="BX181">
        <v>3</v>
      </c>
      <c r="BY181">
        <v>4</v>
      </c>
      <c r="BZ181">
        <v>2021</v>
      </c>
      <c r="CA181" s="5">
        <f t="shared" si="48"/>
        <v>44289</v>
      </c>
      <c r="CB181">
        <v>93</v>
      </c>
      <c r="CC181" s="7">
        <v>7</v>
      </c>
      <c r="CE181">
        <f t="shared" si="49"/>
        <v>2.201996476805637</v>
      </c>
      <c r="CF181">
        <f t="shared" si="50"/>
        <v>3.2018974206937445</v>
      </c>
      <c r="CG181">
        <f t="shared" si="60"/>
        <v>3.274711946634324E-2</v>
      </c>
      <c r="CH181">
        <f t="shared" si="61"/>
        <v>3.91044776119403</v>
      </c>
      <c r="CI181">
        <f t="shared" si="53"/>
        <v>0.2585463947141628</v>
      </c>
      <c r="CJ181" s="1">
        <f t="shared" si="54"/>
        <v>0.2585463947141628</v>
      </c>
      <c r="CK181" s="7" t="s">
        <v>142</v>
      </c>
      <c r="CL181" s="7">
        <v>1</v>
      </c>
      <c r="CM181" s="7"/>
      <c r="CN181" s="7"/>
      <c r="CO181" s="7"/>
      <c r="CP181" s="7"/>
      <c r="CQ181" s="12">
        <v>1.09E-2</v>
      </c>
      <c r="CR181">
        <f>CQ181/(H181-I181-J181-N181)*1000</f>
        <v>3.4515516149461689</v>
      </c>
    </row>
    <row r="182" spans="1:96" x14ac:dyDescent="0.2">
      <c r="A182" s="7" t="s">
        <v>795</v>
      </c>
      <c r="B182" s="7" t="s">
        <v>46</v>
      </c>
      <c r="C182" t="str">
        <f t="shared" si="44"/>
        <v>I</v>
      </c>
      <c r="D182" t="str">
        <f t="shared" si="45"/>
        <v>S</v>
      </c>
      <c r="E182" t="str">
        <f t="shared" si="46"/>
        <v>G</v>
      </c>
      <c r="F182" s="7">
        <v>75</v>
      </c>
      <c r="G182" s="7">
        <v>71</v>
      </c>
      <c r="H182" s="7">
        <v>6.8920000000000003</v>
      </c>
      <c r="I182" s="7">
        <v>0.22500000000000001</v>
      </c>
      <c r="J182" s="7">
        <v>1.6E-2</v>
      </c>
      <c r="K182" s="7" t="s">
        <v>38</v>
      </c>
      <c r="L182" t="str">
        <f t="shared" si="47"/>
        <v>M</v>
      </c>
      <c r="M182" s="7">
        <v>22</v>
      </c>
      <c r="N182" s="7">
        <v>0.377</v>
      </c>
      <c r="O182" s="7">
        <v>0.32700000000000001</v>
      </c>
      <c r="P182" s="7" t="s">
        <v>821</v>
      </c>
      <c r="Q182" t="str">
        <f t="shared" si="43"/>
        <v>F</v>
      </c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>
        <v>8</v>
      </c>
      <c r="AW182" s="7">
        <v>3.4000000000000002E-2</v>
      </c>
      <c r="AX182" s="7"/>
      <c r="AY182" s="7"/>
      <c r="AZ182" s="7"/>
      <c r="BA182" s="7"/>
      <c r="BB182" s="7"/>
      <c r="BC182" s="7"/>
      <c r="BD182" s="7"/>
      <c r="BE182" s="7"/>
      <c r="BF182" s="7"/>
      <c r="BG182" s="7"/>
      <c r="BH182" s="7"/>
      <c r="BI182" s="7"/>
      <c r="BJ182" s="7"/>
      <c r="BK182" s="7"/>
      <c r="BL182" s="7"/>
      <c r="BM182" s="7"/>
      <c r="BN182" s="7"/>
      <c r="BO182" s="7"/>
      <c r="BP182" s="7"/>
      <c r="BQ182" s="7"/>
      <c r="BR182" s="7"/>
      <c r="BS182" s="7"/>
      <c r="BT182" s="7"/>
      <c r="BU182" s="7"/>
      <c r="BV182" s="7">
        <v>3.4000000000000002E-2</v>
      </c>
      <c r="BW182" s="5">
        <v>44259</v>
      </c>
      <c r="BX182">
        <v>3</v>
      </c>
      <c r="BY182">
        <v>4</v>
      </c>
      <c r="BZ182">
        <v>2021</v>
      </c>
      <c r="CA182" s="5">
        <f t="shared" si="48"/>
        <v>44289</v>
      </c>
      <c r="CB182">
        <v>93</v>
      </c>
      <c r="CC182" s="7">
        <v>7</v>
      </c>
      <c r="CE182">
        <f t="shared" si="49"/>
        <v>0.2326934264107039</v>
      </c>
      <c r="CF182">
        <f t="shared" si="50"/>
        <v>3.3748312584370774</v>
      </c>
      <c r="CG182">
        <f t="shared" si="60"/>
        <v>3.3829499323410013E-2</v>
      </c>
      <c r="CH182">
        <f t="shared" si="61"/>
        <v>4.9809596344249805</v>
      </c>
      <c r="CI182">
        <f t="shared" si="53"/>
        <v>0.725478816018572</v>
      </c>
      <c r="CJ182" s="1">
        <f t="shared" si="54"/>
        <v>1.2188044109112011</v>
      </c>
      <c r="CK182" s="7" t="s">
        <v>142</v>
      </c>
      <c r="CL182" s="7">
        <v>1</v>
      </c>
      <c r="CM182" s="7"/>
      <c r="CN182" s="7"/>
      <c r="CO182" s="7"/>
      <c r="CP182" s="7"/>
    </row>
    <row r="183" spans="1:96" x14ac:dyDescent="0.2">
      <c r="A183" s="7" t="s">
        <v>796</v>
      </c>
      <c r="B183" s="7" t="s">
        <v>46</v>
      </c>
      <c r="C183" t="str">
        <f t="shared" si="44"/>
        <v>I</v>
      </c>
      <c r="D183" t="str">
        <f t="shared" si="45"/>
        <v>IMM</v>
      </c>
      <c r="E183" t="str">
        <f t="shared" si="46"/>
        <v>G</v>
      </c>
      <c r="F183" s="7">
        <v>62</v>
      </c>
      <c r="G183" s="7">
        <v>58</v>
      </c>
      <c r="H183" s="7">
        <v>3.609</v>
      </c>
      <c r="I183" s="7">
        <v>0.13400000000000001</v>
      </c>
      <c r="J183" s="7">
        <v>7.4999999999999997E-2</v>
      </c>
      <c r="K183" s="7" t="s">
        <v>786</v>
      </c>
      <c r="L183" t="str">
        <f t="shared" si="47"/>
        <v>F</v>
      </c>
      <c r="M183" s="7">
        <v>23</v>
      </c>
      <c r="N183" s="7">
        <v>0.154</v>
      </c>
      <c r="O183" s="7">
        <v>0.14000000000000001</v>
      </c>
      <c r="P183" s="7" t="s">
        <v>485</v>
      </c>
      <c r="Q183" t="str">
        <f t="shared" si="43"/>
        <v>F</v>
      </c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7">
        <v>1</v>
      </c>
      <c r="AW183" s="7">
        <v>2E-3</v>
      </c>
      <c r="AX183" s="7"/>
      <c r="AY183" s="7"/>
      <c r="AZ183" s="7"/>
      <c r="BA183" s="7"/>
      <c r="BB183" s="7"/>
      <c r="BC183" s="7"/>
      <c r="BD183" s="7"/>
      <c r="BE183" s="7"/>
      <c r="BF183" s="7"/>
      <c r="BG183" s="7"/>
      <c r="BH183" s="7"/>
      <c r="BI183" s="7"/>
      <c r="BJ183" s="7"/>
      <c r="BK183" s="7"/>
      <c r="BL183" s="7"/>
      <c r="BM183" s="7"/>
      <c r="BN183" s="7"/>
      <c r="BO183" s="7"/>
      <c r="BP183" s="7"/>
      <c r="BQ183" s="7"/>
      <c r="BR183" s="7"/>
      <c r="BS183" s="7"/>
      <c r="BT183" s="7"/>
      <c r="BU183" s="7"/>
      <c r="BV183" s="7">
        <v>2E-3</v>
      </c>
      <c r="BW183" s="5">
        <v>44259</v>
      </c>
      <c r="BX183">
        <v>3</v>
      </c>
      <c r="BY183">
        <v>4</v>
      </c>
      <c r="BZ183">
        <v>2021</v>
      </c>
      <c r="CA183" s="5">
        <f t="shared" si="48"/>
        <v>44289</v>
      </c>
      <c r="CB183">
        <v>93</v>
      </c>
      <c r="CC183" s="7">
        <v>7</v>
      </c>
      <c r="CE183">
        <f t="shared" si="49"/>
        <v>2.1222410865874362</v>
      </c>
      <c r="CF183">
        <f t="shared" si="50"/>
        <v>3.8561151079136691</v>
      </c>
      <c r="CG183">
        <f t="shared" si="60"/>
        <v>3.9411764705882354E-2</v>
      </c>
      <c r="CH183">
        <f t="shared" si="61"/>
        <v>4.0357451715191699</v>
      </c>
      <c r="CI183">
        <f t="shared" si="53"/>
        <v>0.387919091160986</v>
      </c>
      <c r="CJ183" s="1">
        <f t="shared" si="54"/>
        <v>0.44333610418398406</v>
      </c>
      <c r="CK183" s="7" t="s">
        <v>142</v>
      </c>
      <c r="CL183" s="7">
        <v>1</v>
      </c>
      <c r="CM183" s="7"/>
      <c r="CN183" s="7"/>
      <c r="CO183" s="7"/>
      <c r="CP183" s="7"/>
      <c r="CQ183" s="12">
        <v>1.11E-2</v>
      </c>
      <c r="CR183">
        <f>CQ183/(H183-I183-J183-N183)*1000</f>
        <v>3.4195933456561924</v>
      </c>
    </row>
    <row r="184" spans="1:96" x14ac:dyDescent="0.2">
      <c r="A184" s="7" t="s">
        <v>797</v>
      </c>
      <c r="B184" s="7" t="s">
        <v>46</v>
      </c>
      <c r="C184" t="str">
        <f t="shared" si="44"/>
        <v>I</v>
      </c>
      <c r="D184" t="str">
        <f t="shared" si="45"/>
        <v>S</v>
      </c>
      <c r="E184" t="str">
        <f t="shared" si="46"/>
        <v>G</v>
      </c>
      <c r="F184" s="7">
        <v>70</v>
      </c>
      <c r="G184" s="7">
        <v>66</v>
      </c>
      <c r="H184" s="7">
        <v>5.2869999999999999</v>
      </c>
      <c r="I184" s="7">
        <v>0.17</v>
      </c>
      <c r="J184" s="7">
        <v>4.9000000000000002E-2</v>
      </c>
      <c r="K184" s="7" t="s">
        <v>786</v>
      </c>
      <c r="L184" t="str">
        <f t="shared" si="47"/>
        <v>F</v>
      </c>
      <c r="M184" s="7">
        <v>23</v>
      </c>
      <c r="N184" s="7">
        <v>0.23899999999999999</v>
      </c>
      <c r="O184" s="7">
        <v>0.214</v>
      </c>
      <c r="P184" s="7" t="s">
        <v>822</v>
      </c>
      <c r="Q184" t="str">
        <f t="shared" si="43"/>
        <v>F</v>
      </c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>
        <v>2</v>
      </c>
      <c r="AW184" s="7">
        <v>1.4E-2</v>
      </c>
      <c r="AX184" s="7"/>
      <c r="AY184" s="7"/>
      <c r="AZ184" s="7"/>
      <c r="BA184" s="7"/>
      <c r="BB184" s="7"/>
      <c r="BC184" s="7"/>
      <c r="BD184" s="7"/>
      <c r="BE184" s="7"/>
      <c r="BF184" s="7"/>
      <c r="BG184" s="7"/>
      <c r="BH184" s="7"/>
      <c r="BI184" s="7"/>
      <c r="BJ184" s="7"/>
      <c r="BK184" s="7"/>
      <c r="BL184" s="7"/>
      <c r="BM184" s="7"/>
      <c r="BN184" s="7"/>
      <c r="BO184" s="7"/>
      <c r="BP184" s="7"/>
      <c r="BQ184" s="7"/>
      <c r="BR184" s="7"/>
      <c r="BS184" s="7"/>
      <c r="BT184" s="7"/>
      <c r="BU184" s="7"/>
      <c r="BV184" s="7">
        <v>1.4E-2</v>
      </c>
      <c r="BW184" s="5">
        <v>44259</v>
      </c>
      <c r="BX184">
        <v>3</v>
      </c>
      <c r="BY184">
        <v>4</v>
      </c>
      <c r="BZ184">
        <v>2021</v>
      </c>
      <c r="CA184" s="5">
        <f t="shared" si="48"/>
        <v>44289</v>
      </c>
      <c r="CB184">
        <v>93</v>
      </c>
      <c r="CC184" s="7">
        <v>7</v>
      </c>
      <c r="CE184">
        <f t="shared" si="49"/>
        <v>0.93547155402825521</v>
      </c>
      <c r="CF184">
        <f t="shared" si="50"/>
        <v>3.322259136212625</v>
      </c>
      <c r="CG184">
        <f t="shared" si="60"/>
        <v>3.3543804262036313E-2</v>
      </c>
      <c r="CH184">
        <f t="shared" si="61"/>
        <v>4.2184111965306528</v>
      </c>
      <c r="CI184">
        <f t="shared" si="53"/>
        <v>0.4728579534707773</v>
      </c>
      <c r="CJ184" s="1">
        <f t="shared" si="54"/>
        <v>0.73765840741441258</v>
      </c>
      <c r="CK184" s="7" t="s">
        <v>142</v>
      </c>
      <c r="CL184" s="7">
        <v>1</v>
      </c>
      <c r="CM184" s="7"/>
      <c r="CN184" s="7"/>
      <c r="CO184" s="7"/>
      <c r="CP184" s="7"/>
      <c r="CQ184" s="12">
        <v>1.4999999999999999E-2</v>
      </c>
      <c r="CR184">
        <f>CQ184/(H184-I184-J184-N184)*1000</f>
        <v>3.1062331745703045</v>
      </c>
    </row>
    <row r="185" spans="1:96" x14ac:dyDescent="0.2">
      <c r="A185" s="7" t="s">
        <v>798</v>
      </c>
      <c r="B185" s="7" t="s">
        <v>46</v>
      </c>
      <c r="C185" t="str">
        <f t="shared" si="44"/>
        <v>S</v>
      </c>
      <c r="D185" t="str">
        <f t="shared" si="45"/>
        <v>IMM</v>
      </c>
      <c r="E185" t="str">
        <f t="shared" si="46"/>
        <v>G</v>
      </c>
      <c r="F185" s="7">
        <v>60</v>
      </c>
      <c r="G185" s="7">
        <v>56</v>
      </c>
      <c r="H185" s="7">
        <v>3.1019999999999999</v>
      </c>
      <c r="I185" s="7">
        <v>0.09</v>
      </c>
      <c r="J185" s="7">
        <v>5.8999999999999997E-2</v>
      </c>
      <c r="K185" s="7" t="s">
        <v>786</v>
      </c>
      <c r="L185" t="str">
        <f t="shared" si="47"/>
        <v>F</v>
      </c>
      <c r="M185" s="7">
        <v>23</v>
      </c>
      <c r="N185" s="7">
        <v>0.157</v>
      </c>
      <c r="O185" s="7">
        <v>0.14899999999999999</v>
      </c>
      <c r="P185" s="7" t="s">
        <v>36</v>
      </c>
      <c r="Q185" t="str">
        <f t="shared" si="43"/>
        <v>MT</v>
      </c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  <c r="AZ185" s="7"/>
      <c r="BA185" s="7"/>
      <c r="BB185" s="7"/>
      <c r="BC185" s="7"/>
      <c r="BD185" s="7"/>
      <c r="BE185" s="7"/>
      <c r="BF185" s="7"/>
      <c r="BG185" s="7"/>
      <c r="BH185" s="7"/>
      <c r="BI185" s="7"/>
      <c r="BJ185" s="7"/>
      <c r="BK185" s="7"/>
      <c r="BL185" s="7"/>
      <c r="BM185" s="7"/>
      <c r="BN185" s="7"/>
      <c r="BO185" s="7"/>
      <c r="BP185" s="7"/>
      <c r="BQ185" s="7"/>
      <c r="BR185" s="7"/>
      <c r="BS185" s="7"/>
      <c r="BT185" s="7"/>
      <c r="BU185" s="7"/>
      <c r="BW185" s="5">
        <v>44259</v>
      </c>
      <c r="BX185">
        <v>3</v>
      </c>
      <c r="BY185">
        <v>4</v>
      </c>
      <c r="BZ185">
        <v>2021</v>
      </c>
      <c r="CA185" s="5">
        <f t="shared" si="48"/>
        <v>44289</v>
      </c>
      <c r="CB185">
        <v>93</v>
      </c>
      <c r="CC185" s="7">
        <v>7</v>
      </c>
      <c r="CE185">
        <f t="shared" si="49"/>
        <v>1.9388761091028592</v>
      </c>
      <c r="CF185">
        <f t="shared" si="50"/>
        <v>2.9880478087649398</v>
      </c>
      <c r="CG185">
        <f t="shared" si="60"/>
        <v>3.047748052827633E-2</v>
      </c>
      <c r="CH185">
        <f t="shared" si="61"/>
        <v>5.0457162207924142</v>
      </c>
      <c r="CI185">
        <f t="shared" si="53"/>
        <v>0.25789813023855601</v>
      </c>
      <c r="CJ185" s="1">
        <f t="shared" si="54"/>
        <v>0.25789813023855601</v>
      </c>
      <c r="CK185" s="7" t="s">
        <v>142</v>
      </c>
      <c r="CL185" s="7">
        <v>1</v>
      </c>
      <c r="CM185" s="7"/>
      <c r="CN185" s="7"/>
      <c r="CO185" s="7"/>
      <c r="CP185" s="7"/>
    </row>
    <row r="186" spans="1:96" x14ac:dyDescent="0.2">
      <c r="A186" s="7" t="s">
        <v>799</v>
      </c>
      <c r="B186" s="7" t="s">
        <v>46</v>
      </c>
      <c r="C186" t="str">
        <f t="shared" si="44"/>
        <v>I</v>
      </c>
      <c r="D186" t="str">
        <f t="shared" si="45"/>
        <v>S</v>
      </c>
      <c r="E186" t="str">
        <f t="shared" si="46"/>
        <v>G</v>
      </c>
      <c r="F186" s="7">
        <v>66</v>
      </c>
      <c r="G186" s="7">
        <v>62</v>
      </c>
      <c r="H186" s="7">
        <v>4.6040000000000001</v>
      </c>
      <c r="I186" s="7">
        <v>0.13500000000000001</v>
      </c>
      <c r="J186" s="7">
        <v>8.8999999999999996E-2</v>
      </c>
      <c r="K186" s="7" t="s">
        <v>786</v>
      </c>
      <c r="L186" t="str">
        <f t="shared" si="47"/>
        <v>F</v>
      </c>
      <c r="M186" s="7">
        <v>23</v>
      </c>
      <c r="N186" s="7">
        <v>0.20599999999999999</v>
      </c>
      <c r="O186" s="7">
        <v>0.20599999999999999</v>
      </c>
      <c r="P186" s="7" t="s">
        <v>36</v>
      </c>
      <c r="Q186" t="str">
        <f t="shared" si="43"/>
        <v>MT</v>
      </c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7"/>
      <c r="AW186" s="7"/>
      <c r="AX186" s="7"/>
      <c r="AY186" s="7"/>
      <c r="AZ186" s="7"/>
      <c r="BA186" s="7"/>
      <c r="BB186" s="7"/>
      <c r="BC186" s="7"/>
      <c r="BD186" s="7"/>
      <c r="BE186" s="7"/>
      <c r="BF186" s="7"/>
      <c r="BG186" s="7"/>
      <c r="BH186" s="7"/>
      <c r="BI186" s="7"/>
      <c r="BJ186" s="7"/>
      <c r="BK186" s="7"/>
      <c r="BL186" s="7"/>
      <c r="BM186" s="7"/>
      <c r="BN186" s="7"/>
      <c r="BO186" s="7"/>
      <c r="BP186" s="7"/>
      <c r="BQ186" s="7"/>
      <c r="BR186" s="7"/>
      <c r="BS186" s="7"/>
      <c r="BT186" s="7"/>
      <c r="BU186" s="7"/>
      <c r="BW186" s="5">
        <v>44259</v>
      </c>
      <c r="BX186">
        <v>3</v>
      </c>
      <c r="BY186">
        <v>4</v>
      </c>
      <c r="BZ186">
        <v>2021</v>
      </c>
      <c r="CA186" s="5">
        <f t="shared" si="48"/>
        <v>44289</v>
      </c>
      <c r="CB186">
        <v>93</v>
      </c>
      <c r="CC186" s="7">
        <v>7</v>
      </c>
      <c r="CE186">
        <f t="shared" si="49"/>
        <v>1.9712070874861574</v>
      </c>
      <c r="CF186">
        <f t="shared" si="50"/>
        <v>3.0208100246140077</v>
      </c>
      <c r="CG186">
        <f t="shared" si="60"/>
        <v>3.082191780821918E-2</v>
      </c>
      <c r="CH186">
        <f t="shared" si="61"/>
        <v>4.6839472487494316</v>
      </c>
      <c r="CI186">
        <f t="shared" si="53"/>
        <v>0</v>
      </c>
      <c r="CJ186" s="1">
        <f t="shared" si="54"/>
        <v>0</v>
      </c>
      <c r="CK186" s="7" t="s">
        <v>142</v>
      </c>
      <c r="CL186" s="7">
        <v>1</v>
      </c>
      <c r="CM186" s="7"/>
      <c r="CN186" s="7"/>
      <c r="CO186" s="7"/>
      <c r="CP186" s="7"/>
    </row>
    <row r="187" spans="1:96" x14ac:dyDescent="0.2">
      <c r="A187" s="7" t="s">
        <v>854</v>
      </c>
      <c r="B187" s="7" t="s">
        <v>46</v>
      </c>
      <c r="C187" t="str">
        <f t="shared" si="44"/>
        <v>B</v>
      </c>
      <c r="D187" t="str">
        <f t="shared" si="45"/>
        <v>B</v>
      </c>
      <c r="E187" t="str">
        <f t="shared" si="46"/>
        <v>N</v>
      </c>
      <c r="F187" s="7">
        <v>182</v>
      </c>
      <c r="G187" s="7">
        <v>173</v>
      </c>
      <c r="H187" s="7">
        <v>125.53</v>
      </c>
      <c r="I187" s="7">
        <v>4.048</v>
      </c>
      <c r="J187" s="7">
        <v>3.883</v>
      </c>
      <c r="K187" s="7" t="s">
        <v>867</v>
      </c>
      <c r="L187" t="str">
        <f t="shared" si="47"/>
        <v>F</v>
      </c>
      <c r="M187" s="7">
        <v>30</v>
      </c>
      <c r="N187" s="7">
        <v>9.1460000000000008</v>
      </c>
      <c r="O187" s="7">
        <v>8</v>
      </c>
      <c r="P187" s="7" t="s">
        <v>876</v>
      </c>
      <c r="Q187" t="str">
        <f t="shared" si="43"/>
        <v>F</v>
      </c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  <c r="AV187" s="7"/>
      <c r="AW187" s="7"/>
      <c r="AX187" s="7"/>
      <c r="AY187" s="7"/>
      <c r="AZ187" s="7"/>
      <c r="BA187" s="7"/>
      <c r="BB187" s="7"/>
      <c r="BC187" s="7"/>
      <c r="BD187" s="7"/>
      <c r="BE187" s="7"/>
      <c r="BF187" s="7"/>
      <c r="BG187" s="7"/>
      <c r="BH187" s="7"/>
      <c r="BI187" s="7"/>
      <c r="BJ187" s="7"/>
      <c r="BK187" s="7"/>
      <c r="BL187" s="7"/>
      <c r="BM187" s="7"/>
      <c r="BN187" s="7"/>
      <c r="BO187" s="7"/>
      <c r="BP187" s="7">
        <v>1</v>
      </c>
      <c r="BQ187" s="7">
        <v>0.83199999999999996</v>
      </c>
      <c r="BR187" s="7"/>
      <c r="BS187" s="7"/>
      <c r="BT187" s="7"/>
      <c r="BU187" s="7"/>
      <c r="BV187" s="7">
        <v>0.83199999999999996</v>
      </c>
      <c r="BW187" t="s">
        <v>877</v>
      </c>
      <c r="BX187" t="str">
        <f t="shared" ref="BX187:BX213" si="62">LEFT(BW187,2)</f>
        <v>19</v>
      </c>
      <c r="BY187" t="str">
        <f t="shared" ref="BY187:BY213" si="63">MID(BW187,4,1)</f>
        <v>4</v>
      </c>
      <c r="BZ187" t="str">
        <f t="shared" ref="BZ187:BZ213" si="64">RIGHT(BW187,4)</f>
        <v>2021</v>
      </c>
      <c r="CA187" s="5">
        <f t="shared" si="48"/>
        <v>44305</v>
      </c>
      <c r="CB187">
        <v>109</v>
      </c>
      <c r="CC187" s="7">
        <v>8</v>
      </c>
      <c r="CE187">
        <f t="shared" si="49"/>
        <v>3.192022820127089</v>
      </c>
      <c r="CF187">
        <f t="shared" si="50"/>
        <v>3.3321808992278692</v>
      </c>
      <c r="CG187">
        <f t="shared" si="60"/>
        <v>3.4422061412086834E-2</v>
      </c>
      <c r="CH187">
        <f t="shared" si="61"/>
        <v>6.8067727388751802</v>
      </c>
      <c r="CI187">
        <f t="shared" si="53"/>
        <v>0.91292918027563197</v>
      </c>
      <c r="CJ187" s="1">
        <f t="shared" si="54"/>
        <v>1.5757189516450256</v>
      </c>
      <c r="CK187" s="7" t="s">
        <v>105</v>
      </c>
      <c r="CL187" s="7">
        <v>3</v>
      </c>
      <c r="CM187" s="7"/>
      <c r="CN187" s="7"/>
      <c r="CO187" s="7"/>
      <c r="CP187" s="7"/>
    </row>
    <row r="188" spans="1:96" x14ac:dyDescent="0.2">
      <c r="A188" s="7" t="s">
        <v>855</v>
      </c>
      <c r="B188" s="7" t="s">
        <v>46</v>
      </c>
      <c r="C188" t="str">
        <f t="shared" si="44"/>
        <v>I</v>
      </c>
      <c r="D188" t="str">
        <f t="shared" si="45"/>
        <v>B</v>
      </c>
      <c r="E188" t="str">
        <f t="shared" si="46"/>
        <v>N</v>
      </c>
      <c r="F188" s="7">
        <v>117</v>
      </c>
      <c r="G188" s="7">
        <v>111</v>
      </c>
      <c r="H188" s="7">
        <v>32.362000000000002</v>
      </c>
      <c r="I188" s="7">
        <v>0.99399999999999999</v>
      </c>
      <c r="J188" s="7">
        <v>1.0309999999999999</v>
      </c>
      <c r="K188" s="7" t="s">
        <v>867</v>
      </c>
      <c r="L188" t="str">
        <f t="shared" si="47"/>
        <v>F</v>
      </c>
      <c r="M188" s="7">
        <v>30</v>
      </c>
      <c r="N188" s="7">
        <v>2.722</v>
      </c>
      <c r="O188" s="7">
        <v>2.6739999999999999</v>
      </c>
      <c r="P188" s="7" t="s">
        <v>878</v>
      </c>
      <c r="Q188" t="str">
        <f t="shared" ref="Q188:Q251" si="65">IF(P188="MT","MT","F")</f>
        <v>F</v>
      </c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7"/>
      <c r="AW188" s="7"/>
      <c r="AX188" s="7"/>
      <c r="AY188" s="7"/>
      <c r="AZ188" s="7"/>
      <c r="BA188" s="7"/>
      <c r="BB188" s="7"/>
      <c r="BC188" s="7"/>
      <c r="BD188" s="7"/>
      <c r="BE188" s="7"/>
      <c r="BF188" s="7"/>
      <c r="BG188" s="7"/>
      <c r="BH188" s="7"/>
      <c r="BI188" s="7"/>
      <c r="BJ188" s="7"/>
      <c r="BK188" s="7"/>
      <c r="BL188" s="7"/>
      <c r="BM188" s="7"/>
      <c r="BN188" s="7"/>
      <c r="BO188" s="7"/>
      <c r="BP188" s="7"/>
      <c r="BQ188" s="7"/>
      <c r="BR188" s="7"/>
      <c r="BS188" s="7"/>
      <c r="BT188" s="7">
        <v>1</v>
      </c>
      <c r="BU188" s="7">
        <v>2.3E-2</v>
      </c>
      <c r="BV188" s="7">
        <v>2.3E-2</v>
      </c>
      <c r="BW188" t="s">
        <v>877</v>
      </c>
      <c r="BX188" t="str">
        <f t="shared" si="62"/>
        <v>19</v>
      </c>
      <c r="BY188" t="str">
        <f t="shared" si="63"/>
        <v>4</v>
      </c>
      <c r="BZ188" t="str">
        <f t="shared" si="64"/>
        <v>2021</v>
      </c>
      <c r="CA188" s="5">
        <f t="shared" si="48"/>
        <v>44305</v>
      </c>
      <c r="CB188">
        <v>109</v>
      </c>
      <c r="CC188" s="7">
        <v>8</v>
      </c>
      <c r="CE188">
        <f t="shared" si="49"/>
        <v>3.2906705818518391</v>
      </c>
      <c r="CF188">
        <f t="shared" si="50"/>
        <v>3.1688344809997444</v>
      </c>
      <c r="CG188">
        <f t="shared" si="60"/>
        <v>3.276527013218182E-2</v>
      </c>
      <c r="CH188">
        <f t="shared" si="61"/>
        <v>9.0070061977903517</v>
      </c>
      <c r="CI188">
        <f t="shared" si="53"/>
        <v>0.14832210617390779</v>
      </c>
      <c r="CJ188" s="1">
        <f t="shared" si="54"/>
        <v>0.21939311538223849</v>
      </c>
      <c r="CK188" s="7" t="s">
        <v>105</v>
      </c>
      <c r="CL188" s="7">
        <v>2</v>
      </c>
      <c r="CM188" s="7"/>
      <c r="CN188" s="7"/>
      <c r="CO188" s="7"/>
      <c r="CP188" s="7"/>
    </row>
    <row r="189" spans="1:96" x14ac:dyDescent="0.2">
      <c r="A189" s="7" t="s">
        <v>856</v>
      </c>
      <c r="B189" s="7" t="s">
        <v>46</v>
      </c>
      <c r="C189" t="str">
        <f t="shared" si="44"/>
        <v>I</v>
      </c>
      <c r="D189" t="str">
        <f t="shared" si="45"/>
        <v>B</v>
      </c>
      <c r="E189" t="str">
        <f t="shared" si="46"/>
        <v>N</v>
      </c>
      <c r="F189" s="7">
        <v>130</v>
      </c>
      <c r="G189" s="7">
        <v>121</v>
      </c>
      <c r="H189" s="7">
        <v>41.423000000000002</v>
      </c>
      <c r="I189" s="7">
        <v>1.2589999999999999</v>
      </c>
      <c r="J189" s="7">
        <v>0.85499999999999998</v>
      </c>
      <c r="K189" s="7" t="s">
        <v>867</v>
      </c>
      <c r="L189" t="str">
        <f t="shared" si="47"/>
        <v>F</v>
      </c>
      <c r="M189" s="7">
        <v>30</v>
      </c>
      <c r="N189" s="7">
        <v>2.9950000000000001</v>
      </c>
      <c r="O189" s="7">
        <v>2.8530000000000002</v>
      </c>
      <c r="P189" s="7" t="s">
        <v>879</v>
      </c>
      <c r="Q189" t="str">
        <f t="shared" si="65"/>
        <v>F</v>
      </c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>
        <v>1</v>
      </c>
      <c r="AK189" s="7">
        <v>9.6000000000000002E-2</v>
      </c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7"/>
      <c r="AY189" s="7"/>
      <c r="AZ189" s="7"/>
      <c r="BA189" s="7"/>
      <c r="BB189" s="7"/>
      <c r="BC189" s="7"/>
      <c r="BD189" s="7"/>
      <c r="BE189" s="7"/>
      <c r="BF189" s="7"/>
      <c r="BG189" s="7"/>
      <c r="BH189" s="7"/>
      <c r="BI189" s="7"/>
      <c r="BJ189" s="7"/>
      <c r="BK189" s="7"/>
      <c r="BL189" s="7"/>
      <c r="BM189" s="7"/>
      <c r="BN189" s="7"/>
      <c r="BO189" s="7"/>
      <c r="BP189" s="7"/>
      <c r="BQ189" s="7"/>
      <c r="BR189" s="7"/>
      <c r="BS189" s="7"/>
      <c r="BT189" s="7"/>
      <c r="BU189" s="7"/>
      <c r="BV189" s="7">
        <v>9.6000000000000002E-2</v>
      </c>
      <c r="BW189" t="s">
        <v>877</v>
      </c>
      <c r="BX189" t="str">
        <f t="shared" si="62"/>
        <v>19</v>
      </c>
      <c r="BY189" t="str">
        <f t="shared" si="63"/>
        <v>4</v>
      </c>
      <c r="BZ189" t="str">
        <f t="shared" si="64"/>
        <v>2021</v>
      </c>
      <c r="CA189" s="5">
        <f t="shared" si="48"/>
        <v>44305</v>
      </c>
      <c r="CB189">
        <v>109</v>
      </c>
      <c r="CC189" s="7">
        <v>8</v>
      </c>
      <c r="CE189">
        <f t="shared" si="49"/>
        <v>2.1075724709130346</v>
      </c>
      <c r="CF189">
        <f t="shared" si="50"/>
        <v>3.1346479434319283</v>
      </c>
      <c r="CG189">
        <f t="shared" si="60"/>
        <v>3.2028288687069112E-2</v>
      </c>
      <c r="CH189">
        <f t="shared" si="61"/>
        <v>7.3969406274306451</v>
      </c>
      <c r="CI189">
        <f t="shared" si="53"/>
        <v>0.34280472201433959</v>
      </c>
      <c r="CJ189" s="1">
        <f t="shared" si="54"/>
        <v>0.5745600270381187</v>
      </c>
      <c r="CK189" s="7" t="s">
        <v>105</v>
      </c>
      <c r="CL189" s="7">
        <v>2</v>
      </c>
      <c r="CM189" s="7"/>
      <c r="CN189" s="7"/>
      <c r="CO189" s="7"/>
      <c r="CP189" s="7"/>
    </row>
    <row r="190" spans="1:96" x14ac:dyDescent="0.2">
      <c r="A190" s="7" t="s">
        <v>857</v>
      </c>
      <c r="B190" s="7" t="s">
        <v>46</v>
      </c>
      <c r="C190" t="str">
        <f t="shared" si="44"/>
        <v>I</v>
      </c>
      <c r="D190" t="str">
        <f t="shared" si="45"/>
        <v>I</v>
      </c>
      <c r="E190" t="str">
        <f t="shared" si="46"/>
        <v>G</v>
      </c>
      <c r="F190" s="7">
        <v>101</v>
      </c>
      <c r="G190" s="7">
        <v>92</v>
      </c>
      <c r="H190" s="7">
        <v>19.696999999999999</v>
      </c>
      <c r="I190" s="7">
        <v>0.47799999999999998</v>
      </c>
      <c r="J190" s="7">
        <v>0.14099999999999999</v>
      </c>
      <c r="K190" s="7" t="s">
        <v>868</v>
      </c>
      <c r="L190" t="str">
        <f t="shared" si="47"/>
        <v>M</v>
      </c>
      <c r="M190" s="7">
        <v>30</v>
      </c>
      <c r="N190" s="7">
        <v>1.2350000000000001</v>
      </c>
      <c r="O190" s="7">
        <v>1.2270000000000001</v>
      </c>
      <c r="P190" s="7" t="s">
        <v>36</v>
      </c>
      <c r="Q190" t="str">
        <f t="shared" si="65"/>
        <v>MT</v>
      </c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7"/>
      <c r="AW190" s="7"/>
      <c r="AX190" s="7"/>
      <c r="AY190" s="7"/>
      <c r="AZ190" s="7"/>
      <c r="BA190" s="7"/>
      <c r="BB190" s="7"/>
      <c r="BC190" s="7"/>
      <c r="BD190" s="7"/>
      <c r="BE190" s="7"/>
      <c r="BF190" s="7"/>
      <c r="BG190" s="7"/>
      <c r="BH190" s="7"/>
      <c r="BI190" s="7"/>
      <c r="BJ190" s="7"/>
      <c r="BK190" s="7"/>
      <c r="BL190" s="7"/>
      <c r="BM190" s="7"/>
      <c r="BN190" s="7"/>
      <c r="BO190" s="7"/>
      <c r="BP190" s="7"/>
      <c r="BQ190" s="7"/>
      <c r="BR190" s="7"/>
      <c r="BS190" s="7"/>
      <c r="BT190" s="7"/>
      <c r="BU190" s="7"/>
      <c r="BW190" t="s">
        <v>877</v>
      </c>
      <c r="BX190" t="str">
        <f t="shared" si="62"/>
        <v>19</v>
      </c>
      <c r="BY190" t="str">
        <f t="shared" si="63"/>
        <v>4</v>
      </c>
      <c r="BZ190" t="str">
        <f t="shared" si="64"/>
        <v>2021</v>
      </c>
      <c r="CA190" s="5">
        <f t="shared" si="48"/>
        <v>44305</v>
      </c>
      <c r="CB190">
        <v>109</v>
      </c>
      <c r="CC190" s="7">
        <v>8</v>
      </c>
      <c r="CE190">
        <f t="shared" si="49"/>
        <v>0.72100634076498249</v>
      </c>
      <c r="CF190">
        <f t="shared" si="50"/>
        <v>2.487122118736667</v>
      </c>
      <c r="CG190">
        <f t="shared" si="60"/>
        <v>2.5055037215641052E-2</v>
      </c>
      <c r="CH190">
        <f t="shared" si="61"/>
        <v>6.6432051976177586</v>
      </c>
      <c r="CI190">
        <f t="shared" si="53"/>
        <v>4.0615322130273683E-2</v>
      </c>
      <c r="CJ190" s="1">
        <f t="shared" si="54"/>
        <v>4.0615322130273683E-2</v>
      </c>
      <c r="CK190" s="7" t="s">
        <v>105</v>
      </c>
      <c r="CL190" s="7">
        <v>1</v>
      </c>
      <c r="CM190" s="7"/>
      <c r="CN190" s="7"/>
      <c r="CO190" s="7"/>
      <c r="CP190" s="7"/>
    </row>
    <row r="191" spans="1:96" x14ac:dyDescent="0.2">
      <c r="A191" s="7" t="s">
        <v>858</v>
      </c>
      <c r="B191" s="7" t="s">
        <v>46</v>
      </c>
      <c r="C191" t="str">
        <f t="shared" si="44"/>
        <v>I</v>
      </c>
      <c r="D191" t="str">
        <f t="shared" si="45"/>
        <v>I</v>
      </c>
      <c r="E191" t="str">
        <f t="shared" si="46"/>
        <v>G</v>
      </c>
      <c r="F191" s="7">
        <v>101</v>
      </c>
      <c r="G191" s="7">
        <v>95</v>
      </c>
      <c r="H191" s="7">
        <v>19.832000000000001</v>
      </c>
      <c r="I191" s="7">
        <v>0.44800000000000001</v>
      </c>
      <c r="J191" s="7">
        <v>8.8999999999999996E-2</v>
      </c>
      <c r="K191" s="7" t="s">
        <v>868</v>
      </c>
      <c r="L191" t="str">
        <f t="shared" si="47"/>
        <v>M</v>
      </c>
      <c r="M191" s="7">
        <v>30</v>
      </c>
      <c r="N191" s="7">
        <v>1.5840000000000001</v>
      </c>
      <c r="O191" s="7">
        <v>1.5549999999999999</v>
      </c>
      <c r="P191" s="7" t="s">
        <v>880</v>
      </c>
      <c r="Q191" t="str">
        <f t="shared" si="65"/>
        <v>F</v>
      </c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>
        <v>1</v>
      </c>
      <c r="AI191" s="7">
        <v>6.0000000000000001E-3</v>
      </c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  <c r="BB191" s="7"/>
      <c r="BC191" s="7"/>
      <c r="BD191" s="7"/>
      <c r="BE191" s="7"/>
      <c r="BF191" s="7"/>
      <c r="BG191" s="7"/>
      <c r="BH191" s="7"/>
      <c r="BI191" s="7"/>
      <c r="BJ191" s="7"/>
      <c r="BK191" s="7"/>
      <c r="BL191" s="7"/>
      <c r="BM191" s="7"/>
      <c r="BN191" s="7"/>
      <c r="BO191" s="7"/>
      <c r="BP191" s="7"/>
      <c r="BQ191" s="7"/>
      <c r="BR191" s="7"/>
      <c r="BS191" s="7"/>
      <c r="BT191" s="7"/>
      <c r="BU191" s="7"/>
      <c r="BV191" s="7">
        <v>6.0000000000000001E-3</v>
      </c>
      <c r="BW191" t="s">
        <v>877</v>
      </c>
      <c r="BX191" t="str">
        <f t="shared" si="62"/>
        <v>19</v>
      </c>
      <c r="BY191" t="str">
        <f t="shared" si="63"/>
        <v>4</v>
      </c>
      <c r="BZ191" t="str">
        <f t="shared" si="64"/>
        <v>2021</v>
      </c>
      <c r="CA191" s="5">
        <f t="shared" si="48"/>
        <v>44305</v>
      </c>
      <c r="CB191">
        <v>109</v>
      </c>
      <c r="CC191" s="7">
        <v>8</v>
      </c>
      <c r="CE191">
        <f t="shared" si="49"/>
        <v>0.45079268601529654</v>
      </c>
      <c r="CF191">
        <f t="shared" si="50"/>
        <v>2.3111844820470488</v>
      </c>
      <c r="CG191">
        <f t="shared" si="60"/>
        <v>2.321845037574501E-2</v>
      </c>
      <c r="CH191">
        <f t="shared" si="61"/>
        <v>8.5079608250807013</v>
      </c>
      <c r="CI191">
        <f t="shared" si="53"/>
        <v>0.14622831787010959</v>
      </c>
      <c r="CJ191" s="1">
        <f t="shared" si="54"/>
        <v>0.17648245260185627</v>
      </c>
      <c r="CK191" s="7" t="s">
        <v>105</v>
      </c>
      <c r="CL191" s="7">
        <v>1</v>
      </c>
      <c r="CM191" s="7"/>
      <c r="CN191" s="7"/>
      <c r="CO191" s="7"/>
      <c r="CP191" s="7"/>
    </row>
    <row r="192" spans="1:96" x14ac:dyDescent="0.2">
      <c r="A192" s="7" t="s">
        <v>859</v>
      </c>
      <c r="B192" s="7" t="s">
        <v>46</v>
      </c>
      <c r="C192" t="str">
        <f t="shared" si="44"/>
        <v>I</v>
      </c>
      <c r="D192" t="str">
        <f t="shared" si="45"/>
        <v>I</v>
      </c>
      <c r="E192" t="str">
        <f t="shared" si="46"/>
        <v>G</v>
      </c>
      <c r="F192" s="7">
        <v>100</v>
      </c>
      <c r="G192" s="7">
        <v>94</v>
      </c>
      <c r="H192" s="7">
        <v>18.204999999999998</v>
      </c>
      <c r="I192" s="7">
        <v>0.373</v>
      </c>
      <c r="J192" s="7">
        <v>0.11600000000000001</v>
      </c>
      <c r="K192" s="7" t="s">
        <v>868</v>
      </c>
      <c r="L192" t="str">
        <f t="shared" si="47"/>
        <v>M</v>
      </c>
      <c r="M192" s="7">
        <v>30</v>
      </c>
      <c r="N192" s="7">
        <v>1.137</v>
      </c>
      <c r="O192" s="7">
        <v>1.1140000000000001</v>
      </c>
      <c r="P192" s="7" t="s">
        <v>36</v>
      </c>
      <c r="Q192" t="str">
        <f t="shared" si="65"/>
        <v>MT</v>
      </c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  <c r="AZ192" s="7"/>
      <c r="BA192" s="7"/>
      <c r="BB192" s="7"/>
      <c r="BC192" s="7"/>
      <c r="BD192" s="7"/>
      <c r="BE192" s="7"/>
      <c r="BF192" s="7"/>
      <c r="BG192" s="7"/>
      <c r="BH192" s="7"/>
      <c r="BI192" s="7"/>
      <c r="BJ192" s="7"/>
      <c r="BK192" s="7"/>
      <c r="BL192" s="7"/>
      <c r="BM192" s="7"/>
      <c r="BN192" s="7"/>
      <c r="BO192" s="7"/>
      <c r="BP192" s="7"/>
      <c r="BQ192" s="7"/>
      <c r="BR192" s="7"/>
      <c r="BS192" s="7"/>
      <c r="BT192" s="7"/>
      <c r="BU192" s="7"/>
      <c r="BW192" t="s">
        <v>877</v>
      </c>
      <c r="BX192" t="str">
        <f t="shared" si="62"/>
        <v>19</v>
      </c>
      <c r="BY192" t="str">
        <f t="shared" si="63"/>
        <v>4</v>
      </c>
      <c r="BZ192" t="str">
        <f t="shared" si="64"/>
        <v>2021</v>
      </c>
      <c r="CA192" s="5">
        <f t="shared" si="48"/>
        <v>44305</v>
      </c>
      <c r="CB192">
        <v>109</v>
      </c>
      <c r="CC192" s="7">
        <v>8</v>
      </c>
      <c r="CE192">
        <f t="shared" si="49"/>
        <v>0.64127370224998625</v>
      </c>
      <c r="CF192">
        <f t="shared" si="50"/>
        <v>2.0917451772095115</v>
      </c>
      <c r="CG192">
        <f t="shared" si="60"/>
        <v>2.1054414088959136E-2</v>
      </c>
      <c r="CH192">
        <f t="shared" si="61"/>
        <v>6.5180504359019382</v>
      </c>
      <c r="CI192">
        <f t="shared" si="53"/>
        <v>0.12633891787970289</v>
      </c>
      <c r="CJ192" s="1">
        <f t="shared" si="54"/>
        <v>0.12633891787970289</v>
      </c>
      <c r="CK192" s="7" t="s">
        <v>105</v>
      </c>
      <c r="CL192" s="7">
        <v>1</v>
      </c>
      <c r="CM192" s="7"/>
      <c r="CN192" s="7"/>
      <c r="CO192" s="7"/>
      <c r="CP192" s="7"/>
    </row>
    <row r="193" spans="1:99" ht="32" x14ac:dyDescent="0.2">
      <c r="A193" s="7" t="s">
        <v>860</v>
      </c>
      <c r="B193" s="7" t="s">
        <v>46</v>
      </c>
      <c r="C193" t="str">
        <f t="shared" si="44"/>
        <v>I</v>
      </c>
      <c r="D193" t="str">
        <f t="shared" si="45"/>
        <v>I</v>
      </c>
      <c r="E193" t="str">
        <f t="shared" si="46"/>
        <v>G</v>
      </c>
      <c r="F193" s="7">
        <v>95</v>
      </c>
      <c r="G193" s="7">
        <v>89</v>
      </c>
      <c r="H193" s="7">
        <v>15.814</v>
      </c>
      <c r="I193" s="7">
        <v>0.35499999999999998</v>
      </c>
      <c r="J193" s="7">
        <v>9.7000000000000003E-2</v>
      </c>
      <c r="K193" s="7" t="s">
        <v>868</v>
      </c>
      <c r="L193" t="str">
        <f t="shared" si="47"/>
        <v>M</v>
      </c>
      <c r="M193" s="7">
        <v>30</v>
      </c>
      <c r="N193" s="7">
        <v>1.232</v>
      </c>
      <c r="O193" s="7">
        <v>1.127</v>
      </c>
      <c r="P193" s="7" t="s">
        <v>881</v>
      </c>
      <c r="Q193" t="str">
        <f t="shared" si="65"/>
        <v>F</v>
      </c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>
        <v>4</v>
      </c>
      <c r="AK193" s="7">
        <v>3.4000000000000002E-2</v>
      </c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  <c r="AZ193" s="7"/>
      <c r="BA193" s="7"/>
      <c r="BB193" s="7"/>
      <c r="BC193" s="7"/>
      <c r="BD193" s="7">
        <v>3</v>
      </c>
      <c r="BE193" s="7">
        <v>1.4999999999999999E-2</v>
      </c>
      <c r="BF193" s="7"/>
      <c r="BG193" s="7"/>
      <c r="BH193" s="7"/>
      <c r="BI193" s="7"/>
      <c r="BJ193" s="7"/>
      <c r="BK193" s="7"/>
      <c r="BL193" s="7"/>
      <c r="BM193" s="7"/>
      <c r="BN193" s="7"/>
      <c r="BO193" s="7"/>
      <c r="BP193" s="7"/>
      <c r="BQ193" s="7"/>
      <c r="BR193" s="7"/>
      <c r="BS193" s="7"/>
      <c r="BT193" s="7"/>
      <c r="BU193" s="7"/>
      <c r="BV193" s="7">
        <v>4.9000000000000002E-2</v>
      </c>
      <c r="BW193" t="s">
        <v>877</v>
      </c>
      <c r="BX193" t="str">
        <f t="shared" si="62"/>
        <v>19</v>
      </c>
      <c r="BY193" t="str">
        <f t="shared" si="63"/>
        <v>4</v>
      </c>
      <c r="BZ193" t="str">
        <f t="shared" si="64"/>
        <v>2021</v>
      </c>
      <c r="CA193" s="5">
        <f t="shared" si="48"/>
        <v>44305</v>
      </c>
      <c r="CB193">
        <v>109</v>
      </c>
      <c r="CC193" s="7">
        <v>8</v>
      </c>
      <c r="CE193">
        <f t="shared" si="49"/>
        <v>0.61716612585098929</v>
      </c>
      <c r="CF193">
        <f t="shared" si="50"/>
        <v>2.296396920887509</v>
      </c>
      <c r="CG193">
        <f t="shared" si="60"/>
        <v>2.3108970186173673E-2</v>
      </c>
      <c r="CH193">
        <f t="shared" si="61"/>
        <v>7.673452713283857</v>
      </c>
      <c r="CI193">
        <f t="shared" si="53"/>
        <v>0.66396863538636641</v>
      </c>
      <c r="CJ193" s="1">
        <f t="shared" si="54"/>
        <v>0.97382066523333743</v>
      </c>
      <c r="CK193" s="7" t="s">
        <v>105</v>
      </c>
      <c r="CL193" s="7">
        <v>1</v>
      </c>
      <c r="CM193" s="7"/>
      <c r="CN193" s="7"/>
      <c r="CO193" s="7"/>
      <c r="CP193" s="7"/>
    </row>
    <row r="194" spans="1:99" ht="32" x14ac:dyDescent="0.2">
      <c r="A194" s="7" t="s">
        <v>861</v>
      </c>
      <c r="B194" s="7" t="s">
        <v>46</v>
      </c>
      <c r="C194" t="str">
        <f t="shared" ref="C194:C257" si="66">IF(F194&gt;=150,"B",IF(F194&lt;=60,"S","I"))</f>
        <v>I</v>
      </c>
      <c r="D194" t="str">
        <f t="shared" ref="D194:D257" si="67">IF(F194&gt;=110,"B",IF(F194&gt;=85,"I",IF(F194&gt;=65,"S","IMM")))</f>
        <v>I</v>
      </c>
      <c r="E194" t="str">
        <f t="shared" ref="E194:E257" si="68">IF(AND(F194&gt;=60,F194&lt;=110),"G","N")</f>
        <v>G</v>
      </c>
      <c r="F194" s="7">
        <v>90</v>
      </c>
      <c r="G194" s="7">
        <v>84</v>
      </c>
      <c r="H194" s="7">
        <v>12.955</v>
      </c>
      <c r="I194" s="7">
        <v>0.49</v>
      </c>
      <c r="J194" s="7">
        <v>0.39500000000000002</v>
      </c>
      <c r="K194" s="7" t="s">
        <v>867</v>
      </c>
      <c r="L194" t="str">
        <f t="shared" ref="L194:L257" si="69">LEFT(K194,1)</f>
        <v>F</v>
      </c>
      <c r="M194" s="7">
        <v>30</v>
      </c>
      <c r="N194" s="7">
        <v>0.92900000000000005</v>
      </c>
      <c r="O194" s="7">
        <v>0.70499999999999996</v>
      </c>
      <c r="P194" s="7" t="s">
        <v>882</v>
      </c>
      <c r="Q194" t="str">
        <f t="shared" si="65"/>
        <v>F</v>
      </c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>
        <v>1</v>
      </c>
      <c r="AS194" s="7">
        <v>8.0000000000000002E-3</v>
      </c>
      <c r="AT194" s="7"/>
      <c r="AU194" s="7"/>
      <c r="AV194" s="7">
        <v>9</v>
      </c>
      <c r="AW194" s="7">
        <v>3.0000000000000001E-3</v>
      </c>
      <c r="AX194" s="7"/>
      <c r="AY194" s="7"/>
      <c r="AZ194" s="7"/>
      <c r="BA194" s="7"/>
      <c r="BB194" s="7"/>
      <c r="BC194" s="7"/>
      <c r="BD194" s="7">
        <v>9</v>
      </c>
      <c r="BE194" s="7">
        <v>8.2000000000000003E-2</v>
      </c>
      <c r="BF194" s="7"/>
      <c r="BG194" s="7"/>
      <c r="BH194" s="7"/>
      <c r="BI194" s="7"/>
      <c r="BJ194" s="7"/>
      <c r="BK194" s="7"/>
      <c r="BL194" s="7"/>
      <c r="BM194" s="7"/>
      <c r="BN194" s="7"/>
      <c r="BO194" s="7"/>
      <c r="BP194" s="7"/>
      <c r="BQ194" s="7"/>
      <c r="BR194" s="7"/>
      <c r="BS194" s="7"/>
      <c r="BT194" s="7"/>
      <c r="BU194" s="7"/>
      <c r="BV194" s="7">
        <v>9.2999999999999999E-2</v>
      </c>
      <c r="BW194" t="s">
        <v>877</v>
      </c>
      <c r="BX194" t="str">
        <f t="shared" si="62"/>
        <v>19</v>
      </c>
      <c r="BY194" t="str">
        <f t="shared" si="63"/>
        <v>4</v>
      </c>
      <c r="BZ194" t="str">
        <f t="shared" si="64"/>
        <v>2021</v>
      </c>
      <c r="CA194" s="5">
        <f t="shared" si="48"/>
        <v>44305</v>
      </c>
      <c r="CB194">
        <v>109</v>
      </c>
      <c r="CC194" s="7">
        <v>8</v>
      </c>
      <c r="CE194">
        <f t="shared" si="49"/>
        <v>3.144904458598726</v>
      </c>
      <c r="CF194">
        <f t="shared" si="50"/>
        <v>3.9310068190934619</v>
      </c>
      <c r="CG194">
        <f t="shared" si="60"/>
        <v>4.059652029826015E-2</v>
      </c>
      <c r="CH194">
        <f t="shared" si="61"/>
        <v>5.7551020408163263</v>
      </c>
      <c r="CI194">
        <f t="shared" si="53"/>
        <v>1.7290621381705913</v>
      </c>
      <c r="CJ194" s="1">
        <f t="shared" si="54"/>
        <v>2.4469316866074879</v>
      </c>
      <c r="CK194" s="7" t="s">
        <v>105</v>
      </c>
      <c r="CL194" s="7">
        <v>1</v>
      </c>
      <c r="CM194" s="7">
        <v>2</v>
      </c>
      <c r="CN194" s="7">
        <v>4</v>
      </c>
      <c r="CO194" s="7">
        <v>2</v>
      </c>
      <c r="CP194" s="7">
        <v>1</v>
      </c>
      <c r="CQ194" s="12">
        <v>5.6000000000000001E-2</v>
      </c>
      <c r="CR194">
        <f>CQ194/(H194-I194-J194-N194)*1000</f>
        <v>5.0264787721030428</v>
      </c>
      <c r="CS194">
        <v>5.6989999999999998</v>
      </c>
      <c r="CT194">
        <v>82.414907810449932</v>
      </c>
      <c r="CU194">
        <v>107.99849900020963</v>
      </c>
    </row>
    <row r="195" spans="1:99" x14ac:dyDescent="0.2">
      <c r="A195" s="7" t="s">
        <v>862</v>
      </c>
      <c r="B195" s="7" t="s">
        <v>46</v>
      </c>
      <c r="C195" t="str">
        <f t="shared" si="66"/>
        <v>I</v>
      </c>
      <c r="D195" t="str">
        <f t="shared" si="67"/>
        <v>B</v>
      </c>
      <c r="E195" t="str">
        <f t="shared" si="68"/>
        <v>N</v>
      </c>
      <c r="F195" s="7">
        <v>140</v>
      </c>
      <c r="G195" s="7">
        <v>132</v>
      </c>
      <c r="H195" s="7">
        <v>53.738999999999997</v>
      </c>
      <c r="I195" s="7">
        <v>1.218</v>
      </c>
      <c r="J195" s="7">
        <v>0.29299999999999998</v>
      </c>
      <c r="K195" s="7" t="s">
        <v>868</v>
      </c>
      <c r="L195" t="str">
        <f t="shared" si="69"/>
        <v>M</v>
      </c>
      <c r="M195" s="7">
        <v>30</v>
      </c>
      <c r="N195" s="7">
        <v>3.5619999999999998</v>
      </c>
      <c r="O195" s="7">
        <v>3.2559999999999998</v>
      </c>
      <c r="P195" s="7" t="s">
        <v>883</v>
      </c>
      <c r="Q195" t="str">
        <f t="shared" si="65"/>
        <v>F</v>
      </c>
      <c r="R195" s="7"/>
      <c r="S195" s="7"/>
      <c r="T195" s="7">
        <v>1</v>
      </c>
      <c r="U195" s="7">
        <v>9.5000000000000001E-2</v>
      </c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>
        <v>1</v>
      </c>
      <c r="AK195" s="7">
        <v>0.04</v>
      </c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  <c r="BD195" s="7"/>
      <c r="BE195" s="7"/>
      <c r="BF195" s="7"/>
      <c r="BG195" s="7"/>
      <c r="BH195" s="7"/>
      <c r="BI195" s="7"/>
      <c r="BJ195" s="7"/>
      <c r="BK195" s="7"/>
      <c r="BL195" s="7"/>
      <c r="BM195" s="7"/>
      <c r="BN195" s="7"/>
      <c r="BO195" s="7"/>
      <c r="BP195" s="7"/>
      <c r="BQ195" s="7"/>
      <c r="BR195" s="7"/>
      <c r="BS195" s="7"/>
      <c r="BT195" s="7"/>
      <c r="BU195" s="7"/>
      <c r="BV195" s="7">
        <v>0.13500000000000001</v>
      </c>
      <c r="BW195" t="s">
        <v>877</v>
      </c>
      <c r="BX195" t="str">
        <f t="shared" si="62"/>
        <v>19</v>
      </c>
      <c r="BY195" t="str">
        <f t="shared" si="63"/>
        <v>4</v>
      </c>
      <c r="BZ195" t="str">
        <f t="shared" si="64"/>
        <v>2021</v>
      </c>
      <c r="CA195" s="5">
        <f t="shared" ref="CA195:CA258" si="70">DATE(BZ195,BY195,BX195)</f>
        <v>44305</v>
      </c>
      <c r="CB195">
        <v>109</v>
      </c>
      <c r="CC195" s="7">
        <v>8</v>
      </c>
      <c r="CE195">
        <f t="shared" si="49"/>
        <v>0.54821689181603861</v>
      </c>
      <c r="CF195">
        <f t="shared" si="50"/>
        <v>2.319072371051579</v>
      </c>
      <c r="CG195">
        <f t="shared" si="60"/>
        <v>2.3320824079038061E-2</v>
      </c>
      <c r="CH195">
        <f t="shared" si="61"/>
        <v>6.4496959372462008</v>
      </c>
      <c r="CI195">
        <f t="shared" si="53"/>
        <v>0.5694188578127618</v>
      </c>
      <c r="CJ195" s="1">
        <f t="shared" si="54"/>
        <v>0.82063305978898016</v>
      </c>
      <c r="CK195" s="7" t="s">
        <v>105</v>
      </c>
      <c r="CL195" s="7">
        <v>2</v>
      </c>
      <c r="CM195" s="7"/>
      <c r="CN195" s="7"/>
      <c r="CO195" s="7"/>
      <c r="CP195" s="7"/>
    </row>
    <row r="196" spans="1:99" ht="32" x14ac:dyDescent="0.2">
      <c r="A196" s="7" t="s">
        <v>892</v>
      </c>
      <c r="B196" s="7" t="s">
        <v>46</v>
      </c>
      <c r="C196" t="str">
        <f t="shared" si="66"/>
        <v>I</v>
      </c>
      <c r="D196" t="str">
        <f t="shared" si="67"/>
        <v>B</v>
      </c>
      <c r="E196" t="str">
        <f t="shared" si="68"/>
        <v>N</v>
      </c>
      <c r="F196" s="7">
        <v>126</v>
      </c>
      <c r="G196" s="7">
        <v>121</v>
      </c>
      <c r="H196" s="7">
        <v>42.134</v>
      </c>
      <c r="I196" s="7">
        <v>0.94099999999999995</v>
      </c>
      <c r="J196" s="7">
        <v>0.245</v>
      </c>
      <c r="K196" s="7" t="s">
        <v>868</v>
      </c>
      <c r="L196" t="str">
        <f t="shared" si="69"/>
        <v>M</v>
      </c>
      <c r="M196" s="7">
        <v>30</v>
      </c>
      <c r="N196" s="7">
        <v>3.8879999999999999</v>
      </c>
      <c r="O196" s="7">
        <v>2.7290000000000001</v>
      </c>
      <c r="P196" s="7" t="s">
        <v>915</v>
      </c>
      <c r="Q196" t="str">
        <f t="shared" si="65"/>
        <v>F</v>
      </c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7"/>
      <c r="BC196" s="7"/>
      <c r="BD196" s="7"/>
      <c r="BE196" s="7"/>
      <c r="BF196" s="7">
        <v>1</v>
      </c>
      <c r="BG196" s="7">
        <v>0.5</v>
      </c>
      <c r="BH196" s="7">
        <v>3</v>
      </c>
      <c r="BI196" s="7">
        <v>0.44500000000000001</v>
      </c>
      <c r="BJ196" s="7"/>
      <c r="BK196" s="7"/>
      <c r="BL196" s="7"/>
      <c r="BM196" s="7"/>
      <c r="BN196" s="7"/>
      <c r="BO196" s="7"/>
      <c r="BP196" s="7"/>
      <c r="BQ196" s="7"/>
      <c r="BR196" s="7"/>
      <c r="BS196" s="7"/>
      <c r="BT196" s="7">
        <v>1</v>
      </c>
      <c r="BU196" s="7">
        <v>4.1000000000000002E-2</v>
      </c>
      <c r="BV196">
        <f>0.5+0.445+0.041</f>
        <v>0.9860000000000001</v>
      </c>
      <c r="BW196" t="s">
        <v>918</v>
      </c>
      <c r="BX196" t="str">
        <f t="shared" si="62"/>
        <v>20</v>
      </c>
      <c r="BY196" t="str">
        <f t="shared" si="63"/>
        <v>4</v>
      </c>
      <c r="BZ196" t="str">
        <f t="shared" si="64"/>
        <v>2021</v>
      </c>
      <c r="CA196" s="5">
        <f t="shared" si="70"/>
        <v>44306</v>
      </c>
      <c r="CB196">
        <v>110</v>
      </c>
      <c r="CC196" s="7">
        <v>8</v>
      </c>
      <c r="CE196">
        <f t="shared" si="49"/>
        <v>0.58487908520136545</v>
      </c>
      <c r="CF196">
        <f t="shared" si="50"/>
        <v>2.2843687034204843</v>
      </c>
      <c r="CG196">
        <f t="shared" si="60"/>
        <v>2.2980365341408616E-2</v>
      </c>
      <c r="CH196">
        <f t="shared" si="61"/>
        <v>6.9255170663621373</v>
      </c>
      <c r="CI196">
        <f t="shared" si="53"/>
        <v>2.7507476147529308</v>
      </c>
      <c r="CJ196" s="1">
        <f t="shared" si="54"/>
        <v>5.0909004604357522</v>
      </c>
      <c r="CK196" s="7" t="s">
        <v>142</v>
      </c>
      <c r="CL196" s="7">
        <v>3</v>
      </c>
      <c r="CM196" s="7"/>
      <c r="CN196" s="7"/>
      <c r="CO196" s="7"/>
      <c r="CP196" s="7"/>
    </row>
    <row r="197" spans="1:99" x14ac:dyDescent="0.2">
      <c r="A197" s="7" t="s">
        <v>893</v>
      </c>
      <c r="B197" s="7" t="s">
        <v>46</v>
      </c>
      <c r="C197" t="str">
        <f t="shared" si="66"/>
        <v>I</v>
      </c>
      <c r="D197" t="str">
        <f t="shared" si="67"/>
        <v>I</v>
      </c>
      <c r="E197" t="str">
        <f t="shared" si="68"/>
        <v>G</v>
      </c>
      <c r="F197" s="7">
        <v>90</v>
      </c>
      <c r="G197" s="7">
        <v>86</v>
      </c>
      <c r="H197" s="7">
        <v>12.750999999999999</v>
      </c>
      <c r="I197" s="7">
        <v>0.56899999999999995</v>
      </c>
      <c r="J197" s="7">
        <v>0.48799999999999999</v>
      </c>
      <c r="K197" s="7" t="s">
        <v>867</v>
      </c>
      <c r="L197" t="str">
        <f t="shared" si="69"/>
        <v>F</v>
      </c>
      <c r="M197" s="7">
        <v>30</v>
      </c>
      <c r="N197" s="7">
        <v>0.86599999999999999</v>
      </c>
      <c r="O197" s="7">
        <v>0.85399999999999998</v>
      </c>
      <c r="P197" s="7" t="s">
        <v>36</v>
      </c>
      <c r="Q197" t="str">
        <f t="shared" si="65"/>
        <v>MT</v>
      </c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Q197" s="7"/>
      <c r="BR197" s="7"/>
      <c r="BS197" s="7"/>
      <c r="BT197" s="7"/>
      <c r="BU197" s="7"/>
      <c r="BW197" t="s">
        <v>918</v>
      </c>
      <c r="BX197" t="str">
        <f t="shared" si="62"/>
        <v>20</v>
      </c>
      <c r="BY197" t="str">
        <f t="shared" si="63"/>
        <v>4</v>
      </c>
      <c r="BZ197" t="str">
        <f t="shared" si="64"/>
        <v>2021</v>
      </c>
      <c r="CA197" s="5">
        <f t="shared" si="70"/>
        <v>44306</v>
      </c>
      <c r="CB197">
        <v>110</v>
      </c>
      <c r="CC197" s="7">
        <v>8</v>
      </c>
      <c r="CE197">
        <f t="shared" si="49"/>
        <v>3.9794503791894318</v>
      </c>
      <c r="CF197">
        <f t="shared" si="50"/>
        <v>4.6708258085700214</v>
      </c>
      <c r="CG197">
        <f t="shared" si="60"/>
        <v>4.865743116127929E-2</v>
      </c>
      <c r="CH197">
        <f t="shared" si="61"/>
        <v>7.1782802387156428</v>
      </c>
      <c r="CI197">
        <f t="shared" si="53"/>
        <v>9.4110265861501147E-2</v>
      </c>
      <c r="CJ197" s="1">
        <f t="shared" si="54"/>
        <v>9.4110265861501147E-2</v>
      </c>
      <c r="CK197" s="7" t="s">
        <v>142</v>
      </c>
      <c r="CL197">
        <v>1</v>
      </c>
      <c r="CM197">
        <v>2</v>
      </c>
      <c r="CN197">
        <v>5</v>
      </c>
      <c r="CO197">
        <v>1</v>
      </c>
      <c r="CP197">
        <v>0</v>
      </c>
      <c r="CQ197" s="12">
        <v>7.2400000000000006E-2</v>
      </c>
      <c r="CR197">
        <f>CQ197/(H197-I197-J197-N197)*1000</f>
        <v>6.6863686738086452</v>
      </c>
      <c r="CS197">
        <v>6.2510000000000003</v>
      </c>
      <c r="CT197">
        <v>79.051486052309428</v>
      </c>
      <c r="CU197">
        <v>107.74835686401342</v>
      </c>
    </row>
    <row r="198" spans="1:99" x14ac:dyDescent="0.2">
      <c r="A198" s="7" t="s">
        <v>894</v>
      </c>
      <c r="B198" s="7" t="s">
        <v>46</v>
      </c>
      <c r="C198" t="str">
        <f t="shared" si="66"/>
        <v>I</v>
      </c>
      <c r="D198" t="str">
        <f t="shared" si="67"/>
        <v>I</v>
      </c>
      <c r="E198" t="str">
        <f t="shared" si="68"/>
        <v>G</v>
      </c>
      <c r="F198" s="7">
        <v>98</v>
      </c>
      <c r="G198" s="7">
        <v>94</v>
      </c>
      <c r="H198" s="7">
        <v>16.690999999999999</v>
      </c>
      <c r="I198" s="7">
        <v>0.40400000000000003</v>
      </c>
      <c r="J198" s="7">
        <v>0.09</v>
      </c>
      <c r="K198" s="7" t="s">
        <v>910</v>
      </c>
      <c r="L198" t="str">
        <f t="shared" si="69"/>
        <v>M</v>
      </c>
      <c r="M198" s="7">
        <v>23</v>
      </c>
      <c r="N198" s="7">
        <v>0.89200000000000002</v>
      </c>
      <c r="O198" s="7">
        <v>0.871</v>
      </c>
      <c r="P198" s="7" t="s">
        <v>36</v>
      </c>
      <c r="Q198" t="str">
        <f t="shared" si="65"/>
        <v>MT</v>
      </c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  <c r="BF198" s="7"/>
      <c r="BG198" s="7"/>
      <c r="BH198" s="7"/>
      <c r="BI198" s="7"/>
      <c r="BJ198" s="7"/>
      <c r="BK198" s="7"/>
      <c r="BL198" s="7"/>
      <c r="BM198" s="7"/>
      <c r="BN198" s="7"/>
      <c r="BO198" s="7"/>
      <c r="BP198" s="7"/>
      <c r="BQ198" s="7"/>
      <c r="BR198" s="7"/>
      <c r="BS198" s="7"/>
      <c r="BT198" s="7"/>
      <c r="BU198" s="7"/>
      <c r="BW198" t="s">
        <v>918</v>
      </c>
      <c r="BX198" t="str">
        <f t="shared" si="62"/>
        <v>20</v>
      </c>
      <c r="BY198" t="str">
        <f t="shared" si="63"/>
        <v>4</v>
      </c>
      <c r="BZ198" t="str">
        <f t="shared" si="64"/>
        <v>2021</v>
      </c>
      <c r="CA198" s="5">
        <f t="shared" si="70"/>
        <v>44306</v>
      </c>
      <c r="CB198">
        <v>110</v>
      </c>
      <c r="CC198" s="7">
        <v>8</v>
      </c>
      <c r="CE198">
        <f t="shared" si="49"/>
        <v>0.54213601590265648</v>
      </c>
      <c r="CF198">
        <f t="shared" si="50"/>
        <v>2.4805059249708359</v>
      </c>
      <c r="CG198">
        <f t="shared" si="60"/>
        <v>2.4942890658763973E-2</v>
      </c>
      <c r="CH198">
        <f t="shared" si="61"/>
        <v>5.5056890012642228</v>
      </c>
      <c r="CI198">
        <f t="shared" si="53"/>
        <v>0.12581630819004266</v>
      </c>
      <c r="CJ198" s="1">
        <f t="shared" si="54"/>
        <v>0.12581630819004266</v>
      </c>
      <c r="CK198" s="7" t="s">
        <v>142</v>
      </c>
      <c r="CL198" s="7">
        <v>1</v>
      </c>
      <c r="CM198" s="7"/>
      <c r="CN198" s="7"/>
      <c r="CO198" s="7"/>
      <c r="CP198" s="7"/>
    </row>
    <row r="199" spans="1:99" x14ac:dyDescent="0.2">
      <c r="A199" s="7" t="s">
        <v>895</v>
      </c>
      <c r="B199" s="7" t="s">
        <v>46</v>
      </c>
      <c r="C199" t="str">
        <f t="shared" si="66"/>
        <v>I</v>
      </c>
      <c r="D199" t="str">
        <f t="shared" si="67"/>
        <v>S</v>
      </c>
      <c r="E199" t="str">
        <f t="shared" si="68"/>
        <v>G</v>
      </c>
      <c r="F199" s="7">
        <v>79</v>
      </c>
      <c r="G199" s="7">
        <v>75</v>
      </c>
      <c r="H199" s="7">
        <v>9.2509999999999994</v>
      </c>
      <c r="I199" s="7">
        <v>0.40300000000000002</v>
      </c>
      <c r="J199" s="7">
        <v>0.32</v>
      </c>
      <c r="K199" s="7" t="s">
        <v>867</v>
      </c>
      <c r="L199" t="str">
        <f t="shared" si="69"/>
        <v>F</v>
      </c>
      <c r="M199" s="7">
        <v>30</v>
      </c>
      <c r="N199" s="7">
        <v>0.60099999999999998</v>
      </c>
      <c r="O199" s="7">
        <v>0.505</v>
      </c>
      <c r="P199" s="7" t="s">
        <v>916</v>
      </c>
      <c r="Q199" t="str">
        <f t="shared" si="65"/>
        <v>F</v>
      </c>
      <c r="R199" s="7"/>
      <c r="S199" s="7"/>
      <c r="T199" s="7"/>
      <c r="U199" s="7">
        <v>7.1999999999999995E-2</v>
      </c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  <c r="AY199" s="7"/>
      <c r="AZ199" s="7"/>
      <c r="BA199" s="7"/>
      <c r="BB199" s="7"/>
      <c r="BC199" s="7"/>
      <c r="BD199" s="7"/>
      <c r="BE199" s="7"/>
      <c r="BF199" s="7"/>
      <c r="BG199" s="7"/>
      <c r="BH199" s="7"/>
      <c r="BI199" s="7"/>
      <c r="BJ199" s="7"/>
      <c r="BK199" s="7"/>
      <c r="BL199" s="7"/>
      <c r="BM199" s="7"/>
      <c r="BN199" s="7"/>
      <c r="BO199" s="7"/>
      <c r="BP199" s="7"/>
      <c r="BQ199" s="7"/>
      <c r="BR199" s="7"/>
      <c r="BS199" s="7"/>
      <c r="BT199" s="7"/>
      <c r="BU199" s="7"/>
      <c r="BV199" s="7">
        <v>7.1999999999999995E-2</v>
      </c>
      <c r="BW199" t="s">
        <v>918</v>
      </c>
      <c r="BX199" t="str">
        <f t="shared" si="62"/>
        <v>20</v>
      </c>
      <c r="BY199" t="str">
        <f t="shared" si="63"/>
        <v>4</v>
      </c>
      <c r="BZ199" t="str">
        <f t="shared" si="64"/>
        <v>2021</v>
      </c>
      <c r="CA199" s="5">
        <f t="shared" si="70"/>
        <v>44306</v>
      </c>
      <c r="CB199">
        <v>110</v>
      </c>
      <c r="CC199" s="7">
        <v>8</v>
      </c>
      <c r="CE199">
        <f t="shared" si="49"/>
        <v>3.583025417086553</v>
      </c>
      <c r="CF199">
        <f t="shared" si="50"/>
        <v>4.5547016274864385</v>
      </c>
      <c r="CG199">
        <f t="shared" si="60"/>
        <v>4.7256097560975617E-2</v>
      </c>
      <c r="CH199">
        <f t="shared" si="61"/>
        <v>5.7740681454379157</v>
      </c>
      <c r="CI199">
        <f t="shared" si="53"/>
        <v>1.0377256512809423</v>
      </c>
      <c r="CJ199" s="1">
        <f t="shared" si="54"/>
        <v>1.8160198897416495</v>
      </c>
      <c r="CK199" s="7" t="s">
        <v>142</v>
      </c>
      <c r="CL199" s="7">
        <v>2</v>
      </c>
      <c r="CM199" s="7">
        <v>0</v>
      </c>
      <c r="CN199" s="7">
        <v>6</v>
      </c>
      <c r="CO199" s="7">
        <v>6</v>
      </c>
      <c r="CP199" s="7">
        <v>1</v>
      </c>
      <c r="CQ199" s="12">
        <v>3.3500000000000002E-2</v>
      </c>
      <c r="CR199">
        <f>CQ199/(H199-I199-J199-N199)*1000</f>
        <v>4.2260628232622688</v>
      </c>
      <c r="CS199">
        <v>7.6630000000000003</v>
      </c>
      <c r="CT199">
        <v>71.082066932693238</v>
      </c>
      <c r="CU199">
        <v>114.45651579796218</v>
      </c>
    </row>
    <row r="200" spans="1:99" x14ac:dyDescent="0.2">
      <c r="A200" s="7" t="s">
        <v>896</v>
      </c>
      <c r="B200" s="7" t="s">
        <v>46</v>
      </c>
      <c r="C200" t="str">
        <f t="shared" si="66"/>
        <v>I</v>
      </c>
      <c r="D200" t="str">
        <f t="shared" si="67"/>
        <v>S</v>
      </c>
      <c r="E200" t="str">
        <f t="shared" si="68"/>
        <v>G</v>
      </c>
      <c r="F200" s="7">
        <v>76</v>
      </c>
      <c r="G200" s="7">
        <v>73</v>
      </c>
      <c r="H200" s="7">
        <v>7.8140000000000001</v>
      </c>
      <c r="I200" s="7">
        <v>0.251</v>
      </c>
      <c r="J200" s="7">
        <v>4.9000000000000002E-2</v>
      </c>
      <c r="K200" s="7" t="s">
        <v>868</v>
      </c>
      <c r="L200" t="str">
        <f t="shared" si="69"/>
        <v>M</v>
      </c>
      <c r="M200" s="7">
        <v>30</v>
      </c>
      <c r="N200" s="7">
        <v>0.48599999999999999</v>
      </c>
      <c r="O200" s="7">
        <v>0.41799999999999998</v>
      </c>
      <c r="P200" s="7" t="s">
        <v>917</v>
      </c>
      <c r="Q200" t="str">
        <f t="shared" si="65"/>
        <v>F</v>
      </c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>
        <v>16</v>
      </c>
      <c r="AW200" s="7">
        <v>4.5999999999999999E-2</v>
      </c>
      <c r="AX200" s="7"/>
      <c r="AY200" s="7"/>
      <c r="AZ200" s="7"/>
      <c r="BA200" s="7"/>
      <c r="BB200" s="7"/>
      <c r="BC200" s="7"/>
      <c r="BD200" s="7"/>
      <c r="BE200" s="7"/>
      <c r="BF200" s="7"/>
      <c r="BG200" s="7"/>
      <c r="BH200" s="7"/>
      <c r="BI200" s="7"/>
      <c r="BJ200" s="7"/>
      <c r="BK200" s="7"/>
      <c r="BL200" s="7"/>
      <c r="BM200" s="7"/>
      <c r="BN200" s="7"/>
      <c r="BO200" s="7"/>
      <c r="BP200" s="7"/>
      <c r="BQ200" s="7"/>
      <c r="BR200" s="7"/>
      <c r="BS200" s="7"/>
      <c r="BT200" s="7"/>
      <c r="BU200" s="7"/>
      <c r="BV200" s="7">
        <v>4.5999999999999999E-2</v>
      </c>
      <c r="BW200" t="s">
        <v>918</v>
      </c>
      <c r="BX200" t="str">
        <f t="shared" si="62"/>
        <v>20</v>
      </c>
      <c r="BY200" t="str">
        <f t="shared" si="63"/>
        <v>4</v>
      </c>
      <c r="BZ200" t="str">
        <f t="shared" si="64"/>
        <v>2021</v>
      </c>
      <c r="CA200" s="5">
        <f t="shared" si="70"/>
        <v>44306</v>
      </c>
      <c r="CB200">
        <v>110</v>
      </c>
      <c r="CC200" s="7">
        <v>8</v>
      </c>
      <c r="CE200">
        <f t="shared" si="49"/>
        <v>0.63103670315518356</v>
      </c>
      <c r="CF200">
        <f t="shared" si="50"/>
        <v>3.3187888404072461</v>
      </c>
      <c r="CG200">
        <f t="shared" si="60"/>
        <v>3.3404311951024758E-2</v>
      </c>
      <c r="CH200">
        <f t="shared" si="61"/>
        <v>5.6517036235803131</v>
      </c>
      <c r="CI200">
        <f t="shared" si="53"/>
        <v>0.87023291528026625</v>
      </c>
      <c r="CJ200" s="1">
        <f t="shared" si="54"/>
        <v>1.4589198873816227</v>
      </c>
      <c r="CK200" s="7" t="s">
        <v>142</v>
      </c>
      <c r="CL200" s="7">
        <v>2</v>
      </c>
      <c r="CM200" s="7"/>
      <c r="CN200" s="7"/>
      <c r="CO200" s="7"/>
      <c r="CP200" s="7"/>
    </row>
    <row r="201" spans="1:99" x14ac:dyDescent="0.2">
      <c r="A201" s="7" t="s">
        <v>897</v>
      </c>
      <c r="B201" s="7" t="s">
        <v>46</v>
      </c>
      <c r="C201" t="str">
        <f t="shared" si="66"/>
        <v>I</v>
      </c>
      <c r="D201" t="str">
        <f t="shared" si="67"/>
        <v>S</v>
      </c>
      <c r="E201" t="str">
        <f t="shared" si="68"/>
        <v>G</v>
      </c>
      <c r="F201" s="7">
        <v>73</v>
      </c>
      <c r="G201" s="7">
        <v>70</v>
      </c>
      <c r="H201" s="7">
        <v>6.8689999999999998</v>
      </c>
      <c r="I201" s="7">
        <v>0.24</v>
      </c>
      <c r="J201" s="7">
        <v>5.7000000000000002E-2</v>
      </c>
      <c r="K201" s="7" t="s">
        <v>868</v>
      </c>
      <c r="L201" t="str">
        <f t="shared" si="69"/>
        <v>M</v>
      </c>
      <c r="M201" s="7">
        <v>30</v>
      </c>
      <c r="N201" s="7">
        <v>0.42199999999999999</v>
      </c>
      <c r="O201" s="7">
        <v>0.38400000000000001</v>
      </c>
      <c r="P201" s="7" t="s">
        <v>919</v>
      </c>
      <c r="Q201" t="str">
        <f t="shared" si="65"/>
        <v>F</v>
      </c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>
        <v>1.4999999999999999E-2</v>
      </c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7"/>
      <c r="BA201" s="7"/>
      <c r="BB201" s="7"/>
      <c r="BC201" s="7"/>
      <c r="BD201" s="7"/>
      <c r="BE201" s="7"/>
      <c r="BF201" s="7"/>
      <c r="BG201" s="7"/>
      <c r="BH201" s="7"/>
      <c r="BI201" s="7"/>
      <c r="BJ201" s="7"/>
      <c r="BK201" s="7"/>
      <c r="BL201" s="7"/>
      <c r="BM201" s="7"/>
      <c r="BN201" s="7"/>
      <c r="BO201" s="7"/>
      <c r="BP201" s="7"/>
      <c r="BQ201" s="7"/>
      <c r="BR201" s="7"/>
      <c r="BS201" s="7"/>
      <c r="BT201" s="7"/>
      <c r="BU201" s="7"/>
      <c r="BV201" s="7">
        <v>1.4999999999999999E-2</v>
      </c>
      <c r="BW201" t="s">
        <v>918</v>
      </c>
      <c r="BX201" t="str">
        <f t="shared" si="62"/>
        <v>20</v>
      </c>
      <c r="BY201" t="str">
        <f t="shared" si="63"/>
        <v>4</v>
      </c>
      <c r="BZ201" t="str">
        <f t="shared" si="64"/>
        <v>2021</v>
      </c>
      <c r="CA201" s="5">
        <f t="shared" si="70"/>
        <v>44306</v>
      </c>
      <c r="CB201">
        <v>110</v>
      </c>
      <c r="CC201" s="7">
        <v>8</v>
      </c>
      <c r="CE201">
        <f t="shared" si="49"/>
        <v>0.83675866118614228</v>
      </c>
      <c r="CF201">
        <f t="shared" si="50"/>
        <v>3.6204555739930608</v>
      </c>
      <c r="CG201">
        <f t="shared" si="60"/>
        <v>3.6518563603164945E-2</v>
      </c>
      <c r="CH201">
        <f t="shared" si="61"/>
        <v>5.92135697764071</v>
      </c>
      <c r="CI201">
        <f t="shared" si="53"/>
        <v>0.55321007424661495</v>
      </c>
      <c r="CJ201" s="1">
        <f t="shared" si="54"/>
        <v>0.77158247197554197</v>
      </c>
      <c r="CK201" s="7" t="s">
        <v>142</v>
      </c>
      <c r="CL201" s="7">
        <v>1</v>
      </c>
      <c r="CM201" s="7"/>
      <c r="CN201" s="7"/>
      <c r="CO201" s="7"/>
      <c r="CP201" s="7"/>
    </row>
    <row r="202" spans="1:99" x14ac:dyDescent="0.2">
      <c r="A202" s="7" t="s">
        <v>898</v>
      </c>
      <c r="B202" s="7" t="s">
        <v>46</v>
      </c>
      <c r="C202" t="str">
        <f t="shared" si="66"/>
        <v>I</v>
      </c>
      <c r="D202" t="str">
        <f t="shared" si="67"/>
        <v>S</v>
      </c>
      <c r="E202" t="str">
        <f t="shared" si="68"/>
        <v>G</v>
      </c>
      <c r="F202" s="7">
        <v>72</v>
      </c>
      <c r="G202" s="7">
        <v>68</v>
      </c>
      <c r="H202" s="7">
        <v>6.8659999999999997</v>
      </c>
      <c r="I202" s="7">
        <v>0.19500000000000001</v>
      </c>
      <c r="J202" s="7">
        <v>5.3999999999999999E-2</v>
      </c>
      <c r="K202" s="7" t="s">
        <v>868</v>
      </c>
      <c r="L202" t="str">
        <f t="shared" si="69"/>
        <v>M</v>
      </c>
      <c r="M202" s="7">
        <v>30</v>
      </c>
      <c r="N202" s="7">
        <v>0.443</v>
      </c>
      <c r="O202" s="7">
        <v>0.434</v>
      </c>
      <c r="P202" s="7" t="s">
        <v>36</v>
      </c>
      <c r="Q202" t="str">
        <f t="shared" si="65"/>
        <v>MT</v>
      </c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7"/>
      <c r="AY202" s="7"/>
      <c r="AZ202" s="7"/>
      <c r="BA202" s="7"/>
      <c r="BB202" s="7"/>
      <c r="BC202" s="7"/>
      <c r="BD202" s="7"/>
      <c r="BE202" s="7"/>
      <c r="BF202" s="7"/>
      <c r="BG202" s="7"/>
      <c r="BH202" s="7"/>
      <c r="BI202" s="7"/>
      <c r="BJ202" s="7"/>
      <c r="BK202" s="7"/>
      <c r="BL202" s="7"/>
      <c r="BM202" s="7"/>
      <c r="BN202" s="7"/>
      <c r="BO202" s="7"/>
      <c r="BP202" s="7"/>
      <c r="BQ202" s="7"/>
      <c r="BR202" s="7"/>
      <c r="BS202" s="7"/>
      <c r="BT202" s="7"/>
      <c r="BU202" s="7"/>
      <c r="BW202" t="s">
        <v>918</v>
      </c>
      <c r="BX202" t="str">
        <f t="shared" si="62"/>
        <v>20</v>
      </c>
      <c r="BY202" t="str">
        <f t="shared" si="63"/>
        <v>4</v>
      </c>
      <c r="BZ202" t="str">
        <f t="shared" si="64"/>
        <v>2021</v>
      </c>
      <c r="CA202" s="5">
        <f t="shared" si="70"/>
        <v>44306</v>
      </c>
      <c r="CB202">
        <v>110</v>
      </c>
      <c r="CC202" s="7">
        <v>8</v>
      </c>
      <c r="CE202">
        <f t="shared" ref="CE202:CE265" si="71">J202/(H202-J202)*100</f>
        <v>0.79271873165002937</v>
      </c>
      <c r="CF202">
        <f t="shared" ref="CF202:CF265" si="72">I202/(H202-I202)*100</f>
        <v>2.9230999850097441</v>
      </c>
      <c r="CG202">
        <f t="shared" si="60"/>
        <v>2.9469548133595289E-2</v>
      </c>
      <c r="CH202">
        <f t="shared" si="61"/>
        <v>6.7475124378109461</v>
      </c>
      <c r="CI202">
        <f t="shared" ref="CI202:CI265" si="73">(N202-O202)/H202*100</f>
        <v>0.13108068744538318</v>
      </c>
      <c r="CJ202" s="1">
        <f t="shared" ref="CJ202:CJ265" si="74">(N202-O202+(BV202))/(H202)*100</f>
        <v>0.13108068744538318</v>
      </c>
      <c r="CK202" s="7" t="s">
        <v>142</v>
      </c>
      <c r="CL202" s="7">
        <v>2</v>
      </c>
      <c r="CM202" s="7"/>
      <c r="CN202" s="7"/>
      <c r="CO202" s="7"/>
      <c r="CP202" s="7"/>
    </row>
    <row r="203" spans="1:99" x14ac:dyDescent="0.2">
      <c r="A203" s="7" t="s">
        <v>899</v>
      </c>
      <c r="B203" s="7" t="s">
        <v>46</v>
      </c>
      <c r="C203" t="str">
        <f t="shared" si="66"/>
        <v>I</v>
      </c>
      <c r="D203" t="str">
        <f t="shared" si="67"/>
        <v>S</v>
      </c>
      <c r="E203" t="str">
        <f t="shared" si="68"/>
        <v>G</v>
      </c>
      <c r="F203" s="7">
        <v>78</v>
      </c>
      <c r="G203" s="7">
        <v>74</v>
      </c>
      <c r="H203" s="7">
        <v>8.1029999999999998</v>
      </c>
      <c r="I203" s="7">
        <v>0.20300000000000001</v>
      </c>
      <c r="J203" s="7">
        <v>7.1999999999999995E-2</v>
      </c>
      <c r="K203" s="7" t="s">
        <v>868</v>
      </c>
      <c r="L203" t="str">
        <f t="shared" si="69"/>
        <v>M</v>
      </c>
      <c r="M203" s="7">
        <v>30</v>
      </c>
      <c r="N203" s="7">
        <v>0.52600000000000002</v>
      </c>
      <c r="O203" s="7">
        <v>0.36199999999999999</v>
      </c>
      <c r="P203" s="7" t="s">
        <v>920</v>
      </c>
      <c r="Q203" t="str">
        <f t="shared" si="65"/>
        <v>F</v>
      </c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>
        <v>200</v>
      </c>
      <c r="AU203" s="7">
        <v>0.11700000000000001</v>
      </c>
      <c r="AV203" s="7"/>
      <c r="AW203" s="7"/>
      <c r="AX203" s="7"/>
      <c r="AY203" s="7"/>
      <c r="AZ203" s="7"/>
      <c r="BA203" s="7"/>
      <c r="BB203" s="7"/>
      <c r="BC203" s="7"/>
      <c r="BD203" s="7"/>
      <c r="BE203" s="7"/>
      <c r="BF203" s="7"/>
      <c r="BG203" s="7"/>
      <c r="BH203" s="7"/>
      <c r="BI203" s="7"/>
      <c r="BJ203" s="7"/>
      <c r="BK203" s="7"/>
      <c r="BL203" s="7"/>
      <c r="BM203" s="7"/>
      <c r="BN203" s="7"/>
      <c r="BO203" s="7"/>
      <c r="BP203" s="7"/>
      <c r="BQ203" s="7"/>
      <c r="BR203" s="7"/>
      <c r="BS203" s="7"/>
      <c r="BT203" s="7"/>
      <c r="BU203" s="7"/>
      <c r="BV203" s="7">
        <v>0.11700000000000001</v>
      </c>
      <c r="BW203" t="s">
        <v>918</v>
      </c>
      <c r="BX203" t="str">
        <f t="shared" si="62"/>
        <v>20</v>
      </c>
      <c r="BY203" t="str">
        <f t="shared" si="63"/>
        <v>4</v>
      </c>
      <c r="BZ203" t="str">
        <f t="shared" si="64"/>
        <v>2021</v>
      </c>
      <c r="CA203" s="5">
        <f t="shared" si="70"/>
        <v>44306</v>
      </c>
      <c r="CB203">
        <v>110</v>
      </c>
      <c r="CC203" s="7">
        <v>8</v>
      </c>
      <c r="CE203">
        <f t="shared" si="71"/>
        <v>0.89652596189764655</v>
      </c>
      <c r="CF203">
        <f t="shared" si="72"/>
        <v>2.5696202531645573</v>
      </c>
      <c r="CG203">
        <f t="shared" si="60"/>
        <v>2.5932549821154834E-2</v>
      </c>
      <c r="CH203">
        <f t="shared" si="61"/>
        <v>4.6763983981397752</v>
      </c>
      <c r="CI203">
        <f t="shared" si="73"/>
        <v>2.0239417499691479</v>
      </c>
      <c r="CJ203" s="1">
        <f t="shared" si="74"/>
        <v>3.4678514130568932</v>
      </c>
      <c r="CK203" s="7" t="s">
        <v>142</v>
      </c>
      <c r="CL203" s="7">
        <v>1</v>
      </c>
      <c r="CM203" s="7"/>
      <c r="CN203" s="7"/>
      <c r="CO203" s="7"/>
      <c r="CP203" s="7"/>
    </row>
    <row r="204" spans="1:99" x14ac:dyDescent="0.2">
      <c r="A204" s="7" t="s">
        <v>900</v>
      </c>
      <c r="B204" s="7" t="s">
        <v>46</v>
      </c>
      <c r="C204" t="str">
        <f t="shared" si="66"/>
        <v>S</v>
      </c>
      <c r="D204" t="str">
        <f t="shared" si="67"/>
        <v>IMM</v>
      </c>
      <c r="E204" t="str">
        <f t="shared" si="68"/>
        <v>N</v>
      </c>
      <c r="F204" s="7">
        <v>52</v>
      </c>
      <c r="G204" s="7">
        <v>48</v>
      </c>
      <c r="H204" s="7">
        <v>1.9390000000000001</v>
      </c>
      <c r="I204" s="7">
        <v>5.3999999999999999E-2</v>
      </c>
      <c r="J204" s="7">
        <v>2.5999999999999999E-2</v>
      </c>
      <c r="K204" s="7" t="s">
        <v>868</v>
      </c>
      <c r="L204" t="str">
        <f t="shared" si="69"/>
        <v>M</v>
      </c>
      <c r="M204" s="7">
        <v>30</v>
      </c>
      <c r="N204" s="7">
        <v>0.13100000000000001</v>
      </c>
      <c r="O204" s="7">
        <v>7.9000000000000001E-2</v>
      </c>
      <c r="P204" s="7" t="s">
        <v>921</v>
      </c>
      <c r="Q204" t="str">
        <f t="shared" si="65"/>
        <v>F</v>
      </c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  <c r="AU204" s="7"/>
      <c r="AV204" s="7"/>
      <c r="AW204" s="7"/>
      <c r="AX204" s="7"/>
      <c r="AY204" s="7"/>
      <c r="AZ204" s="7"/>
      <c r="BA204" s="7"/>
      <c r="BB204" s="7"/>
      <c r="BC204" s="7"/>
      <c r="BD204" s="7"/>
      <c r="BE204" s="7"/>
      <c r="BF204" s="7"/>
      <c r="BG204" s="7"/>
      <c r="BH204" s="7">
        <v>1</v>
      </c>
      <c r="BI204" s="7">
        <v>3.5000000000000003E-2</v>
      </c>
      <c r="BJ204" s="7"/>
      <c r="BK204" s="7"/>
      <c r="BL204" s="7"/>
      <c r="BM204" s="7"/>
      <c r="BN204" s="7"/>
      <c r="BO204" s="7"/>
      <c r="BP204" s="7"/>
      <c r="BQ204" s="7"/>
      <c r="BR204" s="7"/>
      <c r="BS204" s="7"/>
      <c r="BT204" s="7"/>
      <c r="BU204" s="7"/>
      <c r="BV204" s="7">
        <v>3.5000000000000003E-2</v>
      </c>
      <c r="BW204" t="s">
        <v>918</v>
      </c>
      <c r="BX204" t="str">
        <f t="shared" si="62"/>
        <v>20</v>
      </c>
      <c r="BY204" t="str">
        <f t="shared" si="63"/>
        <v>4</v>
      </c>
      <c r="BZ204" t="str">
        <f t="shared" si="64"/>
        <v>2021</v>
      </c>
      <c r="CA204" s="5">
        <f t="shared" si="70"/>
        <v>44306</v>
      </c>
      <c r="CB204">
        <v>110</v>
      </c>
      <c r="CC204" s="7">
        <v>8</v>
      </c>
      <c r="CE204">
        <f t="shared" si="71"/>
        <v>1.3591217982226869</v>
      </c>
      <c r="CF204">
        <f t="shared" si="72"/>
        <v>2.8647214854111405</v>
      </c>
      <c r="CG204">
        <f t="shared" si="60"/>
        <v>2.9047875201721356E-2</v>
      </c>
      <c r="CH204">
        <f t="shared" si="61"/>
        <v>4.247311827956989</v>
      </c>
      <c r="CI204">
        <f t="shared" si="73"/>
        <v>2.6817947395564725</v>
      </c>
      <c r="CJ204" s="1">
        <f t="shared" si="74"/>
        <v>4.4868488911810216</v>
      </c>
      <c r="CK204" s="7" t="s">
        <v>142</v>
      </c>
      <c r="CL204" s="7">
        <v>1</v>
      </c>
      <c r="CM204" s="7"/>
      <c r="CN204" s="7"/>
      <c r="CO204" s="7"/>
      <c r="CP204" s="7"/>
    </row>
    <row r="205" spans="1:99" x14ac:dyDescent="0.2">
      <c r="A205" s="7" t="s">
        <v>901</v>
      </c>
      <c r="B205" s="7" t="s">
        <v>46</v>
      </c>
      <c r="C205" t="str">
        <f t="shared" si="66"/>
        <v>S</v>
      </c>
      <c r="D205" t="str">
        <f t="shared" si="67"/>
        <v>IMM</v>
      </c>
      <c r="E205" t="str">
        <f t="shared" si="68"/>
        <v>N</v>
      </c>
      <c r="F205" s="7">
        <v>49</v>
      </c>
      <c r="G205" s="7">
        <v>47</v>
      </c>
      <c r="H205" s="7">
        <v>2.0270000000000001</v>
      </c>
      <c r="I205" s="7">
        <v>7.0999999999999994E-2</v>
      </c>
      <c r="J205" s="7">
        <v>3.6999999999999998E-2</v>
      </c>
      <c r="K205" s="7" t="s">
        <v>868</v>
      </c>
      <c r="L205" t="str">
        <f t="shared" si="69"/>
        <v>M</v>
      </c>
      <c r="M205" s="7">
        <v>30</v>
      </c>
      <c r="N205" s="7">
        <v>0.14899999999999999</v>
      </c>
      <c r="O205" s="7">
        <v>0.09</v>
      </c>
      <c r="P205" s="7" t="s">
        <v>922</v>
      </c>
      <c r="Q205" t="str">
        <f t="shared" si="65"/>
        <v>F</v>
      </c>
      <c r="R205" s="7"/>
      <c r="S205" s="7"/>
      <c r="T205" s="7"/>
      <c r="U205" s="7">
        <v>4.2999999999999997E-2</v>
      </c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  <c r="AU205" s="7"/>
      <c r="AV205" s="7"/>
      <c r="AW205" s="7"/>
      <c r="AX205" s="7"/>
      <c r="AY205" s="7"/>
      <c r="AZ205" s="7"/>
      <c r="BA205" s="7"/>
      <c r="BB205" s="7"/>
      <c r="BC205" s="7"/>
      <c r="BD205" s="7"/>
      <c r="BE205" s="7"/>
      <c r="BF205" s="7"/>
      <c r="BG205" s="7"/>
      <c r="BH205" s="7"/>
      <c r="BI205" s="7"/>
      <c r="BJ205" s="7"/>
      <c r="BK205" s="7"/>
      <c r="BL205" s="7"/>
      <c r="BM205" s="7"/>
      <c r="BN205" s="7"/>
      <c r="BO205" s="7"/>
      <c r="BP205" s="7"/>
      <c r="BQ205" s="7"/>
      <c r="BR205" s="7"/>
      <c r="BS205" s="7"/>
      <c r="BT205" s="7"/>
      <c r="BU205" s="7"/>
      <c r="BV205" s="7">
        <v>4.2999999999999997E-2</v>
      </c>
      <c r="BW205" t="s">
        <v>918</v>
      </c>
      <c r="BX205" t="str">
        <f t="shared" si="62"/>
        <v>20</v>
      </c>
      <c r="BY205" t="str">
        <f t="shared" si="63"/>
        <v>4</v>
      </c>
      <c r="BZ205" t="str">
        <f t="shared" si="64"/>
        <v>2021</v>
      </c>
      <c r="CA205" s="5">
        <f t="shared" si="70"/>
        <v>44306</v>
      </c>
      <c r="CB205">
        <v>110</v>
      </c>
      <c r="CC205" s="7">
        <v>8</v>
      </c>
      <c r="CE205">
        <f t="shared" si="71"/>
        <v>1.8592964824120601</v>
      </c>
      <c r="CF205">
        <f t="shared" si="72"/>
        <v>3.629856850715746</v>
      </c>
      <c r="CG205">
        <f t="shared" si="60"/>
        <v>3.6998436685773829E-2</v>
      </c>
      <c r="CH205">
        <f t="shared" si="61"/>
        <v>4.6463603510583376</v>
      </c>
      <c r="CI205">
        <f t="shared" si="73"/>
        <v>2.910705476073014</v>
      </c>
      <c r="CJ205" s="1">
        <f t="shared" si="74"/>
        <v>5.0320670942279229</v>
      </c>
      <c r="CK205" s="7" t="s">
        <v>142</v>
      </c>
      <c r="CL205" s="7">
        <v>2</v>
      </c>
      <c r="CM205" s="7"/>
      <c r="CN205" s="7"/>
      <c r="CO205" s="7"/>
      <c r="CP205" s="7"/>
    </row>
    <row r="206" spans="1:99" x14ac:dyDescent="0.2">
      <c r="A206" s="7" t="s">
        <v>902</v>
      </c>
      <c r="B206" s="7" t="s">
        <v>46</v>
      </c>
      <c r="C206" t="str">
        <f t="shared" si="66"/>
        <v>S</v>
      </c>
      <c r="D206" t="str">
        <f t="shared" si="67"/>
        <v>IMM</v>
      </c>
      <c r="E206" t="str">
        <f t="shared" si="68"/>
        <v>N</v>
      </c>
      <c r="F206" s="7">
        <v>51</v>
      </c>
      <c r="G206" s="7">
        <v>47</v>
      </c>
      <c r="H206" s="7">
        <v>1.9730000000000001</v>
      </c>
      <c r="I206" s="7">
        <v>6.5000000000000002E-2</v>
      </c>
      <c r="J206" s="7">
        <v>3.2000000000000001E-2</v>
      </c>
      <c r="K206" s="7" t="s">
        <v>868</v>
      </c>
      <c r="L206" t="str">
        <f t="shared" si="69"/>
        <v>M</v>
      </c>
      <c r="M206" s="7">
        <v>30</v>
      </c>
      <c r="N206" s="7">
        <v>0.121</v>
      </c>
      <c r="O206" s="7">
        <v>8.7999999999999995E-2</v>
      </c>
      <c r="P206" s="7" t="s">
        <v>923</v>
      </c>
      <c r="Q206" t="str">
        <f t="shared" si="65"/>
        <v>F</v>
      </c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>
        <v>1.7000000000000001E-2</v>
      </c>
      <c r="AP206" s="7"/>
      <c r="AQ206" s="7"/>
      <c r="AR206" s="7"/>
      <c r="AS206" s="7"/>
      <c r="AT206" s="7"/>
      <c r="AU206" s="7"/>
      <c r="AV206" s="7"/>
      <c r="AW206" s="7"/>
      <c r="AX206" s="7"/>
      <c r="AY206" s="7"/>
      <c r="AZ206" s="7"/>
      <c r="BA206" s="7"/>
      <c r="BB206" s="7"/>
      <c r="BC206" s="7"/>
      <c r="BD206" s="7"/>
      <c r="BE206" s="7"/>
      <c r="BF206" s="7"/>
      <c r="BG206" s="7"/>
      <c r="BH206" s="7"/>
      <c r="BI206" s="7"/>
      <c r="BJ206" s="7"/>
      <c r="BK206" s="7"/>
      <c r="BL206" s="7"/>
      <c r="BM206" s="7"/>
      <c r="BN206" s="7"/>
      <c r="BO206" s="7"/>
      <c r="BP206" s="7"/>
      <c r="BQ206" s="7"/>
      <c r="BR206" s="7"/>
      <c r="BS206" s="7"/>
      <c r="BT206" s="7"/>
      <c r="BU206" s="7"/>
      <c r="BV206" s="7">
        <v>1.7000000000000001E-2</v>
      </c>
      <c r="BW206" t="s">
        <v>918</v>
      </c>
      <c r="BX206" t="str">
        <f t="shared" si="62"/>
        <v>20</v>
      </c>
      <c r="BY206" t="str">
        <f t="shared" si="63"/>
        <v>4</v>
      </c>
      <c r="BZ206" t="str">
        <f t="shared" si="64"/>
        <v>2021</v>
      </c>
      <c r="CA206" s="5">
        <f t="shared" si="70"/>
        <v>44306</v>
      </c>
      <c r="CB206">
        <v>110</v>
      </c>
      <c r="CC206" s="7">
        <v>8</v>
      </c>
      <c r="CE206">
        <f t="shared" si="71"/>
        <v>1.6486347243688821</v>
      </c>
      <c r="CF206">
        <f t="shared" si="72"/>
        <v>3.4067085953878404</v>
      </c>
      <c r="CG206">
        <f t="shared" si="60"/>
        <v>3.4648187633262259E-2</v>
      </c>
      <c r="CH206">
        <f t="shared" si="61"/>
        <v>4.6684350132625996</v>
      </c>
      <c r="CI206">
        <f t="shared" si="73"/>
        <v>1.6725798276735937</v>
      </c>
      <c r="CJ206" s="1">
        <f t="shared" si="74"/>
        <v>2.5342118601115056</v>
      </c>
      <c r="CK206" s="7" t="s">
        <v>142</v>
      </c>
      <c r="CL206" s="7">
        <v>1</v>
      </c>
      <c r="CM206" s="7"/>
      <c r="CN206" s="7"/>
      <c r="CO206" s="7"/>
      <c r="CP206" s="7"/>
    </row>
    <row r="207" spans="1:99" x14ac:dyDescent="0.2">
      <c r="A207" s="7" t="s">
        <v>903</v>
      </c>
      <c r="B207" s="7" t="s">
        <v>46</v>
      </c>
      <c r="C207" t="str">
        <f t="shared" si="66"/>
        <v>S</v>
      </c>
      <c r="D207" t="str">
        <f t="shared" si="67"/>
        <v>IMM</v>
      </c>
      <c r="E207" t="str">
        <f t="shared" si="68"/>
        <v>N</v>
      </c>
      <c r="F207" s="7">
        <v>48</v>
      </c>
      <c r="G207" s="7">
        <v>45</v>
      </c>
      <c r="H207" s="7">
        <v>1.621</v>
      </c>
      <c r="I207" s="7">
        <v>3.7999999999999999E-2</v>
      </c>
      <c r="J207" s="7">
        <v>3.7999999999999999E-2</v>
      </c>
      <c r="K207" s="7" t="s">
        <v>786</v>
      </c>
      <c r="L207" t="str">
        <f t="shared" si="69"/>
        <v>F</v>
      </c>
      <c r="M207" s="7">
        <v>23</v>
      </c>
      <c r="N207" s="7">
        <v>0.11799999999999999</v>
      </c>
      <c r="O207" s="7">
        <v>6.9000000000000006E-2</v>
      </c>
      <c r="P207" s="7" t="s">
        <v>924</v>
      </c>
      <c r="Q207" t="str">
        <f t="shared" si="65"/>
        <v>F</v>
      </c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  <c r="AU207" s="7"/>
      <c r="AV207" s="7">
        <v>8</v>
      </c>
      <c r="AW207" s="7">
        <v>3.6999999999999998E-2</v>
      </c>
      <c r="AX207" s="7"/>
      <c r="AY207" s="7"/>
      <c r="AZ207" s="7"/>
      <c r="BA207" s="7"/>
      <c r="BB207" s="7"/>
      <c r="BC207" s="7"/>
      <c r="BD207" s="7"/>
      <c r="BE207" s="7"/>
      <c r="BF207" s="7"/>
      <c r="BG207" s="7"/>
      <c r="BH207" s="7"/>
      <c r="BI207" s="7"/>
      <c r="BJ207" s="7"/>
      <c r="BK207" s="7"/>
      <c r="BL207" s="7"/>
      <c r="BM207" s="7"/>
      <c r="BN207" s="7"/>
      <c r="BO207" s="7"/>
      <c r="BP207" s="7"/>
      <c r="BQ207" s="7"/>
      <c r="BR207" s="7"/>
      <c r="BS207" s="7"/>
      <c r="BT207" s="7"/>
      <c r="BU207" s="7"/>
      <c r="BV207" s="7">
        <v>3.6999999999999998E-2</v>
      </c>
      <c r="BW207" t="s">
        <v>918</v>
      </c>
      <c r="BX207" t="str">
        <f t="shared" si="62"/>
        <v>20</v>
      </c>
      <c r="BY207" t="str">
        <f t="shared" si="63"/>
        <v>4</v>
      </c>
      <c r="BZ207" t="str">
        <f t="shared" si="64"/>
        <v>2021</v>
      </c>
      <c r="CA207" s="5">
        <f t="shared" si="70"/>
        <v>44306</v>
      </c>
      <c r="CB207">
        <v>110</v>
      </c>
      <c r="CC207" s="7">
        <v>8</v>
      </c>
      <c r="CE207">
        <f t="shared" si="71"/>
        <v>2.4005053695514844</v>
      </c>
      <c r="CF207">
        <f t="shared" si="72"/>
        <v>2.4005053695514844</v>
      </c>
      <c r="CG207">
        <f t="shared" si="60"/>
        <v>2.459546925566343E-2</v>
      </c>
      <c r="CH207">
        <f t="shared" si="61"/>
        <v>4.445876288659794</v>
      </c>
      <c r="CI207">
        <f t="shared" si="73"/>
        <v>3.0228254164096229</v>
      </c>
      <c r="CJ207" s="1">
        <f t="shared" si="74"/>
        <v>5.305367057371992</v>
      </c>
      <c r="CK207" s="7" t="s">
        <v>142</v>
      </c>
      <c r="CL207" s="7">
        <v>1</v>
      </c>
      <c r="CM207" s="7"/>
      <c r="CN207" s="7"/>
      <c r="CO207" s="7"/>
      <c r="CP207" s="7"/>
    </row>
    <row r="208" spans="1:99" x14ac:dyDescent="0.2">
      <c r="A208" s="7" t="s">
        <v>904</v>
      </c>
      <c r="B208" s="7" t="s">
        <v>46</v>
      </c>
      <c r="C208" t="str">
        <f t="shared" si="66"/>
        <v>S</v>
      </c>
      <c r="D208" t="str">
        <f t="shared" si="67"/>
        <v>IMM</v>
      </c>
      <c r="E208" t="str">
        <f t="shared" si="68"/>
        <v>N</v>
      </c>
      <c r="F208" s="7">
        <v>46</v>
      </c>
      <c r="G208" s="7">
        <v>44</v>
      </c>
      <c r="H208" s="7">
        <v>1.528</v>
      </c>
      <c r="I208" s="7">
        <v>3.3000000000000002E-2</v>
      </c>
      <c r="J208" s="7">
        <v>2.4E-2</v>
      </c>
      <c r="K208" s="7" t="s">
        <v>336</v>
      </c>
      <c r="L208" t="str">
        <f t="shared" si="69"/>
        <v>F</v>
      </c>
      <c r="M208" s="7">
        <v>20</v>
      </c>
      <c r="N208" s="7">
        <v>0.106</v>
      </c>
      <c r="O208" s="7">
        <v>7.0000000000000007E-2</v>
      </c>
      <c r="P208" s="7" t="s">
        <v>925</v>
      </c>
      <c r="Q208" t="str">
        <f t="shared" si="65"/>
        <v>F</v>
      </c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>
        <v>1.7999999999999999E-2</v>
      </c>
      <c r="AP208" s="7"/>
      <c r="AQ208" s="7"/>
      <c r="AR208" s="7"/>
      <c r="AS208" s="7"/>
      <c r="AT208" s="7"/>
      <c r="AU208" s="7"/>
      <c r="AV208" s="7"/>
      <c r="AW208" s="7"/>
      <c r="AX208" s="7"/>
      <c r="AY208" s="7"/>
      <c r="AZ208" s="7"/>
      <c r="BA208" s="7"/>
      <c r="BB208" s="7"/>
      <c r="BC208" s="7"/>
      <c r="BD208" s="7"/>
      <c r="BE208" s="7"/>
      <c r="BF208" s="7"/>
      <c r="BG208" s="7"/>
      <c r="BH208" s="7"/>
      <c r="BI208" s="7"/>
      <c r="BJ208" s="7"/>
      <c r="BK208" s="7"/>
      <c r="BL208" s="7"/>
      <c r="BM208" s="7"/>
      <c r="BN208" s="7"/>
      <c r="BO208" s="7"/>
      <c r="BP208" s="7"/>
      <c r="BQ208" s="7"/>
      <c r="BR208" s="7"/>
      <c r="BS208" s="7"/>
      <c r="BT208" s="7"/>
      <c r="BU208" s="7"/>
      <c r="BV208" s="7">
        <v>1.7999999999999999E-2</v>
      </c>
      <c r="BW208" t="s">
        <v>918</v>
      </c>
      <c r="BX208" t="str">
        <f t="shared" si="62"/>
        <v>20</v>
      </c>
      <c r="BY208" t="str">
        <f t="shared" si="63"/>
        <v>4</v>
      </c>
      <c r="BZ208" t="str">
        <f t="shared" si="64"/>
        <v>2021</v>
      </c>
      <c r="CA208" s="5">
        <f t="shared" si="70"/>
        <v>44306</v>
      </c>
      <c r="CB208">
        <v>110</v>
      </c>
      <c r="CC208" s="7">
        <v>8</v>
      </c>
      <c r="CE208">
        <f t="shared" si="71"/>
        <v>1.5957446808510638</v>
      </c>
      <c r="CF208">
        <f t="shared" si="72"/>
        <v>2.2073578595317724</v>
      </c>
      <c r="CG208">
        <f t="shared" si="60"/>
        <v>2.2433718558803536E-2</v>
      </c>
      <c r="CH208">
        <f t="shared" si="61"/>
        <v>4.8010973936899868</v>
      </c>
      <c r="CI208">
        <f t="shared" si="73"/>
        <v>2.3560209424083762</v>
      </c>
      <c r="CJ208" s="1">
        <f t="shared" si="74"/>
        <v>3.5340314136125652</v>
      </c>
      <c r="CK208" s="7" t="s">
        <v>142</v>
      </c>
      <c r="CL208" s="7">
        <v>1</v>
      </c>
      <c r="CM208" s="7"/>
      <c r="CN208" s="7"/>
      <c r="CO208" s="7"/>
      <c r="CP208" s="7"/>
    </row>
    <row r="209" spans="1:99" x14ac:dyDescent="0.2">
      <c r="A209" s="7" t="s">
        <v>905</v>
      </c>
      <c r="B209" s="7" t="s">
        <v>46</v>
      </c>
      <c r="C209" t="str">
        <f t="shared" si="66"/>
        <v>I</v>
      </c>
      <c r="D209" t="str">
        <f t="shared" si="67"/>
        <v>S</v>
      </c>
      <c r="E209" t="str">
        <f t="shared" si="68"/>
        <v>G</v>
      </c>
      <c r="F209" s="7">
        <v>81</v>
      </c>
      <c r="G209" s="7">
        <v>77</v>
      </c>
      <c r="H209" s="7">
        <v>10.888</v>
      </c>
      <c r="I209" s="7">
        <v>0.40300000000000002</v>
      </c>
      <c r="J209" s="7">
        <v>0.42899999999999999</v>
      </c>
      <c r="K209" s="7" t="s">
        <v>867</v>
      </c>
      <c r="L209" t="str">
        <f t="shared" si="69"/>
        <v>F</v>
      </c>
      <c r="M209" s="7">
        <v>30</v>
      </c>
      <c r="N209" s="7">
        <v>0.60299999999999998</v>
      </c>
      <c r="O209" s="7">
        <v>0.51300000000000001</v>
      </c>
      <c r="P209" s="7" t="s">
        <v>926</v>
      </c>
      <c r="Q209" t="str">
        <f t="shared" si="65"/>
        <v>F</v>
      </c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  <c r="AU209" s="7"/>
      <c r="AV209" s="7">
        <v>20</v>
      </c>
      <c r="AW209" s="7">
        <v>4.8000000000000001E-2</v>
      </c>
      <c r="AX209" s="7"/>
      <c r="AY209" s="7"/>
      <c r="AZ209" s="7"/>
      <c r="BA209" s="7"/>
      <c r="BB209" s="7"/>
      <c r="BC209" s="7"/>
      <c r="BD209" s="7"/>
      <c r="BE209" s="7"/>
      <c r="BF209" s="7"/>
      <c r="BG209" s="7"/>
      <c r="BH209" s="7"/>
      <c r="BI209" s="7"/>
      <c r="BJ209" s="7"/>
      <c r="BK209" s="7"/>
      <c r="BL209" s="7"/>
      <c r="BM209" s="7"/>
      <c r="BN209" s="7"/>
      <c r="BO209" s="7"/>
      <c r="BP209" s="7"/>
      <c r="BQ209" s="7"/>
      <c r="BR209" s="7"/>
      <c r="BS209" s="7"/>
      <c r="BT209" s="7"/>
      <c r="BU209" s="7"/>
      <c r="BV209" s="7">
        <v>4.8000000000000001E-2</v>
      </c>
      <c r="BW209" t="s">
        <v>918</v>
      </c>
      <c r="BX209" t="str">
        <f t="shared" si="62"/>
        <v>20</v>
      </c>
      <c r="BY209" t="str">
        <f t="shared" si="63"/>
        <v>4</v>
      </c>
      <c r="BZ209" t="str">
        <f t="shared" si="64"/>
        <v>2021</v>
      </c>
      <c r="CA209" s="5">
        <f t="shared" si="70"/>
        <v>44306</v>
      </c>
      <c r="CB209">
        <v>110</v>
      </c>
      <c r="CC209" s="7">
        <v>8</v>
      </c>
      <c r="CE209">
        <f t="shared" si="71"/>
        <v>4.1017305669758111</v>
      </c>
      <c r="CF209">
        <f t="shared" si="72"/>
        <v>3.8435860753457325</v>
      </c>
      <c r="CG209">
        <f t="shared" si="60"/>
        <v>4.0075576770087516E-2</v>
      </c>
      <c r="CH209">
        <f t="shared" si="61"/>
        <v>4.9445783132530119</v>
      </c>
      <c r="CI209">
        <f t="shared" si="73"/>
        <v>0.82659808963997039</v>
      </c>
      <c r="CJ209" s="1">
        <f t="shared" si="74"/>
        <v>1.2674504041146213</v>
      </c>
      <c r="CK209" s="7" t="s">
        <v>142</v>
      </c>
      <c r="CL209" s="7">
        <v>1</v>
      </c>
      <c r="CM209" s="7">
        <v>0</v>
      </c>
      <c r="CN209" s="7">
        <v>1</v>
      </c>
      <c r="CO209" s="7">
        <v>0</v>
      </c>
      <c r="CP209" s="7">
        <v>0</v>
      </c>
      <c r="CQ209" s="12">
        <v>3.5799999999999998E-2</v>
      </c>
      <c r="CR209">
        <f>CQ209/(H209-I209-J209-N209)*1000</f>
        <v>3.7871575161324449</v>
      </c>
      <c r="CS209">
        <v>7.1779999999999999</v>
      </c>
      <c r="CT209">
        <v>78.324334937031409</v>
      </c>
      <c r="CU209">
        <v>112.32114219976508</v>
      </c>
    </row>
    <row r="210" spans="1:99" ht="32" x14ac:dyDescent="0.2">
      <c r="A210" s="7" t="s">
        <v>906</v>
      </c>
      <c r="B210" s="7" t="s">
        <v>46</v>
      </c>
      <c r="C210" t="str">
        <f t="shared" si="66"/>
        <v>I</v>
      </c>
      <c r="D210" t="str">
        <f t="shared" si="67"/>
        <v>I</v>
      </c>
      <c r="E210" t="str">
        <f t="shared" si="68"/>
        <v>G</v>
      </c>
      <c r="F210" s="7">
        <v>96</v>
      </c>
      <c r="G210" s="7">
        <v>91</v>
      </c>
      <c r="H210" s="7">
        <v>16.22</v>
      </c>
      <c r="I210" s="7">
        <v>0.67700000000000005</v>
      </c>
      <c r="J210" s="7">
        <v>0.433</v>
      </c>
      <c r="K210" s="7" t="s">
        <v>867</v>
      </c>
      <c r="L210" t="str">
        <f t="shared" si="69"/>
        <v>F</v>
      </c>
      <c r="M210" s="7">
        <v>30</v>
      </c>
      <c r="N210" s="7">
        <v>1.0649999999999999</v>
      </c>
      <c r="O210" s="7">
        <v>0.995</v>
      </c>
      <c r="P210" s="7" t="s">
        <v>927</v>
      </c>
      <c r="Q210" t="str">
        <f t="shared" si="65"/>
        <v>F</v>
      </c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>
        <v>2</v>
      </c>
      <c r="AK210" s="7">
        <v>5.0000000000000001E-3</v>
      </c>
      <c r="AL210" s="7"/>
      <c r="AM210" s="7"/>
      <c r="AN210" s="7"/>
      <c r="AO210" s="7"/>
      <c r="AP210" s="7"/>
      <c r="AQ210" s="7"/>
      <c r="AR210" s="7"/>
      <c r="AS210" s="7"/>
      <c r="AT210" s="7"/>
      <c r="AU210" s="7"/>
      <c r="AV210" s="7">
        <v>10</v>
      </c>
      <c r="AW210" s="7">
        <v>2.5000000000000001E-2</v>
      </c>
      <c r="AX210" s="7"/>
      <c r="AY210" s="7"/>
      <c r="AZ210" s="7"/>
      <c r="BA210" s="7"/>
      <c r="BB210" s="7"/>
      <c r="BC210" s="7"/>
      <c r="BD210" s="7"/>
      <c r="BE210" s="7"/>
      <c r="BF210" s="7"/>
      <c r="BG210" s="7"/>
      <c r="BH210" s="7"/>
      <c r="BI210" s="7"/>
      <c r="BJ210" s="7"/>
      <c r="BK210" s="7"/>
      <c r="BL210" s="7"/>
      <c r="BM210" s="7"/>
      <c r="BN210" s="7"/>
      <c r="BO210" s="7"/>
      <c r="BP210" s="7"/>
      <c r="BQ210" s="7"/>
      <c r="BR210" s="7"/>
      <c r="BS210" s="7"/>
      <c r="BT210" s="7"/>
      <c r="BU210" s="7"/>
      <c r="BV210" s="7">
        <v>0.03</v>
      </c>
      <c r="BW210" t="s">
        <v>918</v>
      </c>
      <c r="BX210" t="str">
        <f t="shared" si="62"/>
        <v>20</v>
      </c>
      <c r="BY210" t="str">
        <f t="shared" si="63"/>
        <v>4</v>
      </c>
      <c r="BZ210" t="str">
        <f t="shared" si="64"/>
        <v>2021</v>
      </c>
      <c r="CA210" s="5">
        <f t="shared" si="70"/>
        <v>44306</v>
      </c>
      <c r="CB210">
        <v>110</v>
      </c>
      <c r="CC210" s="7">
        <v>8</v>
      </c>
      <c r="CE210">
        <f t="shared" si="71"/>
        <v>2.7427630328751507</v>
      </c>
      <c r="CF210">
        <f t="shared" si="72"/>
        <v>4.3556584957858853</v>
      </c>
      <c r="CG210">
        <f t="shared" ref="CG210:CG241" si="75">I210/(H210-I210-J210)</f>
        <v>4.4804765056254144E-2</v>
      </c>
      <c r="CH210">
        <f t="shared" ref="CH210:CH241" si="76">O210/(H210-O210)*100</f>
        <v>6.5353037766830866</v>
      </c>
      <c r="CI210">
        <f t="shared" si="73"/>
        <v>0.43156596794081353</v>
      </c>
      <c r="CJ210" s="1">
        <f t="shared" si="74"/>
        <v>0.61652281134401943</v>
      </c>
      <c r="CK210" s="7" t="s">
        <v>142</v>
      </c>
      <c r="CL210" s="7">
        <v>2</v>
      </c>
      <c r="CM210" s="7">
        <v>9</v>
      </c>
      <c r="CN210" s="7">
        <v>6</v>
      </c>
      <c r="CO210" s="7">
        <v>5</v>
      </c>
      <c r="CP210" s="7">
        <v>2</v>
      </c>
      <c r="CQ210" s="12">
        <v>8.8800000000000004E-2</v>
      </c>
      <c r="CR210">
        <f>CQ210/(H210-I210-J210-N210)*1000</f>
        <v>6.3225347098611611</v>
      </c>
      <c r="CS210">
        <v>5.9119999999999999</v>
      </c>
      <c r="CT210">
        <v>79.707142926034834</v>
      </c>
      <c r="CU210">
        <v>111.56833060279286</v>
      </c>
    </row>
    <row r="211" spans="1:99" x14ac:dyDescent="0.2">
      <c r="A211" s="7" t="s">
        <v>907</v>
      </c>
      <c r="B211" s="7" t="s">
        <v>46</v>
      </c>
      <c r="C211" t="str">
        <f t="shared" si="66"/>
        <v>I</v>
      </c>
      <c r="D211" t="str">
        <f t="shared" si="67"/>
        <v>I</v>
      </c>
      <c r="E211" t="str">
        <f t="shared" si="68"/>
        <v>G</v>
      </c>
      <c r="F211" s="7">
        <v>104</v>
      </c>
      <c r="G211" s="7">
        <v>99</v>
      </c>
      <c r="H211" s="7">
        <v>21.614000000000001</v>
      </c>
      <c r="I211" s="7">
        <v>0.47899999999999998</v>
      </c>
      <c r="J211" s="7">
        <v>0.11799999999999999</v>
      </c>
      <c r="K211" s="7" t="s">
        <v>868</v>
      </c>
      <c r="L211" t="str">
        <f t="shared" si="69"/>
        <v>M</v>
      </c>
      <c r="M211" s="7">
        <v>30</v>
      </c>
      <c r="N211" s="7">
        <v>1.3029999999999999</v>
      </c>
      <c r="O211" s="7">
        <v>1.25</v>
      </c>
      <c r="P211" s="7" t="s">
        <v>928</v>
      </c>
      <c r="Q211" t="str">
        <f t="shared" si="65"/>
        <v>F</v>
      </c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>
        <v>2</v>
      </c>
      <c r="AK211" s="7">
        <v>1.2999999999999999E-2</v>
      </c>
      <c r="AL211" s="7"/>
      <c r="AM211" s="7"/>
      <c r="AN211" s="7"/>
      <c r="AO211" s="7"/>
      <c r="AP211" s="7"/>
      <c r="AQ211" s="7"/>
      <c r="AR211" s="7"/>
      <c r="AS211" s="7"/>
      <c r="AT211" s="7"/>
      <c r="AU211" s="7"/>
      <c r="AV211" s="7"/>
      <c r="AW211" s="7"/>
      <c r="AX211" s="7"/>
      <c r="AY211" s="7"/>
      <c r="AZ211" s="7"/>
      <c r="BA211" s="7"/>
      <c r="BB211" s="7"/>
      <c r="BC211" s="7"/>
      <c r="BD211" s="7"/>
      <c r="BE211" s="7"/>
      <c r="BF211" s="7"/>
      <c r="BG211" s="7"/>
      <c r="BH211" s="7"/>
      <c r="BI211" s="7"/>
      <c r="BJ211" s="7"/>
      <c r="BK211" s="7"/>
      <c r="BL211" s="7"/>
      <c r="BM211" s="7"/>
      <c r="BN211" s="7"/>
      <c r="BO211" s="7"/>
      <c r="BP211" s="7"/>
      <c r="BQ211" s="7"/>
      <c r="BR211" s="7"/>
      <c r="BS211" s="7"/>
      <c r="BT211" s="7"/>
      <c r="BU211" s="7"/>
      <c r="BV211" s="7">
        <v>1.2999999999999999E-2</v>
      </c>
      <c r="BW211" t="s">
        <v>918</v>
      </c>
      <c r="BX211" t="str">
        <f t="shared" si="62"/>
        <v>20</v>
      </c>
      <c r="BY211" t="str">
        <f t="shared" si="63"/>
        <v>4</v>
      </c>
      <c r="BZ211" t="str">
        <f t="shared" si="64"/>
        <v>2021</v>
      </c>
      <c r="CA211" s="5">
        <f t="shared" si="70"/>
        <v>44306</v>
      </c>
      <c r="CB211">
        <v>110</v>
      </c>
      <c r="CC211" s="7">
        <v>8</v>
      </c>
      <c r="CE211">
        <f t="shared" si="71"/>
        <v>0.54893933755117219</v>
      </c>
      <c r="CF211">
        <f t="shared" si="72"/>
        <v>2.266382777383487</v>
      </c>
      <c r="CG211">
        <f t="shared" si="75"/>
        <v>2.2791073892563157E-2</v>
      </c>
      <c r="CH211">
        <f t="shared" si="76"/>
        <v>6.1382832449420537</v>
      </c>
      <c r="CI211">
        <f t="shared" si="73"/>
        <v>0.24521143703155329</v>
      </c>
      <c r="CJ211" s="1">
        <f t="shared" si="74"/>
        <v>0.30535763856759474</v>
      </c>
      <c r="CK211" s="7" t="s">
        <v>142</v>
      </c>
      <c r="CL211" s="7">
        <v>3</v>
      </c>
      <c r="CM211" s="7"/>
      <c r="CN211" s="7"/>
      <c r="CO211" s="7"/>
      <c r="CP211" s="7"/>
    </row>
    <row r="212" spans="1:99" x14ac:dyDescent="0.2">
      <c r="A212" s="7" t="s">
        <v>908</v>
      </c>
      <c r="B212" s="7" t="s">
        <v>46</v>
      </c>
      <c r="C212" t="str">
        <f t="shared" si="66"/>
        <v>I</v>
      </c>
      <c r="D212" t="str">
        <f t="shared" si="67"/>
        <v>B</v>
      </c>
      <c r="E212" t="str">
        <f t="shared" si="68"/>
        <v>N</v>
      </c>
      <c r="F212" s="7">
        <v>127</v>
      </c>
      <c r="G212" s="7">
        <v>121</v>
      </c>
      <c r="H212" s="7">
        <v>40.183</v>
      </c>
      <c r="I212" s="7">
        <v>1.349</v>
      </c>
      <c r="J212" s="7">
        <v>1.141</v>
      </c>
      <c r="K212" s="7" t="s">
        <v>867</v>
      </c>
      <c r="L212" t="str">
        <f t="shared" si="69"/>
        <v>F</v>
      </c>
      <c r="M212" s="7">
        <v>30</v>
      </c>
      <c r="N212" s="7">
        <v>3.96</v>
      </c>
      <c r="O212" s="7">
        <v>2.9279999999999999</v>
      </c>
      <c r="P212" s="7" t="s">
        <v>929</v>
      </c>
      <c r="Q212" t="str">
        <f t="shared" si="65"/>
        <v>F</v>
      </c>
      <c r="R212" s="7"/>
      <c r="S212" s="7"/>
      <c r="T212" s="7"/>
      <c r="U212" s="7">
        <v>0.73899999999999999</v>
      </c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  <c r="AU212" s="7"/>
      <c r="AV212" s="7"/>
      <c r="AW212" s="7"/>
      <c r="AX212" s="7"/>
      <c r="AY212" s="7"/>
      <c r="AZ212" s="7"/>
      <c r="BA212" s="7"/>
      <c r="BB212" s="7"/>
      <c r="BC212" s="7"/>
      <c r="BD212" s="7"/>
      <c r="BE212" s="7"/>
      <c r="BF212" s="7"/>
      <c r="BG212" s="7"/>
      <c r="BH212" s="7"/>
      <c r="BI212" s="7"/>
      <c r="BJ212" s="7"/>
      <c r="BK212" s="7"/>
      <c r="BL212" s="7"/>
      <c r="BM212" s="7"/>
      <c r="BN212" s="7"/>
      <c r="BO212" s="7"/>
      <c r="BP212" s="7"/>
      <c r="BQ212" s="7"/>
      <c r="BR212" s="7"/>
      <c r="BS212" s="7"/>
      <c r="BT212" s="7"/>
      <c r="BU212" s="7"/>
      <c r="BV212" s="7">
        <v>0.73899999999999999</v>
      </c>
      <c r="BW212" t="s">
        <v>918</v>
      </c>
      <c r="BX212" t="str">
        <f t="shared" si="62"/>
        <v>20</v>
      </c>
      <c r="BY212" t="str">
        <f t="shared" si="63"/>
        <v>4</v>
      </c>
      <c r="BZ212" t="str">
        <f t="shared" si="64"/>
        <v>2021</v>
      </c>
      <c r="CA212" s="5">
        <f t="shared" si="70"/>
        <v>44306</v>
      </c>
      <c r="CB212">
        <v>110</v>
      </c>
      <c r="CC212" s="7">
        <v>8</v>
      </c>
      <c r="CD212" t="s">
        <v>931</v>
      </c>
      <c r="CE212">
        <f t="shared" si="71"/>
        <v>2.922493724706726</v>
      </c>
      <c r="CF212">
        <f t="shared" si="72"/>
        <v>3.4737601071226241</v>
      </c>
      <c r="CG212">
        <f t="shared" si="75"/>
        <v>3.5789138566842647E-2</v>
      </c>
      <c r="CH212">
        <f t="shared" si="76"/>
        <v>7.8593477385585819</v>
      </c>
      <c r="CI212">
        <f t="shared" si="73"/>
        <v>2.5682502550829955</v>
      </c>
      <c r="CJ212" s="1">
        <f t="shared" si="74"/>
        <v>4.4073364358061866</v>
      </c>
      <c r="CK212" s="7" t="s">
        <v>142</v>
      </c>
      <c r="CL212" s="7">
        <v>3</v>
      </c>
      <c r="CM212" s="7"/>
      <c r="CN212" s="7"/>
      <c r="CO212" s="7"/>
      <c r="CP212" s="7"/>
    </row>
    <row r="213" spans="1:99" x14ac:dyDescent="0.2">
      <c r="A213" s="7" t="s">
        <v>909</v>
      </c>
      <c r="B213" s="7" t="s">
        <v>46</v>
      </c>
      <c r="C213" t="str">
        <f t="shared" si="66"/>
        <v>I</v>
      </c>
      <c r="D213" t="str">
        <f t="shared" si="67"/>
        <v>B</v>
      </c>
      <c r="E213" t="str">
        <f t="shared" si="68"/>
        <v>N</v>
      </c>
      <c r="F213" s="7">
        <v>141</v>
      </c>
      <c r="G213" s="7">
        <v>135</v>
      </c>
      <c r="H213" s="7">
        <v>58.624000000000002</v>
      </c>
      <c r="I213" s="7">
        <v>1.244</v>
      </c>
      <c r="J213" s="7">
        <v>0.23599999999999999</v>
      </c>
      <c r="K213" s="7" t="s">
        <v>868</v>
      </c>
      <c r="L213" t="str">
        <f t="shared" si="69"/>
        <v>M</v>
      </c>
      <c r="M213" s="7">
        <v>30</v>
      </c>
      <c r="N213" s="7">
        <v>3.9180000000000001</v>
      </c>
      <c r="O213" s="7">
        <v>3.3639999999999999</v>
      </c>
      <c r="P213" s="7" t="s">
        <v>930</v>
      </c>
      <c r="Q213" t="str">
        <f t="shared" si="65"/>
        <v>F</v>
      </c>
      <c r="R213" s="7"/>
      <c r="S213" s="7"/>
      <c r="T213" s="7">
        <v>3</v>
      </c>
      <c r="U213" s="7">
        <v>0.39</v>
      </c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>
        <v>1</v>
      </c>
      <c r="AK213" s="7">
        <v>8.9999999999999993E-3</v>
      </c>
      <c r="AL213" s="7"/>
      <c r="AM213" s="7"/>
      <c r="AN213" s="7"/>
      <c r="AO213" s="7"/>
      <c r="AP213" s="7"/>
      <c r="AQ213" s="7"/>
      <c r="AR213" s="7"/>
      <c r="AS213" s="7"/>
      <c r="AT213" s="7"/>
      <c r="AU213" s="7"/>
      <c r="AV213" s="7"/>
      <c r="AW213" s="7"/>
      <c r="AX213" s="7"/>
      <c r="AY213" s="7"/>
      <c r="AZ213" s="7"/>
      <c r="BA213" s="7"/>
      <c r="BB213" s="7"/>
      <c r="BC213" s="7"/>
      <c r="BD213" s="7"/>
      <c r="BE213" s="7"/>
      <c r="BF213" s="7"/>
      <c r="BG213" s="7"/>
      <c r="BH213" s="7"/>
      <c r="BI213" s="7"/>
      <c r="BJ213" s="7"/>
      <c r="BK213" s="7"/>
      <c r="BL213" s="7"/>
      <c r="BM213" s="7"/>
      <c r="BN213" s="7"/>
      <c r="BO213" s="7"/>
      <c r="BP213" s="7"/>
      <c r="BQ213" s="7"/>
      <c r="BR213" s="7"/>
      <c r="BS213" s="7"/>
      <c r="BT213" s="7"/>
      <c r="BU213" s="7"/>
      <c r="BV213" s="7">
        <v>0.39900000000000002</v>
      </c>
      <c r="BW213" t="s">
        <v>918</v>
      </c>
      <c r="BX213" t="str">
        <f t="shared" si="62"/>
        <v>20</v>
      </c>
      <c r="BY213" t="str">
        <f t="shared" si="63"/>
        <v>4</v>
      </c>
      <c r="BZ213" t="str">
        <f t="shared" si="64"/>
        <v>2021</v>
      </c>
      <c r="CA213" s="5">
        <f t="shared" si="70"/>
        <v>44306</v>
      </c>
      <c r="CB213">
        <v>110</v>
      </c>
      <c r="CC213" s="7">
        <v>8</v>
      </c>
      <c r="CE213">
        <f t="shared" si="71"/>
        <v>0.40419264232376512</v>
      </c>
      <c r="CF213">
        <f t="shared" si="72"/>
        <v>2.1680027884280237</v>
      </c>
      <c r="CG213">
        <f t="shared" si="75"/>
        <v>2.1769564608707825E-2</v>
      </c>
      <c r="CH213">
        <f t="shared" si="76"/>
        <v>6.0875859572927968</v>
      </c>
      <c r="CI213">
        <f t="shared" si="73"/>
        <v>0.94500545851528428</v>
      </c>
      <c r="CJ213" s="1">
        <f t="shared" si="74"/>
        <v>1.6256140829694326</v>
      </c>
      <c r="CK213" s="7" t="s">
        <v>142</v>
      </c>
      <c r="CL213" s="7">
        <v>3</v>
      </c>
      <c r="CM213" s="7"/>
      <c r="CN213" s="7"/>
      <c r="CO213" s="7"/>
      <c r="CP213" s="7"/>
    </row>
    <row r="214" spans="1:99" x14ac:dyDescent="0.2">
      <c r="A214" s="7" t="s">
        <v>932</v>
      </c>
      <c r="B214" s="7" t="s">
        <v>46</v>
      </c>
      <c r="C214" t="str">
        <f t="shared" si="66"/>
        <v>I</v>
      </c>
      <c r="D214" t="str">
        <f t="shared" si="67"/>
        <v>I</v>
      </c>
      <c r="E214" t="str">
        <f t="shared" si="68"/>
        <v>G</v>
      </c>
      <c r="F214" s="7">
        <v>96</v>
      </c>
      <c r="G214" s="7">
        <v>90</v>
      </c>
      <c r="H214" s="7">
        <v>18.936</v>
      </c>
      <c r="I214" s="7">
        <v>0.65300000000000002</v>
      </c>
      <c r="J214" s="7">
        <v>0.77700000000000002</v>
      </c>
      <c r="K214" s="7" t="s">
        <v>867</v>
      </c>
      <c r="L214" t="str">
        <f t="shared" si="69"/>
        <v>F</v>
      </c>
      <c r="M214" s="7">
        <v>30</v>
      </c>
      <c r="N214" s="7">
        <v>2.2919999999999998</v>
      </c>
      <c r="O214" s="7">
        <v>1.488</v>
      </c>
      <c r="P214" s="7" t="s">
        <v>940</v>
      </c>
      <c r="Q214" t="str">
        <f t="shared" si="65"/>
        <v>F</v>
      </c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  <c r="AU214" s="7"/>
      <c r="AV214" s="7"/>
      <c r="AW214" s="7"/>
      <c r="AX214" s="7"/>
      <c r="AY214" s="7"/>
      <c r="AZ214" s="7"/>
      <c r="BA214" s="7"/>
      <c r="BB214" s="7"/>
      <c r="BC214" s="7"/>
      <c r="BD214" s="7"/>
      <c r="BE214" s="7"/>
      <c r="BF214" s="7"/>
      <c r="BG214" s="7"/>
      <c r="BH214" s="7">
        <v>5</v>
      </c>
      <c r="BI214" s="7">
        <v>0.63900000000000001</v>
      </c>
      <c r="BJ214" s="7"/>
      <c r="BK214" s="7"/>
      <c r="BL214" s="7"/>
      <c r="BM214" s="7"/>
      <c r="BN214" s="7"/>
      <c r="BO214" s="7"/>
      <c r="BP214" s="7"/>
      <c r="BQ214" s="7"/>
      <c r="BR214" s="7"/>
      <c r="BS214" s="7"/>
      <c r="BT214" s="7">
        <v>1</v>
      </c>
      <c r="BU214" s="7">
        <v>8.0000000000000002E-3</v>
      </c>
      <c r="BV214" s="7">
        <v>0.64700000000000002</v>
      </c>
      <c r="BW214" s="5">
        <v>44291</v>
      </c>
      <c r="BX214" s="7">
        <v>4</v>
      </c>
      <c r="BY214" s="7">
        <v>5</v>
      </c>
      <c r="BZ214" s="7">
        <v>2021</v>
      </c>
      <c r="CA214" s="5">
        <f t="shared" si="70"/>
        <v>44320</v>
      </c>
      <c r="CB214">
        <v>124</v>
      </c>
      <c r="CC214" s="7">
        <v>9</v>
      </c>
      <c r="CD214" t="s">
        <v>947</v>
      </c>
      <c r="CE214">
        <f t="shared" si="71"/>
        <v>4.278869981827194</v>
      </c>
      <c r="CF214">
        <f t="shared" si="72"/>
        <v>3.5716239129245744</v>
      </c>
      <c r="CG214">
        <f t="shared" si="75"/>
        <v>3.7301496629726955E-2</v>
      </c>
      <c r="CH214">
        <f t="shared" si="76"/>
        <v>8.5281980742778547</v>
      </c>
      <c r="CI214">
        <f t="shared" si="73"/>
        <v>4.2458808618504431</v>
      </c>
      <c r="CJ214" s="1">
        <f t="shared" si="74"/>
        <v>7.6626531474440203</v>
      </c>
      <c r="CK214" s="7" t="s">
        <v>142</v>
      </c>
      <c r="CL214" s="7">
        <v>2</v>
      </c>
      <c r="CM214" s="7"/>
      <c r="CN214" s="7"/>
      <c r="CO214" s="7"/>
      <c r="CP214" s="7"/>
      <c r="CQ214" s="12">
        <v>2.0799999999999999E-2</v>
      </c>
      <c r="CR214">
        <f>CQ214/(H214-I214-J214-N214)*1000</f>
        <v>1.3671618246352042</v>
      </c>
    </row>
    <row r="215" spans="1:99" x14ac:dyDescent="0.2">
      <c r="A215" s="7" t="s">
        <v>933</v>
      </c>
      <c r="B215" s="7" t="s">
        <v>46</v>
      </c>
      <c r="C215" t="str">
        <f t="shared" si="66"/>
        <v>I</v>
      </c>
      <c r="D215" t="str">
        <f t="shared" si="67"/>
        <v>I</v>
      </c>
      <c r="E215" t="str">
        <f t="shared" si="68"/>
        <v>G</v>
      </c>
      <c r="F215" s="7">
        <v>88</v>
      </c>
      <c r="G215" s="7">
        <v>84</v>
      </c>
      <c r="H215" s="7">
        <v>13.808</v>
      </c>
      <c r="I215" s="7">
        <v>0.60099999999999998</v>
      </c>
      <c r="J215" s="7">
        <v>0.39400000000000002</v>
      </c>
      <c r="K215" s="7" t="s">
        <v>867</v>
      </c>
      <c r="L215" t="str">
        <f t="shared" si="69"/>
        <v>F</v>
      </c>
      <c r="M215" s="7">
        <v>30</v>
      </c>
      <c r="N215" s="7">
        <v>1.5609999999999999</v>
      </c>
      <c r="O215" s="7">
        <v>0.88100000000000001</v>
      </c>
      <c r="P215" s="7" t="s">
        <v>941</v>
      </c>
      <c r="Q215" t="str">
        <f t="shared" si="65"/>
        <v>F</v>
      </c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  <c r="AU215" s="7"/>
      <c r="AV215" s="7"/>
      <c r="AW215" s="7"/>
      <c r="AX215" s="7"/>
      <c r="AY215" s="7"/>
      <c r="AZ215" s="7"/>
      <c r="BA215" s="7"/>
      <c r="BB215" s="7"/>
      <c r="BC215" s="7"/>
      <c r="BD215" s="7"/>
      <c r="BE215" s="7"/>
      <c r="BF215" s="7"/>
      <c r="BG215" s="7"/>
      <c r="BH215" s="7">
        <v>5</v>
      </c>
      <c r="BI215" s="7">
        <v>0.51300000000000001</v>
      </c>
      <c r="BJ215" s="7"/>
      <c r="BK215" s="7"/>
      <c r="BL215" s="7"/>
      <c r="BM215" s="7"/>
      <c r="BN215" s="7"/>
      <c r="BO215" s="7"/>
      <c r="BP215" s="7"/>
      <c r="BQ215" s="7"/>
      <c r="BR215" s="7"/>
      <c r="BS215" s="7"/>
      <c r="BT215" s="7"/>
      <c r="BU215" s="7"/>
      <c r="BV215" s="7">
        <v>0.51300000000000001</v>
      </c>
      <c r="BW215" s="5">
        <v>44291</v>
      </c>
      <c r="BX215" s="7">
        <v>4</v>
      </c>
      <c r="BY215" s="7">
        <v>5</v>
      </c>
      <c r="BZ215" s="7">
        <v>2021</v>
      </c>
      <c r="CA215" s="5">
        <f t="shared" si="70"/>
        <v>44320</v>
      </c>
      <c r="CB215">
        <v>124</v>
      </c>
      <c r="CC215" s="7">
        <v>9</v>
      </c>
      <c r="CE215">
        <f t="shared" si="71"/>
        <v>2.937229759952289</v>
      </c>
      <c r="CF215">
        <f t="shared" si="72"/>
        <v>4.5506170969940181</v>
      </c>
      <c r="CG215">
        <f t="shared" si="75"/>
        <v>4.6905486615156478E-2</v>
      </c>
      <c r="CH215">
        <f t="shared" si="76"/>
        <v>6.8151930068848152</v>
      </c>
      <c r="CI215">
        <f t="shared" si="73"/>
        <v>4.9246813441483202</v>
      </c>
      <c r="CJ215" s="1">
        <f t="shared" si="74"/>
        <v>8.6399188876013913</v>
      </c>
      <c r="CK215" s="7" t="s">
        <v>142</v>
      </c>
      <c r="CL215" s="7">
        <v>3</v>
      </c>
      <c r="CM215" s="7"/>
      <c r="CN215" s="7"/>
      <c r="CO215" s="7"/>
      <c r="CP215" s="7"/>
    </row>
    <row r="216" spans="1:99" x14ac:dyDescent="0.2">
      <c r="A216" s="7" t="s">
        <v>934</v>
      </c>
      <c r="B216" s="7" t="s">
        <v>46</v>
      </c>
      <c r="C216" t="str">
        <f t="shared" si="66"/>
        <v>I</v>
      </c>
      <c r="D216" t="str">
        <f t="shared" si="67"/>
        <v>I</v>
      </c>
      <c r="E216" t="str">
        <f t="shared" si="68"/>
        <v>G</v>
      </c>
      <c r="F216" s="7">
        <v>94</v>
      </c>
      <c r="G216" s="7">
        <v>89</v>
      </c>
      <c r="H216" s="7">
        <v>16.321000000000002</v>
      </c>
      <c r="I216" s="7">
        <v>0.59799999999999998</v>
      </c>
      <c r="J216" s="7">
        <v>0.753</v>
      </c>
      <c r="K216" s="7" t="s">
        <v>867</v>
      </c>
      <c r="L216" t="str">
        <f t="shared" si="69"/>
        <v>F</v>
      </c>
      <c r="M216" s="7">
        <v>30</v>
      </c>
      <c r="N216" s="7">
        <v>1.3320000000000001</v>
      </c>
      <c r="O216" s="7">
        <v>1.052</v>
      </c>
      <c r="P216" s="7" t="s">
        <v>942</v>
      </c>
      <c r="Q216" t="str">
        <f t="shared" si="65"/>
        <v>F</v>
      </c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  <c r="AU216" s="7"/>
      <c r="AV216" s="7"/>
      <c r="AW216" s="7"/>
      <c r="AX216" s="7"/>
      <c r="AY216" s="7"/>
      <c r="AZ216" s="7"/>
      <c r="BA216" s="7"/>
      <c r="BB216" s="7"/>
      <c r="BC216" s="7"/>
      <c r="BD216" s="7"/>
      <c r="BE216" s="7"/>
      <c r="BF216" s="7"/>
      <c r="BG216" s="7"/>
      <c r="BH216" s="7">
        <v>2</v>
      </c>
      <c r="BI216" s="7">
        <v>0.218</v>
      </c>
      <c r="BJ216" s="7"/>
      <c r="BK216" s="7"/>
      <c r="BL216" s="7"/>
      <c r="BM216" s="7"/>
      <c r="BN216" s="7"/>
      <c r="BO216" s="7"/>
      <c r="BP216" s="7"/>
      <c r="BQ216" s="7"/>
      <c r="BR216" s="7"/>
      <c r="BS216" s="7"/>
      <c r="BT216" s="7"/>
      <c r="BU216" s="7"/>
      <c r="BV216" s="7">
        <v>0.218</v>
      </c>
      <c r="BW216" s="5">
        <v>44291</v>
      </c>
      <c r="BX216" s="7">
        <v>4</v>
      </c>
      <c r="BY216" s="7">
        <v>5</v>
      </c>
      <c r="BZ216" s="7">
        <v>2021</v>
      </c>
      <c r="CA216" s="5">
        <f t="shared" si="70"/>
        <v>44320</v>
      </c>
      <c r="CB216">
        <v>124</v>
      </c>
      <c r="CC216" s="7">
        <v>9</v>
      </c>
      <c r="CE216">
        <f t="shared" si="71"/>
        <v>4.8368448098663919</v>
      </c>
      <c r="CF216">
        <f t="shared" si="72"/>
        <v>3.8033454175411809</v>
      </c>
      <c r="CG216">
        <f t="shared" si="75"/>
        <v>3.9946559786239143E-2</v>
      </c>
      <c r="CH216">
        <f t="shared" si="76"/>
        <v>6.8897766716877333</v>
      </c>
      <c r="CI216">
        <f t="shared" si="73"/>
        <v>1.7155811531156178</v>
      </c>
      <c r="CJ216" s="1">
        <f t="shared" si="74"/>
        <v>3.051283622327063</v>
      </c>
      <c r="CK216" s="7" t="s">
        <v>142</v>
      </c>
      <c r="CL216" s="7">
        <v>1</v>
      </c>
      <c r="CM216" s="7"/>
      <c r="CN216" s="7"/>
      <c r="CO216" s="7"/>
      <c r="CP216" s="7"/>
      <c r="CQ216" s="12">
        <v>0.1033</v>
      </c>
      <c r="CR216">
        <f>CQ216/(H216-I216-J216-N216)*1000</f>
        <v>7.5744244024050449</v>
      </c>
    </row>
    <row r="217" spans="1:99" x14ac:dyDescent="0.2">
      <c r="A217" s="7" t="s">
        <v>935</v>
      </c>
      <c r="B217" s="7" t="s">
        <v>46</v>
      </c>
      <c r="C217" t="str">
        <f t="shared" si="66"/>
        <v>I</v>
      </c>
      <c r="D217" t="str">
        <f t="shared" si="67"/>
        <v>I</v>
      </c>
      <c r="E217" t="str">
        <f t="shared" si="68"/>
        <v>G</v>
      </c>
      <c r="F217" s="7">
        <v>91</v>
      </c>
      <c r="G217" s="7">
        <v>95</v>
      </c>
      <c r="H217" s="7">
        <v>14.814</v>
      </c>
      <c r="I217" s="7">
        <v>0.628</v>
      </c>
      <c r="J217" s="7">
        <v>0.68899999999999995</v>
      </c>
      <c r="K217" s="7" t="s">
        <v>867</v>
      </c>
      <c r="L217" t="str">
        <f t="shared" si="69"/>
        <v>F</v>
      </c>
      <c r="M217" s="7">
        <v>30</v>
      </c>
      <c r="N217" s="7">
        <v>1.2150000000000001</v>
      </c>
      <c r="O217" s="7">
        <v>0.96099999999999997</v>
      </c>
      <c r="P217" s="7" t="s">
        <v>943</v>
      </c>
      <c r="Q217" t="str">
        <f t="shared" si="65"/>
        <v>F</v>
      </c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  <c r="AU217" s="7"/>
      <c r="AV217" s="7"/>
      <c r="AW217" s="7"/>
      <c r="AX217" s="7"/>
      <c r="AY217" s="7"/>
      <c r="AZ217" s="7"/>
      <c r="BA217" s="7"/>
      <c r="BB217" s="7">
        <v>1</v>
      </c>
      <c r="BC217" s="7">
        <v>0.156</v>
      </c>
      <c r="BD217" s="7"/>
      <c r="BE217" s="7"/>
      <c r="BF217" s="7"/>
      <c r="BG217" s="7"/>
      <c r="BH217" s="7"/>
      <c r="BI217" s="7"/>
      <c r="BJ217" s="7"/>
      <c r="BK217" s="7"/>
      <c r="BL217" s="7"/>
      <c r="BM217" s="7"/>
      <c r="BN217" s="7"/>
      <c r="BO217" s="7"/>
      <c r="BP217" s="7"/>
      <c r="BQ217" s="7"/>
      <c r="BR217" s="7"/>
      <c r="BS217" s="7"/>
      <c r="BT217" s="7"/>
      <c r="BU217" s="7"/>
      <c r="BV217" s="7">
        <v>0.156</v>
      </c>
      <c r="BW217" s="5">
        <v>44291</v>
      </c>
      <c r="BX217" s="7">
        <v>4</v>
      </c>
      <c r="BY217" s="7">
        <v>5</v>
      </c>
      <c r="BZ217" s="7">
        <v>2021</v>
      </c>
      <c r="CA217" s="5">
        <f t="shared" si="70"/>
        <v>44320</v>
      </c>
      <c r="CB217">
        <v>124</v>
      </c>
      <c r="CC217" s="7">
        <v>9</v>
      </c>
      <c r="CE217">
        <f t="shared" si="71"/>
        <v>4.8778761061946891</v>
      </c>
      <c r="CF217">
        <f t="shared" si="72"/>
        <v>4.4268997603270837</v>
      </c>
      <c r="CG217">
        <f t="shared" si="75"/>
        <v>4.6528858264799584E-2</v>
      </c>
      <c r="CH217">
        <f t="shared" si="76"/>
        <v>6.9371255323756582</v>
      </c>
      <c r="CI217">
        <f t="shared" si="73"/>
        <v>1.7145943026866486</v>
      </c>
      <c r="CJ217" s="1">
        <f t="shared" si="74"/>
        <v>2.767652220872149</v>
      </c>
      <c r="CK217" s="7" t="s">
        <v>142</v>
      </c>
      <c r="CL217" s="7">
        <v>2</v>
      </c>
      <c r="CM217" s="7"/>
      <c r="CN217" s="7"/>
      <c r="CO217" s="7"/>
      <c r="CP217" s="7"/>
      <c r="CQ217" s="12">
        <v>3.5099999999999999E-2</v>
      </c>
      <c r="CR217">
        <f>CQ217/(H217-I217-J217-N217)*1000</f>
        <v>2.8578407425500729</v>
      </c>
    </row>
    <row r="218" spans="1:99" x14ac:dyDescent="0.2">
      <c r="A218" s="7" t="s">
        <v>936</v>
      </c>
      <c r="B218" s="7" t="s">
        <v>46</v>
      </c>
      <c r="C218" t="str">
        <f t="shared" si="66"/>
        <v>I</v>
      </c>
      <c r="D218" t="str">
        <f t="shared" si="67"/>
        <v>I</v>
      </c>
      <c r="E218" t="str">
        <f t="shared" si="68"/>
        <v>G</v>
      </c>
      <c r="F218" s="7">
        <v>91</v>
      </c>
      <c r="G218" s="7">
        <v>86</v>
      </c>
      <c r="H218" s="7">
        <v>14.544</v>
      </c>
      <c r="I218" s="7">
        <v>0.52400000000000002</v>
      </c>
      <c r="J218" s="7">
        <v>0.56000000000000005</v>
      </c>
      <c r="K218" s="7" t="s">
        <v>867</v>
      </c>
      <c r="L218" t="str">
        <f t="shared" si="69"/>
        <v>F</v>
      </c>
      <c r="M218" s="7">
        <v>30</v>
      </c>
      <c r="N218" s="7">
        <v>1.64</v>
      </c>
      <c r="O218" s="7">
        <v>1.0129999999999999</v>
      </c>
      <c r="P218" s="7" t="s">
        <v>944</v>
      </c>
      <c r="Q218" t="str">
        <f t="shared" si="65"/>
        <v>F</v>
      </c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  <c r="AU218" s="7"/>
      <c r="AV218" s="7"/>
      <c r="AW218" s="7"/>
      <c r="AX218" s="7"/>
      <c r="AY218" s="7"/>
      <c r="AZ218" s="7"/>
      <c r="BA218" s="7"/>
      <c r="BB218" s="7"/>
      <c r="BC218" s="7"/>
      <c r="BD218" s="7"/>
      <c r="BE218" s="7"/>
      <c r="BF218" s="7"/>
      <c r="BG218" s="7"/>
      <c r="BH218" s="7">
        <v>1</v>
      </c>
      <c r="BI218" s="7">
        <v>0.45600000000000002</v>
      </c>
      <c r="BJ218" s="7"/>
      <c r="BK218" s="7"/>
      <c r="BL218" s="7"/>
      <c r="BM218" s="7"/>
      <c r="BN218" s="7"/>
      <c r="BO218" s="7"/>
      <c r="BP218" s="7"/>
      <c r="BQ218" s="7"/>
      <c r="BR218" s="7"/>
      <c r="BS218" s="7"/>
      <c r="BT218" s="7"/>
      <c r="BU218" s="7"/>
      <c r="BV218" s="7">
        <v>0.45600000000000002</v>
      </c>
      <c r="BW218" s="5">
        <v>44291</v>
      </c>
      <c r="BX218" s="7">
        <v>4</v>
      </c>
      <c r="BY218" s="7">
        <v>5</v>
      </c>
      <c r="BZ218" s="7">
        <v>2021</v>
      </c>
      <c r="CA218" s="5">
        <f t="shared" si="70"/>
        <v>44320</v>
      </c>
      <c r="CB218">
        <v>124</v>
      </c>
      <c r="CC218" s="7">
        <v>9</v>
      </c>
      <c r="CD218" t="s">
        <v>948</v>
      </c>
      <c r="CE218">
        <f t="shared" si="71"/>
        <v>4.0045766590389018</v>
      </c>
      <c r="CF218">
        <f t="shared" si="72"/>
        <v>3.7375178316690447</v>
      </c>
      <c r="CG218">
        <f t="shared" si="75"/>
        <v>3.8930163447251122E-2</v>
      </c>
      <c r="CH218">
        <f t="shared" si="76"/>
        <v>7.4865124528859646</v>
      </c>
      <c r="CI218">
        <f t="shared" si="73"/>
        <v>4.311056105610561</v>
      </c>
      <c r="CJ218" s="1">
        <f t="shared" si="74"/>
        <v>7.4463696369636958</v>
      </c>
      <c r="CK218" s="7" t="s">
        <v>142</v>
      </c>
      <c r="CL218" s="7">
        <v>2</v>
      </c>
      <c r="CM218" s="7"/>
      <c r="CN218" s="7"/>
      <c r="CO218" s="7"/>
      <c r="CP218" s="7"/>
    </row>
    <row r="219" spans="1:99" x14ac:dyDescent="0.2">
      <c r="A219" s="7" t="s">
        <v>937</v>
      </c>
      <c r="B219" s="7" t="s">
        <v>46</v>
      </c>
      <c r="C219" t="str">
        <f t="shared" si="66"/>
        <v>I</v>
      </c>
      <c r="D219" t="str">
        <f t="shared" si="67"/>
        <v>B</v>
      </c>
      <c r="E219" t="str">
        <f t="shared" si="68"/>
        <v>N</v>
      </c>
      <c r="F219" s="7">
        <v>119</v>
      </c>
      <c r="G219" s="7">
        <v>113</v>
      </c>
      <c r="H219" s="7">
        <v>35.090000000000003</v>
      </c>
      <c r="I219" s="7">
        <v>1.2849999999999999</v>
      </c>
      <c r="J219" s="7">
        <v>2.464</v>
      </c>
      <c r="K219" s="7" t="s">
        <v>867</v>
      </c>
      <c r="L219" t="str">
        <f t="shared" si="69"/>
        <v>F</v>
      </c>
      <c r="M219" s="7">
        <v>30</v>
      </c>
      <c r="N219" s="7">
        <v>2.3959999999999999</v>
      </c>
      <c r="O219" s="7">
        <v>2.3570000000000002</v>
      </c>
      <c r="P219" s="7" t="s">
        <v>36</v>
      </c>
      <c r="Q219" t="str">
        <f t="shared" si="65"/>
        <v>MT</v>
      </c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  <c r="AU219" s="7"/>
      <c r="AV219" s="7"/>
      <c r="AW219" s="7"/>
      <c r="AX219" s="7"/>
      <c r="AY219" s="7"/>
      <c r="AZ219" s="7"/>
      <c r="BA219" s="7"/>
      <c r="BB219" s="7"/>
      <c r="BC219" s="7"/>
      <c r="BD219" s="7"/>
      <c r="BE219" s="7"/>
      <c r="BF219" s="7"/>
      <c r="BG219" s="7"/>
      <c r="BH219" s="7"/>
      <c r="BI219" s="7"/>
      <c r="BJ219" s="7"/>
      <c r="BK219" s="7"/>
      <c r="BL219" s="7"/>
      <c r="BM219" s="7"/>
      <c r="BN219" s="7"/>
      <c r="BO219" s="7"/>
      <c r="BP219" s="7"/>
      <c r="BQ219" s="7"/>
      <c r="BR219" s="7"/>
      <c r="BS219" s="7"/>
      <c r="BT219" s="7"/>
      <c r="BU219" s="7"/>
      <c r="BW219" s="5">
        <v>44291</v>
      </c>
      <c r="BX219" s="7">
        <v>4</v>
      </c>
      <c r="BY219" s="7">
        <v>5</v>
      </c>
      <c r="BZ219" s="7">
        <v>2021</v>
      </c>
      <c r="CA219" s="5">
        <f t="shared" si="70"/>
        <v>44320</v>
      </c>
      <c r="CB219">
        <v>124</v>
      </c>
      <c r="CC219" s="7">
        <v>9</v>
      </c>
      <c r="CD219" t="s">
        <v>948</v>
      </c>
      <c r="CE219">
        <f t="shared" si="71"/>
        <v>7.5522589345920421</v>
      </c>
      <c r="CF219">
        <f t="shared" si="72"/>
        <v>3.8012128383375234</v>
      </c>
      <c r="CG219">
        <f t="shared" si="75"/>
        <v>4.1000606234644701E-2</v>
      </c>
      <c r="CH219">
        <f t="shared" si="76"/>
        <v>7.2006843246876242</v>
      </c>
      <c r="CI219">
        <f t="shared" si="73"/>
        <v>0.11114277571957737</v>
      </c>
      <c r="CJ219" s="1">
        <f t="shared" si="74"/>
        <v>0.11114277571957737</v>
      </c>
      <c r="CK219" s="7" t="s">
        <v>142</v>
      </c>
      <c r="CL219" s="7">
        <v>1</v>
      </c>
      <c r="CM219" s="7"/>
      <c r="CN219" s="7"/>
      <c r="CO219" s="7"/>
      <c r="CP219" s="7"/>
    </row>
    <row r="220" spans="1:99" x14ac:dyDescent="0.2">
      <c r="A220" s="7" t="s">
        <v>938</v>
      </c>
      <c r="B220" s="7" t="s">
        <v>46</v>
      </c>
      <c r="C220" t="str">
        <f t="shared" si="66"/>
        <v>I</v>
      </c>
      <c r="D220" t="str">
        <f t="shared" si="67"/>
        <v>B</v>
      </c>
      <c r="E220" t="str">
        <f t="shared" si="68"/>
        <v>N</v>
      </c>
      <c r="F220" s="7">
        <v>111</v>
      </c>
      <c r="G220" s="7">
        <v>106</v>
      </c>
      <c r="H220" s="7">
        <v>29.582000000000001</v>
      </c>
      <c r="I220" s="7">
        <v>0.63</v>
      </c>
      <c r="J220" s="7">
        <v>0.26700000000000002</v>
      </c>
      <c r="K220" s="7" t="s">
        <v>868</v>
      </c>
      <c r="L220" t="str">
        <f t="shared" si="69"/>
        <v>M</v>
      </c>
      <c r="M220" s="7">
        <v>30</v>
      </c>
      <c r="N220" s="7">
        <v>3.8919999999999999</v>
      </c>
      <c r="O220" s="7">
        <v>2.0499999999999998</v>
      </c>
      <c r="P220" s="7" t="s">
        <v>945</v>
      </c>
      <c r="Q220" t="str">
        <f t="shared" si="65"/>
        <v>F</v>
      </c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  <c r="AU220" s="7"/>
      <c r="AV220" s="7"/>
      <c r="AW220" s="7"/>
      <c r="AX220" s="7"/>
      <c r="AY220" s="7"/>
      <c r="AZ220" s="7"/>
      <c r="BA220" s="7"/>
      <c r="BB220" s="7"/>
      <c r="BC220" s="7"/>
      <c r="BD220" s="7"/>
      <c r="BE220" s="7"/>
      <c r="BF220" s="7"/>
      <c r="BG220" s="7"/>
      <c r="BH220" s="7">
        <v>6</v>
      </c>
      <c r="BI220" s="7">
        <v>1.66</v>
      </c>
      <c r="BJ220" s="7"/>
      <c r="BK220" s="7"/>
      <c r="BL220" s="7"/>
      <c r="BM220" s="7"/>
      <c r="BN220" s="7"/>
      <c r="BO220" s="7"/>
      <c r="BP220" s="7"/>
      <c r="BQ220" s="7"/>
      <c r="BR220" s="7"/>
      <c r="BS220" s="7"/>
      <c r="BT220" s="7"/>
      <c r="BU220" s="7"/>
      <c r="BV220" s="7">
        <v>1.66</v>
      </c>
      <c r="BW220" s="5">
        <v>44291</v>
      </c>
      <c r="BX220" s="7">
        <v>4</v>
      </c>
      <c r="BY220" s="7">
        <v>5</v>
      </c>
      <c r="BZ220" s="7">
        <v>2021</v>
      </c>
      <c r="CA220" s="5">
        <f t="shared" si="70"/>
        <v>44320</v>
      </c>
      <c r="CB220">
        <v>124</v>
      </c>
      <c r="CC220" s="7">
        <v>9</v>
      </c>
      <c r="CD220" t="s">
        <v>948</v>
      </c>
      <c r="CE220">
        <f t="shared" si="71"/>
        <v>0.91079652055261817</v>
      </c>
      <c r="CF220">
        <f t="shared" si="72"/>
        <v>2.1760154738878144</v>
      </c>
      <c r="CG220">
        <f t="shared" si="75"/>
        <v>2.196269827435942E-2</v>
      </c>
      <c r="CH220">
        <f t="shared" si="76"/>
        <v>7.4458811564724687</v>
      </c>
      <c r="CI220">
        <f t="shared" si="73"/>
        <v>6.2267595159218443</v>
      </c>
      <c r="CJ220" s="1">
        <f t="shared" si="74"/>
        <v>11.838280035156513</v>
      </c>
      <c r="CK220" s="7" t="s">
        <v>142</v>
      </c>
      <c r="CL220" s="7">
        <v>1</v>
      </c>
      <c r="CM220" s="7"/>
      <c r="CN220" s="7"/>
      <c r="CO220" s="7"/>
      <c r="CP220" s="7"/>
    </row>
    <row r="221" spans="1:99" x14ac:dyDescent="0.2">
      <c r="A221" s="7" t="s">
        <v>939</v>
      </c>
      <c r="B221" s="7" t="s">
        <v>46</v>
      </c>
      <c r="C221" t="str">
        <f t="shared" si="66"/>
        <v>I</v>
      </c>
      <c r="D221" t="str">
        <f t="shared" si="67"/>
        <v>I</v>
      </c>
      <c r="E221" t="str">
        <f t="shared" si="68"/>
        <v>G</v>
      </c>
      <c r="F221" s="7">
        <v>102</v>
      </c>
      <c r="G221" s="7">
        <v>98</v>
      </c>
      <c r="H221" s="7">
        <v>22.675000000000001</v>
      </c>
      <c r="I221" s="7">
        <v>0.65300000000000002</v>
      </c>
      <c r="J221" s="7">
        <v>0.17699999999999999</v>
      </c>
      <c r="K221" s="7" t="s">
        <v>868</v>
      </c>
      <c r="L221" t="str">
        <f t="shared" si="69"/>
        <v>M</v>
      </c>
      <c r="M221" s="7">
        <v>30</v>
      </c>
      <c r="N221" s="7">
        <v>2.8759999999999999</v>
      </c>
      <c r="O221" s="7">
        <v>1.7609999999999999</v>
      </c>
      <c r="P221" s="7" t="s">
        <v>946</v>
      </c>
      <c r="Q221" t="str">
        <f t="shared" si="65"/>
        <v>F</v>
      </c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  <c r="AU221" s="7"/>
      <c r="AV221" s="7"/>
      <c r="AW221" s="7"/>
      <c r="AX221" s="7"/>
      <c r="AY221" s="7"/>
      <c r="AZ221" s="7"/>
      <c r="BA221" s="7"/>
      <c r="BB221" s="7"/>
      <c r="BC221" s="7"/>
      <c r="BD221" s="7"/>
      <c r="BE221" s="7"/>
      <c r="BF221" s="7"/>
      <c r="BG221" s="7"/>
      <c r="BH221" s="7">
        <v>4</v>
      </c>
      <c r="BI221" s="7">
        <v>0.82099999999999995</v>
      </c>
      <c r="BJ221" s="7"/>
      <c r="BK221" s="7"/>
      <c r="BL221" s="7"/>
      <c r="BM221" s="7"/>
      <c r="BN221" s="7"/>
      <c r="BO221" s="7"/>
      <c r="BP221" s="7"/>
      <c r="BQ221" s="7"/>
      <c r="BR221" s="7"/>
      <c r="BS221" s="7"/>
      <c r="BT221" s="7"/>
      <c r="BU221" s="7"/>
      <c r="BV221" s="7">
        <v>0.82099999999999995</v>
      </c>
      <c r="BW221" s="5">
        <v>44291</v>
      </c>
      <c r="BX221" s="7">
        <v>4</v>
      </c>
      <c r="BY221" s="7">
        <v>5</v>
      </c>
      <c r="BZ221" s="7">
        <v>2021</v>
      </c>
      <c r="CA221" s="5">
        <f t="shared" si="70"/>
        <v>44320</v>
      </c>
      <c r="CB221">
        <v>124</v>
      </c>
      <c r="CC221" s="7">
        <v>9</v>
      </c>
      <c r="CD221" t="s">
        <v>948</v>
      </c>
      <c r="CE221">
        <f t="shared" si="71"/>
        <v>0.78673659880878299</v>
      </c>
      <c r="CF221">
        <f t="shared" si="72"/>
        <v>2.9652166015802379</v>
      </c>
      <c r="CG221">
        <f t="shared" si="75"/>
        <v>2.9892423895628288E-2</v>
      </c>
      <c r="CH221">
        <f t="shared" si="76"/>
        <v>8.4201969972267356</v>
      </c>
      <c r="CI221">
        <f t="shared" si="73"/>
        <v>4.9173098125689085</v>
      </c>
      <c r="CJ221" s="1">
        <f t="shared" si="74"/>
        <v>8.5380374862183022</v>
      </c>
      <c r="CK221" s="7" t="s">
        <v>142</v>
      </c>
      <c r="CL221" s="7">
        <v>2</v>
      </c>
      <c r="CM221" s="7"/>
      <c r="CN221" s="7"/>
      <c r="CO221" s="7"/>
      <c r="CP221" s="7"/>
    </row>
    <row r="222" spans="1:99" x14ac:dyDescent="0.2">
      <c r="A222" s="7" t="s">
        <v>949</v>
      </c>
      <c r="B222" s="7" t="s">
        <v>46</v>
      </c>
      <c r="C222" t="str">
        <f t="shared" si="66"/>
        <v>I</v>
      </c>
      <c r="D222" t="str">
        <f t="shared" si="67"/>
        <v>S</v>
      </c>
      <c r="E222" t="str">
        <f t="shared" si="68"/>
        <v>G</v>
      </c>
      <c r="F222" s="7">
        <v>76</v>
      </c>
      <c r="G222" s="7">
        <v>72</v>
      </c>
      <c r="H222" s="7">
        <v>8.4740000000000002</v>
      </c>
      <c r="I222" s="7">
        <v>0.17599999999999999</v>
      </c>
      <c r="J222" s="7">
        <v>9.0999999999999998E-2</v>
      </c>
      <c r="K222" s="7" t="s">
        <v>868</v>
      </c>
      <c r="L222" t="str">
        <f t="shared" si="69"/>
        <v>M</v>
      </c>
      <c r="M222" s="7">
        <v>30</v>
      </c>
      <c r="N222" s="7">
        <v>0.65600000000000003</v>
      </c>
      <c r="O222" s="7">
        <v>0.59399999999999997</v>
      </c>
      <c r="P222" s="7" t="s">
        <v>975</v>
      </c>
      <c r="Q222" t="str">
        <f t="shared" si="65"/>
        <v>F</v>
      </c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  <c r="AU222" s="7"/>
      <c r="AV222" s="7">
        <v>11</v>
      </c>
      <c r="AW222" s="7">
        <v>0.05</v>
      </c>
      <c r="AX222" s="7"/>
      <c r="AY222" s="7"/>
      <c r="AZ222" s="7"/>
      <c r="BA222" s="7"/>
      <c r="BB222" s="7"/>
      <c r="BC222" s="7"/>
      <c r="BD222" s="7"/>
      <c r="BE222" s="7"/>
      <c r="BF222" s="7"/>
      <c r="BG222" s="7"/>
      <c r="BH222" s="7"/>
      <c r="BI222" s="7"/>
      <c r="BJ222" s="7"/>
      <c r="BK222" s="7"/>
      <c r="BL222" s="7"/>
      <c r="BM222" s="7"/>
      <c r="BN222" s="7"/>
      <c r="BO222" s="7"/>
      <c r="BP222" s="7"/>
      <c r="BQ222" s="7"/>
      <c r="BR222" s="7"/>
      <c r="BS222" s="7"/>
      <c r="BT222" s="7"/>
      <c r="BU222" s="7"/>
      <c r="BV222" s="7">
        <v>0.05</v>
      </c>
      <c r="BW222" s="5">
        <v>44291</v>
      </c>
      <c r="BX222" s="7">
        <v>4</v>
      </c>
      <c r="BY222" s="7">
        <v>5</v>
      </c>
      <c r="BZ222" s="7">
        <v>2021</v>
      </c>
      <c r="CA222" s="5">
        <f t="shared" si="70"/>
        <v>44320</v>
      </c>
      <c r="CB222">
        <v>124</v>
      </c>
      <c r="CC222" s="7">
        <v>9</v>
      </c>
      <c r="CD222" t="s">
        <v>948</v>
      </c>
      <c r="CE222">
        <f t="shared" si="71"/>
        <v>1.085530239770965</v>
      </c>
      <c r="CF222">
        <f t="shared" si="72"/>
        <v>2.1209930103639429</v>
      </c>
      <c r="CG222">
        <f t="shared" si="75"/>
        <v>2.1445107834775188E-2</v>
      </c>
      <c r="CH222">
        <f t="shared" si="76"/>
        <v>7.5380710659898469</v>
      </c>
      <c r="CI222">
        <f t="shared" si="73"/>
        <v>0.73164975218314909</v>
      </c>
      <c r="CJ222" s="1">
        <f t="shared" si="74"/>
        <v>1.3216898749114947</v>
      </c>
      <c r="CK222" s="7" t="s">
        <v>142</v>
      </c>
      <c r="CL222" s="7">
        <v>1</v>
      </c>
      <c r="CM222" s="7"/>
      <c r="CN222" s="7"/>
      <c r="CO222" s="7"/>
      <c r="CP222" s="7"/>
    </row>
    <row r="223" spans="1:99" x14ac:dyDescent="0.2">
      <c r="A223" s="7" t="s">
        <v>950</v>
      </c>
      <c r="B223" s="7" t="s">
        <v>46</v>
      </c>
      <c r="C223" t="str">
        <f t="shared" si="66"/>
        <v>I</v>
      </c>
      <c r="D223" t="str">
        <f t="shared" si="67"/>
        <v>S</v>
      </c>
      <c r="E223" t="str">
        <f t="shared" si="68"/>
        <v>G</v>
      </c>
      <c r="F223" s="7">
        <v>66</v>
      </c>
      <c r="G223" s="7">
        <v>62</v>
      </c>
      <c r="H223" s="7">
        <v>4.9870000000000001</v>
      </c>
      <c r="I223" s="7">
        <v>0.13700000000000001</v>
      </c>
      <c r="J223" s="7">
        <v>0.221</v>
      </c>
      <c r="K223" s="7" t="s">
        <v>867</v>
      </c>
      <c r="L223" t="str">
        <f t="shared" si="69"/>
        <v>F</v>
      </c>
      <c r="M223" s="7">
        <v>30</v>
      </c>
      <c r="N223" s="7">
        <v>0.32</v>
      </c>
      <c r="O223" s="7">
        <v>0.25900000000000001</v>
      </c>
      <c r="P223" s="7" t="s">
        <v>976</v>
      </c>
      <c r="Q223" t="str">
        <f t="shared" si="65"/>
        <v>F</v>
      </c>
      <c r="R223" s="7"/>
      <c r="S223" s="7"/>
      <c r="T223" s="7"/>
      <c r="U223" s="7">
        <v>5.0999999999999997E-2</v>
      </c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  <c r="AU223" s="7"/>
      <c r="AV223" s="7"/>
      <c r="AW223" s="7"/>
      <c r="AX223" s="7"/>
      <c r="AY223" s="7"/>
      <c r="AZ223" s="7"/>
      <c r="BA223" s="7"/>
      <c r="BB223" s="7"/>
      <c r="BC223" s="7"/>
      <c r="BD223" s="7"/>
      <c r="BE223" s="7"/>
      <c r="BF223" s="7"/>
      <c r="BG223" s="7"/>
      <c r="BH223" s="7"/>
      <c r="BI223" s="7"/>
      <c r="BJ223" s="7"/>
      <c r="BK223" s="7"/>
      <c r="BL223" s="7"/>
      <c r="BM223" s="7"/>
      <c r="BN223" s="7"/>
      <c r="BO223" s="7"/>
      <c r="BP223" s="7"/>
      <c r="BQ223" s="7"/>
      <c r="BR223" s="7"/>
      <c r="BS223" s="7"/>
      <c r="BT223" s="7"/>
      <c r="BU223" s="7"/>
      <c r="BV223" s="7">
        <v>5.0999999999999997E-2</v>
      </c>
      <c r="BW223" s="5">
        <v>44291</v>
      </c>
      <c r="BX223" s="7">
        <v>4</v>
      </c>
      <c r="BY223" s="7">
        <v>5</v>
      </c>
      <c r="BZ223" s="7">
        <v>2021</v>
      </c>
      <c r="CA223" s="5">
        <f t="shared" si="70"/>
        <v>44320</v>
      </c>
      <c r="CB223">
        <v>124</v>
      </c>
      <c r="CC223" s="7">
        <v>9</v>
      </c>
      <c r="CD223" t="s">
        <v>948</v>
      </c>
      <c r="CE223">
        <f t="shared" si="71"/>
        <v>4.6370121695342004</v>
      </c>
      <c r="CF223">
        <f t="shared" si="72"/>
        <v>2.8247422680412377</v>
      </c>
      <c r="CG223">
        <f t="shared" si="75"/>
        <v>2.9596025059408084E-2</v>
      </c>
      <c r="CH223">
        <f t="shared" si="76"/>
        <v>5.4780033840947553</v>
      </c>
      <c r="CI223">
        <f t="shared" si="73"/>
        <v>1.2231802686986164</v>
      </c>
      <c r="CJ223" s="1">
        <f t="shared" si="74"/>
        <v>2.2458391818728689</v>
      </c>
      <c r="CK223" s="7" t="s">
        <v>142</v>
      </c>
      <c r="CL223" s="7">
        <v>1</v>
      </c>
      <c r="CM223" s="7"/>
      <c r="CN223" s="7"/>
      <c r="CO223" s="7"/>
      <c r="CP223" s="7"/>
      <c r="CQ223" s="12">
        <v>2.0799999999999999E-2</v>
      </c>
      <c r="CR223">
        <f>CQ223/(H223-I223-J223-N223)*1000</f>
        <v>4.8271060570898126</v>
      </c>
    </row>
    <row r="224" spans="1:99" x14ac:dyDescent="0.2">
      <c r="A224" s="7" t="s">
        <v>951</v>
      </c>
      <c r="B224" s="7" t="s">
        <v>46</v>
      </c>
      <c r="C224" t="str">
        <f t="shared" si="66"/>
        <v>I</v>
      </c>
      <c r="D224" t="str">
        <f t="shared" si="67"/>
        <v>IMM</v>
      </c>
      <c r="E224" t="str">
        <f t="shared" si="68"/>
        <v>G</v>
      </c>
      <c r="F224" s="7">
        <v>63</v>
      </c>
      <c r="G224" s="7">
        <v>59</v>
      </c>
      <c r="H224" s="7">
        <v>4.242</v>
      </c>
      <c r="I224" s="7">
        <v>8.4000000000000005E-2</v>
      </c>
      <c r="J224" s="7">
        <v>6.2E-2</v>
      </c>
      <c r="K224" s="7" t="s">
        <v>868</v>
      </c>
      <c r="L224" t="str">
        <f t="shared" si="69"/>
        <v>M</v>
      </c>
      <c r="M224" s="7">
        <v>30</v>
      </c>
      <c r="N224" s="7">
        <v>0.26600000000000001</v>
      </c>
      <c r="O224" s="7">
        <v>0.23499999999999999</v>
      </c>
      <c r="P224" s="7" t="s">
        <v>977</v>
      </c>
      <c r="Q224" t="str">
        <f t="shared" si="65"/>
        <v>F</v>
      </c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7"/>
      <c r="AT224" s="7"/>
      <c r="AU224" s="7"/>
      <c r="AV224" s="7"/>
      <c r="AW224" s="7"/>
      <c r="AX224" s="7"/>
      <c r="AY224" s="7"/>
      <c r="AZ224" s="7">
        <v>1</v>
      </c>
      <c r="BA224" s="7">
        <v>1.9E-2</v>
      </c>
      <c r="BB224" s="7"/>
      <c r="BC224" s="7"/>
      <c r="BD224" s="7"/>
      <c r="BE224" s="7"/>
      <c r="BF224" s="7"/>
      <c r="BG224" s="7"/>
      <c r="BH224" s="7"/>
      <c r="BI224" s="7"/>
      <c r="BJ224" s="7"/>
      <c r="BK224" s="7"/>
      <c r="BL224" s="7"/>
      <c r="BM224" s="7"/>
      <c r="BN224" s="7"/>
      <c r="BO224" s="7"/>
      <c r="BP224" s="7"/>
      <c r="BQ224" s="7"/>
      <c r="BR224" s="7"/>
      <c r="BS224" s="7"/>
      <c r="BT224" s="7"/>
      <c r="BU224" s="7"/>
      <c r="BV224" s="7">
        <v>1.9E-2</v>
      </c>
      <c r="BW224" s="5">
        <v>44291</v>
      </c>
      <c r="BX224" s="7">
        <v>4</v>
      </c>
      <c r="BY224" s="7">
        <v>5</v>
      </c>
      <c r="BZ224" s="7">
        <v>2021</v>
      </c>
      <c r="CA224" s="5">
        <f t="shared" si="70"/>
        <v>44320</v>
      </c>
      <c r="CB224">
        <v>124</v>
      </c>
      <c r="CC224" s="7">
        <v>9</v>
      </c>
      <c r="CD224" t="s">
        <v>948</v>
      </c>
      <c r="CE224">
        <f t="shared" si="71"/>
        <v>1.4832535885167464</v>
      </c>
      <c r="CF224">
        <f t="shared" si="72"/>
        <v>2.0202020202020199</v>
      </c>
      <c r="CG224">
        <f t="shared" si="75"/>
        <v>2.05078125E-2</v>
      </c>
      <c r="CH224">
        <f t="shared" si="76"/>
        <v>5.8647367107561772</v>
      </c>
      <c r="CI224">
        <f t="shared" si="73"/>
        <v>0.73078736445073145</v>
      </c>
      <c r="CJ224" s="1">
        <f t="shared" si="74"/>
        <v>1.1786892975011793</v>
      </c>
      <c r="CK224" s="7" t="s">
        <v>142</v>
      </c>
      <c r="CL224" s="7">
        <v>1</v>
      </c>
      <c r="CM224" s="7"/>
      <c r="CN224" s="7"/>
      <c r="CO224" s="7"/>
      <c r="CP224" s="7"/>
    </row>
    <row r="225" spans="1:99" x14ac:dyDescent="0.2">
      <c r="A225" s="7" t="s">
        <v>952</v>
      </c>
      <c r="B225" s="7" t="s">
        <v>46</v>
      </c>
      <c r="C225" t="str">
        <f t="shared" si="66"/>
        <v>S</v>
      </c>
      <c r="D225" t="str">
        <f t="shared" si="67"/>
        <v>IMM</v>
      </c>
      <c r="E225" t="str">
        <f t="shared" si="68"/>
        <v>N</v>
      </c>
      <c r="F225" s="7">
        <v>52</v>
      </c>
      <c r="G225" s="7">
        <v>48</v>
      </c>
      <c r="H225" s="7">
        <v>2.1669999999999998</v>
      </c>
      <c r="I225" s="7">
        <v>4.2000000000000003E-2</v>
      </c>
      <c r="J225" s="7">
        <v>4.9000000000000002E-2</v>
      </c>
      <c r="K225" s="7" t="s">
        <v>786</v>
      </c>
      <c r="L225" t="str">
        <f t="shared" si="69"/>
        <v>F</v>
      </c>
      <c r="M225" s="7">
        <v>23</v>
      </c>
      <c r="N225" s="7">
        <v>0.14000000000000001</v>
      </c>
      <c r="O225" s="7">
        <v>0.106</v>
      </c>
      <c r="P225" s="7" t="s">
        <v>925</v>
      </c>
      <c r="Q225" t="str">
        <f t="shared" si="65"/>
        <v>F</v>
      </c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>
        <v>1.7999999999999999E-2</v>
      </c>
      <c r="AP225" s="7"/>
      <c r="AQ225" s="7"/>
      <c r="AR225" s="7"/>
      <c r="AS225" s="7"/>
      <c r="AT225" s="7"/>
      <c r="AU225" s="7"/>
      <c r="AV225" s="7"/>
      <c r="AW225" s="7"/>
      <c r="AX225" s="7"/>
      <c r="AY225" s="7"/>
      <c r="AZ225" s="7"/>
      <c r="BA225" s="7"/>
      <c r="BB225" s="7"/>
      <c r="BC225" s="7"/>
      <c r="BD225" s="7"/>
      <c r="BE225" s="7"/>
      <c r="BF225" s="7"/>
      <c r="BG225" s="7"/>
      <c r="BH225" s="7"/>
      <c r="BI225" s="7"/>
      <c r="BJ225" s="7"/>
      <c r="BK225" s="7"/>
      <c r="BL225" s="7"/>
      <c r="BM225" s="7"/>
      <c r="BN225" s="7"/>
      <c r="BO225" s="7"/>
      <c r="BP225" s="7"/>
      <c r="BQ225" s="7"/>
      <c r="BR225" s="7"/>
      <c r="BS225" s="7"/>
      <c r="BT225" s="7"/>
      <c r="BU225" s="7"/>
      <c r="BV225" s="7">
        <v>1.7999999999999999E-2</v>
      </c>
      <c r="BW225" s="5">
        <v>44291</v>
      </c>
      <c r="BX225" s="7">
        <v>4</v>
      </c>
      <c r="BY225" s="7">
        <v>5</v>
      </c>
      <c r="BZ225" s="7">
        <v>2021</v>
      </c>
      <c r="CA225" s="5">
        <f t="shared" si="70"/>
        <v>44320</v>
      </c>
      <c r="CB225">
        <v>124</v>
      </c>
      <c r="CC225" s="7">
        <v>9</v>
      </c>
      <c r="CD225" t="s">
        <v>948</v>
      </c>
      <c r="CE225">
        <f t="shared" si="71"/>
        <v>2.3135033050047218</v>
      </c>
      <c r="CF225">
        <f t="shared" si="72"/>
        <v>1.9764705882352942</v>
      </c>
      <c r="CG225">
        <f t="shared" si="75"/>
        <v>2.023121387283237E-2</v>
      </c>
      <c r="CH225">
        <f t="shared" si="76"/>
        <v>5.1431344007763222</v>
      </c>
      <c r="CI225">
        <f t="shared" si="73"/>
        <v>1.5689893862482702</v>
      </c>
      <c r="CJ225" s="1">
        <f t="shared" si="74"/>
        <v>2.3996308260267663</v>
      </c>
      <c r="CK225" s="7" t="s">
        <v>142</v>
      </c>
      <c r="CL225" s="7">
        <v>1</v>
      </c>
      <c r="CM225" s="7"/>
      <c r="CN225" s="7"/>
      <c r="CO225" s="7"/>
      <c r="CP225" s="7"/>
    </row>
    <row r="226" spans="1:99" x14ac:dyDescent="0.2">
      <c r="A226" s="7" t="s">
        <v>953</v>
      </c>
      <c r="B226" s="7" t="s">
        <v>46</v>
      </c>
      <c r="C226" t="str">
        <f t="shared" si="66"/>
        <v>I</v>
      </c>
      <c r="D226" t="str">
        <f t="shared" si="67"/>
        <v>S</v>
      </c>
      <c r="E226" t="str">
        <f t="shared" si="68"/>
        <v>G</v>
      </c>
      <c r="F226" s="7">
        <v>73</v>
      </c>
      <c r="G226" s="7">
        <v>69</v>
      </c>
      <c r="H226" s="7">
        <v>6.8339999999999996</v>
      </c>
      <c r="I226" s="7">
        <v>0.153</v>
      </c>
      <c r="J226" s="7">
        <v>4.5999999999999999E-2</v>
      </c>
      <c r="K226" s="7" t="s">
        <v>868</v>
      </c>
      <c r="L226" t="str">
        <f t="shared" si="69"/>
        <v>M</v>
      </c>
      <c r="M226" s="7">
        <v>30</v>
      </c>
      <c r="N226" s="7">
        <v>0.441</v>
      </c>
      <c r="O226" s="7">
        <v>0.376</v>
      </c>
      <c r="P226" s="7" t="s">
        <v>978</v>
      </c>
      <c r="Q226" t="str">
        <f t="shared" si="65"/>
        <v>F</v>
      </c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>
        <v>9</v>
      </c>
      <c r="AW226" s="7">
        <v>4.7E-2</v>
      </c>
      <c r="AX226" s="7"/>
      <c r="AY226" s="7"/>
      <c r="AZ226" s="7"/>
      <c r="BA226" s="7"/>
      <c r="BB226" s="7"/>
      <c r="BC226" s="7"/>
      <c r="BD226" s="7"/>
      <c r="BE226" s="7"/>
      <c r="BF226" s="7"/>
      <c r="BG226" s="7"/>
      <c r="BH226" s="7"/>
      <c r="BI226" s="7"/>
      <c r="BJ226" s="7"/>
      <c r="BK226" s="7"/>
      <c r="BL226" s="7"/>
      <c r="BM226" s="7"/>
      <c r="BN226" s="7"/>
      <c r="BO226" s="7"/>
      <c r="BP226" s="7"/>
      <c r="BQ226" s="7"/>
      <c r="BR226" s="7"/>
      <c r="BS226" s="7"/>
      <c r="BT226" s="7"/>
      <c r="BU226" s="7"/>
      <c r="BV226" s="7">
        <v>4.7E-2</v>
      </c>
      <c r="BW226" s="5">
        <v>44291</v>
      </c>
      <c r="BX226" s="7">
        <v>4</v>
      </c>
      <c r="BY226" s="7">
        <v>5</v>
      </c>
      <c r="BZ226" s="7">
        <v>2021</v>
      </c>
      <c r="CA226" s="5">
        <f t="shared" si="70"/>
        <v>44320</v>
      </c>
      <c r="CB226">
        <v>124</v>
      </c>
      <c r="CC226" s="7">
        <v>9</v>
      </c>
      <c r="CE226">
        <f t="shared" si="71"/>
        <v>0.67766647024160287</v>
      </c>
      <c r="CF226">
        <f t="shared" si="72"/>
        <v>2.2900763358778624</v>
      </c>
      <c r="CG226">
        <f t="shared" si="75"/>
        <v>2.3059532780708367E-2</v>
      </c>
      <c r="CH226">
        <f t="shared" si="76"/>
        <v>5.8222359863734914</v>
      </c>
      <c r="CI226">
        <f t="shared" si="73"/>
        <v>0.95112671934445414</v>
      </c>
      <c r="CJ226" s="1">
        <f t="shared" si="74"/>
        <v>1.6388645010242904</v>
      </c>
      <c r="CK226" s="7" t="s">
        <v>142</v>
      </c>
      <c r="CL226" s="7">
        <v>1</v>
      </c>
      <c r="CM226" s="7"/>
      <c r="CN226" s="7"/>
      <c r="CO226" s="7"/>
      <c r="CP226" s="7"/>
    </row>
    <row r="227" spans="1:99" x14ac:dyDescent="0.2">
      <c r="A227" s="7" t="s">
        <v>954</v>
      </c>
      <c r="B227" s="7" t="s">
        <v>46</v>
      </c>
      <c r="C227" t="str">
        <f t="shared" si="66"/>
        <v>I</v>
      </c>
      <c r="D227" t="str">
        <f t="shared" si="67"/>
        <v>S</v>
      </c>
      <c r="E227" t="str">
        <f t="shared" si="68"/>
        <v>G</v>
      </c>
      <c r="F227" s="7">
        <v>68</v>
      </c>
      <c r="G227" s="7">
        <v>64</v>
      </c>
      <c r="H227" s="7">
        <v>5.5309999999999997</v>
      </c>
      <c r="I227" s="7">
        <v>0.13</v>
      </c>
      <c r="J227" s="7">
        <v>0.104</v>
      </c>
      <c r="K227" s="7" t="s">
        <v>868</v>
      </c>
      <c r="L227" t="str">
        <f t="shared" si="69"/>
        <v>M</v>
      </c>
      <c r="M227" s="7">
        <v>30</v>
      </c>
      <c r="N227" s="7">
        <v>0.33500000000000002</v>
      </c>
      <c r="O227" s="7">
        <v>0.30499999999999999</v>
      </c>
      <c r="P227" s="7" t="s">
        <v>979</v>
      </c>
      <c r="Q227" t="str">
        <f t="shared" si="65"/>
        <v>F</v>
      </c>
      <c r="R227" s="7"/>
      <c r="S227" s="7"/>
      <c r="T227" s="7"/>
      <c r="U227" s="7">
        <v>1.7000000000000001E-2</v>
      </c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  <c r="AU227" s="7"/>
      <c r="AV227" s="7"/>
      <c r="AW227" s="7"/>
      <c r="AX227" s="7"/>
      <c r="AY227" s="7"/>
      <c r="AZ227" s="7"/>
      <c r="BA227" s="7"/>
      <c r="BB227" s="7"/>
      <c r="BC227" s="7"/>
      <c r="BD227" s="7"/>
      <c r="BE227" s="7"/>
      <c r="BF227" s="7"/>
      <c r="BG227" s="7"/>
      <c r="BH227" s="7"/>
      <c r="BI227" s="7"/>
      <c r="BJ227" s="7"/>
      <c r="BK227" s="7"/>
      <c r="BL227" s="7"/>
      <c r="BM227" s="7"/>
      <c r="BN227" s="7"/>
      <c r="BO227" s="7"/>
      <c r="BP227" s="7"/>
      <c r="BQ227" s="7"/>
      <c r="BR227" s="7"/>
      <c r="BS227" s="7"/>
      <c r="BT227" s="7"/>
      <c r="BU227" s="7"/>
      <c r="BV227" s="7">
        <v>1.7000000000000001E-2</v>
      </c>
      <c r="BW227" s="5">
        <v>44291</v>
      </c>
      <c r="BX227" s="7">
        <v>4</v>
      </c>
      <c r="BY227" s="7">
        <v>5</v>
      </c>
      <c r="BZ227" s="7">
        <v>2021</v>
      </c>
      <c r="CA227" s="5">
        <f t="shared" si="70"/>
        <v>44320</v>
      </c>
      <c r="CB227">
        <v>124</v>
      </c>
      <c r="CC227" s="7">
        <v>9</v>
      </c>
      <c r="CE227">
        <f t="shared" si="71"/>
        <v>1.9163442049014188</v>
      </c>
      <c r="CF227">
        <f t="shared" si="72"/>
        <v>2.4069616737641177</v>
      </c>
      <c r="CG227">
        <f t="shared" si="75"/>
        <v>2.4542193694544082E-2</v>
      </c>
      <c r="CH227">
        <f t="shared" si="76"/>
        <v>5.8362035973976276</v>
      </c>
      <c r="CI227">
        <f t="shared" si="73"/>
        <v>0.54239739649249741</v>
      </c>
      <c r="CJ227" s="1">
        <f t="shared" si="74"/>
        <v>0.84975592117157894</v>
      </c>
      <c r="CK227" s="7" t="s">
        <v>142</v>
      </c>
      <c r="CL227" s="7">
        <v>1</v>
      </c>
      <c r="CM227" s="7"/>
      <c r="CN227" s="7"/>
      <c r="CO227" s="7"/>
      <c r="CP227" s="7"/>
    </row>
    <row r="228" spans="1:99" x14ac:dyDescent="0.2">
      <c r="A228" s="7" t="s">
        <v>955</v>
      </c>
      <c r="B228" s="7" t="s">
        <v>46</v>
      </c>
      <c r="C228" t="str">
        <f t="shared" si="66"/>
        <v>I</v>
      </c>
      <c r="D228" t="str">
        <f t="shared" si="67"/>
        <v>S</v>
      </c>
      <c r="E228" t="str">
        <f t="shared" si="68"/>
        <v>G</v>
      </c>
      <c r="F228" s="7">
        <v>65</v>
      </c>
      <c r="G228" s="7">
        <v>61</v>
      </c>
      <c r="H228" s="7">
        <v>4.6369999999999996</v>
      </c>
      <c r="I228" s="7">
        <v>0.13500000000000001</v>
      </c>
      <c r="J228" s="7">
        <v>7.0000000000000007E-2</v>
      </c>
      <c r="K228" s="7" t="s">
        <v>868</v>
      </c>
      <c r="L228" t="str">
        <f t="shared" si="69"/>
        <v>M</v>
      </c>
      <c r="M228" s="7">
        <v>30</v>
      </c>
      <c r="N228" s="7">
        <v>0.318</v>
      </c>
      <c r="O228" s="7">
        <v>0.255</v>
      </c>
      <c r="P228" s="7" t="s">
        <v>980</v>
      </c>
      <c r="Q228" t="str">
        <f t="shared" si="65"/>
        <v>F</v>
      </c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>
        <v>0.05</v>
      </c>
      <c r="AP228" s="7"/>
      <c r="AQ228" s="7"/>
      <c r="AR228" s="7"/>
      <c r="AS228" s="7"/>
      <c r="AT228" s="7"/>
      <c r="AU228" s="7"/>
      <c r="AV228" s="7"/>
      <c r="AW228" s="7"/>
      <c r="AX228" s="7"/>
      <c r="AY228" s="7"/>
      <c r="AZ228" s="7"/>
      <c r="BA228" s="7"/>
      <c r="BB228" s="7"/>
      <c r="BC228" s="7"/>
      <c r="BD228" s="7"/>
      <c r="BE228" s="7"/>
      <c r="BF228" s="7"/>
      <c r="BG228" s="7"/>
      <c r="BH228" s="7"/>
      <c r="BI228" s="7"/>
      <c r="BJ228" s="7"/>
      <c r="BK228" s="7"/>
      <c r="BL228" s="7"/>
      <c r="BM228" s="7"/>
      <c r="BN228" s="7"/>
      <c r="BO228" s="7"/>
      <c r="BP228" s="7"/>
      <c r="BQ228" s="7"/>
      <c r="BR228" s="7"/>
      <c r="BS228" s="7"/>
      <c r="BT228" s="7"/>
      <c r="BU228" s="7"/>
      <c r="BV228" s="7">
        <v>0.05</v>
      </c>
      <c r="BW228" s="5">
        <v>44291</v>
      </c>
      <c r="BX228" s="7">
        <v>4</v>
      </c>
      <c r="BY228" s="7">
        <v>5</v>
      </c>
      <c r="BZ228" s="7">
        <v>2021</v>
      </c>
      <c r="CA228" s="5">
        <f t="shared" si="70"/>
        <v>44320</v>
      </c>
      <c r="CB228">
        <v>124</v>
      </c>
      <c r="CC228" s="7">
        <v>9</v>
      </c>
      <c r="CE228">
        <f t="shared" si="71"/>
        <v>1.5327348368732212</v>
      </c>
      <c r="CF228">
        <f t="shared" si="72"/>
        <v>2.9986672589960022</v>
      </c>
      <c r="CG228">
        <f t="shared" si="75"/>
        <v>3.0460288808664266E-2</v>
      </c>
      <c r="CH228">
        <f t="shared" si="76"/>
        <v>5.8192606115928802</v>
      </c>
      <c r="CI228">
        <f t="shared" si="73"/>
        <v>1.358637049816692</v>
      </c>
      <c r="CJ228" s="1">
        <f t="shared" si="74"/>
        <v>2.4369204226870824</v>
      </c>
      <c r="CK228" s="7" t="s">
        <v>142</v>
      </c>
      <c r="CL228" s="7">
        <v>1</v>
      </c>
      <c r="CM228" s="7"/>
      <c r="CN228" s="7"/>
      <c r="CO228" s="7"/>
      <c r="CP228" s="7"/>
    </row>
    <row r="229" spans="1:99" x14ac:dyDescent="0.2">
      <c r="A229" s="7" t="s">
        <v>956</v>
      </c>
      <c r="B229" s="7" t="s">
        <v>46</v>
      </c>
      <c r="C229" t="str">
        <f t="shared" si="66"/>
        <v>I</v>
      </c>
      <c r="D229" t="str">
        <f t="shared" si="67"/>
        <v>IMM</v>
      </c>
      <c r="E229" t="str">
        <f t="shared" si="68"/>
        <v>G</v>
      </c>
      <c r="F229" s="7">
        <v>61</v>
      </c>
      <c r="G229" s="7">
        <v>58</v>
      </c>
      <c r="H229" s="7">
        <v>3.98</v>
      </c>
      <c r="I229" s="7">
        <v>7.3999999999999996E-2</v>
      </c>
      <c r="J229" s="7">
        <v>7.5999999999999998E-2</v>
      </c>
      <c r="K229" s="7" t="s">
        <v>868</v>
      </c>
      <c r="L229" t="str">
        <f t="shared" si="69"/>
        <v>M</v>
      </c>
      <c r="M229" s="7">
        <v>30</v>
      </c>
      <c r="N229" s="7">
        <v>0.25800000000000001</v>
      </c>
      <c r="O229" s="7">
        <v>0.20799999999999999</v>
      </c>
      <c r="P229" s="7" t="s">
        <v>981</v>
      </c>
      <c r="Q229" t="str">
        <f t="shared" si="65"/>
        <v>F</v>
      </c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>
        <v>3.4000000000000002E-2</v>
      </c>
      <c r="AP229" s="7"/>
      <c r="AQ229" s="7"/>
      <c r="AR229" s="7"/>
      <c r="AS229" s="7"/>
      <c r="AT229" s="7"/>
      <c r="AU229" s="7"/>
      <c r="AV229" s="7"/>
      <c r="AW229" s="7"/>
      <c r="AX229" s="7"/>
      <c r="AY229" s="7"/>
      <c r="AZ229" s="7"/>
      <c r="BA229" s="7"/>
      <c r="BB229" s="7"/>
      <c r="BC229" s="7"/>
      <c r="BD229" s="7"/>
      <c r="BE229" s="7"/>
      <c r="BF229" s="7"/>
      <c r="BG229" s="7"/>
      <c r="BH229" s="7"/>
      <c r="BI229" s="7"/>
      <c r="BJ229" s="7"/>
      <c r="BK229" s="7"/>
      <c r="BL229" s="7"/>
      <c r="BM229" s="7"/>
      <c r="BN229" s="7"/>
      <c r="BO229" s="7"/>
      <c r="BP229" s="7"/>
      <c r="BQ229" s="7"/>
      <c r="BR229" s="7"/>
      <c r="BS229" s="7"/>
      <c r="BT229" s="7"/>
      <c r="BU229" s="7"/>
      <c r="BV229" s="7">
        <v>3.4000000000000002E-2</v>
      </c>
      <c r="BW229" s="5">
        <v>44291</v>
      </c>
      <c r="BX229" s="7">
        <v>4</v>
      </c>
      <c r="BY229" s="7">
        <v>5</v>
      </c>
      <c r="BZ229" s="7">
        <v>2021</v>
      </c>
      <c r="CA229" s="5">
        <f t="shared" si="70"/>
        <v>44320</v>
      </c>
      <c r="CB229">
        <v>124</v>
      </c>
      <c r="CC229" s="7">
        <v>9</v>
      </c>
      <c r="CE229">
        <f t="shared" si="71"/>
        <v>1.9467213114754098</v>
      </c>
      <c r="CF229">
        <f t="shared" si="72"/>
        <v>1.8945212493599588</v>
      </c>
      <c r="CG229">
        <f t="shared" si="75"/>
        <v>1.9321148825065273E-2</v>
      </c>
      <c r="CH229">
        <f t="shared" si="76"/>
        <v>5.5143160127253443</v>
      </c>
      <c r="CI229">
        <f t="shared" si="73"/>
        <v>1.2562814070351762</v>
      </c>
      <c r="CJ229" s="1">
        <f t="shared" si="74"/>
        <v>2.1105527638190962</v>
      </c>
      <c r="CK229" s="7" t="s">
        <v>142</v>
      </c>
      <c r="CL229" s="7">
        <v>1</v>
      </c>
      <c r="CM229" s="7"/>
      <c r="CN229" s="7"/>
      <c r="CO229" s="7"/>
      <c r="CP229" s="7"/>
    </row>
    <row r="230" spans="1:99" x14ac:dyDescent="0.2">
      <c r="A230" s="7" t="s">
        <v>957</v>
      </c>
      <c r="B230" s="7" t="s">
        <v>46</v>
      </c>
      <c r="C230" t="str">
        <f t="shared" si="66"/>
        <v>I</v>
      </c>
      <c r="D230" t="str">
        <f t="shared" si="67"/>
        <v>IMM</v>
      </c>
      <c r="E230" t="str">
        <f t="shared" si="68"/>
        <v>G</v>
      </c>
      <c r="F230" s="7">
        <v>62</v>
      </c>
      <c r="G230" s="7">
        <v>59</v>
      </c>
      <c r="H230" s="7">
        <v>4.1369999999999996</v>
      </c>
      <c r="I230" s="7">
        <v>9.9000000000000005E-2</v>
      </c>
      <c r="J230" s="7">
        <v>0.129</v>
      </c>
      <c r="K230" s="7" t="s">
        <v>867</v>
      </c>
      <c r="L230" t="str">
        <f t="shared" si="69"/>
        <v>F</v>
      </c>
      <c r="M230" s="7">
        <v>30</v>
      </c>
      <c r="N230" s="7">
        <v>0.29499999999999998</v>
      </c>
      <c r="O230" s="7">
        <v>0.22900000000000001</v>
      </c>
      <c r="P230" s="7" t="s">
        <v>982</v>
      </c>
      <c r="Q230" t="str">
        <f t="shared" si="65"/>
        <v>F</v>
      </c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>
        <v>5.2999999999999999E-2</v>
      </c>
      <c r="AP230" s="7"/>
      <c r="AQ230" s="7"/>
      <c r="AR230" s="7"/>
      <c r="AS230" s="7"/>
      <c r="AT230" s="7"/>
      <c r="AU230" s="7"/>
      <c r="AV230" s="7"/>
      <c r="AW230" s="7"/>
      <c r="AX230" s="7"/>
      <c r="AY230" s="7"/>
      <c r="AZ230" s="7"/>
      <c r="BA230" s="7"/>
      <c r="BB230" s="7"/>
      <c r="BC230" s="7"/>
      <c r="BD230" s="7"/>
      <c r="BE230" s="7"/>
      <c r="BF230" s="7"/>
      <c r="BG230" s="7"/>
      <c r="BH230" s="7"/>
      <c r="BI230" s="7"/>
      <c r="BJ230" s="7"/>
      <c r="BK230" s="7"/>
      <c r="BL230" s="7"/>
      <c r="BM230" s="7"/>
      <c r="BN230" s="7"/>
      <c r="BO230" s="7"/>
      <c r="BP230" s="7"/>
      <c r="BQ230" s="7"/>
      <c r="BR230" s="7"/>
      <c r="BS230" s="7"/>
      <c r="BT230" s="7"/>
      <c r="BU230" s="7"/>
      <c r="BV230" s="7">
        <v>5.2999999999999999E-2</v>
      </c>
      <c r="BW230" s="5">
        <v>44291</v>
      </c>
      <c r="BX230" s="7">
        <v>4</v>
      </c>
      <c r="BY230" s="7">
        <v>5</v>
      </c>
      <c r="BZ230" s="7">
        <v>2021</v>
      </c>
      <c r="CA230" s="5">
        <f t="shared" si="70"/>
        <v>44320</v>
      </c>
      <c r="CB230">
        <v>124</v>
      </c>
      <c r="CC230" s="7">
        <v>9</v>
      </c>
      <c r="CE230">
        <f t="shared" si="71"/>
        <v>3.2185628742514982</v>
      </c>
      <c r="CF230">
        <f t="shared" si="72"/>
        <v>2.4517087667161968</v>
      </c>
      <c r="CG230">
        <f t="shared" si="75"/>
        <v>2.5326170376055262E-2</v>
      </c>
      <c r="CH230">
        <f t="shared" si="76"/>
        <v>5.8597748208802463</v>
      </c>
      <c r="CI230">
        <f t="shared" si="73"/>
        <v>1.5953589557650467</v>
      </c>
      <c r="CJ230" s="1">
        <f t="shared" si="74"/>
        <v>2.8764805414551602</v>
      </c>
      <c r="CK230" s="7" t="s">
        <v>142</v>
      </c>
      <c r="CL230" s="7">
        <v>1</v>
      </c>
      <c r="CM230" s="7"/>
      <c r="CN230" s="7"/>
      <c r="CO230" s="7"/>
      <c r="CP230" s="7"/>
      <c r="CQ230" s="12">
        <v>1.4E-2</v>
      </c>
      <c r="CR230">
        <f>CQ230/(H230-I230-J230-N230)*1000</f>
        <v>3.8738240177089103</v>
      </c>
    </row>
    <row r="231" spans="1:99" x14ac:dyDescent="0.2">
      <c r="A231" s="7" t="s">
        <v>958</v>
      </c>
      <c r="B231" s="7" t="s">
        <v>46</v>
      </c>
      <c r="C231" t="str">
        <f t="shared" si="66"/>
        <v>S</v>
      </c>
      <c r="D231" t="str">
        <f t="shared" si="67"/>
        <v>IMM</v>
      </c>
      <c r="E231" t="str">
        <f t="shared" si="68"/>
        <v>N</v>
      </c>
      <c r="F231" s="7">
        <v>52</v>
      </c>
      <c r="G231" s="7">
        <v>50</v>
      </c>
      <c r="H231" s="7">
        <v>2.3439999999999999</v>
      </c>
      <c r="I231" s="7">
        <v>4.8000000000000001E-2</v>
      </c>
      <c r="J231" s="7">
        <v>4.8000000000000001E-2</v>
      </c>
      <c r="K231" s="7" t="s">
        <v>868</v>
      </c>
      <c r="L231" t="str">
        <f t="shared" si="69"/>
        <v>M</v>
      </c>
      <c r="M231" s="7">
        <v>30</v>
      </c>
      <c r="N231" s="7">
        <v>0.16600000000000001</v>
      </c>
      <c r="O231" s="7">
        <v>0.12</v>
      </c>
      <c r="P231" s="7" t="s">
        <v>983</v>
      </c>
      <c r="Q231" t="str">
        <f t="shared" si="65"/>
        <v>F</v>
      </c>
      <c r="R231" s="7"/>
      <c r="S231" s="7"/>
      <c r="T231" s="7"/>
      <c r="U231" s="7">
        <v>2.8000000000000001E-2</v>
      </c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  <c r="AU231" s="7"/>
      <c r="AV231" s="7"/>
      <c r="AW231" s="7"/>
      <c r="AX231" s="7"/>
      <c r="AY231" s="7"/>
      <c r="AZ231" s="7"/>
      <c r="BA231" s="7"/>
      <c r="BB231" s="7"/>
      <c r="BC231" s="7"/>
      <c r="BD231" s="7"/>
      <c r="BE231" s="7"/>
      <c r="BF231" s="7"/>
      <c r="BG231" s="7"/>
      <c r="BH231" s="7"/>
      <c r="BI231" s="7"/>
      <c r="BJ231" s="7"/>
      <c r="BK231" s="7"/>
      <c r="BL231" s="7"/>
      <c r="BM231" s="7"/>
      <c r="BN231" s="7"/>
      <c r="BO231" s="7"/>
      <c r="BP231" s="7"/>
      <c r="BQ231" s="7"/>
      <c r="BR231" s="7"/>
      <c r="BS231" s="7"/>
      <c r="BT231" s="7"/>
      <c r="BU231" s="7"/>
      <c r="BV231" s="7">
        <v>2.8000000000000001E-2</v>
      </c>
      <c r="BW231" s="5">
        <v>44291</v>
      </c>
      <c r="BX231" s="7">
        <v>4</v>
      </c>
      <c r="BY231" s="7">
        <v>5</v>
      </c>
      <c r="BZ231" s="7">
        <v>2021</v>
      </c>
      <c r="CA231" s="5">
        <f t="shared" si="70"/>
        <v>44320</v>
      </c>
      <c r="CB231">
        <v>124</v>
      </c>
      <c r="CC231" s="7">
        <v>9</v>
      </c>
      <c r="CE231">
        <f t="shared" si="71"/>
        <v>2.0905923344947737</v>
      </c>
      <c r="CF231">
        <f t="shared" si="72"/>
        <v>2.0905923344947737</v>
      </c>
      <c r="CG231">
        <f t="shared" si="75"/>
        <v>2.1352313167259791E-2</v>
      </c>
      <c r="CH231">
        <f t="shared" si="76"/>
        <v>5.3956834532374103</v>
      </c>
      <c r="CI231">
        <f t="shared" si="73"/>
        <v>1.9624573378839598</v>
      </c>
      <c r="CJ231" s="1">
        <f t="shared" si="74"/>
        <v>3.1569965870307173</v>
      </c>
      <c r="CK231" s="7" t="s">
        <v>142</v>
      </c>
      <c r="CL231" s="7">
        <v>1</v>
      </c>
      <c r="CM231" s="7"/>
      <c r="CN231" s="7"/>
      <c r="CO231" s="7"/>
      <c r="CP231" s="7"/>
    </row>
    <row r="232" spans="1:99" x14ac:dyDescent="0.2">
      <c r="A232" s="7" t="s">
        <v>959</v>
      </c>
      <c r="B232" s="7" t="s">
        <v>46</v>
      </c>
      <c r="C232" t="str">
        <f t="shared" si="66"/>
        <v>S</v>
      </c>
      <c r="D232" t="str">
        <f t="shared" si="67"/>
        <v>IMM</v>
      </c>
      <c r="E232" t="str">
        <f t="shared" si="68"/>
        <v>N</v>
      </c>
      <c r="F232" s="7">
        <v>51</v>
      </c>
      <c r="G232" s="7">
        <v>49</v>
      </c>
      <c r="H232" s="7">
        <v>2.1789999999999998</v>
      </c>
      <c r="I232" s="7">
        <v>5.2999999999999999E-2</v>
      </c>
      <c r="J232" s="7">
        <v>5.8000000000000003E-2</v>
      </c>
      <c r="K232" s="7" t="s">
        <v>786</v>
      </c>
      <c r="L232" t="str">
        <f t="shared" si="69"/>
        <v>F</v>
      </c>
      <c r="M232" s="7">
        <v>23</v>
      </c>
      <c r="N232" s="7">
        <v>0.2</v>
      </c>
      <c r="O232" s="7">
        <v>0.14399999999999999</v>
      </c>
      <c r="P232" s="7" t="s">
        <v>984</v>
      </c>
      <c r="Q232" t="str">
        <f t="shared" si="65"/>
        <v>F</v>
      </c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>
        <v>4.9000000000000002E-2</v>
      </c>
      <c r="AP232" s="7"/>
      <c r="AQ232" s="7"/>
      <c r="AR232" s="7"/>
      <c r="AS232" s="7"/>
      <c r="AT232" s="7"/>
      <c r="AU232" s="7"/>
      <c r="AV232" s="7"/>
      <c r="AW232" s="7"/>
      <c r="AX232" s="7"/>
      <c r="AY232" s="7"/>
      <c r="AZ232" s="7"/>
      <c r="BA232" s="7"/>
      <c r="BB232" s="7"/>
      <c r="BC232" s="7"/>
      <c r="BD232" s="7"/>
      <c r="BE232" s="7"/>
      <c r="BF232" s="7"/>
      <c r="BG232" s="7"/>
      <c r="BH232" s="7"/>
      <c r="BI232" s="7"/>
      <c r="BJ232" s="7"/>
      <c r="BK232" s="7"/>
      <c r="BL232" s="7"/>
      <c r="BM232" s="7"/>
      <c r="BN232" s="7"/>
      <c r="BO232" s="7"/>
      <c r="BP232" s="7"/>
      <c r="BQ232" s="7"/>
      <c r="BR232" s="7"/>
      <c r="BS232" s="7"/>
      <c r="BT232" s="7"/>
      <c r="BU232" s="7"/>
      <c r="BV232" s="7">
        <v>4.9000000000000002E-2</v>
      </c>
      <c r="BW232" s="5">
        <v>44291</v>
      </c>
      <c r="BX232" s="7">
        <v>4</v>
      </c>
      <c r="BY232" s="7">
        <v>5</v>
      </c>
      <c r="BZ232" s="7">
        <v>2021</v>
      </c>
      <c r="CA232" s="5">
        <f t="shared" si="70"/>
        <v>44320</v>
      </c>
      <c r="CB232">
        <v>124</v>
      </c>
      <c r="CC232" s="7">
        <v>9</v>
      </c>
      <c r="CE232">
        <f t="shared" si="71"/>
        <v>2.734559170202735</v>
      </c>
      <c r="CF232">
        <f t="shared" si="72"/>
        <v>2.4929444967074317</v>
      </c>
      <c r="CG232">
        <f t="shared" si="75"/>
        <v>2.5628626692456479E-2</v>
      </c>
      <c r="CH232">
        <f t="shared" si="76"/>
        <v>7.076167076167077</v>
      </c>
      <c r="CI232">
        <f t="shared" si="73"/>
        <v>2.5699862322166145</v>
      </c>
      <c r="CJ232" s="1">
        <f t="shared" si="74"/>
        <v>4.8187241854061504</v>
      </c>
      <c r="CK232" s="7" t="s">
        <v>142</v>
      </c>
      <c r="CL232" s="7">
        <v>1</v>
      </c>
      <c r="CM232" s="7"/>
      <c r="CN232" s="7"/>
      <c r="CO232" s="7"/>
      <c r="CP232" s="7"/>
    </row>
    <row r="233" spans="1:99" x14ac:dyDescent="0.2">
      <c r="A233" s="7" t="s">
        <v>960</v>
      </c>
      <c r="B233" s="7" t="s">
        <v>46</v>
      </c>
      <c r="C233" t="str">
        <f t="shared" si="66"/>
        <v>S</v>
      </c>
      <c r="D233" t="str">
        <f t="shared" si="67"/>
        <v>IMM</v>
      </c>
      <c r="E233" t="str">
        <f t="shared" si="68"/>
        <v>N</v>
      </c>
      <c r="F233" s="7">
        <v>49</v>
      </c>
      <c r="G233" s="7">
        <v>47</v>
      </c>
      <c r="H233" s="7">
        <v>1.9670000000000001</v>
      </c>
      <c r="I233" s="7">
        <v>0.06</v>
      </c>
      <c r="J233" s="7">
        <v>0.04</v>
      </c>
      <c r="K233" s="7" t="s">
        <v>786</v>
      </c>
      <c r="L233" t="str">
        <f t="shared" si="69"/>
        <v>F</v>
      </c>
      <c r="M233" s="7">
        <v>23</v>
      </c>
      <c r="N233" s="7">
        <v>0.14499999999999999</v>
      </c>
      <c r="O233" s="7">
        <v>0.112</v>
      </c>
      <c r="P233" s="7" t="s">
        <v>985</v>
      </c>
      <c r="Q233" t="str">
        <f t="shared" si="65"/>
        <v>F</v>
      </c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>
        <v>2.1000000000000001E-2</v>
      </c>
      <c r="AP233" s="7"/>
      <c r="AQ233" s="7"/>
      <c r="AR233" s="7"/>
      <c r="AS233" s="7"/>
      <c r="AT233" s="7"/>
      <c r="AU233" s="7"/>
      <c r="AV233" s="7"/>
      <c r="AW233" s="7"/>
      <c r="AX233" s="7"/>
      <c r="AY233" s="7"/>
      <c r="AZ233" s="7"/>
      <c r="BA233" s="7"/>
      <c r="BB233" s="7"/>
      <c r="BC233" s="7"/>
      <c r="BD233" s="7"/>
      <c r="BE233" s="7"/>
      <c r="BF233" s="7"/>
      <c r="BG233" s="7"/>
      <c r="BH233" s="7"/>
      <c r="BI233" s="7"/>
      <c r="BJ233" s="7"/>
      <c r="BK233" s="7"/>
      <c r="BL233" s="7"/>
      <c r="BM233" s="7"/>
      <c r="BN233" s="7"/>
      <c r="BO233" s="7"/>
      <c r="BP233" s="7"/>
      <c r="BQ233" s="7"/>
      <c r="BR233" s="7"/>
      <c r="BS233" s="7"/>
      <c r="BT233" s="7"/>
      <c r="BU233" s="7"/>
      <c r="BV233" s="7">
        <v>2.1000000000000001E-2</v>
      </c>
      <c r="BW233" s="5">
        <v>44291</v>
      </c>
      <c r="BX233" s="7">
        <v>4</v>
      </c>
      <c r="BY233" s="7">
        <v>5</v>
      </c>
      <c r="BZ233" s="7">
        <v>2021</v>
      </c>
      <c r="CA233" s="5">
        <f t="shared" si="70"/>
        <v>44320</v>
      </c>
      <c r="CB233">
        <v>124</v>
      </c>
      <c r="CC233" s="7">
        <v>9</v>
      </c>
      <c r="CE233">
        <f t="shared" si="71"/>
        <v>2.0757654385054489</v>
      </c>
      <c r="CF233">
        <f t="shared" si="72"/>
        <v>3.1463030938647085</v>
      </c>
      <c r="CG233">
        <f t="shared" si="75"/>
        <v>3.2137118371719335E-2</v>
      </c>
      <c r="CH233">
        <f t="shared" si="76"/>
        <v>6.0377358490566042</v>
      </c>
      <c r="CI233">
        <f t="shared" si="73"/>
        <v>1.6776817488561253</v>
      </c>
      <c r="CJ233" s="1">
        <f t="shared" si="74"/>
        <v>2.7452974072191152</v>
      </c>
      <c r="CK233" s="7" t="s">
        <v>142</v>
      </c>
      <c r="CL233" s="7">
        <v>1</v>
      </c>
      <c r="CM233" s="7"/>
      <c r="CN233" s="7"/>
      <c r="CO233" s="7"/>
      <c r="CP233" s="7"/>
    </row>
    <row r="234" spans="1:99" x14ac:dyDescent="0.2">
      <c r="A234" s="7" t="s">
        <v>961</v>
      </c>
      <c r="B234" s="7" t="s">
        <v>46</v>
      </c>
      <c r="C234" t="str">
        <f t="shared" si="66"/>
        <v>S</v>
      </c>
      <c r="D234" t="str">
        <f t="shared" si="67"/>
        <v>IMM</v>
      </c>
      <c r="E234" t="str">
        <f t="shared" si="68"/>
        <v>N</v>
      </c>
      <c r="F234" s="7">
        <v>49</v>
      </c>
      <c r="G234" s="7">
        <v>46</v>
      </c>
      <c r="H234" s="7">
        <v>1.913</v>
      </c>
      <c r="I234" s="7">
        <v>3.6999999999999998E-2</v>
      </c>
      <c r="J234" s="7">
        <v>4.9000000000000002E-2</v>
      </c>
      <c r="K234" s="7" t="s">
        <v>868</v>
      </c>
      <c r="L234" t="str">
        <f t="shared" si="69"/>
        <v>M</v>
      </c>
      <c r="M234" s="7">
        <v>30</v>
      </c>
      <c r="N234" s="7">
        <v>0.14899999999999999</v>
      </c>
      <c r="O234" s="7">
        <v>0.113</v>
      </c>
      <c r="P234" s="7" t="s">
        <v>986</v>
      </c>
      <c r="Q234" t="str">
        <f t="shared" si="65"/>
        <v>F</v>
      </c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>
        <v>2.1999999999999999E-2</v>
      </c>
      <c r="AP234" s="7"/>
      <c r="AQ234" s="7"/>
      <c r="AR234" s="7"/>
      <c r="AS234" s="7"/>
      <c r="AT234" s="7"/>
      <c r="AU234" s="7"/>
      <c r="AV234" s="7"/>
      <c r="AW234" s="7"/>
      <c r="AX234" s="7"/>
      <c r="AY234" s="7"/>
      <c r="AZ234" s="7"/>
      <c r="BA234" s="7"/>
      <c r="BB234" s="7"/>
      <c r="BC234" s="7"/>
      <c r="BD234" s="7"/>
      <c r="BE234" s="7"/>
      <c r="BF234" s="7"/>
      <c r="BG234" s="7"/>
      <c r="BH234" s="7"/>
      <c r="BI234" s="7"/>
      <c r="BJ234" s="7"/>
      <c r="BK234" s="7"/>
      <c r="BL234" s="7"/>
      <c r="BM234" s="7"/>
      <c r="BN234" s="7"/>
      <c r="BO234" s="7"/>
      <c r="BP234" s="7"/>
      <c r="BQ234" s="7"/>
      <c r="BR234" s="7"/>
      <c r="BS234" s="7"/>
      <c r="BT234" s="7"/>
      <c r="BU234" s="7"/>
      <c r="BV234" s="7">
        <v>2.1999999999999999E-2</v>
      </c>
      <c r="BW234" s="5">
        <v>44291</v>
      </c>
      <c r="BX234" s="7">
        <v>4</v>
      </c>
      <c r="BY234" s="7">
        <v>5</v>
      </c>
      <c r="BZ234" s="7">
        <v>2021</v>
      </c>
      <c r="CA234" s="5">
        <f t="shared" si="70"/>
        <v>44320</v>
      </c>
      <c r="CB234">
        <v>124</v>
      </c>
      <c r="CC234" s="7">
        <v>9</v>
      </c>
      <c r="CE234">
        <f t="shared" si="71"/>
        <v>2.6287553648068669</v>
      </c>
      <c r="CF234">
        <f t="shared" si="72"/>
        <v>1.9722814498933898</v>
      </c>
      <c r="CG234">
        <f t="shared" si="75"/>
        <v>2.0251778872468526E-2</v>
      </c>
      <c r="CH234">
        <f t="shared" si="76"/>
        <v>6.2777777777777777</v>
      </c>
      <c r="CI234">
        <f t="shared" si="73"/>
        <v>1.8818609513852582</v>
      </c>
      <c r="CJ234" s="1">
        <f t="shared" si="74"/>
        <v>3.0318870883429163</v>
      </c>
      <c r="CK234" s="7" t="s">
        <v>142</v>
      </c>
      <c r="CL234" s="7">
        <v>1</v>
      </c>
      <c r="CM234" s="7"/>
      <c r="CN234" s="7"/>
      <c r="CO234" s="7"/>
      <c r="CP234" s="7"/>
    </row>
    <row r="235" spans="1:99" x14ac:dyDescent="0.2">
      <c r="A235" s="7" t="s">
        <v>1031</v>
      </c>
      <c r="B235" s="7" t="s">
        <v>46</v>
      </c>
      <c r="C235" t="str">
        <f t="shared" si="66"/>
        <v>I</v>
      </c>
      <c r="D235" t="str">
        <f t="shared" si="67"/>
        <v>S</v>
      </c>
      <c r="E235" t="str">
        <f t="shared" si="68"/>
        <v>G</v>
      </c>
      <c r="F235" s="7">
        <v>81</v>
      </c>
      <c r="G235" s="7">
        <v>77</v>
      </c>
      <c r="H235" s="7">
        <v>11.302</v>
      </c>
      <c r="I235" s="7">
        <v>0.35199999999999998</v>
      </c>
      <c r="J235" s="7">
        <v>1.7769999999999999</v>
      </c>
      <c r="K235" s="7" t="s">
        <v>867</v>
      </c>
      <c r="L235" t="str">
        <f t="shared" si="69"/>
        <v>F</v>
      </c>
      <c r="M235" s="7">
        <v>30</v>
      </c>
      <c r="N235" s="7">
        <v>0.5</v>
      </c>
      <c r="O235" s="7">
        <v>0.41699999999999998</v>
      </c>
      <c r="P235" s="7" t="s">
        <v>1041</v>
      </c>
      <c r="Q235" t="str">
        <f t="shared" si="65"/>
        <v>F</v>
      </c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>
        <v>40</v>
      </c>
      <c r="AU235" s="7">
        <v>5.2999999999999999E-2</v>
      </c>
      <c r="AV235" s="7"/>
      <c r="AW235" s="7"/>
      <c r="AX235" s="7"/>
      <c r="AY235" s="7"/>
      <c r="AZ235" s="7"/>
      <c r="BA235" s="7"/>
      <c r="BB235" s="7"/>
      <c r="BC235" s="7"/>
      <c r="BD235" s="7"/>
      <c r="BE235" s="7"/>
      <c r="BF235" s="7"/>
      <c r="BG235" s="7"/>
      <c r="BH235" s="7"/>
      <c r="BI235" s="7"/>
      <c r="BJ235" s="7"/>
      <c r="BK235" s="7"/>
      <c r="BL235" s="7"/>
      <c r="BM235" s="7"/>
      <c r="BN235" s="7"/>
      <c r="BO235" s="7"/>
      <c r="BP235" s="7"/>
      <c r="BQ235" s="7"/>
      <c r="BR235" s="7"/>
      <c r="BS235" s="7"/>
      <c r="BT235" s="7"/>
      <c r="BU235" s="7"/>
      <c r="BV235" s="7">
        <v>5.2999999999999999E-2</v>
      </c>
      <c r="BW235" t="s">
        <v>1051</v>
      </c>
      <c r="BX235" t="str">
        <f t="shared" ref="BX235:BX257" si="77">LEFT(BW235,2)</f>
        <v>18</v>
      </c>
      <c r="BY235" t="str">
        <f t="shared" ref="BY235:BY257" si="78">MID(BW235,4,1)</f>
        <v>5</v>
      </c>
      <c r="BZ235" t="str">
        <f t="shared" ref="BZ235:BZ257" si="79">RIGHT(BW235,4)</f>
        <v>2021</v>
      </c>
      <c r="CA235" s="5">
        <f t="shared" si="70"/>
        <v>44334</v>
      </c>
      <c r="CB235">
        <v>138</v>
      </c>
      <c r="CC235" s="7">
        <v>10</v>
      </c>
      <c r="CE235">
        <f t="shared" si="71"/>
        <v>18.656167979002621</v>
      </c>
      <c r="CF235">
        <f t="shared" si="72"/>
        <v>3.214611872146119</v>
      </c>
      <c r="CG235">
        <f t="shared" si="75"/>
        <v>3.837348740869944E-2</v>
      </c>
      <c r="CH235">
        <f t="shared" si="76"/>
        <v>3.8309600367478178</v>
      </c>
      <c r="CI235">
        <f t="shared" si="73"/>
        <v>0.73438329499203692</v>
      </c>
      <c r="CJ235" s="1">
        <f t="shared" si="74"/>
        <v>1.2033268448062291</v>
      </c>
      <c r="CK235" s="7" t="s">
        <v>142</v>
      </c>
      <c r="CL235" s="7">
        <v>2</v>
      </c>
      <c r="CM235" s="7">
        <v>1</v>
      </c>
      <c r="CN235" s="7">
        <v>17</v>
      </c>
      <c r="CO235" s="7">
        <v>4</v>
      </c>
      <c r="CP235" s="7">
        <v>0</v>
      </c>
      <c r="CQ235" s="12">
        <v>1.1299999999999999E-2</v>
      </c>
      <c r="CR235">
        <f>CQ235/(H235-I235-J235-N235)*1000</f>
        <v>1.3028940389715207</v>
      </c>
      <c r="CS235">
        <v>5.26</v>
      </c>
      <c r="CT235">
        <v>91.66384497235002</v>
      </c>
      <c r="CU235">
        <v>161.91487063190951</v>
      </c>
    </row>
    <row r="236" spans="1:99" ht="32" x14ac:dyDescent="0.2">
      <c r="A236" s="7" t="s">
        <v>1032</v>
      </c>
      <c r="B236" s="7" t="s">
        <v>46</v>
      </c>
      <c r="C236" t="str">
        <f t="shared" si="66"/>
        <v>I</v>
      </c>
      <c r="D236" t="str">
        <f t="shared" si="67"/>
        <v>IMM</v>
      </c>
      <c r="E236" t="str">
        <f t="shared" si="68"/>
        <v>G</v>
      </c>
      <c r="F236" s="7">
        <v>63</v>
      </c>
      <c r="G236" s="7">
        <v>60</v>
      </c>
      <c r="H236" s="7">
        <v>4.3410000000000002</v>
      </c>
      <c r="I236" s="7">
        <v>9.2999999999999999E-2</v>
      </c>
      <c r="J236" s="7">
        <v>0.20200000000000001</v>
      </c>
      <c r="K236" s="7" t="s">
        <v>867</v>
      </c>
      <c r="L236" t="str">
        <f t="shared" si="69"/>
        <v>F</v>
      </c>
      <c r="M236" s="7">
        <v>30</v>
      </c>
      <c r="N236" s="7">
        <v>0.24299999999999999</v>
      </c>
      <c r="O236" s="7">
        <v>0.17799999999999999</v>
      </c>
      <c r="P236" s="7" t="s">
        <v>1042</v>
      </c>
      <c r="Q236" t="str">
        <f t="shared" si="65"/>
        <v>F</v>
      </c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>
        <v>75</v>
      </c>
      <c r="AO236" s="7">
        <v>0.03</v>
      </c>
      <c r="AP236" s="7"/>
      <c r="AQ236" s="7"/>
      <c r="AR236" s="7"/>
      <c r="AS236" s="7"/>
      <c r="AT236" s="7"/>
      <c r="AU236" s="7"/>
      <c r="AV236" s="7">
        <v>2</v>
      </c>
      <c r="AW236" s="7">
        <v>7.0000000000000001E-3</v>
      </c>
      <c r="AX236" s="7"/>
      <c r="AY236" s="7"/>
      <c r="AZ236" s="7"/>
      <c r="BA236" s="7"/>
      <c r="BB236" s="7"/>
      <c r="BC236" s="7"/>
      <c r="BD236" s="7"/>
      <c r="BE236" s="7"/>
      <c r="BF236" s="7"/>
      <c r="BG236" s="7"/>
      <c r="BH236" s="7"/>
      <c r="BI236" s="7"/>
      <c r="BJ236" s="7"/>
      <c r="BK236" s="7"/>
      <c r="BL236" s="7"/>
      <c r="BM236" s="7"/>
      <c r="BN236" s="7"/>
      <c r="BO236" s="7"/>
      <c r="BP236" s="7"/>
      <c r="BQ236" s="7"/>
      <c r="BR236" s="7"/>
      <c r="BS236" s="7"/>
      <c r="BT236" s="7"/>
      <c r="BU236" s="7"/>
      <c r="BV236" s="7">
        <v>3.6999999999999998E-2</v>
      </c>
      <c r="BW236" t="s">
        <v>1051</v>
      </c>
      <c r="BX236" t="str">
        <f t="shared" si="77"/>
        <v>18</v>
      </c>
      <c r="BY236" t="str">
        <f t="shared" si="78"/>
        <v>5</v>
      </c>
      <c r="BZ236" t="str">
        <f t="shared" si="79"/>
        <v>2021</v>
      </c>
      <c r="CA236" s="5">
        <f t="shared" si="70"/>
        <v>44334</v>
      </c>
      <c r="CB236">
        <v>138</v>
      </c>
      <c r="CC236" s="7">
        <v>10</v>
      </c>
      <c r="CE236">
        <f t="shared" si="71"/>
        <v>4.8804058951437543</v>
      </c>
      <c r="CF236">
        <f t="shared" si="72"/>
        <v>2.1892655367231639</v>
      </c>
      <c r="CG236">
        <f t="shared" si="75"/>
        <v>2.2985664854176965E-2</v>
      </c>
      <c r="CH236">
        <f t="shared" si="76"/>
        <v>4.2757626711506118</v>
      </c>
      <c r="CI236">
        <f t="shared" si="73"/>
        <v>1.4973508408200875</v>
      </c>
      <c r="CJ236" s="1">
        <f t="shared" si="74"/>
        <v>2.349689011748445</v>
      </c>
      <c r="CK236" s="7" t="s">
        <v>142</v>
      </c>
      <c r="CL236" s="7">
        <v>2</v>
      </c>
      <c r="CM236" s="7"/>
      <c r="CN236" s="7"/>
      <c r="CO236" s="7"/>
      <c r="CP236" s="7"/>
    </row>
    <row r="237" spans="1:99" ht="32" x14ac:dyDescent="0.2">
      <c r="A237" s="7" t="s">
        <v>1033</v>
      </c>
      <c r="B237" s="7" t="s">
        <v>46</v>
      </c>
      <c r="C237" t="str">
        <f t="shared" si="66"/>
        <v>I</v>
      </c>
      <c r="D237" t="str">
        <f t="shared" si="67"/>
        <v>S</v>
      </c>
      <c r="E237" t="str">
        <f t="shared" si="68"/>
        <v>G</v>
      </c>
      <c r="F237" s="7">
        <v>80</v>
      </c>
      <c r="G237" s="7">
        <v>76</v>
      </c>
      <c r="H237" s="7">
        <v>10.42</v>
      </c>
      <c r="I237" s="7">
        <v>0.28999999999999998</v>
      </c>
      <c r="J237" s="7">
        <v>1.3049999999999999</v>
      </c>
      <c r="K237" s="7" t="s">
        <v>867</v>
      </c>
      <c r="L237" t="str">
        <f t="shared" si="69"/>
        <v>F</v>
      </c>
      <c r="M237" s="7">
        <v>30</v>
      </c>
      <c r="N237" s="7">
        <v>0.56100000000000005</v>
      </c>
      <c r="O237" s="7">
        <v>0.42799999999999999</v>
      </c>
      <c r="P237" s="7" t="s">
        <v>1043</v>
      </c>
      <c r="Q237" t="str">
        <f t="shared" si="65"/>
        <v>F</v>
      </c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/>
      <c r="AU237" s="7"/>
      <c r="AV237" s="7">
        <v>9</v>
      </c>
      <c r="AW237" s="7">
        <v>3.5000000000000003E-2</v>
      </c>
      <c r="AX237" s="7"/>
      <c r="AY237" s="7"/>
      <c r="AZ237" s="7"/>
      <c r="BA237" s="7"/>
      <c r="BB237" s="7"/>
      <c r="BC237" s="7"/>
      <c r="BD237" s="7"/>
      <c r="BE237" s="7"/>
      <c r="BF237" s="7"/>
      <c r="BG237" s="7"/>
      <c r="BH237" s="7">
        <v>1</v>
      </c>
      <c r="BI237" s="7">
        <v>6.6000000000000003E-2</v>
      </c>
      <c r="BJ237" s="7"/>
      <c r="BK237" s="7"/>
      <c r="BL237" s="7"/>
      <c r="BM237" s="7"/>
      <c r="BN237" s="7"/>
      <c r="BO237" s="7"/>
      <c r="BP237" s="7"/>
      <c r="BQ237" s="7"/>
      <c r="BR237" s="7"/>
      <c r="BS237" s="7"/>
      <c r="BT237" s="7"/>
      <c r="BU237" s="7"/>
      <c r="BV237" s="7">
        <v>0.10100000000000001</v>
      </c>
      <c r="BW237" t="s">
        <v>1051</v>
      </c>
      <c r="BX237" t="str">
        <f t="shared" si="77"/>
        <v>18</v>
      </c>
      <c r="BY237" t="str">
        <f t="shared" si="78"/>
        <v>5</v>
      </c>
      <c r="BZ237" t="str">
        <f t="shared" si="79"/>
        <v>2021</v>
      </c>
      <c r="CA237" s="5">
        <f t="shared" si="70"/>
        <v>44334</v>
      </c>
      <c r="CB237">
        <v>138</v>
      </c>
      <c r="CC237" s="7">
        <v>10</v>
      </c>
      <c r="CE237">
        <f t="shared" si="71"/>
        <v>14.317059791552387</v>
      </c>
      <c r="CF237">
        <f t="shared" si="72"/>
        <v>2.8627838104639682</v>
      </c>
      <c r="CG237">
        <f t="shared" si="75"/>
        <v>3.2861189801699713E-2</v>
      </c>
      <c r="CH237">
        <f t="shared" si="76"/>
        <v>4.2834267413931144</v>
      </c>
      <c r="CI237">
        <f t="shared" si="73"/>
        <v>1.2763915547024958</v>
      </c>
      <c r="CJ237" s="1">
        <f t="shared" si="74"/>
        <v>2.2456813819577741</v>
      </c>
      <c r="CK237" s="7" t="s">
        <v>142</v>
      </c>
      <c r="CL237" s="7">
        <v>2</v>
      </c>
      <c r="CM237" s="7"/>
      <c r="CN237" s="7"/>
      <c r="CO237" s="7"/>
      <c r="CP237" s="7"/>
    </row>
    <row r="238" spans="1:99" x14ac:dyDescent="0.2">
      <c r="A238" s="7" t="s">
        <v>1034</v>
      </c>
      <c r="B238" s="7" t="s">
        <v>46</v>
      </c>
      <c r="C238" t="str">
        <f t="shared" si="66"/>
        <v>I</v>
      </c>
      <c r="D238" t="str">
        <f t="shared" si="67"/>
        <v>IMM</v>
      </c>
      <c r="E238" t="str">
        <f t="shared" si="68"/>
        <v>G</v>
      </c>
      <c r="F238" s="7">
        <v>62</v>
      </c>
      <c r="G238" s="7">
        <v>60</v>
      </c>
      <c r="H238" s="7">
        <v>4.4989999999999997</v>
      </c>
      <c r="I238" s="7">
        <v>0.112</v>
      </c>
      <c r="J238" s="7">
        <v>0.26300000000000001</v>
      </c>
      <c r="K238" s="7" t="s">
        <v>867</v>
      </c>
      <c r="L238" t="str">
        <f t="shared" si="69"/>
        <v>F</v>
      </c>
      <c r="M238" s="7">
        <v>30</v>
      </c>
      <c r="N238" s="7">
        <v>0.249</v>
      </c>
      <c r="O238" s="7">
        <v>0.2</v>
      </c>
      <c r="P238" s="7" t="s">
        <v>1044</v>
      </c>
      <c r="Q238" t="str">
        <f t="shared" si="65"/>
        <v>F</v>
      </c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>
        <v>100</v>
      </c>
      <c r="AO238" s="7">
        <v>2.9000000000000001E-2</v>
      </c>
      <c r="AP238" s="7"/>
      <c r="AQ238" s="7"/>
      <c r="AR238" s="7"/>
      <c r="AS238" s="7"/>
      <c r="AT238" s="7"/>
      <c r="AU238" s="7"/>
      <c r="AV238" s="7"/>
      <c r="AW238" s="7"/>
      <c r="AX238" s="7"/>
      <c r="AY238" s="7"/>
      <c r="AZ238" s="7"/>
      <c r="BA238" s="7"/>
      <c r="BB238" s="7"/>
      <c r="BC238" s="7"/>
      <c r="BD238" s="7"/>
      <c r="BE238" s="7"/>
      <c r="BF238" s="7"/>
      <c r="BG238" s="7"/>
      <c r="BH238" s="7"/>
      <c r="BI238" s="7"/>
      <c r="BJ238" s="7"/>
      <c r="BK238" s="7"/>
      <c r="BL238" s="7"/>
      <c r="BM238" s="7"/>
      <c r="BN238" s="7"/>
      <c r="BO238" s="7"/>
      <c r="BP238" s="7"/>
      <c r="BQ238" s="7"/>
      <c r="BR238" s="7"/>
      <c r="BS238" s="7"/>
      <c r="BT238" s="7"/>
      <c r="BU238" s="7"/>
      <c r="BV238" s="7">
        <v>2.9000000000000001E-2</v>
      </c>
      <c r="BW238" t="s">
        <v>1051</v>
      </c>
      <c r="BX238" t="str">
        <f t="shared" si="77"/>
        <v>18</v>
      </c>
      <c r="BY238" t="str">
        <f t="shared" si="78"/>
        <v>5</v>
      </c>
      <c r="BZ238" t="str">
        <f t="shared" si="79"/>
        <v>2021</v>
      </c>
      <c r="CA238" s="5">
        <f t="shared" si="70"/>
        <v>44334</v>
      </c>
      <c r="CB238">
        <v>138</v>
      </c>
      <c r="CC238" s="7">
        <v>10</v>
      </c>
      <c r="CE238">
        <f t="shared" si="71"/>
        <v>6.2086874409820592</v>
      </c>
      <c r="CF238">
        <f t="shared" si="72"/>
        <v>2.5529974925917487</v>
      </c>
      <c r="CG238">
        <f t="shared" si="75"/>
        <v>2.7158098933074689E-2</v>
      </c>
      <c r="CH238">
        <f t="shared" si="76"/>
        <v>4.6522447080716454</v>
      </c>
      <c r="CI238">
        <f t="shared" si="73"/>
        <v>1.0891309179817736</v>
      </c>
      <c r="CJ238" s="1">
        <f t="shared" si="74"/>
        <v>1.7337186041342516</v>
      </c>
      <c r="CK238" s="7" t="s">
        <v>142</v>
      </c>
      <c r="CL238" s="7">
        <v>1</v>
      </c>
      <c r="CM238" s="7">
        <v>0</v>
      </c>
      <c r="CN238" s="7">
        <v>0</v>
      </c>
      <c r="CO238" s="7">
        <v>0</v>
      </c>
      <c r="CP238" s="7">
        <v>0</v>
      </c>
      <c r="CQ238" s="12">
        <v>1.46E-2</v>
      </c>
      <c r="CR238">
        <f>CQ238/(H238-I238-J238-N238)*1000</f>
        <v>3.7677419354838717</v>
      </c>
      <c r="CS238">
        <v>6.34</v>
      </c>
      <c r="CT238">
        <v>92.216825437528442</v>
      </c>
      <c r="CU238">
        <v>143.51262084014627</v>
      </c>
    </row>
    <row r="239" spans="1:99" ht="32" x14ac:dyDescent="0.2">
      <c r="A239" s="7" t="s">
        <v>1035</v>
      </c>
      <c r="B239" s="7" t="s">
        <v>46</v>
      </c>
      <c r="C239" t="str">
        <f t="shared" si="66"/>
        <v>I</v>
      </c>
      <c r="D239" t="str">
        <f t="shared" si="67"/>
        <v>B</v>
      </c>
      <c r="E239" t="str">
        <f t="shared" si="68"/>
        <v>N</v>
      </c>
      <c r="F239" s="7">
        <v>136</v>
      </c>
      <c r="G239" s="7">
        <v>130</v>
      </c>
      <c r="H239" s="7">
        <v>56.304000000000002</v>
      </c>
      <c r="I239" s="7">
        <v>1.117</v>
      </c>
      <c r="J239" s="7">
        <v>0.71899999999999997</v>
      </c>
      <c r="K239" s="7" t="s">
        <v>868</v>
      </c>
      <c r="L239" t="str">
        <f t="shared" si="69"/>
        <v>M</v>
      </c>
      <c r="M239" s="7">
        <v>30</v>
      </c>
      <c r="N239" s="7">
        <v>3.484</v>
      </c>
      <c r="O239" s="7">
        <v>2.617</v>
      </c>
      <c r="P239" s="7" t="s">
        <v>1045</v>
      </c>
      <c r="Q239" t="str">
        <f t="shared" si="65"/>
        <v>F</v>
      </c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>
        <v>1</v>
      </c>
      <c r="AE239" s="7">
        <v>0.41499999999999998</v>
      </c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/>
      <c r="AT239" s="7"/>
      <c r="AU239" s="7"/>
      <c r="AV239" s="7"/>
      <c r="AW239" s="7"/>
      <c r="AX239" s="7"/>
      <c r="AY239" s="7"/>
      <c r="AZ239" s="7"/>
      <c r="BA239" s="7"/>
      <c r="BB239" s="7"/>
      <c r="BC239" s="7"/>
      <c r="BD239" s="7"/>
      <c r="BE239" s="7"/>
      <c r="BF239" s="7"/>
      <c r="BG239" s="7"/>
      <c r="BH239" s="7">
        <v>1</v>
      </c>
      <c r="BI239" s="7">
        <v>0.36799999999999999</v>
      </c>
      <c r="BJ239" s="7"/>
      <c r="BK239" s="7"/>
      <c r="BL239" s="7"/>
      <c r="BM239" s="7"/>
      <c r="BN239" s="7"/>
      <c r="BO239" s="7"/>
      <c r="BP239" s="7"/>
      <c r="BQ239" s="7"/>
      <c r="BR239" s="7"/>
      <c r="BS239" s="7"/>
      <c r="BT239" s="7"/>
      <c r="BU239" s="7"/>
      <c r="BV239">
        <f>0.415+0.368</f>
        <v>0.78299999999999992</v>
      </c>
      <c r="BW239" t="s">
        <v>1051</v>
      </c>
      <c r="BX239" t="str">
        <f t="shared" si="77"/>
        <v>18</v>
      </c>
      <c r="BY239" t="str">
        <f t="shared" si="78"/>
        <v>5</v>
      </c>
      <c r="BZ239" t="str">
        <f t="shared" si="79"/>
        <v>2021</v>
      </c>
      <c r="CA239" s="5">
        <f t="shared" si="70"/>
        <v>44334</v>
      </c>
      <c r="CB239">
        <v>138</v>
      </c>
      <c r="CC239" s="7">
        <v>10</v>
      </c>
      <c r="CE239">
        <f t="shared" si="71"/>
        <v>1.2935144373482053</v>
      </c>
      <c r="CF239">
        <f t="shared" si="72"/>
        <v>2.024027397756718</v>
      </c>
      <c r="CG239">
        <f t="shared" si="75"/>
        <v>2.0507453917896747E-2</v>
      </c>
      <c r="CH239">
        <f t="shared" si="76"/>
        <v>4.8745506360943986</v>
      </c>
      <c r="CI239">
        <f t="shared" si="73"/>
        <v>1.5398550724637681</v>
      </c>
      <c r="CJ239" s="1">
        <f t="shared" si="74"/>
        <v>2.9305200341005966</v>
      </c>
      <c r="CK239" s="7" t="s">
        <v>142</v>
      </c>
      <c r="CL239" s="7">
        <v>2</v>
      </c>
      <c r="CM239" s="7"/>
      <c r="CN239" s="7"/>
      <c r="CO239" s="7"/>
      <c r="CP239" s="7"/>
    </row>
    <row r="240" spans="1:99" x14ac:dyDescent="0.2">
      <c r="A240" s="7" t="s">
        <v>1036</v>
      </c>
      <c r="B240" s="7" t="s">
        <v>46</v>
      </c>
      <c r="C240" t="str">
        <f t="shared" si="66"/>
        <v>I</v>
      </c>
      <c r="D240" t="str">
        <f t="shared" si="67"/>
        <v>S</v>
      </c>
      <c r="E240" t="str">
        <f t="shared" si="68"/>
        <v>G</v>
      </c>
      <c r="F240" s="7">
        <v>81</v>
      </c>
      <c r="G240" s="7">
        <v>77</v>
      </c>
      <c r="H240" s="7">
        <v>10.634</v>
      </c>
      <c r="I240" s="7">
        <v>0.16900000000000001</v>
      </c>
      <c r="J240" s="7">
        <v>0.307</v>
      </c>
      <c r="K240" s="7" t="s">
        <v>868</v>
      </c>
      <c r="L240" t="str">
        <f t="shared" si="69"/>
        <v>M</v>
      </c>
      <c r="M240" s="7">
        <v>30</v>
      </c>
      <c r="N240" s="7">
        <v>0.56399999999999995</v>
      </c>
      <c r="O240" s="7">
        <v>0.443</v>
      </c>
      <c r="P240" s="7" t="s">
        <v>1046</v>
      </c>
      <c r="Q240" t="str">
        <f t="shared" si="65"/>
        <v>F</v>
      </c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>
        <v>200</v>
      </c>
      <c r="AO240" s="7">
        <v>8.8999999999999996E-2</v>
      </c>
      <c r="AP240" s="7"/>
      <c r="AQ240" s="7"/>
      <c r="AR240" s="7"/>
      <c r="AS240" s="7"/>
      <c r="AT240" s="7"/>
      <c r="AU240" s="7"/>
      <c r="AV240" s="7"/>
      <c r="AW240" s="7"/>
      <c r="AX240" s="7"/>
      <c r="AY240" s="7"/>
      <c r="AZ240" s="7"/>
      <c r="BA240" s="7"/>
      <c r="BB240" s="7"/>
      <c r="BC240" s="7"/>
      <c r="BD240" s="7"/>
      <c r="BE240" s="7"/>
      <c r="BF240" s="7"/>
      <c r="BG240" s="7"/>
      <c r="BH240" s="7"/>
      <c r="BI240" s="7"/>
      <c r="BJ240" s="7"/>
      <c r="BK240" s="7"/>
      <c r="BL240" s="7"/>
      <c r="BM240" s="7"/>
      <c r="BN240" s="7"/>
      <c r="BO240" s="7"/>
      <c r="BP240" s="7"/>
      <c r="BQ240" s="7"/>
      <c r="BR240" s="7"/>
      <c r="BS240" s="7"/>
      <c r="BT240" s="7"/>
      <c r="BU240" s="7"/>
      <c r="BV240" s="7">
        <v>8.8999999999999996E-2</v>
      </c>
      <c r="BW240" t="s">
        <v>1051</v>
      </c>
      <c r="BX240" t="str">
        <f t="shared" si="77"/>
        <v>18</v>
      </c>
      <c r="BY240" t="str">
        <f t="shared" si="78"/>
        <v>5</v>
      </c>
      <c r="BZ240" t="str">
        <f t="shared" si="79"/>
        <v>2021</v>
      </c>
      <c r="CA240" s="5">
        <f t="shared" si="70"/>
        <v>44334</v>
      </c>
      <c r="CB240">
        <v>138</v>
      </c>
      <c r="CC240" s="7">
        <v>10</v>
      </c>
      <c r="CE240">
        <f t="shared" si="71"/>
        <v>2.9727897743778446</v>
      </c>
      <c r="CF240">
        <f t="shared" si="72"/>
        <v>1.6149068322981366</v>
      </c>
      <c r="CG240">
        <f t="shared" si="75"/>
        <v>1.6637133293955504E-2</v>
      </c>
      <c r="CH240">
        <f t="shared" si="76"/>
        <v>4.3469728191541552</v>
      </c>
      <c r="CI240">
        <f t="shared" si="73"/>
        <v>1.1378596953169073</v>
      </c>
      <c r="CJ240" s="1">
        <f t="shared" si="74"/>
        <v>1.9747978183186001</v>
      </c>
      <c r="CK240" s="7" t="s">
        <v>142</v>
      </c>
      <c r="CL240" s="7">
        <v>2</v>
      </c>
      <c r="CM240" s="7"/>
      <c r="CN240" s="7"/>
      <c r="CO240" s="7"/>
      <c r="CP240" s="7"/>
    </row>
    <row r="241" spans="1:99" ht="32" x14ac:dyDescent="0.2">
      <c r="A241" s="7" t="s">
        <v>1037</v>
      </c>
      <c r="B241" s="7" t="s">
        <v>46</v>
      </c>
      <c r="C241" t="str">
        <f t="shared" si="66"/>
        <v>I</v>
      </c>
      <c r="D241" t="str">
        <f t="shared" si="67"/>
        <v>I</v>
      </c>
      <c r="E241" t="str">
        <f t="shared" si="68"/>
        <v>G</v>
      </c>
      <c r="F241" s="7">
        <v>93</v>
      </c>
      <c r="G241" s="7">
        <v>89</v>
      </c>
      <c r="H241" s="7">
        <v>15.973000000000001</v>
      </c>
      <c r="I241" s="7">
        <v>0.26100000000000001</v>
      </c>
      <c r="J241" s="7">
        <v>0.35299999999999998</v>
      </c>
      <c r="K241" s="7" t="s">
        <v>868</v>
      </c>
      <c r="L241" t="str">
        <f t="shared" si="69"/>
        <v>M</v>
      </c>
      <c r="M241" s="7">
        <v>30</v>
      </c>
      <c r="N241" s="7">
        <v>0.999</v>
      </c>
      <c r="O241" s="7">
        <v>0.84</v>
      </c>
      <c r="P241" s="7" t="s">
        <v>1047</v>
      </c>
      <c r="Q241" t="str">
        <f t="shared" si="65"/>
        <v>F</v>
      </c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>
        <v>2</v>
      </c>
      <c r="AC241" s="7">
        <v>0.05</v>
      </c>
      <c r="AD241" s="7"/>
      <c r="AE241" s="7"/>
      <c r="AF241" s="7"/>
      <c r="AG241" s="7"/>
      <c r="AH241" s="7">
        <v>1</v>
      </c>
      <c r="AI241" s="7">
        <v>3.9E-2</v>
      </c>
      <c r="AJ241" s="7"/>
      <c r="AK241" s="7"/>
      <c r="AL241" s="7"/>
      <c r="AM241" s="7"/>
      <c r="AN241" s="7"/>
      <c r="AO241" s="7"/>
      <c r="AP241" s="7"/>
      <c r="AQ241" s="7"/>
      <c r="AR241" s="7"/>
      <c r="AS241" s="7"/>
      <c r="AT241" s="7"/>
      <c r="AU241" s="7"/>
      <c r="AV241" s="7">
        <v>1</v>
      </c>
      <c r="AW241" s="7">
        <v>5.0000000000000001E-3</v>
      </c>
      <c r="AX241" s="7"/>
      <c r="AY241" s="7"/>
      <c r="AZ241" s="7"/>
      <c r="BA241" s="7"/>
      <c r="BB241" s="7"/>
      <c r="BC241" s="7"/>
      <c r="BD241" s="7"/>
      <c r="BE241" s="7"/>
      <c r="BF241" s="7"/>
      <c r="BG241" s="7"/>
      <c r="BH241" s="7"/>
      <c r="BI241" s="7"/>
      <c r="BJ241" s="7"/>
      <c r="BK241" s="7"/>
      <c r="BL241" s="7"/>
      <c r="BM241" s="7"/>
      <c r="BN241" s="7"/>
      <c r="BO241" s="7"/>
      <c r="BP241" s="7"/>
      <c r="BQ241" s="7"/>
      <c r="BR241" s="7"/>
      <c r="BS241" s="7"/>
      <c r="BT241" s="7"/>
      <c r="BU241" s="7"/>
      <c r="BV241">
        <f>0.039+0.005+0.05</f>
        <v>9.4E-2</v>
      </c>
      <c r="BW241" t="s">
        <v>1051</v>
      </c>
      <c r="BX241" t="str">
        <f t="shared" si="77"/>
        <v>18</v>
      </c>
      <c r="BY241" t="str">
        <f t="shared" si="78"/>
        <v>5</v>
      </c>
      <c r="BZ241" t="str">
        <f t="shared" si="79"/>
        <v>2021</v>
      </c>
      <c r="CA241" s="5">
        <f t="shared" si="70"/>
        <v>44334</v>
      </c>
      <c r="CB241">
        <v>138</v>
      </c>
      <c r="CC241" s="7">
        <v>10</v>
      </c>
      <c r="CE241">
        <f t="shared" si="71"/>
        <v>2.2599231754161329</v>
      </c>
      <c r="CF241">
        <f t="shared" si="72"/>
        <v>1.6611507128309573</v>
      </c>
      <c r="CG241">
        <f t="shared" si="75"/>
        <v>1.6993293834233997E-2</v>
      </c>
      <c r="CH241">
        <f t="shared" si="76"/>
        <v>5.5507830568955256</v>
      </c>
      <c r="CI241">
        <f t="shared" si="73"/>
        <v>0.99542978776685676</v>
      </c>
      <c r="CJ241" s="1">
        <f t="shared" si="74"/>
        <v>1.5839228698428596</v>
      </c>
      <c r="CK241" s="7" t="s">
        <v>142</v>
      </c>
      <c r="CL241" s="7">
        <v>2</v>
      </c>
      <c r="CM241" s="7"/>
      <c r="CN241" s="7"/>
      <c r="CO241" s="7"/>
      <c r="CP241" s="7"/>
    </row>
    <row r="242" spans="1:99" x14ac:dyDescent="0.2">
      <c r="A242" s="7" t="s">
        <v>1038</v>
      </c>
      <c r="B242" s="7" t="s">
        <v>46</v>
      </c>
      <c r="C242" t="str">
        <f t="shared" si="66"/>
        <v>I</v>
      </c>
      <c r="D242" t="str">
        <f t="shared" si="67"/>
        <v>I</v>
      </c>
      <c r="E242" t="str">
        <f t="shared" si="68"/>
        <v>G</v>
      </c>
      <c r="F242" s="7">
        <v>99</v>
      </c>
      <c r="G242" s="7">
        <v>94</v>
      </c>
      <c r="H242" s="7">
        <v>22.242999999999999</v>
      </c>
      <c r="I242" s="7">
        <v>0.58599999999999997</v>
      </c>
      <c r="J242" s="7">
        <v>4.1680000000000001</v>
      </c>
      <c r="K242" s="7" t="s">
        <v>867</v>
      </c>
      <c r="L242" t="str">
        <f t="shared" si="69"/>
        <v>F</v>
      </c>
      <c r="M242" s="7">
        <v>30</v>
      </c>
      <c r="N242" s="7">
        <v>0.94699999999999995</v>
      </c>
      <c r="O242" s="7">
        <v>0.86699999999999999</v>
      </c>
      <c r="P242" s="7" t="s">
        <v>1048</v>
      </c>
      <c r="Q242" t="str">
        <f t="shared" si="65"/>
        <v>F</v>
      </c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 t="s">
        <v>1519</v>
      </c>
      <c r="AH242" s="7"/>
      <c r="AI242" s="7"/>
      <c r="AJ242" s="7">
        <v>2</v>
      </c>
      <c r="AK242" s="7">
        <v>3.2000000000000001E-2</v>
      </c>
      <c r="AL242" s="7"/>
      <c r="AM242" s="7"/>
      <c r="AN242" s="7"/>
      <c r="AO242" s="7"/>
      <c r="AP242" s="7"/>
      <c r="AQ242" s="7"/>
      <c r="AR242" s="7"/>
      <c r="AS242" s="7"/>
      <c r="AT242" s="7"/>
      <c r="AU242" s="7"/>
      <c r="AV242" s="7"/>
      <c r="AW242" s="7"/>
      <c r="AX242" s="7"/>
      <c r="AY242" s="7"/>
      <c r="AZ242" s="7"/>
      <c r="BA242" s="7"/>
      <c r="BB242" s="7"/>
      <c r="BC242" s="7"/>
      <c r="BD242" s="7"/>
      <c r="BE242" s="7"/>
      <c r="BF242" s="7"/>
      <c r="BG242" s="7"/>
      <c r="BH242" s="7"/>
      <c r="BI242" s="7"/>
      <c r="BJ242" s="7"/>
      <c r="BK242" s="7"/>
      <c r="BL242" s="7"/>
      <c r="BM242" s="7"/>
      <c r="BN242" s="7"/>
      <c r="BO242" s="7"/>
      <c r="BP242" s="7"/>
      <c r="BQ242" s="7"/>
      <c r="BR242" s="7"/>
      <c r="BS242" s="7"/>
      <c r="BT242" s="7">
        <v>1</v>
      </c>
      <c r="BU242" s="7">
        <v>1.4999999999999999E-2</v>
      </c>
      <c r="BV242">
        <f>0.032+0.015</f>
        <v>4.7E-2</v>
      </c>
      <c r="BW242" t="s">
        <v>1051</v>
      </c>
      <c r="BX242" t="str">
        <f t="shared" si="77"/>
        <v>18</v>
      </c>
      <c r="BY242" t="str">
        <f t="shared" si="78"/>
        <v>5</v>
      </c>
      <c r="BZ242" t="str">
        <f t="shared" si="79"/>
        <v>2021</v>
      </c>
      <c r="CA242" s="5">
        <f t="shared" si="70"/>
        <v>44334</v>
      </c>
      <c r="CB242">
        <v>138</v>
      </c>
      <c r="CC242" s="7">
        <v>10</v>
      </c>
      <c r="CE242">
        <f t="shared" si="71"/>
        <v>23.059474412171511</v>
      </c>
      <c r="CF242">
        <f t="shared" si="72"/>
        <v>2.7058225977743917</v>
      </c>
      <c r="CG242">
        <f t="shared" ref="CG242:CG273" si="80">I242/(H242-I242-J242)</f>
        <v>3.3506775687575041E-2</v>
      </c>
      <c r="CH242">
        <f t="shared" ref="CH242:CH273" si="81">O242/(H242-O242)*100</f>
        <v>4.0559505988023954</v>
      </c>
      <c r="CI242">
        <f t="shared" si="73"/>
        <v>0.35966371442701062</v>
      </c>
      <c r="CJ242" s="1">
        <f t="shared" si="74"/>
        <v>0.57096614665287937</v>
      </c>
      <c r="CK242" s="7" t="s">
        <v>142</v>
      </c>
      <c r="CL242" s="7">
        <v>1</v>
      </c>
      <c r="CM242" s="7"/>
      <c r="CN242" s="7"/>
      <c r="CO242" s="7"/>
      <c r="CP242" s="7"/>
    </row>
    <row r="243" spans="1:99" ht="32" x14ac:dyDescent="0.2">
      <c r="A243" s="7" t="s">
        <v>1039</v>
      </c>
      <c r="B243" s="7" t="s">
        <v>46</v>
      </c>
      <c r="C243" t="str">
        <f t="shared" si="66"/>
        <v>I</v>
      </c>
      <c r="D243" t="str">
        <f t="shared" si="67"/>
        <v>B</v>
      </c>
      <c r="E243" t="str">
        <f t="shared" si="68"/>
        <v>N</v>
      </c>
      <c r="F243" s="7">
        <v>127</v>
      </c>
      <c r="G243" s="7">
        <v>120</v>
      </c>
      <c r="H243" s="7">
        <v>45.917999999999999</v>
      </c>
      <c r="I243" s="7">
        <v>1.052</v>
      </c>
      <c r="J243" s="7">
        <v>5.9749999999999996</v>
      </c>
      <c r="K243" s="7" t="s">
        <v>867</v>
      </c>
      <c r="L243" t="str">
        <f t="shared" si="69"/>
        <v>F</v>
      </c>
      <c r="M243" s="7">
        <v>30</v>
      </c>
      <c r="N243" s="7">
        <v>3.4430000000000001</v>
      </c>
      <c r="O243" s="7">
        <v>2.3849999999999998</v>
      </c>
      <c r="P243" s="7" t="s">
        <v>1049</v>
      </c>
      <c r="Q243" t="str">
        <f t="shared" si="65"/>
        <v>F</v>
      </c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>
        <v>6</v>
      </c>
      <c r="AK243" s="7">
        <v>0.221</v>
      </c>
      <c r="AL243" s="7"/>
      <c r="AM243" s="7"/>
      <c r="AN243" s="7"/>
      <c r="AO243" s="7"/>
      <c r="AP243" s="7"/>
      <c r="AQ243" s="7"/>
      <c r="AR243" s="7"/>
      <c r="AS243" s="7"/>
      <c r="AT243" s="7"/>
      <c r="AU243" s="7"/>
      <c r="AV243" s="7"/>
      <c r="AW243" s="7"/>
      <c r="AX243" s="7"/>
      <c r="AY243" s="7"/>
      <c r="AZ243" s="7"/>
      <c r="BA243" s="7"/>
      <c r="BB243" s="7">
        <v>3</v>
      </c>
      <c r="BC243" s="7">
        <v>0.20799999999999999</v>
      </c>
      <c r="BD243" s="7"/>
      <c r="BE243" s="7"/>
      <c r="BF243" s="7">
        <v>1</v>
      </c>
      <c r="BG243" s="7">
        <v>0.33300000000000002</v>
      </c>
      <c r="BH243" s="7"/>
      <c r="BI243" s="7"/>
      <c r="BJ243" s="7"/>
      <c r="BK243" s="7"/>
      <c r="BL243" s="7"/>
      <c r="BM243" s="7"/>
      <c r="BN243" s="7"/>
      <c r="BO243" s="7"/>
      <c r="BP243" s="7"/>
      <c r="BQ243" s="7"/>
      <c r="BR243" s="7"/>
      <c r="BS243" s="7"/>
      <c r="BT243" s="7"/>
      <c r="BU243" s="7"/>
      <c r="BV243">
        <f>0.221+0.208+0.333</f>
        <v>0.76200000000000001</v>
      </c>
      <c r="BW243" t="s">
        <v>1051</v>
      </c>
      <c r="BX243" t="str">
        <f t="shared" si="77"/>
        <v>18</v>
      </c>
      <c r="BY243" t="str">
        <f t="shared" si="78"/>
        <v>5</v>
      </c>
      <c r="BZ243" t="str">
        <f t="shared" si="79"/>
        <v>2021</v>
      </c>
      <c r="CA243" s="5">
        <f t="shared" si="70"/>
        <v>44334</v>
      </c>
      <c r="CB243">
        <v>138</v>
      </c>
      <c r="CC243" s="7">
        <v>10</v>
      </c>
      <c r="CE243">
        <f t="shared" si="71"/>
        <v>14.958816313246375</v>
      </c>
      <c r="CF243">
        <f t="shared" si="72"/>
        <v>2.3447599518566395</v>
      </c>
      <c r="CG243">
        <f t="shared" si="80"/>
        <v>2.7049960145020702E-2</v>
      </c>
      <c r="CH243">
        <f t="shared" si="81"/>
        <v>5.4786024395286326</v>
      </c>
      <c r="CI243">
        <f t="shared" si="73"/>
        <v>2.3041073217474635</v>
      </c>
      <c r="CJ243" s="1">
        <f t="shared" si="74"/>
        <v>3.96358726425367</v>
      </c>
      <c r="CK243" s="7" t="s">
        <v>142</v>
      </c>
      <c r="CL243" s="7">
        <v>2</v>
      </c>
      <c r="CM243" s="7"/>
      <c r="CN243" s="7"/>
      <c r="CO243" s="7"/>
      <c r="CP243" s="7"/>
    </row>
    <row r="244" spans="1:99" ht="32" x14ac:dyDescent="0.2">
      <c r="A244" s="7" t="s">
        <v>1040</v>
      </c>
      <c r="B244" s="7" t="s">
        <v>46</v>
      </c>
      <c r="C244" t="str">
        <f t="shared" si="66"/>
        <v>I</v>
      </c>
      <c r="D244" t="str">
        <f t="shared" si="67"/>
        <v>I</v>
      </c>
      <c r="E244" t="str">
        <f t="shared" si="68"/>
        <v>G</v>
      </c>
      <c r="F244" s="7">
        <v>85</v>
      </c>
      <c r="G244" s="7">
        <v>80</v>
      </c>
      <c r="H244" s="7">
        <v>11.438000000000001</v>
      </c>
      <c r="I244" s="7">
        <v>0.28399999999999997</v>
      </c>
      <c r="J244" s="7">
        <v>1.1419999999999999</v>
      </c>
      <c r="K244" s="7" t="s">
        <v>867</v>
      </c>
      <c r="L244" t="str">
        <f t="shared" si="69"/>
        <v>F</v>
      </c>
      <c r="M244" s="7">
        <v>30</v>
      </c>
      <c r="N244" s="7">
        <v>0.53600000000000003</v>
      </c>
      <c r="O244" s="7">
        <v>0.42599999999999999</v>
      </c>
      <c r="P244" s="7" t="s">
        <v>1050</v>
      </c>
      <c r="Q244" t="str">
        <f t="shared" si="65"/>
        <v>F</v>
      </c>
      <c r="R244" s="7"/>
      <c r="S244" s="7"/>
      <c r="T244" s="7">
        <v>6</v>
      </c>
      <c r="U244" s="7">
        <v>4.9000000000000002E-2</v>
      </c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>
        <v>40</v>
      </c>
      <c r="AO244" s="7">
        <v>4.2000000000000003E-2</v>
      </c>
      <c r="AP244" s="7"/>
      <c r="AQ244" s="7"/>
      <c r="AR244" s="7"/>
      <c r="AS244" s="7"/>
      <c r="AT244" s="7"/>
      <c r="AU244" s="7"/>
      <c r="AV244" s="7"/>
      <c r="AW244" s="7"/>
      <c r="AX244" s="7"/>
      <c r="AY244" s="7"/>
      <c r="AZ244" s="7"/>
      <c r="BA244" s="7"/>
      <c r="BB244" s="7"/>
      <c r="BC244" s="7"/>
      <c r="BD244" s="7"/>
      <c r="BE244" s="7"/>
      <c r="BF244" s="7"/>
      <c r="BG244" s="7"/>
      <c r="BH244" s="7"/>
      <c r="BI244" s="7"/>
      <c r="BJ244" s="7"/>
      <c r="BK244" s="7"/>
      <c r="BL244" s="7"/>
      <c r="BM244" s="7"/>
      <c r="BN244" s="7"/>
      <c r="BO244" s="7"/>
      <c r="BP244" s="7"/>
      <c r="BQ244" s="7"/>
      <c r="BR244" s="7"/>
      <c r="BS244" s="7"/>
      <c r="BT244" s="7"/>
      <c r="BU244" s="7"/>
      <c r="BV244" s="7">
        <v>9.0999999999999998E-2</v>
      </c>
      <c r="BW244" t="s">
        <v>1051</v>
      </c>
      <c r="BX244" t="str">
        <f t="shared" si="77"/>
        <v>18</v>
      </c>
      <c r="BY244" t="str">
        <f t="shared" si="78"/>
        <v>5</v>
      </c>
      <c r="BZ244" t="str">
        <f t="shared" si="79"/>
        <v>2021</v>
      </c>
      <c r="CA244" s="5">
        <f t="shared" si="70"/>
        <v>44334</v>
      </c>
      <c r="CB244">
        <v>138</v>
      </c>
      <c r="CC244" s="7">
        <v>10</v>
      </c>
      <c r="CE244">
        <f t="shared" si="71"/>
        <v>11.091686091686089</v>
      </c>
      <c r="CF244">
        <f t="shared" si="72"/>
        <v>2.5461717769410077</v>
      </c>
      <c r="CG244">
        <f t="shared" si="80"/>
        <v>2.8365960846983614E-2</v>
      </c>
      <c r="CH244">
        <f t="shared" si="81"/>
        <v>3.8685070831819832</v>
      </c>
      <c r="CI244">
        <f t="shared" si="73"/>
        <v>0.96170659206154951</v>
      </c>
      <c r="CJ244" s="1">
        <f t="shared" si="74"/>
        <v>1.7573002273124676</v>
      </c>
      <c r="CK244" s="7" t="s">
        <v>142</v>
      </c>
      <c r="CL244" s="7">
        <v>2</v>
      </c>
      <c r="CM244" s="7"/>
      <c r="CN244" s="7"/>
      <c r="CO244" s="7"/>
      <c r="CP244" s="7"/>
    </row>
    <row r="245" spans="1:99" x14ac:dyDescent="0.2">
      <c r="A245" s="7" t="s">
        <v>1052</v>
      </c>
      <c r="B245" s="7" t="s">
        <v>46</v>
      </c>
      <c r="C245" t="str">
        <f t="shared" si="66"/>
        <v>I</v>
      </c>
      <c r="D245" t="str">
        <f t="shared" si="67"/>
        <v>I</v>
      </c>
      <c r="E245" t="str">
        <f t="shared" si="68"/>
        <v>G</v>
      </c>
      <c r="F245" s="7">
        <v>103</v>
      </c>
      <c r="G245" s="7">
        <v>98</v>
      </c>
      <c r="H245" s="7">
        <v>20.542000000000002</v>
      </c>
      <c r="I245" s="7">
        <v>0.30499999999999999</v>
      </c>
      <c r="J245" s="7">
        <v>0.42099999999999999</v>
      </c>
      <c r="K245" s="7" t="s">
        <v>868</v>
      </c>
      <c r="L245" t="str">
        <f t="shared" si="69"/>
        <v>M</v>
      </c>
      <c r="M245" s="7">
        <v>30</v>
      </c>
      <c r="N245" s="7">
        <v>1.1579999999999999</v>
      </c>
      <c r="O245" s="7">
        <v>0.95499999999999996</v>
      </c>
      <c r="P245" s="7" t="s">
        <v>1082</v>
      </c>
      <c r="Q245" t="str">
        <f t="shared" si="65"/>
        <v>F</v>
      </c>
      <c r="R245" s="7"/>
      <c r="S245" s="7"/>
      <c r="T245" s="7">
        <v>1</v>
      </c>
      <c r="U245" s="7">
        <v>0.10199999999999999</v>
      </c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7"/>
      <c r="AT245" s="7"/>
      <c r="AU245" s="7"/>
      <c r="AV245" s="7"/>
      <c r="AW245" s="7"/>
      <c r="AX245" s="7"/>
      <c r="AY245" s="7"/>
      <c r="AZ245" s="7"/>
      <c r="BA245" s="7"/>
      <c r="BB245" s="7"/>
      <c r="BC245" s="7"/>
      <c r="BD245" s="7"/>
      <c r="BE245" s="7"/>
      <c r="BF245" s="7"/>
      <c r="BG245" s="7"/>
      <c r="BH245" s="7"/>
      <c r="BI245" s="7"/>
      <c r="BJ245" s="7"/>
      <c r="BK245" s="7"/>
      <c r="BL245" s="7"/>
      <c r="BM245" s="7"/>
      <c r="BN245" s="7"/>
      <c r="BO245" s="7"/>
      <c r="BP245" s="7"/>
      <c r="BQ245" s="7"/>
      <c r="BR245" s="7"/>
      <c r="BS245" s="7"/>
      <c r="BT245" s="7"/>
      <c r="BU245" s="7"/>
      <c r="BV245" s="7">
        <v>0.1</v>
      </c>
      <c r="BW245" t="s">
        <v>1051</v>
      </c>
      <c r="BX245" t="str">
        <f t="shared" si="77"/>
        <v>18</v>
      </c>
      <c r="BY245" t="str">
        <f t="shared" si="78"/>
        <v>5</v>
      </c>
      <c r="BZ245" t="str">
        <f t="shared" si="79"/>
        <v>2021</v>
      </c>
      <c r="CA245" s="5">
        <f t="shared" si="70"/>
        <v>44334</v>
      </c>
      <c r="CB245">
        <v>138</v>
      </c>
      <c r="CC245" s="7">
        <v>10</v>
      </c>
      <c r="CE245">
        <f t="shared" si="71"/>
        <v>2.0923413349237112</v>
      </c>
      <c r="CF245">
        <f t="shared" si="72"/>
        <v>1.5071403864209121</v>
      </c>
      <c r="CG245">
        <f t="shared" si="80"/>
        <v>1.5391602745256356E-2</v>
      </c>
      <c r="CH245">
        <f t="shared" si="81"/>
        <v>4.8756828508704739</v>
      </c>
      <c r="CI245">
        <f t="shared" si="73"/>
        <v>0.98821925810534483</v>
      </c>
      <c r="CJ245" s="1">
        <f t="shared" si="74"/>
        <v>1.4750267744133965</v>
      </c>
      <c r="CK245" s="7" t="s">
        <v>142</v>
      </c>
      <c r="CL245" s="7">
        <v>2</v>
      </c>
      <c r="CM245" s="7"/>
      <c r="CN245" s="7"/>
      <c r="CO245" s="7"/>
      <c r="CP245" s="7"/>
    </row>
    <row r="246" spans="1:99" ht="32" x14ac:dyDescent="0.2">
      <c r="A246" s="7" t="s">
        <v>1053</v>
      </c>
      <c r="B246" s="7" t="s">
        <v>46</v>
      </c>
      <c r="C246" t="str">
        <f t="shared" si="66"/>
        <v>I</v>
      </c>
      <c r="D246" t="str">
        <f t="shared" si="67"/>
        <v>IMM</v>
      </c>
      <c r="E246" t="str">
        <f t="shared" si="68"/>
        <v>G</v>
      </c>
      <c r="F246" s="7">
        <v>64</v>
      </c>
      <c r="G246" s="7">
        <v>61</v>
      </c>
      <c r="H246" s="7">
        <v>4.9279999999999999</v>
      </c>
      <c r="I246" s="7">
        <v>7.0999999999999994E-2</v>
      </c>
      <c r="J246" s="7">
        <v>0.13400000000000001</v>
      </c>
      <c r="K246" s="7" t="s">
        <v>868</v>
      </c>
      <c r="L246" t="str">
        <f t="shared" si="69"/>
        <v>M</v>
      </c>
      <c r="M246" s="7">
        <v>30</v>
      </c>
      <c r="N246" s="7">
        <v>0.25800000000000001</v>
      </c>
      <c r="O246" s="7">
        <v>0.193</v>
      </c>
      <c r="P246" s="7" t="s">
        <v>1083</v>
      </c>
      <c r="Q246" t="str">
        <f t="shared" si="65"/>
        <v>F</v>
      </c>
      <c r="R246" s="7"/>
      <c r="S246" s="7"/>
      <c r="T246" s="7">
        <v>2</v>
      </c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>
        <v>30</v>
      </c>
      <c r="AO246" s="7">
        <v>2.3E-2</v>
      </c>
      <c r="AP246" s="7"/>
      <c r="AQ246" s="7"/>
      <c r="AR246" s="7"/>
      <c r="AS246" s="7"/>
      <c r="AT246" s="7"/>
      <c r="AU246" s="7"/>
      <c r="AV246" s="7"/>
      <c r="AW246" s="7"/>
      <c r="AX246" s="7"/>
      <c r="AY246" s="7"/>
      <c r="AZ246" s="7"/>
      <c r="BA246" s="7"/>
      <c r="BB246" s="7"/>
      <c r="BC246" s="7"/>
      <c r="BD246" s="7"/>
      <c r="BE246" s="7"/>
      <c r="BF246" s="7"/>
      <c r="BG246" s="7"/>
      <c r="BH246" s="7"/>
      <c r="BI246" s="7"/>
      <c r="BJ246" s="7"/>
      <c r="BK246" s="7"/>
      <c r="BL246" s="7"/>
      <c r="BM246" s="7"/>
      <c r="BN246" s="7"/>
      <c r="BO246" s="7"/>
      <c r="BP246" s="7"/>
      <c r="BQ246" s="7"/>
      <c r="BR246" s="7"/>
      <c r="BS246" s="7"/>
      <c r="BT246" s="7"/>
      <c r="BU246" s="7"/>
      <c r="BV246" s="7">
        <v>2.3E-2</v>
      </c>
      <c r="BW246" t="s">
        <v>1051</v>
      </c>
      <c r="BX246" t="str">
        <f t="shared" si="77"/>
        <v>18</v>
      </c>
      <c r="BY246" t="str">
        <f t="shared" si="78"/>
        <v>5</v>
      </c>
      <c r="BZ246" t="str">
        <f t="shared" si="79"/>
        <v>2021</v>
      </c>
      <c r="CA246" s="5">
        <f t="shared" si="70"/>
        <v>44334</v>
      </c>
      <c r="CB246">
        <v>138</v>
      </c>
      <c r="CC246" s="7">
        <v>10</v>
      </c>
      <c r="CE246">
        <f t="shared" si="71"/>
        <v>2.7951606174384653</v>
      </c>
      <c r="CF246">
        <f t="shared" si="72"/>
        <v>1.4618077002264771</v>
      </c>
      <c r="CG246">
        <f t="shared" si="80"/>
        <v>1.5032818124073682E-2</v>
      </c>
      <c r="CH246">
        <f t="shared" si="81"/>
        <v>4.0760295670538547</v>
      </c>
      <c r="CI246">
        <f t="shared" si="73"/>
        <v>1.3189935064935066</v>
      </c>
      <c r="CJ246" s="1">
        <f t="shared" si="74"/>
        <v>1.7857142857142856</v>
      </c>
      <c r="CK246" s="7" t="s">
        <v>142</v>
      </c>
      <c r="CL246" s="7">
        <v>1</v>
      </c>
      <c r="CM246" s="7"/>
      <c r="CN246" s="7"/>
      <c r="CO246" s="7"/>
      <c r="CP246" s="7"/>
    </row>
    <row r="247" spans="1:99" ht="32" x14ac:dyDescent="0.2">
      <c r="A247" s="7" t="s">
        <v>1054</v>
      </c>
      <c r="B247" s="7" t="s">
        <v>46</v>
      </c>
      <c r="C247" t="str">
        <f t="shared" si="66"/>
        <v>I</v>
      </c>
      <c r="D247" t="str">
        <f t="shared" si="67"/>
        <v>IMM</v>
      </c>
      <c r="E247" t="str">
        <f t="shared" si="68"/>
        <v>G</v>
      </c>
      <c r="F247" s="7">
        <v>62</v>
      </c>
      <c r="G247" s="7">
        <v>59</v>
      </c>
      <c r="H247" s="7">
        <v>3.8639999999999999</v>
      </c>
      <c r="I247" s="7">
        <v>0.108</v>
      </c>
      <c r="J247" s="7">
        <v>0.26600000000000001</v>
      </c>
      <c r="K247" s="7" t="s">
        <v>867</v>
      </c>
      <c r="L247" t="str">
        <f t="shared" si="69"/>
        <v>F</v>
      </c>
      <c r="M247" s="7">
        <v>30</v>
      </c>
      <c r="N247" s="7">
        <v>0.25700000000000001</v>
      </c>
      <c r="O247" s="7">
        <v>0.187</v>
      </c>
      <c r="P247" s="7" t="s">
        <v>1084</v>
      </c>
      <c r="Q247" t="str">
        <f t="shared" si="65"/>
        <v>F</v>
      </c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>
        <v>100</v>
      </c>
      <c r="AO247" s="7">
        <v>0.04</v>
      </c>
      <c r="AP247" s="7"/>
      <c r="AQ247" s="7"/>
      <c r="AR247" s="7"/>
      <c r="AS247" s="7"/>
      <c r="AT247" s="7"/>
      <c r="AU247" s="7"/>
      <c r="AV247" s="7">
        <v>7</v>
      </c>
      <c r="AW247" s="7">
        <v>1.4E-2</v>
      </c>
      <c r="AX247" s="7"/>
      <c r="AY247" s="7"/>
      <c r="AZ247" s="7"/>
      <c r="BA247" s="7"/>
      <c r="BB247" s="7"/>
      <c r="BC247" s="7"/>
      <c r="BD247" s="7"/>
      <c r="BE247" s="7"/>
      <c r="BF247" s="7"/>
      <c r="BG247" s="7"/>
      <c r="BH247" s="7"/>
      <c r="BI247" s="7"/>
      <c r="BJ247" s="7"/>
      <c r="BK247" s="7"/>
      <c r="BL247" s="7"/>
      <c r="BM247" s="7"/>
      <c r="BN247" s="7"/>
      <c r="BO247" s="7"/>
      <c r="BP247" s="7"/>
      <c r="BQ247" s="7"/>
      <c r="BR247" s="7"/>
      <c r="BS247" s="7"/>
      <c r="BT247" s="7"/>
      <c r="BU247" s="7"/>
      <c r="BV247" s="7">
        <v>1.7999999999999999E-2</v>
      </c>
      <c r="BW247" t="s">
        <v>1051</v>
      </c>
      <c r="BX247" t="str">
        <f t="shared" si="77"/>
        <v>18</v>
      </c>
      <c r="BY247" t="str">
        <f t="shared" si="78"/>
        <v>5</v>
      </c>
      <c r="BZ247" t="str">
        <f t="shared" si="79"/>
        <v>2021</v>
      </c>
      <c r="CA247" s="5">
        <f t="shared" si="70"/>
        <v>44334</v>
      </c>
      <c r="CB247">
        <v>138</v>
      </c>
      <c r="CC247" s="7">
        <v>10</v>
      </c>
      <c r="CE247">
        <f t="shared" si="71"/>
        <v>7.3929961089494167</v>
      </c>
      <c r="CF247">
        <f t="shared" si="72"/>
        <v>2.8753993610223643</v>
      </c>
      <c r="CG247">
        <f t="shared" si="80"/>
        <v>3.0945558739255016E-2</v>
      </c>
      <c r="CH247">
        <f t="shared" si="81"/>
        <v>5.0856676638564045</v>
      </c>
      <c r="CI247">
        <f t="shared" si="73"/>
        <v>1.8115942028985508</v>
      </c>
      <c r="CJ247" s="1">
        <f t="shared" si="74"/>
        <v>2.2774327122153211</v>
      </c>
      <c r="CK247" s="7" t="s">
        <v>142</v>
      </c>
      <c r="CL247" s="7">
        <v>1</v>
      </c>
      <c r="CM247" s="7"/>
      <c r="CN247" s="7"/>
      <c r="CO247" s="7"/>
      <c r="CP247" s="7"/>
    </row>
    <row r="248" spans="1:99" x14ac:dyDescent="0.2">
      <c r="A248" s="7" t="s">
        <v>1055</v>
      </c>
      <c r="B248" s="7" t="s">
        <v>46</v>
      </c>
      <c r="C248" t="str">
        <f t="shared" si="66"/>
        <v>S</v>
      </c>
      <c r="D248" t="str">
        <f t="shared" si="67"/>
        <v>IMM</v>
      </c>
      <c r="E248" t="str">
        <f t="shared" si="68"/>
        <v>N</v>
      </c>
      <c r="F248" s="7">
        <v>54</v>
      </c>
      <c r="G248" s="7">
        <v>51</v>
      </c>
      <c r="H248" s="7">
        <v>2.6040000000000001</v>
      </c>
      <c r="I248" s="7">
        <v>0.04</v>
      </c>
      <c r="J248" s="7">
        <v>0.13100000000000001</v>
      </c>
      <c r="K248" s="7" t="s">
        <v>868</v>
      </c>
      <c r="L248" t="str">
        <f t="shared" si="69"/>
        <v>M</v>
      </c>
      <c r="M248" s="7">
        <v>30</v>
      </c>
      <c r="N248" s="7">
        <v>0.128</v>
      </c>
      <c r="O248" s="7">
        <v>0.114</v>
      </c>
      <c r="P248" s="7" t="s">
        <v>1085</v>
      </c>
      <c r="Q248" t="str">
        <f t="shared" si="65"/>
        <v>F</v>
      </c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7"/>
      <c r="AT248" s="7"/>
      <c r="AU248" s="7"/>
      <c r="AV248" s="7">
        <v>3</v>
      </c>
      <c r="AW248" s="7">
        <v>6.0000000000000001E-3</v>
      </c>
      <c r="AX248" s="7"/>
      <c r="AY248" s="7"/>
      <c r="AZ248" s="7"/>
      <c r="BA248" s="7"/>
      <c r="BB248" s="7"/>
      <c r="BC248" s="7"/>
      <c r="BD248" s="7"/>
      <c r="BE248" s="7"/>
      <c r="BF248" s="7"/>
      <c r="BG248" s="7"/>
      <c r="BH248" s="7"/>
      <c r="BI248" s="7"/>
      <c r="BJ248" s="7"/>
      <c r="BK248" s="7"/>
      <c r="BL248" s="7"/>
      <c r="BM248" s="7"/>
      <c r="BN248" s="7"/>
      <c r="BO248" s="7"/>
      <c r="BP248" s="7"/>
      <c r="BQ248" s="7"/>
      <c r="BR248" s="7"/>
      <c r="BS248" s="7"/>
      <c r="BT248" s="7"/>
      <c r="BU248" s="7"/>
      <c r="BV248" s="7">
        <v>6.0000000000000001E-3</v>
      </c>
      <c r="BW248" t="s">
        <v>1051</v>
      </c>
      <c r="BX248" t="str">
        <f t="shared" si="77"/>
        <v>18</v>
      </c>
      <c r="BY248" t="str">
        <f t="shared" si="78"/>
        <v>5</v>
      </c>
      <c r="BZ248" t="str">
        <f t="shared" si="79"/>
        <v>2021</v>
      </c>
      <c r="CA248" s="5">
        <f t="shared" si="70"/>
        <v>44334</v>
      </c>
      <c r="CB248">
        <v>138</v>
      </c>
      <c r="CC248" s="7">
        <v>10</v>
      </c>
      <c r="CE248">
        <f t="shared" si="71"/>
        <v>5.2972098665588359</v>
      </c>
      <c r="CF248">
        <f t="shared" si="72"/>
        <v>1.5600624024960998</v>
      </c>
      <c r="CG248">
        <f t="shared" si="80"/>
        <v>1.6440608302507195E-2</v>
      </c>
      <c r="CH248">
        <f t="shared" si="81"/>
        <v>4.5783132530120483</v>
      </c>
      <c r="CI248">
        <f t="shared" si="73"/>
        <v>0.5376344086021505</v>
      </c>
      <c r="CJ248" s="1">
        <f t="shared" si="74"/>
        <v>0.7680491551459292</v>
      </c>
      <c r="CK248" s="7" t="s">
        <v>142</v>
      </c>
      <c r="CL248" s="7">
        <v>2</v>
      </c>
      <c r="CM248" s="7"/>
      <c r="CN248" s="7"/>
      <c r="CO248" s="7"/>
      <c r="CP248" s="7"/>
    </row>
    <row r="249" spans="1:99" x14ac:dyDescent="0.2">
      <c r="A249" s="7" t="s">
        <v>1056</v>
      </c>
      <c r="B249" s="7" t="s">
        <v>46</v>
      </c>
      <c r="C249" t="str">
        <f t="shared" si="66"/>
        <v>S</v>
      </c>
      <c r="D249" t="str">
        <f t="shared" si="67"/>
        <v>IMM</v>
      </c>
      <c r="E249" t="str">
        <f t="shared" si="68"/>
        <v>N</v>
      </c>
      <c r="F249" s="7">
        <v>53</v>
      </c>
      <c r="G249" s="7">
        <v>49</v>
      </c>
      <c r="H249" s="7">
        <v>2.2589999999999999</v>
      </c>
      <c r="I249" s="7">
        <v>4.5999999999999999E-2</v>
      </c>
      <c r="J249" s="7">
        <v>4.7E-2</v>
      </c>
      <c r="K249" s="7" t="s">
        <v>786</v>
      </c>
      <c r="L249" t="str">
        <f t="shared" si="69"/>
        <v>F</v>
      </c>
      <c r="M249" s="7">
        <v>23</v>
      </c>
      <c r="N249" s="7">
        <v>0.14499999999999999</v>
      </c>
      <c r="O249" s="7">
        <v>0.13</v>
      </c>
      <c r="P249" s="7" t="s">
        <v>36</v>
      </c>
      <c r="Q249" t="str">
        <f t="shared" si="65"/>
        <v>MT</v>
      </c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  <c r="AS249" s="7"/>
      <c r="AT249" s="7"/>
      <c r="AU249" s="7"/>
      <c r="AV249" s="7"/>
      <c r="AW249" s="7"/>
      <c r="AX249" s="7"/>
      <c r="AY249" s="7"/>
      <c r="AZ249" s="7"/>
      <c r="BA249" s="7"/>
      <c r="BB249" s="7"/>
      <c r="BC249" s="7"/>
      <c r="BD249" s="7"/>
      <c r="BE249" s="7"/>
      <c r="BF249" s="7"/>
      <c r="BG249" s="7"/>
      <c r="BH249" s="7"/>
      <c r="BI249" s="7"/>
      <c r="BJ249" s="7"/>
      <c r="BK249" s="7"/>
      <c r="BL249" s="7"/>
      <c r="BM249" s="7"/>
      <c r="BN249" s="7"/>
      <c r="BO249" s="7"/>
      <c r="BP249" s="7"/>
      <c r="BQ249" s="7"/>
      <c r="BR249" s="7"/>
      <c r="BS249" s="7"/>
      <c r="BT249" s="7"/>
      <c r="BU249" s="7"/>
      <c r="BW249" t="s">
        <v>1051</v>
      </c>
      <c r="BX249" t="str">
        <f t="shared" si="77"/>
        <v>18</v>
      </c>
      <c r="BY249" t="str">
        <f t="shared" si="78"/>
        <v>5</v>
      </c>
      <c r="BZ249" t="str">
        <f t="shared" si="79"/>
        <v>2021</v>
      </c>
      <c r="CA249" s="5">
        <f t="shared" si="70"/>
        <v>44334</v>
      </c>
      <c r="CB249">
        <v>138</v>
      </c>
      <c r="CC249" s="7">
        <v>10</v>
      </c>
      <c r="CE249">
        <f t="shared" si="71"/>
        <v>2.1247739602169986</v>
      </c>
      <c r="CF249">
        <f t="shared" si="72"/>
        <v>2.0786262991414368</v>
      </c>
      <c r="CG249">
        <f t="shared" si="80"/>
        <v>2.1237303785780242E-2</v>
      </c>
      <c r="CH249">
        <f t="shared" si="81"/>
        <v>6.1061531235321747</v>
      </c>
      <c r="CI249">
        <f t="shared" si="73"/>
        <v>0.66401062416998613</v>
      </c>
      <c r="CJ249" s="1">
        <f t="shared" si="74"/>
        <v>0.66401062416998613</v>
      </c>
      <c r="CK249" s="7" t="s">
        <v>142</v>
      </c>
      <c r="CL249" s="7">
        <v>2</v>
      </c>
      <c r="CM249" s="7"/>
      <c r="CN249" s="7"/>
      <c r="CO249" s="7"/>
      <c r="CP249" s="7"/>
    </row>
    <row r="250" spans="1:99" x14ac:dyDescent="0.2">
      <c r="A250" s="7" t="s">
        <v>1057</v>
      </c>
      <c r="B250" s="7" t="s">
        <v>46</v>
      </c>
      <c r="C250" t="str">
        <f t="shared" si="66"/>
        <v>I</v>
      </c>
      <c r="D250" t="str">
        <f t="shared" si="67"/>
        <v>B</v>
      </c>
      <c r="E250" t="str">
        <f t="shared" si="68"/>
        <v>N</v>
      </c>
      <c r="F250" s="7">
        <v>128</v>
      </c>
      <c r="G250" s="7">
        <v>122</v>
      </c>
      <c r="H250" s="7">
        <v>45.776000000000003</v>
      </c>
      <c r="I250" s="7">
        <v>1.4870000000000001</v>
      </c>
      <c r="J250" s="7">
        <v>6.5090000000000003</v>
      </c>
      <c r="K250" s="7" t="s">
        <v>867</v>
      </c>
      <c r="L250" t="str">
        <f t="shared" si="69"/>
        <v>F</v>
      </c>
      <c r="M250" s="7">
        <v>30</v>
      </c>
      <c r="N250" s="7">
        <v>3.2970000000000002</v>
      </c>
      <c r="O250" s="7">
        <v>2.145</v>
      </c>
      <c r="P250" s="7" t="s">
        <v>1086</v>
      </c>
      <c r="Q250" t="str">
        <f t="shared" si="65"/>
        <v>F</v>
      </c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7"/>
      <c r="AT250" s="7"/>
      <c r="AU250" s="7"/>
      <c r="AV250" s="7"/>
      <c r="AW250" s="7"/>
      <c r="AX250" s="7"/>
      <c r="AY250" s="7"/>
      <c r="AZ250" s="7"/>
      <c r="BA250" s="7"/>
      <c r="BB250" s="7"/>
      <c r="BC250" s="7"/>
      <c r="BD250" s="7"/>
      <c r="BE250" s="7"/>
      <c r="BF250" s="7"/>
      <c r="BG250" s="7"/>
      <c r="BH250" s="7"/>
      <c r="BI250" s="7"/>
      <c r="BJ250" s="7"/>
      <c r="BK250" s="7"/>
      <c r="BL250" s="7"/>
      <c r="BM250" s="7"/>
      <c r="BN250" s="7"/>
      <c r="BO250" s="7"/>
      <c r="BP250" s="7">
        <v>1</v>
      </c>
      <c r="BQ250" s="7">
        <v>0.99299999999999999</v>
      </c>
      <c r="BR250" s="7"/>
      <c r="BS250" s="7"/>
      <c r="BT250" s="7"/>
      <c r="BU250" s="7"/>
      <c r="BV250" s="7">
        <v>0.99299999999999999</v>
      </c>
      <c r="BW250" t="s">
        <v>1051</v>
      </c>
      <c r="BX250" t="str">
        <f t="shared" si="77"/>
        <v>18</v>
      </c>
      <c r="BY250" t="str">
        <f t="shared" si="78"/>
        <v>5</v>
      </c>
      <c r="BZ250" t="str">
        <f t="shared" si="79"/>
        <v>2021</v>
      </c>
      <c r="CA250" s="5">
        <f t="shared" si="70"/>
        <v>44334</v>
      </c>
      <c r="CB250">
        <v>138</v>
      </c>
      <c r="CC250" s="7">
        <v>10</v>
      </c>
      <c r="CE250">
        <f t="shared" si="71"/>
        <v>16.57625996383732</v>
      </c>
      <c r="CF250">
        <f t="shared" si="72"/>
        <v>3.357492831177042</v>
      </c>
      <c r="CG250">
        <f t="shared" si="80"/>
        <v>3.9359449444150346E-2</v>
      </c>
      <c r="CH250">
        <f t="shared" si="81"/>
        <v>4.9162292865164678</v>
      </c>
      <c r="CI250">
        <f t="shared" si="73"/>
        <v>2.5166025865082138</v>
      </c>
      <c r="CJ250" s="1">
        <f t="shared" si="74"/>
        <v>4.685861586857742</v>
      </c>
      <c r="CK250" s="7" t="s">
        <v>142</v>
      </c>
      <c r="CL250" s="7">
        <v>2</v>
      </c>
      <c r="CM250" s="7"/>
      <c r="CN250" s="7"/>
      <c r="CO250" s="7"/>
      <c r="CP250" s="7"/>
    </row>
    <row r="251" spans="1:99" x14ac:dyDescent="0.2">
      <c r="A251" s="7" t="s">
        <v>1058</v>
      </c>
      <c r="B251" s="7" t="s">
        <v>46</v>
      </c>
      <c r="C251" t="str">
        <f t="shared" si="66"/>
        <v>I</v>
      </c>
      <c r="D251" t="str">
        <f t="shared" si="67"/>
        <v>B</v>
      </c>
      <c r="E251" t="str">
        <f t="shared" si="68"/>
        <v>N</v>
      </c>
      <c r="F251" s="7">
        <v>124</v>
      </c>
      <c r="G251" s="7">
        <v>119</v>
      </c>
      <c r="H251" s="7">
        <v>42.866</v>
      </c>
      <c r="I251" s="7">
        <v>0.86099999999999999</v>
      </c>
      <c r="J251" s="7">
        <v>5.8999999999999997E-2</v>
      </c>
      <c r="K251" s="7" t="s">
        <v>868</v>
      </c>
      <c r="L251" t="str">
        <f t="shared" si="69"/>
        <v>M</v>
      </c>
      <c r="M251" s="7">
        <v>30</v>
      </c>
      <c r="N251" s="7">
        <v>2.1579999999999999</v>
      </c>
      <c r="O251" s="7">
        <v>1.845</v>
      </c>
      <c r="P251" s="7" t="s">
        <v>1087</v>
      </c>
      <c r="Q251" t="str">
        <f t="shared" si="65"/>
        <v>F</v>
      </c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>
        <v>2</v>
      </c>
      <c r="AQ251" s="7">
        <v>0.22800000000000001</v>
      </c>
      <c r="AR251" s="7"/>
      <c r="AS251" s="7"/>
      <c r="AT251" s="7"/>
      <c r="AU251" s="7"/>
      <c r="AV251" s="7"/>
      <c r="AW251" s="7"/>
      <c r="AX251" s="7"/>
      <c r="AY251" s="7"/>
      <c r="AZ251" s="7"/>
      <c r="BA251" s="7"/>
      <c r="BB251" s="7"/>
      <c r="BC251" s="7"/>
      <c r="BD251" s="7"/>
      <c r="BE251" s="7"/>
      <c r="BF251" s="7"/>
      <c r="BG251" s="7"/>
      <c r="BH251" s="7"/>
      <c r="BI251" s="7"/>
      <c r="BJ251" s="7"/>
      <c r="BK251" s="7"/>
      <c r="BL251" s="7"/>
      <c r="BM251" s="7"/>
      <c r="BN251" s="7"/>
      <c r="BO251" s="7"/>
      <c r="BP251" s="7"/>
      <c r="BQ251" s="7"/>
      <c r="BR251" s="7"/>
      <c r="BS251" s="7"/>
      <c r="BT251" s="7"/>
      <c r="BU251" s="7"/>
      <c r="BV251" s="7">
        <v>0.22800000000000001</v>
      </c>
      <c r="BW251" t="s">
        <v>1051</v>
      </c>
      <c r="BX251" t="str">
        <f t="shared" si="77"/>
        <v>18</v>
      </c>
      <c r="BY251" t="str">
        <f t="shared" si="78"/>
        <v>5</v>
      </c>
      <c r="BZ251" t="str">
        <f t="shared" si="79"/>
        <v>2021</v>
      </c>
      <c r="CA251" s="5">
        <f t="shared" si="70"/>
        <v>44334</v>
      </c>
      <c r="CB251">
        <v>138</v>
      </c>
      <c r="CC251" s="7">
        <v>10</v>
      </c>
      <c r="CE251">
        <f t="shared" si="71"/>
        <v>0.13782792533931365</v>
      </c>
      <c r="CF251">
        <f t="shared" si="72"/>
        <v>2.0497559814307817</v>
      </c>
      <c r="CG251">
        <f t="shared" si="80"/>
        <v>2.0526391074238304E-2</v>
      </c>
      <c r="CH251">
        <f t="shared" si="81"/>
        <v>4.4976963018941518</v>
      </c>
      <c r="CI251">
        <f t="shared" si="73"/>
        <v>0.73018242896468055</v>
      </c>
      <c r="CJ251" s="1">
        <f t="shared" si="74"/>
        <v>1.2620725050156298</v>
      </c>
      <c r="CK251" s="7" t="s">
        <v>142</v>
      </c>
      <c r="CL251" s="7">
        <v>2</v>
      </c>
      <c r="CM251" s="7"/>
      <c r="CN251" s="7"/>
      <c r="CO251" s="7"/>
      <c r="CP251" s="7"/>
    </row>
    <row r="252" spans="1:99" x14ac:dyDescent="0.2">
      <c r="A252" s="7" t="s">
        <v>1059</v>
      </c>
      <c r="B252" s="7" t="s">
        <v>46</v>
      </c>
      <c r="C252" t="str">
        <f t="shared" si="66"/>
        <v>I</v>
      </c>
      <c r="D252" t="str">
        <f t="shared" si="67"/>
        <v>I</v>
      </c>
      <c r="E252" t="str">
        <f t="shared" si="68"/>
        <v>G</v>
      </c>
      <c r="F252" s="7">
        <v>109</v>
      </c>
      <c r="G252" s="7">
        <v>104</v>
      </c>
      <c r="H252" s="7">
        <v>24.459</v>
      </c>
      <c r="I252" s="7">
        <v>0.318</v>
      </c>
      <c r="J252" s="7">
        <v>0.34399999999999997</v>
      </c>
      <c r="K252" s="7" t="s">
        <v>868</v>
      </c>
      <c r="L252" t="str">
        <f t="shared" si="69"/>
        <v>M</v>
      </c>
      <c r="M252" s="7">
        <v>30</v>
      </c>
      <c r="N252" s="7">
        <v>2.2549999999999999</v>
      </c>
      <c r="O252" s="7">
        <v>1.2150000000000001</v>
      </c>
      <c r="P252" s="7" t="s">
        <v>1088</v>
      </c>
      <c r="Q252" t="str">
        <f t="shared" ref="Q252:Q315" si="82">IF(P252="MT","MT","F")</f>
        <v>F</v>
      </c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  <c r="AU252" s="7"/>
      <c r="AV252" s="7"/>
      <c r="AW252" s="7"/>
      <c r="AX252" s="7"/>
      <c r="AY252" s="7"/>
      <c r="AZ252" s="7"/>
      <c r="BA252" s="7"/>
      <c r="BB252" s="7"/>
      <c r="BC252" s="7"/>
      <c r="BD252" s="7"/>
      <c r="BE252" s="7"/>
      <c r="BF252" s="7"/>
      <c r="BG252" s="7"/>
      <c r="BH252" s="7"/>
      <c r="BI252" s="7"/>
      <c r="BJ252" s="7"/>
      <c r="BK252" s="7"/>
      <c r="BL252" s="7"/>
      <c r="BM252" s="7"/>
      <c r="BN252" s="7"/>
      <c r="BO252" s="7"/>
      <c r="BP252" s="7">
        <v>1</v>
      </c>
      <c r="BQ252" s="7">
        <v>0.92500000000000004</v>
      </c>
      <c r="BR252" s="7"/>
      <c r="BS252" s="7"/>
      <c r="BT252" s="7"/>
      <c r="BU252" s="7"/>
      <c r="BV252" s="7">
        <v>0.92500000000000004</v>
      </c>
      <c r="BW252" t="s">
        <v>1051</v>
      </c>
      <c r="BX252" t="str">
        <f t="shared" si="77"/>
        <v>18</v>
      </c>
      <c r="BY252" t="str">
        <f t="shared" si="78"/>
        <v>5</v>
      </c>
      <c r="BZ252" t="str">
        <f t="shared" si="79"/>
        <v>2021</v>
      </c>
      <c r="CA252" s="5">
        <f t="shared" si="70"/>
        <v>44334</v>
      </c>
      <c r="CB252">
        <v>138</v>
      </c>
      <c r="CC252" s="7">
        <v>10</v>
      </c>
      <c r="CE252">
        <f t="shared" si="71"/>
        <v>1.426498030271615</v>
      </c>
      <c r="CF252">
        <f t="shared" si="72"/>
        <v>1.3172610910898472</v>
      </c>
      <c r="CG252">
        <f t="shared" si="80"/>
        <v>1.3363028953229401E-2</v>
      </c>
      <c r="CH252">
        <f t="shared" si="81"/>
        <v>5.2271553949406302</v>
      </c>
      <c r="CI252">
        <f t="shared" si="73"/>
        <v>4.2520135737356384</v>
      </c>
      <c r="CJ252" s="1">
        <f t="shared" si="74"/>
        <v>8.0338525696062799</v>
      </c>
      <c r="CK252" s="7" t="s">
        <v>142</v>
      </c>
      <c r="CL252" s="7">
        <v>2</v>
      </c>
      <c r="CM252" s="7"/>
      <c r="CN252" s="7"/>
      <c r="CO252" s="7"/>
      <c r="CP252" s="7"/>
    </row>
    <row r="253" spans="1:99" ht="32" x14ac:dyDescent="0.2">
      <c r="A253" s="7" t="s">
        <v>1060</v>
      </c>
      <c r="B253" s="7" t="s">
        <v>46</v>
      </c>
      <c r="C253" t="str">
        <f t="shared" si="66"/>
        <v>I</v>
      </c>
      <c r="D253" t="str">
        <f t="shared" si="67"/>
        <v>I</v>
      </c>
      <c r="E253" t="str">
        <f t="shared" si="68"/>
        <v>G</v>
      </c>
      <c r="F253" s="7">
        <v>94</v>
      </c>
      <c r="G253" s="7">
        <v>88</v>
      </c>
      <c r="H253" s="7">
        <v>16.550999999999998</v>
      </c>
      <c r="I253" s="7">
        <v>0.437</v>
      </c>
      <c r="J253" s="7">
        <v>1.7170000000000001</v>
      </c>
      <c r="K253" s="7" t="s">
        <v>867</v>
      </c>
      <c r="L253" t="str">
        <f t="shared" si="69"/>
        <v>F</v>
      </c>
      <c r="M253" s="7">
        <v>30</v>
      </c>
      <c r="N253" s="7">
        <v>0.88500000000000001</v>
      </c>
      <c r="O253" s="7">
        <v>0.78</v>
      </c>
      <c r="P253" s="7" t="s">
        <v>1089</v>
      </c>
      <c r="Q253" t="str">
        <f t="shared" si="82"/>
        <v>F</v>
      </c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>
        <v>2</v>
      </c>
      <c r="AS253" s="7">
        <v>2.1000000000000001E-2</v>
      </c>
      <c r="AT253" s="7"/>
      <c r="AU253" s="7"/>
      <c r="AV253" s="7">
        <v>8</v>
      </c>
      <c r="AW253" s="7">
        <v>4.4999999999999998E-2</v>
      </c>
      <c r="AX253" s="7"/>
      <c r="AY253" s="7"/>
      <c r="AZ253" s="7"/>
      <c r="BA253" s="7"/>
      <c r="BB253" s="7"/>
      <c r="BC253" s="7"/>
      <c r="BD253" s="7"/>
      <c r="BE253" s="7"/>
      <c r="BF253" s="7"/>
      <c r="BG253" s="7"/>
      <c r="BH253" s="7"/>
      <c r="BI253" s="7"/>
      <c r="BJ253" s="7"/>
      <c r="BK253" s="7"/>
      <c r="BL253" s="7"/>
      <c r="BM253" s="7"/>
      <c r="BN253" s="7"/>
      <c r="BO253" s="7"/>
      <c r="BP253" s="7"/>
      <c r="BQ253" s="7"/>
      <c r="BR253" s="7"/>
      <c r="BS253" s="7"/>
      <c r="BT253" s="7"/>
      <c r="BU253" s="7"/>
      <c r="BV253" s="7">
        <v>6.6000000000000003E-2</v>
      </c>
      <c r="BW253" t="s">
        <v>1051</v>
      </c>
      <c r="BX253" t="str">
        <f t="shared" si="77"/>
        <v>18</v>
      </c>
      <c r="BY253" t="str">
        <f t="shared" si="78"/>
        <v>5</v>
      </c>
      <c r="BZ253" t="str">
        <f t="shared" si="79"/>
        <v>2021</v>
      </c>
      <c r="CA253" s="5">
        <f t="shared" si="70"/>
        <v>44334</v>
      </c>
      <c r="CB253">
        <v>138</v>
      </c>
      <c r="CC253" s="7">
        <v>10</v>
      </c>
      <c r="CE253">
        <f t="shared" si="71"/>
        <v>11.57476068491304</v>
      </c>
      <c r="CF253">
        <f t="shared" si="72"/>
        <v>2.7119275164453276</v>
      </c>
      <c r="CG253">
        <f t="shared" si="80"/>
        <v>3.0353545877613398E-2</v>
      </c>
      <c r="CH253">
        <f t="shared" si="81"/>
        <v>4.945786570287237</v>
      </c>
      <c r="CI253">
        <f t="shared" si="73"/>
        <v>0.63440275512053645</v>
      </c>
      <c r="CJ253" s="1">
        <f t="shared" si="74"/>
        <v>1.0331702011963024</v>
      </c>
      <c r="CK253" s="7" t="s">
        <v>142</v>
      </c>
      <c r="CL253" s="7">
        <v>1</v>
      </c>
      <c r="CM253" s="7"/>
      <c r="CN253" s="7"/>
      <c r="CO253" s="7"/>
      <c r="CP253" s="7"/>
    </row>
    <row r="254" spans="1:99" x14ac:dyDescent="0.2">
      <c r="A254" s="7" t="s">
        <v>1061</v>
      </c>
      <c r="B254" s="7" t="s">
        <v>46</v>
      </c>
      <c r="C254" t="str">
        <f t="shared" si="66"/>
        <v>I</v>
      </c>
      <c r="D254" t="str">
        <f t="shared" si="67"/>
        <v>I</v>
      </c>
      <c r="E254" t="str">
        <f t="shared" si="68"/>
        <v>G</v>
      </c>
      <c r="F254" s="7">
        <v>88</v>
      </c>
      <c r="G254" s="7">
        <v>83</v>
      </c>
      <c r="H254" s="7">
        <v>13.433999999999999</v>
      </c>
      <c r="I254" s="7">
        <v>0.33</v>
      </c>
      <c r="J254" s="7">
        <v>2.27</v>
      </c>
      <c r="K254" s="7" t="s">
        <v>867</v>
      </c>
      <c r="L254" t="str">
        <f t="shared" si="69"/>
        <v>F</v>
      </c>
      <c r="M254" s="7">
        <v>30</v>
      </c>
      <c r="N254" s="7">
        <v>0.52100000000000002</v>
      </c>
      <c r="O254" s="7">
        <v>0.496</v>
      </c>
      <c r="P254" s="7" t="s">
        <v>1090</v>
      </c>
      <c r="Q254" t="str">
        <f t="shared" si="82"/>
        <v>F</v>
      </c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  <c r="AU254" s="7"/>
      <c r="AV254" s="7">
        <v>5</v>
      </c>
      <c r="AW254" s="7">
        <v>8.0000000000000002E-3</v>
      </c>
      <c r="AX254" s="7"/>
      <c r="AY254" s="7"/>
      <c r="AZ254" s="7"/>
      <c r="BA254" s="7"/>
      <c r="BB254" s="7"/>
      <c r="BC254" s="7"/>
      <c r="BD254" s="7"/>
      <c r="BE254" s="7"/>
      <c r="BF254" s="7"/>
      <c r="BG254" s="7"/>
      <c r="BH254" s="7"/>
      <c r="BI254" s="7"/>
      <c r="BJ254" s="7"/>
      <c r="BK254" s="7"/>
      <c r="BL254" s="7"/>
      <c r="BM254" s="7"/>
      <c r="BN254" s="7"/>
      <c r="BO254" s="7"/>
      <c r="BP254" s="7"/>
      <c r="BQ254" s="7"/>
      <c r="BR254" s="7"/>
      <c r="BS254" s="7"/>
      <c r="BT254" s="7"/>
      <c r="BU254" s="7"/>
      <c r="BV254" s="7">
        <v>8.0000000000000002E-3</v>
      </c>
      <c r="BW254" t="s">
        <v>1051</v>
      </c>
      <c r="BX254" t="str">
        <f t="shared" si="77"/>
        <v>18</v>
      </c>
      <c r="BY254" t="str">
        <f t="shared" si="78"/>
        <v>5</v>
      </c>
      <c r="BZ254" t="str">
        <f t="shared" si="79"/>
        <v>2021</v>
      </c>
      <c r="CA254" s="5">
        <f t="shared" si="70"/>
        <v>44334</v>
      </c>
      <c r="CB254">
        <v>138</v>
      </c>
      <c r="CC254" s="7">
        <v>10</v>
      </c>
      <c r="CE254">
        <f t="shared" si="71"/>
        <v>20.333213901827303</v>
      </c>
      <c r="CF254">
        <f t="shared" si="72"/>
        <v>2.5183150183150187</v>
      </c>
      <c r="CG254">
        <f t="shared" si="80"/>
        <v>3.0459664020675653E-2</v>
      </c>
      <c r="CH254">
        <f t="shared" si="81"/>
        <v>3.8336682640284434</v>
      </c>
      <c r="CI254">
        <f t="shared" si="73"/>
        <v>0.18609498287926174</v>
      </c>
      <c r="CJ254" s="1">
        <f t="shared" si="74"/>
        <v>0.24564537740062545</v>
      </c>
      <c r="CK254" s="7" t="s">
        <v>142</v>
      </c>
      <c r="CL254" s="7">
        <v>1</v>
      </c>
      <c r="CM254" s="7">
        <v>0</v>
      </c>
      <c r="CN254" s="7">
        <v>0</v>
      </c>
      <c r="CO254" s="7">
        <v>2</v>
      </c>
      <c r="CP254" s="7">
        <v>0</v>
      </c>
      <c r="CQ254" s="12">
        <v>8.6E-3</v>
      </c>
      <c r="CR254">
        <f>CQ254/(H254-I254-J254-N254)*1000</f>
        <v>0.83389896247454676</v>
      </c>
      <c r="CS254">
        <v>5.819</v>
      </c>
      <c r="CT254">
        <v>89.93500586699632</v>
      </c>
      <c r="CU254">
        <v>161.26223364057614</v>
      </c>
    </row>
    <row r="255" spans="1:99" x14ac:dyDescent="0.2">
      <c r="A255" s="7" t="s">
        <v>1062</v>
      </c>
      <c r="B255" s="7" t="s">
        <v>46</v>
      </c>
      <c r="C255" t="str">
        <f t="shared" si="66"/>
        <v>I</v>
      </c>
      <c r="D255" t="str">
        <f t="shared" si="67"/>
        <v>S</v>
      </c>
      <c r="E255" t="str">
        <f t="shared" si="68"/>
        <v>G</v>
      </c>
      <c r="F255" s="7">
        <v>65</v>
      </c>
      <c r="G255" s="7">
        <v>62</v>
      </c>
      <c r="H255" s="7">
        <v>5.0910000000000002</v>
      </c>
      <c r="I255" s="7">
        <v>0.14099999999999999</v>
      </c>
      <c r="J255" s="7">
        <v>0.28199999999999997</v>
      </c>
      <c r="K255" s="7" t="s">
        <v>867</v>
      </c>
      <c r="L255" t="str">
        <f t="shared" si="69"/>
        <v>F</v>
      </c>
      <c r="M255" s="7">
        <v>30</v>
      </c>
      <c r="N255" s="7">
        <v>0.379</v>
      </c>
      <c r="O255" s="7">
        <v>0.27300000000000002</v>
      </c>
      <c r="P255" s="7" t="s">
        <v>1091</v>
      </c>
      <c r="Q255" t="str">
        <f t="shared" si="82"/>
        <v>F</v>
      </c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>
        <v>200</v>
      </c>
      <c r="AO255" s="7">
        <v>8.3000000000000004E-2</v>
      </c>
      <c r="AP255" s="7"/>
      <c r="AQ255" s="7"/>
      <c r="AR255" s="7"/>
      <c r="AS255" s="7"/>
      <c r="AT255" s="7"/>
      <c r="AU255" s="7"/>
      <c r="AV255" s="7"/>
      <c r="AW255" s="7"/>
      <c r="AX255" s="7"/>
      <c r="AY255" s="7"/>
      <c r="AZ255" s="7"/>
      <c r="BA255" s="7"/>
      <c r="BB255" s="7"/>
      <c r="BC255" s="7"/>
      <c r="BD255" s="7"/>
      <c r="BE255" s="7"/>
      <c r="BF255" s="7"/>
      <c r="BG255" s="7"/>
      <c r="BH255" s="7"/>
      <c r="BI255" s="7"/>
      <c r="BJ255" s="7"/>
      <c r="BK255" s="7"/>
      <c r="BL255" s="7"/>
      <c r="BM255" s="7"/>
      <c r="BN255" s="7"/>
      <c r="BO255" s="7"/>
      <c r="BP255" s="7"/>
      <c r="BQ255" s="7"/>
      <c r="BR255" s="7"/>
      <c r="BS255" s="7"/>
      <c r="BT255" s="7"/>
      <c r="BU255" s="7"/>
      <c r="BV255" s="7">
        <v>8.3000000000000004E-2</v>
      </c>
      <c r="BW255" t="s">
        <v>1051</v>
      </c>
      <c r="BX255" t="str">
        <f t="shared" si="77"/>
        <v>18</v>
      </c>
      <c r="BY255" t="str">
        <f t="shared" si="78"/>
        <v>5</v>
      </c>
      <c r="BZ255" t="str">
        <f t="shared" si="79"/>
        <v>2021</v>
      </c>
      <c r="CA255" s="5">
        <f t="shared" si="70"/>
        <v>44334</v>
      </c>
      <c r="CB255">
        <v>138</v>
      </c>
      <c r="CC255" s="7">
        <v>10</v>
      </c>
      <c r="CE255">
        <f t="shared" si="71"/>
        <v>5.8640049906425444</v>
      </c>
      <c r="CF255">
        <f t="shared" si="72"/>
        <v>2.8484848484848482</v>
      </c>
      <c r="CG255">
        <f t="shared" si="80"/>
        <v>3.0205655526992285E-2</v>
      </c>
      <c r="CH255">
        <f t="shared" si="81"/>
        <v>5.6662515566625151</v>
      </c>
      <c r="CI255">
        <f t="shared" si="73"/>
        <v>2.0821056766843444</v>
      </c>
      <c r="CJ255" s="1">
        <f t="shared" si="74"/>
        <v>3.7124337065409545</v>
      </c>
      <c r="CK255" s="7" t="s">
        <v>142</v>
      </c>
      <c r="CL255" s="7">
        <v>2</v>
      </c>
      <c r="CM255" s="7">
        <v>0</v>
      </c>
      <c r="CN255" s="7">
        <v>4</v>
      </c>
      <c r="CO255" s="7">
        <v>2</v>
      </c>
      <c r="CP255" s="7">
        <v>0</v>
      </c>
      <c r="CQ255" s="12">
        <v>1.6500000000000001E-2</v>
      </c>
      <c r="CR255">
        <f>CQ255/(H255-I255-J255-N255)*1000</f>
        <v>3.8470505945441831</v>
      </c>
      <c r="CS255">
        <v>7.125</v>
      </c>
      <c r="CT255">
        <v>89.56026856074817</v>
      </c>
      <c r="CU255">
        <v>143.51262084014627</v>
      </c>
    </row>
    <row r="256" spans="1:99" x14ac:dyDescent="0.2">
      <c r="A256" s="7" t="s">
        <v>1063</v>
      </c>
      <c r="B256" s="7" t="s">
        <v>46</v>
      </c>
      <c r="C256" t="str">
        <f t="shared" si="66"/>
        <v>I</v>
      </c>
      <c r="D256" t="str">
        <f t="shared" si="67"/>
        <v>IMM</v>
      </c>
      <c r="E256" t="str">
        <f t="shared" si="68"/>
        <v>G</v>
      </c>
      <c r="F256" s="7">
        <v>64</v>
      </c>
      <c r="G256" s="7">
        <v>61</v>
      </c>
      <c r="H256" s="7">
        <v>4.38</v>
      </c>
      <c r="I256" s="7">
        <v>5.2999999999999999E-2</v>
      </c>
      <c r="J256" s="7">
        <v>0.16200000000000001</v>
      </c>
      <c r="K256" s="7" t="s">
        <v>867</v>
      </c>
      <c r="L256" t="str">
        <f t="shared" si="69"/>
        <v>F</v>
      </c>
      <c r="M256" s="7">
        <v>30</v>
      </c>
      <c r="N256" s="7">
        <v>0.23300000000000001</v>
      </c>
      <c r="O256" s="7">
        <v>0.186</v>
      </c>
      <c r="P256" s="7" t="s">
        <v>1092</v>
      </c>
      <c r="Q256" t="str">
        <f t="shared" si="82"/>
        <v>F</v>
      </c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>
        <v>100</v>
      </c>
      <c r="AO256" s="7">
        <v>8.3000000000000004E-2</v>
      </c>
      <c r="AP256" s="7"/>
      <c r="AQ256" s="7"/>
      <c r="AR256" s="7"/>
      <c r="AS256" s="7"/>
      <c r="AT256" s="7"/>
      <c r="AU256" s="7"/>
      <c r="AV256" s="7"/>
      <c r="AW256" s="7"/>
      <c r="AX256" s="7"/>
      <c r="AY256" s="7"/>
      <c r="AZ256" s="7"/>
      <c r="BA256" s="7"/>
      <c r="BB256" s="7"/>
      <c r="BC256" s="7"/>
      <c r="BD256" s="7"/>
      <c r="BE256" s="7"/>
      <c r="BF256" s="7"/>
      <c r="BG256" s="7"/>
      <c r="BH256" s="7"/>
      <c r="BI256" s="7"/>
      <c r="BJ256" s="7"/>
      <c r="BK256" s="7"/>
      <c r="BL256" s="7"/>
      <c r="BM256" s="7"/>
      <c r="BN256" s="7"/>
      <c r="BO256" s="7"/>
      <c r="BP256" s="7"/>
      <c r="BQ256" s="7"/>
      <c r="BR256" s="7"/>
      <c r="BS256" s="7"/>
      <c r="BT256" s="7"/>
      <c r="BU256" s="7"/>
      <c r="BV256" s="7">
        <v>8.3000000000000004E-2</v>
      </c>
      <c r="BW256" t="s">
        <v>1051</v>
      </c>
      <c r="BX256" t="str">
        <f t="shared" si="77"/>
        <v>18</v>
      </c>
      <c r="BY256" t="str">
        <f t="shared" si="78"/>
        <v>5</v>
      </c>
      <c r="BZ256" t="str">
        <f t="shared" si="79"/>
        <v>2021</v>
      </c>
      <c r="CA256" s="5">
        <f t="shared" si="70"/>
        <v>44334</v>
      </c>
      <c r="CB256">
        <v>138</v>
      </c>
      <c r="CC256" s="7">
        <v>10</v>
      </c>
      <c r="CE256">
        <f t="shared" si="71"/>
        <v>3.8406827880512093</v>
      </c>
      <c r="CF256">
        <f t="shared" si="72"/>
        <v>1.2248671134735383</v>
      </c>
      <c r="CG256">
        <f t="shared" si="80"/>
        <v>1.2725090036014405E-2</v>
      </c>
      <c r="CH256">
        <f t="shared" si="81"/>
        <v>4.4349070100143066</v>
      </c>
      <c r="CI256">
        <f t="shared" si="73"/>
        <v>1.073059360730594</v>
      </c>
      <c r="CJ256" s="1">
        <f t="shared" si="74"/>
        <v>2.9680365296803655</v>
      </c>
      <c r="CK256" s="7" t="s">
        <v>142</v>
      </c>
      <c r="CL256" s="7">
        <v>1</v>
      </c>
      <c r="CM256" s="7">
        <v>0</v>
      </c>
      <c r="CN256" s="7">
        <v>1</v>
      </c>
      <c r="CO256" s="7">
        <v>0</v>
      </c>
      <c r="CP256" s="7">
        <v>0</v>
      </c>
      <c r="CQ256" s="12">
        <v>6.0000000000000001E-3</v>
      </c>
      <c r="CR256">
        <f>CQ256/(H256-I256-J256-N256)*1000</f>
        <v>1.5259409969481179</v>
      </c>
      <c r="CS256">
        <v>6.3579999999999997</v>
      </c>
    </row>
    <row r="257" spans="1:96" x14ac:dyDescent="0.2">
      <c r="A257" s="7" t="s">
        <v>1064</v>
      </c>
      <c r="B257" s="7" t="s">
        <v>46</v>
      </c>
      <c r="C257" t="str">
        <f t="shared" si="66"/>
        <v>I</v>
      </c>
      <c r="D257" t="str">
        <f t="shared" si="67"/>
        <v>S</v>
      </c>
      <c r="E257" t="str">
        <f t="shared" si="68"/>
        <v>G</v>
      </c>
      <c r="F257" s="7">
        <v>66</v>
      </c>
      <c r="G257" s="7">
        <v>62</v>
      </c>
      <c r="H257" s="7">
        <v>4.9080000000000004</v>
      </c>
      <c r="I257" s="7">
        <v>7.1999999999999995E-2</v>
      </c>
      <c r="J257" s="7">
        <v>0.25700000000000001</v>
      </c>
      <c r="K257" s="7" t="s">
        <v>868</v>
      </c>
      <c r="L257" t="str">
        <f t="shared" si="69"/>
        <v>M</v>
      </c>
      <c r="M257" s="7">
        <v>30</v>
      </c>
      <c r="N257" s="7">
        <v>0.23300000000000001</v>
      </c>
      <c r="O257" s="7">
        <v>0.19900000000000001</v>
      </c>
      <c r="P257" s="7" t="s">
        <v>1093</v>
      </c>
      <c r="Q257" t="str">
        <f t="shared" si="82"/>
        <v>F</v>
      </c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>
        <v>40</v>
      </c>
      <c r="AO257" s="7">
        <v>2.1999999999999999E-2</v>
      </c>
      <c r="AP257" s="7"/>
      <c r="AQ257" s="7"/>
      <c r="AR257" s="7"/>
      <c r="AS257" s="7"/>
      <c r="AT257" s="7"/>
      <c r="AU257" s="7"/>
      <c r="AV257" s="7"/>
      <c r="AW257" s="7"/>
      <c r="AX257" s="7"/>
      <c r="AY257" s="7"/>
      <c r="AZ257" s="7"/>
      <c r="BA257" s="7"/>
      <c r="BB257" s="7"/>
      <c r="BC257" s="7"/>
      <c r="BD257" s="7"/>
      <c r="BE257" s="7"/>
      <c r="BF257" s="7"/>
      <c r="BG257" s="7"/>
      <c r="BH257" s="7"/>
      <c r="BI257" s="7"/>
      <c r="BJ257" s="7"/>
      <c r="BK257" s="7"/>
      <c r="BL257" s="7"/>
      <c r="BM257" s="7"/>
      <c r="BN257" s="7"/>
      <c r="BO257" s="7"/>
      <c r="BP257" s="7"/>
      <c r="BQ257" s="7"/>
      <c r="BR257" s="7"/>
      <c r="BS257" s="7"/>
      <c r="BT257" s="7"/>
      <c r="BU257" s="7"/>
      <c r="BV257" s="7">
        <v>2.1999999999999999E-2</v>
      </c>
      <c r="BW257" t="s">
        <v>1051</v>
      </c>
      <c r="BX257" t="str">
        <f t="shared" si="77"/>
        <v>18</v>
      </c>
      <c r="BY257" t="str">
        <f t="shared" si="78"/>
        <v>5</v>
      </c>
      <c r="BZ257" t="str">
        <f t="shared" si="79"/>
        <v>2021</v>
      </c>
      <c r="CA257" s="5">
        <f t="shared" si="70"/>
        <v>44334</v>
      </c>
      <c r="CB257">
        <v>138</v>
      </c>
      <c r="CC257" s="7">
        <v>10</v>
      </c>
      <c r="CE257">
        <f t="shared" si="71"/>
        <v>5.5256933992689738</v>
      </c>
      <c r="CF257">
        <f t="shared" si="72"/>
        <v>1.4888337468982629</v>
      </c>
      <c r="CG257">
        <f t="shared" si="80"/>
        <v>1.5723957195894298E-2</v>
      </c>
      <c r="CH257">
        <f t="shared" si="81"/>
        <v>4.2259503079210026</v>
      </c>
      <c r="CI257">
        <f t="shared" si="73"/>
        <v>0.69274653626731864</v>
      </c>
      <c r="CJ257" s="1">
        <f t="shared" si="74"/>
        <v>1.1409942950285248</v>
      </c>
      <c r="CK257" s="7" t="s">
        <v>142</v>
      </c>
    </row>
    <row r="258" spans="1:96" x14ac:dyDescent="0.2">
      <c r="A258" s="7" t="s">
        <v>1155</v>
      </c>
      <c r="B258" s="7" t="s">
        <v>46</v>
      </c>
      <c r="C258" t="str">
        <f t="shared" ref="C258:C321" si="83">IF(F258&gt;=150,"B",IF(F258&lt;=60,"S","I"))</f>
        <v>I</v>
      </c>
      <c r="D258" t="str">
        <f t="shared" ref="D258:D321" si="84">IF(F258&gt;=110,"B",IF(F258&gt;=85,"I",IF(F258&gt;=65,"S","IMM")))</f>
        <v>B</v>
      </c>
      <c r="E258" t="str">
        <f t="shared" ref="E258:E321" si="85">IF(AND(F258&gt;=60,F258&lt;=110),"G","N")</f>
        <v>N</v>
      </c>
      <c r="F258" s="7">
        <v>126</v>
      </c>
      <c r="G258" s="7">
        <v>120</v>
      </c>
      <c r="H258" s="7">
        <v>40.908000000000001</v>
      </c>
      <c r="I258" s="7">
        <v>1.056</v>
      </c>
      <c r="J258" s="7">
        <v>2.2679999999999998</v>
      </c>
      <c r="K258" s="7" t="s">
        <v>867</v>
      </c>
      <c r="L258" t="str">
        <f t="shared" ref="L258:L321" si="86">LEFT(K258,1)</f>
        <v>F</v>
      </c>
      <c r="M258" s="7">
        <v>30</v>
      </c>
      <c r="N258" s="7">
        <v>2.653</v>
      </c>
      <c r="O258" s="7">
        <v>1.6919999999999999</v>
      </c>
      <c r="P258" s="7" t="s">
        <v>1182</v>
      </c>
      <c r="Q258" t="str">
        <f t="shared" si="82"/>
        <v>F</v>
      </c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7"/>
      <c r="AT258" s="7"/>
      <c r="AU258" s="7"/>
      <c r="AV258" s="7"/>
      <c r="AW258" s="7"/>
      <c r="AX258" s="7"/>
      <c r="AY258" s="7"/>
      <c r="AZ258" s="7"/>
      <c r="BA258" s="7"/>
      <c r="BB258" s="7"/>
      <c r="BC258" s="7"/>
      <c r="BD258" s="7"/>
      <c r="BE258" s="7"/>
      <c r="BF258" s="7"/>
      <c r="BG258" s="7"/>
      <c r="BH258" s="7"/>
      <c r="BI258" s="7"/>
      <c r="BJ258" s="7"/>
      <c r="BK258" s="7"/>
      <c r="BL258" s="7"/>
      <c r="BM258" s="7"/>
      <c r="BN258" s="7"/>
      <c r="BO258" s="7"/>
      <c r="BP258" s="7">
        <v>1</v>
      </c>
      <c r="BQ258" s="7">
        <v>0.81100000000000005</v>
      </c>
      <c r="BR258" s="7"/>
      <c r="BS258" s="7"/>
      <c r="BT258" s="7"/>
      <c r="BU258" s="7"/>
      <c r="BV258" s="7">
        <v>0.81100000000000005</v>
      </c>
      <c r="BW258" s="5">
        <v>44353</v>
      </c>
      <c r="BX258" s="7">
        <v>6</v>
      </c>
      <c r="BY258" s="7">
        <v>6</v>
      </c>
      <c r="BZ258" s="7">
        <v>2021</v>
      </c>
      <c r="CA258" s="5">
        <f t="shared" si="70"/>
        <v>44353</v>
      </c>
      <c r="CB258">
        <v>157</v>
      </c>
      <c r="CC258" s="7">
        <v>11</v>
      </c>
      <c r="CE258">
        <f t="shared" si="71"/>
        <v>5.8695652173913038</v>
      </c>
      <c r="CF258">
        <f t="shared" si="72"/>
        <v>2.6498042758205358</v>
      </c>
      <c r="CG258">
        <f t="shared" si="80"/>
        <v>2.8097062579821201E-2</v>
      </c>
      <c r="CH258">
        <f t="shared" si="81"/>
        <v>4.314565483476132</v>
      </c>
      <c r="CI258">
        <f t="shared" si="73"/>
        <v>2.3491737557445975</v>
      </c>
      <c r="CJ258" s="1">
        <f t="shared" si="74"/>
        <v>4.3316710667840033</v>
      </c>
      <c r="CK258" s="7" t="s">
        <v>142</v>
      </c>
      <c r="CL258" s="7">
        <v>3</v>
      </c>
      <c r="CM258" s="7"/>
      <c r="CN258" s="7"/>
      <c r="CO258" s="7"/>
      <c r="CP258" s="7"/>
    </row>
    <row r="259" spans="1:96" x14ac:dyDescent="0.2">
      <c r="A259" s="7" t="s">
        <v>1156</v>
      </c>
      <c r="B259" s="7" t="s">
        <v>46</v>
      </c>
      <c r="C259" t="str">
        <f t="shared" si="83"/>
        <v>I</v>
      </c>
      <c r="D259" t="str">
        <f t="shared" si="84"/>
        <v>B</v>
      </c>
      <c r="E259" t="str">
        <f t="shared" si="85"/>
        <v>N</v>
      </c>
      <c r="F259" s="7">
        <v>141</v>
      </c>
      <c r="G259" s="7">
        <v>133</v>
      </c>
      <c r="H259" s="7">
        <v>60.497</v>
      </c>
      <c r="I259" s="7">
        <v>0.97299999999999998</v>
      </c>
      <c r="J259" s="7">
        <v>0.72699999999999998</v>
      </c>
      <c r="K259" s="7" t="s">
        <v>868</v>
      </c>
      <c r="L259" t="str">
        <f t="shared" si="86"/>
        <v>M</v>
      </c>
      <c r="M259" s="7">
        <v>30</v>
      </c>
      <c r="N259" s="7">
        <v>2.6190000000000002</v>
      </c>
      <c r="O259" s="7">
        <v>2.5750000000000002</v>
      </c>
      <c r="P259" s="7" t="s">
        <v>36</v>
      </c>
      <c r="Q259" t="str">
        <f t="shared" si="82"/>
        <v>MT</v>
      </c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/>
      <c r="AT259" s="7"/>
      <c r="AU259" s="7"/>
      <c r="AV259" s="7"/>
      <c r="AW259" s="7"/>
      <c r="AX259" s="7"/>
      <c r="AY259" s="7"/>
      <c r="AZ259" s="7"/>
      <c r="BA259" s="7"/>
      <c r="BB259" s="7"/>
      <c r="BC259" s="7"/>
      <c r="BD259" s="7"/>
      <c r="BE259" s="7"/>
      <c r="BF259" s="7"/>
      <c r="BG259" s="7"/>
      <c r="BH259" s="7"/>
      <c r="BI259" s="7"/>
      <c r="BJ259" s="7"/>
      <c r="BK259" s="7"/>
      <c r="BL259" s="7"/>
      <c r="BM259" s="7"/>
      <c r="BN259" s="7"/>
      <c r="BO259" s="7"/>
      <c r="BP259" s="7"/>
      <c r="BQ259" s="7"/>
      <c r="BR259" s="7"/>
      <c r="BS259" s="7"/>
      <c r="BT259" s="7"/>
      <c r="BU259" s="7"/>
      <c r="BW259" s="5">
        <v>44353</v>
      </c>
      <c r="BX259" s="7">
        <v>6</v>
      </c>
      <c r="BY259" s="7">
        <v>6</v>
      </c>
      <c r="BZ259" s="7">
        <v>2021</v>
      </c>
      <c r="CA259" s="5">
        <f t="shared" ref="CA259:CA322" si="87">DATE(BZ259,BY259,BX259)</f>
        <v>44353</v>
      </c>
      <c r="CB259">
        <v>157</v>
      </c>
      <c r="CC259" s="7">
        <v>11</v>
      </c>
      <c r="CE259">
        <f t="shared" si="71"/>
        <v>1.2163292621716579</v>
      </c>
      <c r="CF259">
        <f t="shared" si="72"/>
        <v>1.6346347691687386</v>
      </c>
      <c r="CG259">
        <f t="shared" si="80"/>
        <v>1.6548463356973995E-2</v>
      </c>
      <c r="CH259">
        <f t="shared" si="81"/>
        <v>4.4456337833638342</v>
      </c>
      <c r="CI259">
        <f t="shared" si="73"/>
        <v>7.2730879217151323E-2</v>
      </c>
      <c r="CJ259" s="1">
        <f t="shared" si="74"/>
        <v>7.2730879217151323E-2</v>
      </c>
      <c r="CK259" s="7" t="s">
        <v>142</v>
      </c>
      <c r="CL259" s="7">
        <v>3</v>
      </c>
      <c r="CM259" s="7"/>
      <c r="CN259" s="7"/>
      <c r="CO259" s="7"/>
      <c r="CP259" s="7"/>
    </row>
    <row r="260" spans="1:96" x14ac:dyDescent="0.2">
      <c r="A260" s="7" t="s">
        <v>1157</v>
      </c>
      <c r="B260" s="7" t="s">
        <v>46</v>
      </c>
      <c r="C260" t="str">
        <f t="shared" si="83"/>
        <v>I</v>
      </c>
      <c r="D260" t="str">
        <f t="shared" si="84"/>
        <v>I</v>
      </c>
      <c r="E260" t="str">
        <f t="shared" si="85"/>
        <v>G</v>
      </c>
      <c r="F260" s="7">
        <v>101</v>
      </c>
      <c r="G260" s="7">
        <v>95</v>
      </c>
      <c r="H260" s="7">
        <v>18.495000000000001</v>
      </c>
      <c r="I260" s="7">
        <v>0.378</v>
      </c>
      <c r="J260" s="7">
        <v>2.2210000000000001</v>
      </c>
      <c r="K260" s="7" t="s">
        <v>867</v>
      </c>
      <c r="L260" t="str">
        <f t="shared" si="86"/>
        <v>F</v>
      </c>
      <c r="M260" s="7">
        <v>30</v>
      </c>
      <c r="N260" s="7">
        <v>0.79100000000000004</v>
      </c>
      <c r="O260" s="7">
        <v>0.63500000000000001</v>
      </c>
      <c r="P260" s="7" t="s">
        <v>1183</v>
      </c>
      <c r="Q260" t="str">
        <f t="shared" si="82"/>
        <v>F</v>
      </c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>
        <v>1</v>
      </c>
      <c r="AQ260" s="7">
        <v>8.4000000000000005E-2</v>
      </c>
      <c r="AR260" s="7"/>
      <c r="AS260" s="7"/>
      <c r="AT260" s="7"/>
      <c r="AU260" s="7"/>
      <c r="AV260" s="7"/>
      <c r="AW260" s="7"/>
      <c r="AX260" s="7"/>
      <c r="AY260" s="7"/>
      <c r="AZ260" s="7"/>
      <c r="BA260" s="7"/>
      <c r="BB260" s="7"/>
      <c r="BC260" s="7"/>
      <c r="BD260" s="7">
        <v>1</v>
      </c>
      <c r="BE260" s="7">
        <v>4.1000000000000002E-2</v>
      </c>
      <c r="BF260" s="7"/>
      <c r="BG260" s="7"/>
      <c r="BH260" s="7"/>
      <c r="BI260" s="7"/>
      <c r="BJ260" s="7"/>
      <c r="BK260" s="7"/>
      <c r="BL260" s="7"/>
      <c r="BM260" s="7"/>
      <c r="BN260" s="7"/>
      <c r="BO260" s="7"/>
      <c r="BP260" s="7"/>
      <c r="BQ260" s="7"/>
      <c r="BR260" s="7"/>
      <c r="BS260" s="7"/>
      <c r="BT260" s="7"/>
      <c r="BU260" s="7"/>
      <c r="BV260" s="7">
        <v>0.125</v>
      </c>
      <c r="BW260" s="5">
        <v>44353</v>
      </c>
      <c r="BX260" s="7">
        <v>6</v>
      </c>
      <c r="BY260" s="7">
        <v>6</v>
      </c>
      <c r="BZ260" s="7">
        <v>2021</v>
      </c>
      <c r="CA260" s="5">
        <f t="shared" si="87"/>
        <v>44353</v>
      </c>
      <c r="CB260">
        <v>157</v>
      </c>
      <c r="CC260" s="7">
        <v>11</v>
      </c>
      <c r="CE260">
        <f t="shared" si="71"/>
        <v>13.647535946909182</v>
      </c>
      <c r="CF260">
        <f t="shared" si="72"/>
        <v>2.0864381520119224</v>
      </c>
      <c r="CG260">
        <f t="shared" si="80"/>
        <v>2.3779567186713639E-2</v>
      </c>
      <c r="CH260">
        <f t="shared" si="81"/>
        <v>3.555431131019037</v>
      </c>
      <c r="CI260">
        <f t="shared" si="73"/>
        <v>0.84347120843471213</v>
      </c>
      <c r="CJ260" s="1">
        <f t="shared" si="74"/>
        <v>1.5193295485266289</v>
      </c>
      <c r="CK260" s="7" t="s">
        <v>142</v>
      </c>
      <c r="CL260" s="7">
        <v>2</v>
      </c>
      <c r="CM260" s="7"/>
      <c r="CN260" s="7"/>
      <c r="CO260" s="7"/>
      <c r="CP260" s="7"/>
      <c r="CQ260" s="12">
        <v>1.4500000000000001E-2</v>
      </c>
      <c r="CR260">
        <f>CQ260/(H260-I260-J260-N260)*1000</f>
        <v>0.95994703740483289</v>
      </c>
    </row>
    <row r="261" spans="1:96" x14ac:dyDescent="0.2">
      <c r="A261" s="7" t="s">
        <v>1158</v>
      </c>
      <c r="B261" s="7" t="s">
        <v>46</v>
      </c>
      <c r="C261" t="str">
        <f t="shared" si="83"/>
        <v>I</v>
      </c>
      <c r="D261" t="str">
        <f t="shared" si="84"/>
        <v>B</v>
      </c>
      <c r="E261" t="str">
        <f t="shared" si="85"/>
        <v>N</v>
      </c>
      <c r="F261" s="7">
        <v>125</v>
      </c>
      <c r="G261" s="7">
        <v>115</v>
      </c>
      <c r="H261" s="7">
        <v>40.476999999999997</v>
      </c>
      <c r="I261" s="7">
        <v>0.69899999999999995</v>
      </c>
      <c r="J261" s="7">
        <v>4.3360000000000003</v>
      </c>
      <c r="K261" s="7" t="s">
        <v>867</v>
      </c>
      <c r="L261" t="str">
        <f t="shared" si="86"/>
        <v>F</v>
      </c>
      <c r="M261" s="7">
        <v>30</v>
      </c>
      <c r="N261" s="7">
        <v>1.5209999999999999</v>
      </c>
      <c r="O261" s="7">
        <v>1.5009999999999999</v>
      </c>
      <c r="P261" s="7" t="s">
        <v>36</v>
      </c>
      <c r="Q261" t="str">
        <f t="shared" si="82"/>
        <v>MT</v>
      </c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7"/>
      <c r="AT261" s="7"/>
      <c r="AU261" s="7"/>
      <c r="AV261" s="7"/>
      <c r="AW261" s="7"/>
      <c r="AX261" s="7"/>
      <c r="AY261" s="7"/>
      <c r="AZ261" s="7"/>
      <c r="BA261" s="7"/>
      <c r="BB261" s="7"/>
      <c r="BC261" s="7"/>
      <c r="BD261" s="7"/>
      <c r="BE261" s="7"/>
      <c r="BF261" s="7"/>
      <c r="BG261" s="7"/>
      <c r="BH261" s="7"/>
      <c r="BI261" s="7"/>
      <c r="BJ261" s="7"/>
      <c r="BK261" s="7"/>
      <c r="BL261" s="7"/>
      <c r="BM261" s="7"/>
      <c r="BN261" s="7"/>
      <c r="BO261" s="7"/>
      <c r="BP261" s="7"/>
      <c r="BQ261" s="7"/>
      <c r="BR261" s="7"/>
      <c r="BS261" s="7"/>
      <c r="BT261" s="7"/>
      <c r="BU261" s="7"/>
      <c r="BW261" s="5">
        <v>44353</v>
      </c>
      <c r="BX261" s="7">
        <v>6</v>
      </c>
      <c r="BY261" s="7">
        <v>6</v>
      </c>
      <c r="BZ261" s="7">
        <v>2021</v>
      </c>
      <c r="CA261" s="5">
        <f t="shared" si="87"/>
        <v>44353</v>
      </c>
      <c r="CB261">
        <v>157</v>
      </c>
      <c r="CC261" s="7">
        <v>11</v>
      </c>
      <c r="CE261">
        <f t="shared" si="71"/>
        <v>11.997454414653719</v>
      </c>
      <c r="CF261">
        <f t="shared" si="72"/>
        <v>1.7572527527779176</v>
      </c>
      <c r="CG261">
        <f t="shared" si="80"/>
        <v>1.9722363297782292E-2</v>
      </c>
      <c r="CH261">
        <f t="shared" si="81"/>
        <v>3.8510878489326763</v>
      </c>
      <c r="CI261">
        <f t="shared" si="73"/>
        <v>4.9410776490352595E-2</v>
      </c>
      <c r="CJ261" s="1">
        <f t="shared" si="74"/>
        <v>4.9410776490352595E-2</v>
      </c>
      <c r="CK261" s="7" t="s">
        <v>142</v>
      </c>
      <c r="CL261" s="7">
        <v>3</v>
      </c>
      <c r="CM261" s="7"/>
      <c r="CN261" s="7"/>
      <c r="CO261" s="7"/>
      <c r="CP261" s="7"/>
    </row>
    <row r="262" spans="1:96" x14ac:dyDescent="0.2">
      <c r="A262" s="7" t="s">
        <v>1159</v>
      </c>
      <c r="B262" s="7" t="s">
        <v>46</v>
      </c>
      <c r="C262" t="str">
        <f t="shared" si="83"/>
        <v>I</v>
      </c>
      <c r="D262" t="str">
        <f t="shared" si="84"/>
        <v>S</v>
      </c>
      <c r="E262" t="str">
        <f t="shared" si="85"/>
        <v>G</v>
      </c>
      <c r="F262" s="7">
        <v>83</v>
      </c>
      <c r="G262" s="7">
        <v>78</v>
      </c>
      <c r="H262" s="7">
        <v>10.515000000000001</v>
      </c>
      <c r="I262" s="7">
        <v>0.16900000000000001</v>
      </c>
      <c r="J262" s="7">
        <v>0.57199999999999995</v>
      </c>
      <c r="K262" s="7" t="s">
        <v>867</v>
      </c>
      <c r="L262" t="str">
        <f t="shared" si="86"/>
        <v>F</v>
      </c>
      <c r="M262" s="7">
        <v>30</v>
      </c>
      <c r="N262" s="7">
        <v>0.314</v>
      </c>
      <c r="O262" s="7">
        <v>0.29899999999999999</v>
      </c>
      <c r="P262" s="7" t="s">
        <v>36</v>
      </c>
      <c r="Q262" t="str">
        <f t="shared" si="82"/>
        <v>MT</v>
      </c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  <c r="AT262" s="7"/>
      <c r="AU262" s="7"/>
      <c r="AV262" s="7"/>
      <c r="AW262" s="7"/>
      <c r="AX262" s="7"/>
      <c r="AY262" s="7"/>
      <c r="AZ262" s="7"/>
      <c r="BA262" s="7"/>
      <c r="BB262" s="7"/>
      <c r="BC262" s="7"/>
      <c r="BD262" s="7"/>
      <c r="BE262" s="7"/>
      <c r="BF262" s="7"/>
      <c r="BG262" s="7"/>
      <c r="BH262" s="7"/>
      <c r="BI262" s="7"/>
      <c r="BJ262" s="7"/>
      <c r="BK262" s="7"/>
      <c r="BL262" s="7"/>
      <c r="BM262" s="7"/>
      <c r="BN262" s="7"/>
      <c r="BO262" s="7"/>
      <c r="BP262" s="7"/>
      <c r="BQ262" s="7"/>
      <c r="BR262" s="7"/>
      <c r="BS262" s="7"/>
      <c r="BT262" s="7"/>
      <c r="BU262" s="7"/>
      <c r="BW262" s="5">
        <v>44353</v>
      </c>
      <c r="BX262" s="7">
        <v>6</v>
      </c>
      <c r="BY262" s="7">
        <v>6</v>
      </c>
      <c r="BZ262" s="7">
        <v>2021</v>
      </c>
      <c r="CA262" s="5">
        <f t="shared" si="87"/>
        <v>44353</v>
      </c>
      <c r="CB262">
        <v>157</v>
      </c>
      <c r="CC262" s="7">
        <v>11</v>
      </c>
      <c r="CE262">
        <f t="shared" si="71"/>
        <v>5.7527909081766051</v>
      </c>
      <c r="CF262">
        <f t="shared" si="72"/>
        <v>1.6334815387589408</v>
      </c>
      <c r="CG262">
        <f t="shared" si="80"/>
        <v>1.7290771434417842E-2</v>
      </c>
      <c r="CH262">
        <f t="shared" si="81"/>
        <v>2.926781519185591</v>
      </c>
      <c r="CI262">
        <f t="shared" si="73"/>
        <v>0.14265335235378043</v>
      </c>
      <c r="CJ262" s="1">
        <f t="shared" si="74"/>
        <v>0.14265335235378043</v>
      </c>
      <c r="CK262" s="7" t="s">
        <v>142</v>
      </c>
      <c r="CL262" s="7">
        <v>2</v>
      </c>
      <c r="CM262" s="7"/>
      <c r="CN262" s="7"/>
      <c r="CO262" s="7"/>
      <c r="CP262" s="7"/>
    </row>
    <row r="263" spans="1:96" ht="32" x14ac:dyDescent="0.2">
      <c r="A263" s="7" t="s">
        <v>1160</v>
      </c>
      <c r="B263" s="7" t="s">
        <v>46</v>
      </c>
      <c r="C263" t="str">
        <f t="shared" si="83"/>
        <v>I</v>
      </c>
      <c r="D263" t="str">
        <f t="shared" si="84"/>
        <v>S</v>
      </c>
      <c r="E263" t="str">
        <f t="shared" si="85"/>
        <v>G</v>
      </c>
      <c r="F263" s="7">
        <v>78</v>
      </c>
      <c r="G263" s="7">
        <v>74</v>
      </c>
      <c r="H263" s="7">
        <v>9.9920000000000009</v>
      </c>
      <c r="I263" s="7">
        <v>0.33100000000000002</v>
      </c>
      <c r="J263" s="7">
        <v>1.5029999999999999</v>
      </c>
      <c r="K263" s="7" t="s">
        <v>867</v>
      </c>
      <c r="L263" t="str">
        <f t="shared" si="86"/>
        <v>F</v>
      </c>
      <c r="M263" s="7">
        <v>30</v>
      </c>
      <c r="N263" s="7">
        <v>0.48099999999999998</v>
      </c>
      <c r="O263" s="7">
        <v>0.29299999999999998</v>
      </c>
      <c r="P263" s="7" t="s">
        <v>1184</v>
      </c>
      <c r="Q263" t="str">
        <f t="shared" si="82"/>
        <v>F</v>
      </c>
      <c r="R263" s="7"/>
      <c r="S263" s="7"/>
      <c r="T263" s="7">
        <v>6</v>
      </c>
      <c r="U263" s="7">
        <v>0.126</v>
      </c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7"/>
      <c r="AT263" s="7"/>
      <c r="AU263" s="7"/>
      <c r="AV263" s="7">
        <v>1</v>
      </c>
      <c r="AW263" s="7">
        <v>8.9999999999999993E-3</v>
      </c>
      <c r="AX263" s="7"/>
      <c r="AY263" s="7"/>
      <c r="AZ263" s="7"/>
      <c r="BA263" s="7"/>
      <c r="BB263" s="7"/>
      <c r="BC263" s="7"/>
      <c r="BD263" s="7"/>
      <c r="BE263" s="7"/>
      <c r="BF263" s="7"/>
      <c r="BG263" s="7"/>
      <c r="BH263" s="7"/>
      <c r="BI263" s="7"/>
      <c r="BJ263" s="7"/>
      <c r="BK263" s="7"/>
      <c r="BL263" s="7"/>
      <c r="BM263" s="7"/>
      <c r="BN263" s="7"/>
      <c r="BO263" s="7"/>
      <c r="BP263" s="7"/>
      <c r="BQ263" s="7"/>
      <c r="BR263" s="7"/>
      <c r="BS263" s="7"/>
      <c r="BT263" s="7"/>
      <c r="BU263" s="7"/>
      <c r="BV263" s="7">
        <v>0.13500000000000001</v>
      </c>
      <c r="BW263" s="5">
        <v>44353</v>
      </c>
      <c r="BX263" s="7">
        <v>6</v>
      </c>
      <c r="BY263" s="7">
        <v>6</v>
      </c>
      <c r="BZ263" s="7">
        <v>2021</v>
      </c>
      <c r="CA263" s="5">
        <f t="shared" si="87"/>
        <v>44353</v>
      </c>
      <c r="CB263">
        <v>157</v>
      </c>
      <c r="CC263" s="7">
        <v>11</v>
      </c>
      <c r="CE263">
        <f t="shared" si="71"/>
        <v>17.705265637884317</v>
      </c>
      <c r="CF263">
        <f t="shared" si="72"/>
        <v>3.4261463616602832</v>
      </c>
      <c r="CG263">
        <f t="shared" si="80"/>
        <v>4.0573670017161063E-2</v>
      </c>
      <c r="CH263">
        <f t="shared" si="81"/>
        <v>3.0209299927827606</v>
      </c>
      <c r="CI263">
        <f t="shared" si="73"/>
        <v>1.8815052041633307</v>
      </c>
      <c r="CJ263" s="1">
        <f t="shared" si="74"/>
        <v>3.2325860688550838</v>
      </c>
      <c r="CK263" s="7" t="s">
        <v>142</v>
      </c>
      <c r="CL263" s="7">
        <v>1</v>
      </c>
      <c r="CM263" s="7"/>
      <c r="CN263" s="7"/>
      <c r="CO263" s="7"/>
      <c r="CP263" s="7"/>
      <c r="CQ263" s="12">
        <v>2.3599999999999999E-2</v>
      </c>
      <c r="CR263">
        <f>CQ263/(H263-I263-J263-N263)*1000</f>
        <v>3.074117493812687</v>
      </c>
    </row>
    <row r="264" spans="1:96" x14ac:dyDescent="0.2">
      <c r="A264" s="7" t="s">
        <v>1161</v>
      </c>
      <c r="B264" s="7" t="s">
        <v>46</v>
      </c>
      <c r="C264" t="str">
        <f t="shared" si="83"/>
        <v>I</v>
      </c>
      <c r="D264" t="str">
        <f t="shared" si="84"/>
        <v>I</v>
      </c>
      <c r="E264" t="str">
        <f t="shared" si="85"/>
        <v>G</v>
      </c>
      <c r="F264" s="7">
        <v>104</v>
      </c>
      <c r="G264" s="7">
        <v>99</v>
      </c>
      <c r="H264" s="7">
        <v>19.363</v>
      </c>
      <c r="I264" s="7">
        <v>0.33600000000000002</v>
      </c>
      <c r="J264" s="7">
        <v>1.546</v>
      </c>
      <c r="K264" s="7" t="s">
        <v>867</v>
      </c>
      <c r="L264" t="str">
        <f t="shared" si="86"/>
        <v>F</v>
      </c>
      <c r="M264" s="7">
        <v>30</v>
      </c>
      <c r="N264" s="7">
        <v>0.754</v>
      </c>
      <c r="O264" s="7">
        <v>0.74</v>
      </c>
      <c r="P264" s="7" t="s">
        <v>36</v>
      </c>
      <c r="Q264" t="str">
        <f t="shared" si="82"/>
        <v>MT</v>
      </c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  <c r="AS264" s="7"/>
      <c r="AT264" s="7"/>
      <c r="AU264" s="7"/>
      <c r="AV264" s="7"/>
      <c r="AW264" s="7"/>
      <c r="AX264" s="7"/>
      <c r="AY264" s="7"/>
      <c r="AZ264" s="7"/>
      <c r="BA264" s="7"/>
      <c r="BB264" s="7"/>
      <c r="BC264" s="7"/>
      <c r="BD264" s="7"/>
      <c r="BE264" s="7"/>
      <c r="BF264" s="7"/>
      <c r="BG264" s="7"/>
      <c r="BH264" s="7"/>
      <c r="BI264" s="7"/>
      <c r="BJ264" s="7"/>
      <c r="BK264" s="7"/>
      <c r="BL264" s="7"/>
      <c r="BM264" s="7"/>
      <c r="BN264" s="7"/>
      <c r="BO264" s="7"/>
      <c r="BP264" s="7"/>
      <c r="BQ264" s="7"/>
      <c r="BR264" s="7"/>
      <c r="BS264" s="7"/>
      <c r="BT264" s="7"/>
      <c r="BU264" s="7"/>
      <c r="BW264" s="5">
        <v>44353</v>
      </c>
      <c r="BX264" s="7">
        <v>6</v>
      </c>
      <c r="BY264" s="7">
        <v>6</v>
      </c>
      <c r="BZ264" s="7">
        <v>2021</v>
      </c>
      <c r="CA264" s="5">
        <f t="shared" si="87"/>
        <v>44353</v>
      </c>
      <c r="CB264">
        <v>157</v>
      </c>
      <c r="CC264" s="7">
        <v>11</v>
      </c>
      <c r="CE264">
        <f t="shared" si="71"/>
        <v>8.6771061345905593</v>
      </c>
      <c r="CF264">
        <f t="shared" si="72"/>
        <v>1.7659115993062489</v>
      </c>
      <c r="CG264">
        <f t="shared" si="80"/>
        <v>1.9220868371374634E-2</v>
      </c>
      <c r="CH264">
        <f t="shared" si="81"/>
        <v>3.9735810556838316</v>
      </c>
      <c r="CI264">
        <f t="shared" si="73"/>
        <v>7.2302845633424637E-2</v>
      </c>
      <c r="CJ264" s="1">
        <f t="shared" si="74"/>
        <v>7.2302845633424637E-2</v>
      </c>
      <c r="CK264" s="7" t="s">
        <v>142</v>
      </c>
      <c r="CL264" s="7">
        <v>2</v>
      </c>
      <c r="CM264" s="7"/>
      <c r="CN264" s="7"/>
      <c r="CO264" s="7"/>
      <c r="CP264" s="7"/>
      <c r="CQ264" s="12">
        <v>8.9999999999999998E-4</v>
      </c>
      <c r="CR264">
        <f>CQ264/(H264-I264-J264-N264)*1000</f>
        <v>5.3805225085191602E-2</v>
      </c>
    </row>
    <row r="265" spans="1:96" x14ac:dyDescent="0.2">
      <c r="A265" s="7" t="s">
        <v>1162</v>
      </c>
      <c r="B265" s="7" t="s">
        <v>46</v>
      </c>
      <c r="C265" t="str">
        <f t="shared" si="83"/>
        <v>I</v>
      </c>
      <c r="D265" t="str">
        <f t="shared" si="84"/>
        <v>S</v>
      </c>
      <c r="E265" t="str">
        <f t="shared" si="85"/>
        <v>G</v>
      </c>
      <c r="F265" s="7">
        <v>76</v>
      </c>
      <c r="G265" s="7">
        <v>72</v>
      </c>
      <c r="H265" s="7">
        <v>7.6589999999999998</v>
      </c>
      <c r="I265" s="7">
        <v>9.2999999999999999E-2</v>
      </c>
      <c r="J265" s="7">
        <v>3.2000000000000001E-2</v>
      </c>
      <c r="K265" s="7" t="s">
        <v>868</v>
      </c>
      <c r="L265" t="str">
        <f t="shared" si="86"/>
        <v>M</v>
      </c>
      <c r="M265" s="7">
        <v>30</v>
      </c>
      <c r="N265" s="7">
        <v>0.38600000000000001</v>
      </c>
      <c r="O265" s="7">
        <v>0.255</v>
      </c>
      <c r="P265" s="7" t="s">
        <v>1185</v>
      </c>
      <c r="Q265" t="str">
        <f t="shared" si="82"/>
        <v>F</v>
      </c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  <c r="AS265" s="7"/>
      <c r="AT265" s="7"/>
      <c r="AU265" s="7"/>
      <c r="AV265" s="7">
        <v>10</v>
      </c>
      <c r="AW265" s="7">
        <v>0.10299999999999999</v>
      </c>
      <c r="AX265" s="7"/>
      <c r="AY265" s="7"/>
      <c r="AZ265" s="7"/>
      <c r="BA265" s="7"/>
      <c r="BB265" s="7"/>
      <c r="BC265" s="7"/>
      <c r="BD265" s="7"/>
      <c r="BE265" s="7"/>
      <c r="BF265" s="7"/>
      <c r="BG265" s="7"/>
      <c r="BH265" s="7"/>
      <c r="BI265" s="7"/>
      <c r="BJ265" s="7"/>
      <c r="BK265" s="7"/>
      <c r="BL265" s="7"/>
      <c r="BM265" s="7"/>
      <c r="BN265" s="7"/>
      <c r="BO265" s="7"/>
      <c r="BP265" s="7"/>
      <c r="BQ265" s="7"/>
      <c r="BR265" s="7"/>
      <c r="BS265" s="7"/>
      <c r="BT265" s="7"/>
      <c r="BU265" s="7"/>
      <c r="BV265" s="7">
        <v>0.10299999999999999</v>
      </c>
      <c r="BW265" s="5">
        <v>44353</v>
      </c>
      <c r="BX265" s="7">
        <v>6</v>
      </c>
      <c r="BY265" s="7">
        <v>6</v>
      </c>
      <c r="BZ265" s="7">
        <v>2021</v>
      </c>
      <c r="CA265" s="5">
        <f t="shared" si="87"/>
        <v>44353</v>
      </c>
      <c r="CB265">
        <v>157</v>
      </c>
      <c r="CC265" s="7">
        <v>11</v>
      </c>
      <c r="CE265">
        <f t="shared" si="71"/>
        <v>0.41956208207683238</v>
      </c>
      <c r="CF265">
        <f t="shared" si="72"/>
        <v>1.2291831879460746</v>
      </c>
      <c r="CG265">
        <f t="shared" si="80"/>
        <v>1.2344040350411468E-2</v>
      </c>
      <c r="CH265">
        <f t="shared" si="81"/>
        <v>3.4440842787682335</v>
      </c>
      <c r="CI265">
        <f t="shared" si="73"/>
        <v>1.7104060582321452</v>
      </c>
      <c r="CJ265" s="1">
        <f t="shared" si="74"/>
        <v>3.0552291421856639</v>
      </c>
      <c r="CK265" s="7" t="s">
        <v>142</v>
      </c>
      <c r="CL265" s="7">
        <v>2</v>
      </c>
      <c r="CM265" s="7"/>
      <c r="CN265" s="7"/>
      <c r="CO265" s="7"/>
      <c r="CP265" s="7"/>
    </row>
    <row r="266" spans="1:96" x14ac:dyDescent="0.2">
      <c r="A266" s="7" t="s">
        <v>1163</v>
      </c>
      <c r="B266" s="7" t="s">
        <v>46</v>
      </c>
      <c r="C266" t="str">
        <f t="shared" si="83"/>
        <v>I</v>
      </c>
      <c r="D266" t="str">
        <f t="shared" si="84"/>
        <v>IMM</v>
      </c>
      <c r="E266" t="str">
        <f t="shared" si="85"/>
        <v>G</v>
      </c>
      <c r="F266" s="7">
        <v>62</v>
      </c>
      <c r="G266" s="7">
        <v>59</v>
      </c>
      <c r="H266" s="7">
        <v>4.3860000000000001</v>
      </c>
      <c r="I266" s="7">
        <v>7.0999999999999994E-2</v>
      </c>
      <c r="J266" s="7">
        <v>0.159</v>
      </c>
      <c r="K266" s="7" t="s">
        <v>868</v>
      </c>
      <c r="L266" t="str">
        <f t="shared" si="86"/>
        <v>M</v>
      </c>
      <c r="M266" s="7">
        <v>30</v>
      </c>
      <c r="N266" s="7">
        <v>0.182</v>
      </c>
      <c r="O266" s="7">
        <v>0.13700000000000001</v>
      </c>
      <c r="P266" s="7" t="s">
        <v>821</v>
      </c>
      <c r="Q266" t="str">
        <f t="shared" si="82"/>
        <v>F</v>
      </c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  <c r="AS266" s="7"/>
      <c r="AT266" s="7"/>
      <c r="AU266" s="7"/>
      <c r="AV266" s="7">
        <v>8</v>
      </c>
      <c r="AW266" s="7">
        <v>3.4000000000000002E-2</v>
      </c>
      <c r="AX266" s="7"/>
      <c r="AY266" s="7"/>
      <c r="AZ266" s="7"/>
      <c r="BA266" s="7"/>
      <c r="BB266" s="7"/>
      <c r="BC266" s="7"/>
      <c r="BD266" s="7"/>
      <c r="BE266" s="7"/>
      <c r="BF266" s="7"/>
      <c r="BG266" s="7"/>
      <c r="BH266" s="7"/>
      <c r="BI266" s="7"/>
      <c r="BJ266" s="7"/>
      <c r="BK266" s="7"/>
      <c r="BL266" s="7"/>
      <c r="BM266" s="7"/>
      <c r="BN266" s="7"/>
      <c r="BO266" s="7"/>
      <c r="BP266" s="7"/>
      <c r="BQ266" s="7"/>
      <c r="BR266" s="7"/>
      <c r="BS266" s="7"/>
      <c r="BT266" s="7"/>
      <c r="BU266" s="7"/>
      <c r="BV266" s="7">
        <v>3.4000000000000002E-2</v>
      </c>
      <c r="BW266" s="5">
        <v>44353</v>
      </c>
      <c r="BX266" s="7">
        <v>6</v>
      </c>
      <c r="BY266" s="7">
        <v>6</v>
      </c>
      <c r="BZ266" s="7">
        <v>2021</v>
      </c>
      <c r="CA266" s="5">
        <f t="shared" si="87"/>
        <v>44353</v>
      </c>
      <c r="CB266">
        <v>157</v>
      </c>
      <c r="CC266" s="7">
        <v>11</v>
      </c>
      <c r="CE266">
        <f t="shared" ref="CE266:CE329" si="88">J266/(H266-J266)*100</f>
        <v>3.7615330021291693</v>
      </c>
      <c r="CF266">
        <f t="shared" ref="CF266:CF329" si="89">I266/(H266-I266)*100</f>
        <v>1.6454229432213208</v>
      </c>
      <c r="CG266">
        <f t="shared" si="80"/>
        <v>1.7083734359961498E-2</v>
      </c>
      <c r="CH266">
        <f t="shared" si="81"/>
        <v>3.224288067780654</v>
      </c>
      <c r="CI266">
        <f t="shared" ref="CI266:CI329" si="90">(N266-O266)/H266*100</f>
        <v>1.0259917920656632</v>
      </c>
      <c r="CJ266" s="1">
        <f t="shared" ref="CJ266:CJ319" si="91">(N266-O266+(BV266))/(H266)*100</f>
        <v>1.8011855905152756</v>
      </c>
      <c r="CK266" s="7" t="s">
        <v>142</v>
      </c>
      <c r="CL266" s="7">
        <v>1</v>
      </c>
      <c r="CM266" s="7"/>
      <c r="CN266" s="7"/>
      <c r="CO266" s="7"/>
      <c r="CP266" s="7"/>
    </row>
    <row r="267" spans="1:96" x14ac:dyDescent="0.2">
      <c r="A267" s="7" t="s">
        <v>1164</v>
      </c>
      <c r="B267" s="7" t="s">
        <v>46</v>
      </c>
      <c r="C267" t="str">
        <f t="shared" si="83"/>
        <v>I</v>
      </c>
      <c r="D267" t="str">
        <f t="shared" si="84"/>
        <v>S</v>
      </c>
      <c r="E267" t="str">
        <f t="shared" si="85"/>
        <v>G</v>
      </c>
      <c r="F267" s="7">
        <v>66</v>
      </c>
      <c r="G267" s="7">
        <v>62</v>
      </c>
      <c r="H267" s="7">
        <v>5.3479999999999999</v>
      </c>
      <c r="I267" s="7">
        <v>0.112</v>
      </c>
      <c r="J267" s="7">
        <v>0.71399999999999997</v>
      </c>
      <c r="K267" s="7" t="s">
        <v>867</v>
      </c>
      <c r="L267" t="str">
        <f t="shared" si="86"/>
        <v>F</v>
      </c>
      <c r="M267" s="7">
        <v>30</v>
      </c>
      <c r="N267" s="7">
        <v>0.23100000000000001</v>
      </c>
      <c r="O267" s="7">
        <v>0.19900000000000001</v>
      </c>
      <c r="P267" s="7" t="s">
        <v>1186</v>
      </c>
      <c r="Q267" t="str">
        <f t="shared" si="82"/>
        <v>F</v>
      </c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>
        <v>30</v>
      </c>
      <c r="AO267" s="7">
        <v>1.9E-2</v>
      </c>
      <c r="AP267" s="7"/>
      <c r="AQ267" s="7"/>
      <c r="AR267" s="7"/>
      <c r="AS267" s="7"/>
      <c r="AT267" s="7"/>
      <c r="AU267" s="7"/>
      <c r="AV267" s="7"/>
      <c r="AW267" s="7"/>
      <c r="AX267" s="7"/>
      <c r="AY267" s="7"/>
      <c r="AZ267" s="7"/>
      <c r="BA267" s="7"/>
      <c r="BB267" s="7"/>
      <c r="BC267" s="7"/>
      <c r="BD267" s="7"/>
      <c r="BE267" s="7"/>
      <c r="BF267" s="7"/>
      <c r="BG267" s="7"/>
      <c r="BH267" s="7"/>
      <c r="BI267" s="7"/>
      <c r="BJ267" s="7"/>
      <c r="BK267" s="7"/>
      <c r="BL267" s="7"/>
      <c r="BM267" s="7"/>
      <c r="BN267" s="7"/>
      <c r="BO267" s="7"/>
      <c r="BP267" s="7"/>
      <c r="BQ267" s="7"/>
      <c r="BR267" s="7"/>
      <c r="BS267" s="7"/>
      <c r="BT267" s="7"/>
      <c r="BU267" s="7"/>
      <c r="BV267" s="7">
        <v>1.9E-2</v>
      </c>
      <c r="BW267" s="5">
        <v>44353</v>
      </c>
      <c r="BX267" s="7">
        <v>6</v>
      </c>
      <c r="BY267" s="7">
        <v>6</v>
      </c>
      <c r="BZ267" s="7">
        <v>2021</v>
      </c>
      <c r="CA267" s="5">
        <f t="shared" si="87"/>
        <v>44353</v>
      </c>
      <c r="CB267">
        <v>157</v>
      </c>
      <c r="CC267" s="7">
        <v>11</v>
      </c>
      <c r="CE267">
        <f t="shared" si="88"/>
        <v>15.407854984894259</v>
      </c>
      <c r="CF267">
        <f t="shared" si="89"/>
        <v>2.1390374331550803</v>
      </c>
      <c r="CG267">
        <f t="shared" si="80"/>
        <v>2.4767801857585137E-2</v>
      </c>
      <c r="CH267">
        <f t="shared" si="81"/>
        <v>3.8648281219654299</v>
      </c>
      <c r="CI267">
        <f t="shared" si="90"/>
        <v>0.59835452505609577</v>
      </c>
      <c r="CJ267" s="1">
        <f t="shared" si="91"/>
        <v>0.95362752430815279</v>
      </c>
      <c r="CK267" s="7" t="s">
        <v>142</v>
      </c>
      <c r="CL267" s="7">
        <v>1</v>
      </c>
      <c r="CM267" s="7"/>
      <c r="CN267" s="7"/>
      <c r="CO267" s="7"/>
      <c r="CP267" s="7"/>
    </row>
    <row r="268" spans="1:96" x14ac:dyDescent="0.2">
      <c r="A268" s="7" t="s">
        <v>1165</v>
      </c>
      <c r="B268" s="7" t="s">
        <v>46</v>
      </c>
      <c r="C268" t="str">
        <f t="shared" si="83"/>
        <v>S</v>
      </c>
      <c r="D268" t="str">
        <f t="shared" si="84"/>
        <v>IMM</v>
      </c>
      <c r="E268" t="str">
        <f t="shared" si="85"/>
        <v>N</v>
      </c>
      <c r="F268" s="7">
        <v>58</v>
      </c>
      <c r="G268" s="7">
        <v>55</v>
      </c>
      <c r="H268" s="7">
        <v>3.2930000000000001</v>
      </c>
      <c r="I268" s="7">
        <v>5.2999999999999999E-2</v>
      </c>
      <c r="J268" s="7">
        <v>0.14599999999999999</v>
      </c>
      <c r="K268" s="7" t="s">
        <v>868</v>
      </c>
      <c r="L268" t="str">
        <f t="shared" si="86"/>
        <v>M</v>
      </c>
      <c r="M268" s="7">
        <v>30</v>
      </c>
      <c r="N268" s="7">
        <v>0.153</v>
      </c>
      <c r="O268" s="7">
        <v>0.114</v>
      </c>
      <c r="P268" s="7" t="s">
        <v>1187</v>
      </c>
      <c r="Q268" t="str">
        <f t="shared" si="82"/>
        <v>F</v>
      </c>
      <c r="R268" s="7"/>
      <c r="S268" s="7"/>
      <c r="T268" s="7">
        <v>2</v>
      </c>
      <c r="U268" s="7">
        <v>1.7999999999999999E-2</v>
      </c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  <c r="AS268" s="7"/>
      <c r="AT268" s="7"/>
      <c r="AU268" s="7"/>
      <c r="AV268" s="7"/>
      <c r="AW268" s="7"/>
      <c r="AX268" s="7"/>
      <c r="AY268" s="7"/>
      <c r="AZ268" s="7"/>
      <c r="BA268" s="7"/>
      <c r="BB268" s="7"/>
      <c r="BC268" s="7"/>
      <c r="BD268" s="7"/>
      <c r="BE268" s="7"/>
      <c r="BF268" s="7"/>
      <c r="BG268" s="7"/>
      <c r="BH268" s="7"/>
      <c r="BI268" s="7"/>
      <c r="BJ268" s="7"/>
      <c r="BK268" s="7"/>
      <c r="BL268" s="7"/>
      <c r="BM268" s="7"/>
      <c r="BN268" s="7"/>
      <c r="BO268" s="7"/>
      <c r="BP268" s="7"/>
      <c r="BQ268" s="7"/>
      <c r="BR268" s="7"/>
      <c r="BS268" s="7"/>
      <c r="BT268" s="7"/>
      <c r="BU268" s="7"/>
      <c r="BV268" s="7">
        <v>1.7999999999999999E-2</v>
      </c>
      <c r="BW268" s="5">
        <v>44353</v>
      </c>
      <c r="BX268" s="7">
        <v>6</v>
      </c>
      <c r="BY268" s="7">
        <v>6</v>
      </c>
      <c r="BZ268" s="7">
        <v>2021</v>
      </c>
      <c r="CA268" s="5">
        <f t="shared" si="87"/>
        <v>44353</v>
      </c>
      <c r="CB268">
        <v>157</v>
      </c>
      <c r="CC268" s="7">
        <v>11</v>
      </c>
      <c r="CE268">
        <f t="shared" si="88"/>
        <v>4.6393390530664114</v>
      </c>
      <c r="CF268">
        <f t="shared" si="89"/>
        <v>1.6358024691358022</v>
      </c>
      <c r="CG268">
        <f t="shared" si="80"/>
        <v>1.7129928894634775E-2</v>
      </c>
      <c r="CH268">
        <f t="shared" si="81"/>
        <v>3.5860333438188103</v>
      </c>
      <c r="CI268">
        <f t="shared" si="90"/>
        <v>1.1843303978135438</v>
      </c>
      <c r="CJ268" s="1">
        <f t="shared" si="91"/>
        <v>1.730944427573641</v>
      </c>
      <c r="CK268" s="7" t="s">
        <v>142</v>
      </c>
      <c r="CL268" s="7">
        <v>1</v>
      </c>
      <c r="CM268" s="7"/>
      <c r="CN268" s="7"/>
      <c r="CO268" s="7"/>
      <c r="CP268" s="7"/>
    </row>
    <row r="269" spans="1:96" x14ac:dyDescent="0.2">
      <c r="A269" s="7" t="s">
        <v>1166</v>
      </c>
      <c r="B269" s="7" t="s">
        <v>46</v>
      </c>
      <c r="C269" t="str">
        <f t="shared" si="83"/>
        <v>I</v>
      </c>
      <c r="D269" t="str">
        <f t="shared" si="84"/>
        <v>I</v>
      </c>
      <c r="E269" t="str">
        <f t="shared" si="85"/>
        <v>G</v>
      </c>
      <c r="F269" s="7">
        <v>93</v>
      </c>
      <c r="G269" s="7">
        <v>89</v>
      </c>
      <c r="H269" s="7">
        <v>15.035</v>
      </c>
      <c r="I269" s="7">
        <v>0.11899999999999999</v>
      </c>
      <c r="J269" s="7">
        <v>0.11799999999999999</v>
      </c>
      <c r="K269" s="7" t="s">
        <v>868</v>
      </c>
      <c r="L269" t="str">
        <f t="shared" si="86"/>
        <v>M</v>
      </c>
      <c r="M269" s="7">
        <v>30</v>
      </c>
      <c r="N269" s="7">
        <v>0.59799999999999998</v>
      </c>
      <c r="O269" s="7">
        <v>0.42299999999999999</v>
      </c>
      <c r="P269" s="7" t="s">
        <v>1188</v>
      </c>
      <c r="Q269" t="str">
        <f t="shared" si="82"/>
        <v>F</v>
      </c>
      <c r="R269" s="7"/>
      <c r="S269" s="7"/>
      <c r="T269" s="7">
        <v>3</v>
      </c>
      <c r="U269" s="7">
        <v>0.114</v>
      </c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  <c r="AS269" s="7"/>
      <c r="AT269" s="7"/>
      <c r="AU269" s="7"/>
      <c r="AV269" s="7"/>
      <c r="AW269" s="7"/>
      <c r="AX269" s="7"/>
      <c r="AY269" s="7"/>
      <c r="AZ269" s="7"/>
      <c r="BA269" s="7"/>
      <c r="BB269" s="7"/>
      <c r="BC269" s="7"/>
      <c r="BD269" s="7"/>
      <c r="BE269" s="7"/>
      <c r="BF269" s="7"/>
      <c r="BG269" s="7"/>
      <c r="BH269" s="7"/>
      <c r="BI269" s="7"/>
      <c r="BJ269" s="7"/>
      <c r="BK269" s="7"/>
      <c r="BL269" s="7"/>
      <c r="BM269" s="7"/>
      <c r="BN269" s="7"/>
      <c r="BO269" s="7"/>
      <c r="BP269" s="7"/>
      <c r="BQ269" s="7"/>
      <c r="BR269" s="7"/>
      <c r="BS269" s="7"/>
      <c r="BT269" s="7"/>
      <c r="BU269" s="7"/>
      <c r="BV269" s="7">
        <v>0.114</v>
      </c>
      <c r="BW269" s="5">
        <v>44353</v>
      </c>
      <c r="BX269" s="7">
        <v>6</v>
      </c>
      <c r="BY269" s="7">
        <v>6</v>
      </c>
      <c r="BZ269" s="7">
        <v>2021</v>
      </c>
      <c r="CA269" s="5">
        <f t="shared" si="87"/>
        <v>44353</v>
      </c>
      <c r="CB269">
        <v>157</v>
      </c>
      <c r="CC269" s="7">
        <v>11</v>
      </c>
      <c r="CE269">
        <f t="shared" si="88"/>
        <v>0.79104377555808802</v>
      </c>
      <c r="CF269">
        <f t="shared" si="89"/>
        <v>0.79780101903995704</v>
      </c>
      <c r="CG269">
        <f t="shared" si="80"/>
        <v>8.0416272469252606E-3</v>
      </c>
      <c r="CH269">
        <f t="shared" si="81"/>
        <v>2.8948809197919516</v>
      </c>
      <c r="CI269">
        <f t="shared" si="90"/>
        <v>1.1639507815098105</v>
      </c>
      <c r="CJ269" s="1">
        <f t="shared" si="91"/>
        <v>1.9221815763219154</v>
      </c>
      <c r="CK269" s="7" t="s">
        <v>142</v>
      </c>
      <c r="CL269" s="7">
        <v>1</v>
      </c>
      <c r="CM269" s="7"/>
      <c r="CN269" s="7"/>
      <c r="CO269" s="7"/>
      <c r="CP269" s="7"/>
    </row>
    <row r="270" spans="1:96" x14ac:dyDescent="0.2">
      <c r="A270" s="7" t="s">
        <v>1167</v>
      </c>
      <c r="B270" s="7" t="s">
        <v>46</v>
      </c>
      <c r="C270" t="str">
        <f t="shared" si="83"/>
        <v>I</v>
      </c>
      <c r="D270" t="str">
        <f t="shared" si="84"/>
        <v>I</v>
      </c>
      <c r="E270" t="str">
        <f t="shared" si="85"/>
        <v>G</v>
      </c>
      <c r="F270" s="7">
        <v>98</v>
      </c>
      <c r="G270" s="7">
        <v>94</v>
      </c>
      <c r="H270" s="7">
        <v>17.760999999999999</v>
      </c>
      <c r="I270" s="7">
        <v>0.31</v>
      </c>
      <c r="J270" s="7">
        <v>0.121</v>
      </c>
      <c r="K270" s="7" t="s">
        <v>868</v>
      </c>
      <c r="L270" t="str">
        <f t="shared" si="86"/>
        <v>M</v>
      </c>
      <c r="M270" s="7">
        <v>30</v>
      </c>
      <c r="N270" s="7">
        <v>0.86799999999999999</v>
      </c>
      <c r="O270" s="7">
        <v>0.76</v>
      </c>
      <c r="P270" s="7" t="s">
        <v>1194</v>
      </c>
      <c r="Q270" t="str">
        <f t="shared" si="82"/>
        <v>F</v>
      </c>
      <c r="R270" s="7"/>
      <c r="S270" s="7"/>
      <c r="T270" s="7">
        <v>1</v>
      </c>
      <c r="U270" s="7">
        <v>7.0000000000000007E-2</v>
      </c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  <c r="AS270" s="7"/>
      <c r="AT270" s="7"/>
      <c r="AU270" s="7"/>
      <c r="AV270" s="7"/>
      <c r="AW270" s="7"/>
      <c r="AX270" s="7"/>
      <c r="AY270" s="7"/>
      <c r="AZ270" s="7"/>
      <c r="BA270" s="7"/>
      <c r="BB270" s="7"/>
      <c r="BC270" s="7"/>
      <c r="BD270" s="7"/>
      <c r="BE270" s="7"/>
      <c r="BF270" s="7"/>
      <c r="BG270" s="7"/>
      <c r="BH270" s="7"/>
      <c r="BI270" s="7"/>
      <c r="BJ270" s="7"/>
      <c r="BK270" s="7"/>
      <c r="BL270" s="7"/>
      <c r="BM270" s="7"/>
      <c r="BN270" s="7"/>
      <c r="BO270" s="7"/>
      <c r="BP270" s="7"/>
      <c r="BQ270" s="7"/>
      <c r="BR270" s="7"/>
      <c r="BS270" s="7"/>
      <c r="BT270" s="7"/>
      <c r="BU270" s="7"/>
      <c r="BV270" s="7">
        <v>7.0000000000000007E-2</v>
      </c>
      <c r="BW270" s="5">
        <v>44353</v>
      </c>
      <c r="BX270" s="7">
        <v>6</v>
      </c>
      <c r="BY270" s="7">
        <v>6</v>
      </c>
      <c r="BZ270" s="7">
        <v>2021</v>
      </c>
      <c r="CA270" s="5">
        <f t="shared" si="87"/>
        <v>44353</v>
      </c>
      <c r="CB270">
        <v>157</v>
      </c>
      <c r="CC270" s="7">
        <v>11</v>
      </c>
      <c r="CE270">
        <f t="shared" si="88"/>
        <v>0.68594104308390014</v>
      </c>
      <c r="CF270">
        <f t="shared" si="89"/>
        <v>1.7764024984241591</v>
      </c>
      <c r="CG270">
        <f t="shared" si="80"/>
        <v>1.7888055395268318E-2</v>
      </c>
      <c r="CH270">
        <f t="shared" si="81"/>
        <v>4.4703252749838249</v>
      </c>
      <c r="CI270">
        <f t="shared" si="90"/>
        <v>0.60807386971454302</v>
      </c>
      <c r="CJ270" s="1">
        <f t="shared" si="91"/>
        <v>1.0021958223073024</v>
      </c>
      <c r="CK270" s="7" t="s">
        <v>142</v>
      </c>
      <c r="CL270" s="7">
        <v>1</v>
      </c>
      <c r="CM270" s="7"/>
      <c r="CN270" s="7"/>
      <c r="CO270" s="7"/>
      <c r="CP270" s="7"/>
    </row>
    <row r="271" spans="1:96" x14ac:dyDescent="0.2">
      <c r="A271" s="7" t="s">
        <v>1168</v>
      </c>
      <c r="B271" s="7" t="s">
        <v>46</v>
      </c>
      <c r="C271" t="str">
        <f t="shared" si="83"/>
        <v>I</v>
      </c>
      <c r="D271" t="str">
        <f t="shared" si="84"/>
        <v>S</v>
      </c>
      <c r="E271" t="str">
        <f t="shared" si="85"/>
        <v>G</v>
      </c>
      <c r="F271" s="7">
        <v>66</v>
      </c>
      <c r="G271" s="7">
        <v>62</v>
      </c>
      <c r="H271" s="7">
        <v>5.101</v>
      </c>
      <c r="I271" s="7">
        <v>8.4000000000000005E-2</v>
      </c>
      <c r="J271" s="7">
        <v>0.13900000000000001</v>
      </c>
      <c r="K271" s="7" t="s">
        <v>867</v>
      </c>
      <c r="L271" t="str">
        <f t="shared" si="86"/>
        <v>F</v>
      </c>
      <c r="M271" s="7">
        <v>30</v>
      </c>
      <c r="N271" s="7">
        <v>0.23</v>
      </c>
      <c r="O271" s="7">
        <v>0.20399999999999999</v>
      </c>
      <c r="P271" s="7" t="s">
        <v>524</v>
      </c>
      <c r="Q271" t="str">
        <f t="shared" si="82"/>
        <v>F</v>
      </c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  <c r="AS271" s="7"/>
      <c r="AT271" s="7"/>
      <c r="AU271" s="7"/>
      <c r="AV271" s="7">
        <v>2</v>
      </c>
      <c r="AW271" s="7">
        <v>8.0000000000000002E-3</v>
      </c>
      <c r="AX271" s="7"/>
      <c r="AY271" s="7"/>
      <c r="AZ271" s="7"/>
      <c r="BA271" s="7"/>
      <c r="BB271" s="7"/>
      <c r="BC271" s="7"/>
      <c r="BD271" s="7"/>
      <c r="BE271" s="7"/>
      <c r="BF271" s="7"/>
      <c r="BG271" s="7"/>
      <c r="BH271" s="7"/>
      <c r="BI271" s="7"/>
      <c r="BJ271" s="7"/>
      <c r="BK271" s="7"/>
      <c r="BL271" s="7"/>
      <c r="BM271" s="7"/>
      <c r="BN271" s="7"/>
      <c r="BO271" s="7"/>
      <c r="BP271" s="7"/>
      <c r="BQ271" s="7"/>
      <c r="BR271" s="7"/>
      <c r="BS271" s="7"/>
      <c r="BT271" s="7"/>
      <c r="BU271" s="7"/>
      <c r="BV271" s="7">
        <v>8.0000000000000002E-3</v>
      </c>
      <c r="BW271" s="5">
        <v>44353</v>
      </c>
      <c r="BX271" s="7">
        <v>6</v>
      </c>
      <c r="BY271" s="7">
        <v>6</v>
      </c>
      <c r="BZ271" s="7">
        <v>2021</v>
      </c>
      <c r="CA271" s="5">
        <f t="shared" si="87"/>
        <v>44353</v>
      </c>
      <c r="CB271">
        <v>157</v>
      </c>
      <c r="CC271" s="7">
        <v>11</v>
      </c>
      <c r="CE271">
        <f t="shared" si="88"/>
        <v>2.8012898024989927</v>
      </c>
      <c r="CF271">
        <f t="shared" si="89"/>
        <v>1.6743073549930236</v>
      </c>
      <c r="CG271">
        <f t="shared" si="80"/>
        <v>1.7220172201722016E-2</v>
      </c>
      <c r="CH271">
        <f t="shared" si="81"/>
        <v>4.1658158055952619</v>
      </c>
      <c r="CI271">
        <f t="shared" si="90"/>
        <v>0.50970397961184133</v>
      </c>
      <c r="CJ271" s="1">
        <f t="shared" si="91"/>
        <v>0.66653597333856152</v>
      </c>
      <c r="CK271" s="7" t="s">
        <v>142</v>
      </c>
      <c r="CL271" s="7">
        <v>1</v>
      </c>
      <c r="CM271" s="7"/>
      <c r="CN271" s="7"/>
      <c r="CO271" s="7"/>
      <c r="CP271" s="7"/>
      <c r="CQ271" s="12">
        <v>1.26E-2</v>
      </c>
      <c r="CR271">
        <f>CQ271/(H271-I271-J271-N271)*1000</f>
        <v>2.7108433734939763</v>
      </c>
    </row>
    <row r="272" spans="1:96" x14ac:dyDescent="0.2">
      <c r="A272" s="7" t="s">
        <v>1169</v>
      </c>
      <c r="B272" s="7" t="s">
        <v>46</v>
      </c>
      <c r="C272" t="str">
        <f t="shared" si="83"/>
        <v>I</v>
      </c>
      <c r="D272" t="str">
        <f t="shared" si="84"/>
        <v>I</v>
      </c>
      <c r="E272" t="str">
        <f t="shared" si="85"/>
        <v>G</v>
      </c>
      <c r="F272" s="7">
        <v>86</v>
      </c>
      <c r="G272" s="7">
        <v>83</v>
      </c>
      <c r="H272" s="7">
        <v>11.301</v>
      </c>
      <c r="I272" s="7">
        <v>0.19500000000000001</v>
      </c>
      <c r="J272" s="7">
        <v>0.80800000000000005</v>
      </c>
      <c r="K272" s="7" t="s">
        <v>867</v>
      </c>
      <c r="L272" t="str">
        <f t="shared" si="86"/>
        <v>F</v>
      </c>
      <c r="M272" s="7">
        <v>30</v>
      </c>
      <c r="N272" s="7">
        <v>0.40699999999999997</v>
      </c>
      <c r="O272" s="7">
        <v>0.36</v>
      </c>
      <c r="P272" s="7" t="s">
        <v>36</v>
      </c>
      <c r="Q272" t="str">
        <f t="shared" si="82"/>
        <v>MT</v>
      </c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  <c r="AS272" s="7"/>
      <c r="AT272" s="7"/>
      <c r="AU272" s="7"/>
      <c r="AV272" s="7"/>
      <c r="AW272" s="7"/>
      <c r="AX272" s="7"/>
      <c r="AY272" s="7"/>
      <c r="AZ272" s="7"/>
      <c r="BA272" s="7"/>
      <c r="BB272" s="7"/>
      <c r="BC272" s="7"/>
      <c r="BD272" s="7"/>
      <c r="BE272" s="7"/>
      <c r="BF272" s="7"/>
      <c r="BG272" s="7"/>
      <c r="BH272" s="7"/>
      <c r="BI272" s="7"/>
      <c r="BJ272" s="7"/>
      <c r="BK272" s="7"/>
      <c r="BL272" s="7"/>
      <c r="BM272" s="7"/>
      <c r="BN272" s="7"/>
      <c r="BO272" s="7"/>
      <c r="BP272" s="7"/>
      <c r="BQ272" s="7"/>
      <c r="BR272" s="7"/>
      <c r="BS272" s="7"/>
      <c r="BT272" s="7"/>
      <c r="BU272" s="7"/>
      <c r="BW272" s="5">
        <v>44353</v>
      </c>
      <c r="BX272" s="7">
        <v>6</v>
      </c>
      <c r="BY272" s="7">
        <v>6</v>
      </c>
      <c r="BZ272" s="7">
        <v>2021</v>
      </c>
      <c r="CA272" s="5">
        <f t="shared" si="87"/>
        <v>44353</v>
      </c>
      <c r="CB272">
        <v>157</v>
      </c>
      <c r="CC272" s="7">
        <v>11</v>
      </c>
      <c r="CE272">
        <f t="shared" si="88"/>
        <v>7.7003716763556662</v>
      </c>
      <c r="CF272">
        <f t="shared" si="89"/>
        <v>1.7558076715289035</v>
      </c>
      <c r="CG272">
        <f t="shared" si="80"/>
        <v>1.8935715672946205E-2</v>
      </c>
      <c r="CH272">
        <f t="shared" si="81"/>
        <v>3.2903756512201809</v>
      </c>
      <c r="CI272">
        <f t="shared" si="90"/>
        <v>0.41589239890275181</v>
      </c>
      <c r="CJ272" s="1">
        <f t="shared" si="91"/>
        <v>0.41589239890275181</v>
      </c>
      <c r="CK272" s="7" t="s">
        <v>142</v>
      </c>
      <c r="CL272" s="7">
        <v>2</v>
      </c>
      <c r="CM272" s="7"/>
      <c r="CN272" s="7"/>
      <c r="CO272" s="7"/>
      <c r="CP272" s="7"/>
    </row>
    <row r="273" spans="1:99" x14ac:dyDescent="0.2">
      <c r="A273" s="7" t="s">
        <v>1170</v>
      </c>
      <c r="B273" s="7" t="s">
        <v>46</v>
      </c>
      <c r="C273" t="str">
        <f t="shared" si="83"/>
        <v>I</v>
      </c>
      <c r="D273" t="str">
        <f t="shared" si="84"/>
        <v>S</v>
      </c>
      <c r="E273" t="str">
        <f t="shared" si="85"/>
        <v>G</v>
      </c>
      <c r="F273" s="7">
        <v>70</v>
      </c>
      <c r="G273" s="7">
        <v>66</v>
      </c>
      <c r="H273" s="7">
        <v>6.3460000000000001</v>
      </c>
      <c r="I273" s="7">
        <v>0.13400000000000001</v>
      </c>
      <c r="J273" s="7">
        <v>0.79100000000000004</v>
      </c>
      <c r="K273" s="7" t="s">
        <v>867</v>
      </c>
      <c r="L273" t="str">
        <f t="shared" si="86"/>
        <v>F</v>
      </c>
      <c r="M273" s="7">
        <v>30</v>
      </c>
      <c r="N273" s="7">
        <v>0.2</v>
      </c>
      <c r="O273" s="7">
        <v>0.184</v>
      </c>
      <c r="P273" s="7" t="s">
        <v>1189</v>
      </c>
      <c r="Q273" t="str">
        <f t="shared" si="82"/>
        <v>F</v>
      </c>
      <c r="R273" s="7"/>
      <c r="S273" s="7"/>
      <c r="T273" s="7">
        <v>1</v>
      </c>
      <c r="U273" s="7">
        <v>3.0000000000000001E-3</v>
      </c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  <c r="AS273" s="7"/>
      <c r="AT273" s="7"/>
      <c r="AU273" s="7"/>
      <c r="AV273" s="7"/>
      <c r="AW273" s="7"/>
      <c r="AX273" s="7"/>
      <c r="AY273" s="7"/>
      <c r="AZ273" s="7"/>
      <c r="BA273" s="7"/>
      <c r="BB273" s="7"/>
      <c r="BC273" s="7"/>
      <c r="BD273" s="7"/>
      <c r="BE273" s="7"/>
      <c r="BF273" s="7"/>
      <c r="BG273" s="7"/>
      <c r="BH273" s="7"/>
      <c r="BI273" s="7"/>
      <c r="BJ273" s="7"/>
      <c r="BK273" s="7"/>
      <c r="BL273" s="7"/>
      <c r="BM273" s="7"/>
      <c r="BN273" s="7"/>
      <c r="BO273" s="7"/>
      <c r="BP273" s="7"/>
      <c r="BQ273" s="7"/>
      <c r="BR273" s="7"/>
      <c r="BS273" s="7"/>
      <c r="BT273" s="7"/>
      <c r="BU273" s="7"/>
      <c r="BV273" s="7">
        <v>3.0000000000000001E-3</v>
      </c>
      <c r="BW273" s="5">
        <v>44353</v>
      </c>
      <c r="BX273" s="7">
        <v>6</v>
      </c>
      <c r="BY273" s="7">
        <v>6</v>
      </c>
      <c r="BZ273" s="7">
        <v>2021</v>
      </c>
      <c r="CA273" s="5">
        <f t="shared" si="87"/>
        <v>44353</v>
      </c>
      <c r="CB273">
        <v>157</v>
      </c>
      <c r="CC273" s="7">
        <v>11</v>
      </c>
      <c r="CE273">
        <f t="shared" si="88"/>
        <v>14.239423942394241</v>
      </c>
      <c r="CF273">
        <f t="shared" si="89"/>
        <v>2.1571152607855764</v>
      </c>
      <c r="CG273">
        <f t="shared" si="80"/>
        <v>2.471868658919019E-2</v>
      </c>
      <c r="CH273">
        <f t="shared" si="81"/>
        <v>2.9860434923726062</v>
      </c>
      <c r="CI273">
        <f t="shared" si="90"/>
        <v>0.2521273242987711</v>
      </c>
      <c r="CJ273" s="1">
        <f t="shared" si="91"/>
        <v>0.29940119760479061</v>
      </c>
      <c r="CK273" s="7" t="s">
        <v>142</v>
      </c>
      <c r="CL273" s="7">
        <v>1</v>
      </c>
      <c r="CM273" s="7"/>
      <c r="CN273" s="7"/>
      <c r="CO273" s="7"/>
      <c r="CP273" s="7"/>
      <c r="CQ273" s="12">
        <v>2.5000000000000001E-3</v>
      </c>
      <c r="CR273">
        <f>CQ273/(H273-I273-J273-N273)*1000</f>
        <v>0.47883547213177563</v>
      </c>
    </row>
    <row r="274" spans="1:99" x14ac:dyDescent="0.2">
      <c r="A274" s="7" t="s">
        <v>1218</v>
      </c>
      <c r="B274" s="7" t="s">
        <v>46</v>
      </c>
      <c r="C274" t="str">
        <f t="shared" si="83"/>
        <v>I</v>
      </c>
      <c r="D274" t="str">
        <f t="shared" si="84"/>
        <v>B</v>
      </c>
      <c r="E274" t="str">
        <f t="shared" si="85"/>
        <v>N</v>
      </c>
      <c r="F274" s="7">
        <v>129</v>
      </c>
      <c r="G274" s="7">
        <v>120</v>
      </c>
      <c r="H274" s="7">
        <v>42.198</v>
      </c>
      <c r="I274" s="7">
        <v>0.72199999999999998</v>
      </c>
      <c r="J274" s="7">
        <v>1.92</v>
      </c>
      <c r="K274" s="7" t="s">
        <v>867</v>
      </c>
      <c r="L274" t="str">
        <f t="shared" si="86"/>
        <v>F</v>
      </c>
      <c r="M274" s="7">
        <v>30</v>
      </c>
      <c r="N274" s="7">
        <v>1.9470000000000001</v>
      </c>
      <c r="O274" s="7">
        <v>1.871</v>
      </c>
      <c r="P274" s="7" t="s">
        <v>36</v>
      </c>
      <c r="Q274" t="str">
        <f t="shared" si="82"/>
        <v>MT</v>
      </c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  <c r="AS274" s="7"/>
      <c r="AT274" s="7"/>
      <c r="AU274" s="7"/>
      <c r="AV274" s="7"/>
      <c r="AW274" s="7"/>
      <c r="AX274" s="7"/>
      <c r="AY274" s="7"/>
      <c r="AZ274" s="7"/>
      <c r="BA274" s="7"/>
      <c r="BB274" s="7"/>
      <c r="BC274" s="7"/>
      <c r="BD274" s="7"/>
      <c r="BE274" s="7"/>
      <c r="BF274" s="7"/>
      <c r="BG274" s="7"/>
      <c r="BH274" s="7"/>
      <c r="BI274" s="7"/>
      <c r="BJ274" s="7"/>
      <c r="BK274" s="7"/>
      <c r="BL274" s="7"/>
      <c r="BM274" s="7"/>
      <c r="BN274" s="7"/>
      <c r="BO274" s="7"/>
      <c r="BP274" s="7"/>
      <c r="BQ274" s="7"/>
      <c r="BR274" s="7"/>
      <c r="BS274" s="7"/>
      <c r="BT274" s="7"/>
      <c r="BU274" s="7"/>
      <c r="BW274" t="s">
        <v>1255</v>
      </c>
      <c r="BX274" t="str">
        <f t="shared" ref="BX274:BX293" si="92">LEFT(BW274,2)</f>
        <v>22</v>
      </c>
      <c r="BY274" t="str">
        <f t="shared" ref="BY274:BY293" si="93">MID(BW274,4,1)</f>
        <v>6</v>
      </c>
      <c r="BZ274" t="str">
        <f t="shared" ref="BZ274:BZ293" si="94">RIGHT(BW274,4)</f>
        <v>2021</v>
      </c>
      <c r="CA274" s="5">
        <f t="shared" si="87"/>
        <v>44369</v>
      </c>
      <c r="CB274">
        <v>173</v>
      </c>
      <c r="CC274" s="7">
        <v>12</v>
      </c>
      <c r="CD274" t="s">
        <v>1236</v>
      </c>
      <c r="CE274">
        <f t="shared" si="88"/>
        <v>4.7668702517503352</v>
      </c>
      <c r="CF274">
        <f t="shared" si="89"/>
        <v>1.7407657440447488</v>
      </c>
      <c r="CG274">
        <f t="shared" ref="CG274:CG305" si="95">I274/(H274-I274-J274)</f>
        <v>1.825260390332693E-2</v>
      </c>
      <c r="CH274">
        <f t="shared" ref="CH274:CH305" si="96">O274/(H274-O274)*100</f>
        <v>4.6395715029632756</v>
      </c>
      <c r="CI274">
        <f t="shared" si="90"/>
        <v>0.18010332243234292</v>
      </c>
      <c r="CJ274" s="1">
        <f t="shared" si="91"/>
        <v>0.18010332243234292</v>
      </c>
      <c r="CK274" s="7" t="s">
        <v>142</v>
      </c>
      <c r="CL274" s="7">
        <v>2</v>
      </c>
      <c r="CM274" s="7"/>
      <c r="CN274" s="7"/>
      <c r="CO274" s="7"/>
      <c r="CP274" s="7"/>
    </row>
    <row r="275" spans="1:99" x14ac:dyDescent="0.2">
      <c r="A275" s="7" t="s">
        <v>1219</v>
      </c>
      <c r="B275" s="7" t="s">
        <v>46</v>
      </c>
      <c r="C275" t="str">
        <f t="shared" si="83"/>
        <v>I</v>
      </c>
      <c r="D275" t="str">
        <f t="shared" si="84"/>
        <v>B</v>
      </c>
      <c r="E275" t="str">
        <f t="shared" si="85"/>
        <v>N</v>
      </c>
      <c r="F275" s="7">
        <v>140</v>
      </c>
      <c r="G275" s="7">
        <v>133</v>
      </c>
      <c r="H275" s="7">
        <v>54.679000000000002</v>
      </c>
      <c r="I275" s="7">
        <v>0.93200000000000005</v>
      </c>
      <c r="J275" s="7">
        <v>2.544</v>
      </c>
      <c r="K275" s="7" t="s">
        <v>867</v>
      </c>
      <c r="L275" t="str">
        <f t="shared" si="86"/>
        <v>F</v>
      </c>
      <c r="M275" s="7">
        <v>30</v>
      </c>
      <c r="N275" s="7">
        <v>2.399</v>
      </c>
      <c r="O275" s="7">
        <v>2.0950000000000002</v>
      </c>
      <c r="P275" s="7" t="s">
        <v>1229</v>
      </c>
      <c r="Q275" t="str">
        <f t="shared" si="82"/>
        <v>F</v>
      </c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  <c r="AS275" s="7"/>
      <c r="AT275" s="7"/>
      <c r="AU275" s="7"/>
      <c r="AV275" s="7"/>
      <c r="AW275" s="7"/>
      <c r="AX275" s="7"/>
      <c r="AY275" s="7"/>
      <c r="AZ275" s="7"/>
      <c r="BA275" s="7"/>
      <c r="BB275" s="7"/>
      <c r="BC275" s="7"/>
      <c r="BD275" s="7"/>
      <c r="BE275" s="7"/>
      <c r="BF275" s="7"/>
      <c r="BG275" s="7"/>
      <c r="BH275" s="7"/>
      <c r="BI275" s="7"/>
      <c r="BJ275" s="7"/>
      <c r="BK275" s="7"/>
      <c r="BL275" s="7"/>
      <c r="BM275" s="7"/>
      <c r="BN275" s="7"/>
      <c r="BO275" s="7"/>
      <c r="BP275" s="7"/>
      <c r="BQ275" s="7"/>
      <c r="BR275" s="7"/>
      <c r="BS275" s="7"/>
      <c r="BT275" s="7">
        <v>1</v>
      </c>
      <c r="BU275" s="7">
        <v>0.13200000000000001</v>
      </c>
      <c r="BV275" s="7">
        <v>0.13200000000000001</v>
      </c>
      <c r="BW275" t="s">
        <v>1255</v>
      </c>
      <c r="BX275" t="str">
        <f t="shared" si="92"/>
        <v>22</v>
      </c>
      <c r="BY275" t="str">
        <f t="shared" si="93"/>
        <v>6</v>
      </c>
      <c r="BZ275" t="str">
        <f t="shared" si="94"/>
        <v>2021</v>
      </c>
      <c r="CA275" s="5">
        <f t="shared" si="87"/>
        <v>44369</v>
      </c>
      <c r="CB275">
        <v>173</v>
      </c>
      <c r="CC275" s="7">
        <v>12</v>
      </c>
      <c r="CD275" t="s">
        <v>1236</v>
      </c>
      <c r="CE275">
        <f t="shared" si="88"/>
        <v>4.8796393977174644</v>
      </c>
      <c r="CF275">
        <f t="shared" si="89"/>
        <v>1.7340502725733529</v>
      </c>
      <c r="CG275">
        <f t="shared" si="95"/>
        <v>1.8202058473136339E-2</v>
      </c>
      <c r="CH275">
        <f t="shared" si="96"/>
        <v>3.9841016278715959</v>
      </c>
      <c r="CI275">
        <f t="shared" si="90"/>
        <v>0.55597212823936026</v>
      </c>
      <c r="CJ275" s="1">
        <f t="shared" si="91"/>
        <v>0.7973810786590827</v>
      </c>
      <c r="CK275" s="7" t="s">
        <v>142</v>
      </c>
      <c r="CL275" s="7">
        <v>3</v>
      </c>
      <c r="CM275" s="7"/>
      <c r="CN275" s="7"/>
      <c r="CO275" s="7"/>
      <c r="CP275" s="7"/>
    </row>
    <row r="276" spans="1:99" x14ac:dyDescent="0.2">
      <c r="A276" s="7" t="s">
        <v>1220</v>
      </c>
      <c r="B276" s="7" t="s">
        <v>46</v>
      </c>
      <c r="C276" t="str">
        <f t="shared" si="83"/>
        <v>I</v>
      </c>
      <c r="D276" t="str">
        <f t="shared" si="84"/>
        <v>B</v>
      </c>
      <c r="E276" t="str">
        <f t="shared" si="85"/>
        <v>N</v>
      </c>
      <c r="F276" s="7">
        <v>119</v>
      </c>
      <c r="G276" s="7">
        <v>113</v>
      </c>
      <c r="H276" s="7">
        <v>32.362000000000002</v>
      </c>
      <c r="I276" s="7">
        <v>0.4</v>
      </c>
      <c r="J276" s="7">
        <v>0.41299999999999998</v>
      </c>
      <c r="K276" s="7" t="s">
        <v>868</v>
      </c>
      <c r="L276" t="str">
        <f t="shared" si="86"/>
        <v>M</v>
      </c>
      <c r="M276" s="7">
        <v>30</v>
      </c>
      <c r="N276" s="7">
        <v>1.155</v>
      </c>
      <c r="O276" s="7">
        <v>1.0880000000000001</v>
      </c>
      <c r="P276" s="7" t="s">
        <v>36</v>
      </c>
      <c r="Q276" t="str">
        <f t="shared" si="82"/>
        <v>MT</v>
      </c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  <c r="AS276" s="7"/>
      <c r="AT276" s="7"/>
      <c r="AU276" s="7"/>
      <c r="AV276" s="7"/>
      <c r="AW276" s="7"/>
      <c r="AX276" s="7"/>
      <c r="AY276" s="7"/>
      <c r="AZ276" s="7"/>
      <c r="BA276" s="7"/>
      <c r="BB276" s="7"/>
      <c r="BC276" s="7"/>
      <c r="BD276" s="7"/>
      <c r="BE276" s="7"/>
      <c r="BF276" s="7"/>
      <c r="BG276" s="7"/>
      <c r="BH276" s="7"/>
      <c r="BI276" s="7"/>
      <c r="BJ276" s="7"/>
      <c r="BK276" s="7"/>
      <c r="BL276" s="7"/>
      <c r="BM276" s="7"/>
      <c r="BN276" s="7"/>
      <c r="BO276" s="7"/>
      <c r="BP276" s="7"/>
      <c r="BQ276" s="7"/>
      <c r="BR276" s="7"/>
      <c r="BS276" s="7"/>
      <c r="BT276" s="7"/>
      <c r="BU276" s="7"/>
      <c r="BW276" t="s">
        <v>1255</v>
      </c>
      <c r="BX276" t="str">
        <f t="shared" si="92"/>
        <v>22</v>
      </c>
      <c r="BY276" t="str">
        <f t="shared" si="93"/>
        <v>6</v>
      </c>
      <c r="BZ276" t="str">
        <f t="shared" si="94"/>
        <v>2021</v>
      </c>
      <c r="CA276" s="5">
        <f t="shared" si="87"/>
        <v>44369</v>
      </c>
      <c r="CB276">
        <v>173</v>
      </c>
      <c r="CC276" s="7">
        <v>12</v>
      </c>
      <c r="CD276" t="s">
        <v>1236</v>
      </c>
      <c r="CE276">
        <f t="shared" si="88"/>
        <v>1.2926852170646967</v>
      </c>
      <c r="CF276">
        <f t="shared" si="89"/>
        <v>1.2514861397910018</v>
      </c>
      <c r="CG276">
        <f t="shared" si="95"/>
        <v>1.2678690291292909E-2</v>
      </c>
      <c r="CH276">
        <f t="shared" si="96"/>
        <v>3.4789281831553365</v>
      </c>
      <c r="CI276">
        <f t="shared" si="90"/>
        <v>0.20703293986774596</v>
      </c>
      <c r="CJ276" s="1">
        <f t="shared" si="91"/>
        <v>0.20703293986774596</v>
      </c>
      <c r="CK276" s="7" t="s">
        <v>142</v>
      </c>
      <c r="CL276" s="7">
        <v>1</v>
      </c>
      <c r="CM276" s="7"/>
      <c r="CN276" s="7"/>
      <c r="CO276" s="7"/>
      <c r="CP276" s="7"/>
    </row>
    <row r="277" spans="1:99" x14ac:dyDescent="0.2">
      <c r="A277" s="7" t="s">
        <v>1221</v>
      </c>
      <c r="B277" s="7" t="s">
        <v>46</v>
      </c>
      <c r="C277" t="str">
        <f t="shared" si="83"/>
        <v>I</v>
      </c>
      <c r="D277" t="str">
        <f t="shared" si="84"/>
        <v>B</v>
      </c>
      <c r="E277" t="str">
        <f t="shared" si="85"/>
        <v>N</v>
      </c>
      <c r="F277" s="7">
        <v>127</v>
      </c>
      <c r="G277" s="7">
        <v>121</v>
      </c>
      <c r="H277" s="7">
        <v>39.896999999999998</v>
      </c>
      <c r="I277" s="7">
        <v>0.39100000000000001</v>
      </c>
      <c r="J277" s="7">
        <v>2.823</v>
      </c>
      <c r="K277" s="7" t="s">
        <v>867</v>
      </c>
      <c r="L277" t="str">
        <f t="shared" si="86"/>
        <v>F</v>
      </c>
      <c r="M277" s="7">
        <v>30</v>
      </c>
      <c r="N277" s="7">
        <v>1.431</v>
      </c>
      <c r="O277" s="7">
        <v>1.349</v>
      </c>
      <c r="P277" s="7" t="s">
        <v>36</v>
      </c>
      <c r="Q277" t="str">
        <f t="shared" si="82"/>
        <v>MT</v>
      </c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7"/>
      <c r="AT277" s="7"/>
      <c r="AU277" s="7"/>
      <c r="AV277" s="7"/>
      <c r="AW277" s="7"/>
      <c r="AX277" s="7"/>
      <c r="AY277" s="7"/>
      <c r="AZ277" s="7"/>
      <c r="BA277" s="7"/>
      <c r="BB277" s="7"/>
      <c r="BC277" s="7"/>
      <c r="BD277" s="7"/>
      <c r="BE277" s="7"/>
      <c r="BF277" s="7"/>
      <c r="BG277" s="7"/>
      <c r="BH277" s="7"/>
      <c r="BI277" s="7"/>
      <c r="BJ277" s="7"/>
      <c r="BK277" s="7"/>
      <c r="BL277" s="7"/>
      <c r="BM277" s="7"/>
      <c r="BN277" s="7"/>
      <c r="BO277" s="7"/>
      <c r="BP277" s="7"/>
      <c r="BQ277" s="7"/>
      <c r="BR277" s="7"/>
      <c r="BS277" s="7"/>
      <c r="BT277" s="7"/>
      <c r="BU277" s="7"/>
      <c r="BW277" t="s">
        <v>1255</v>
      </c>
      <c r="BX277" t="str">
        <f t="shared" si="92"/>
        <v>22</v>
      </c>
      <c r="BY277" t="str">
        <f t="shared" si="93"/>
        <v>6</v>
      </c>
      <c r="BZ277" t="str">
        <f t="shared" si="94"/>
        <v>2021</v>
      </c>
      <c r="CA277" s="5">
        <f t="shared" si="87"/>
        <v>44369</v>
      </c>
      <c r="CB277">
        <v>173</v>
      </c>
      <c r="CC277" s="7">
        <v>12</v>
      </c>
      <c r="CD277" t="s">
        <v>1236</v>
      </c>
      <c r="CE277">
        <f t="shared" si="88"/>
        <v>7.6145007282731836</v>
      </c>
      <c r="CF277">
        <f t="shared" si="89"/>
        <v>0.98972308003847509</v>
      </c>
      <c r="CG277">
        <f t="shared" si="95"/>
        <v>1.0658888313387673E-2</v>
      </c>
      <c r="CH277">
        <f t="shared" si="96"/>
        <v>3.4995330497042647</v>
      </c>
      <c r="CI277">
        <f t="shared" si="90"/>
        <v>0.20552923778730248</v>
      </c>
      <c r="CJ277" s="1">
        <f t="shared" si="91"/>
        <v>0.20552923778730248</v>
      </c>
      <c r="CK277" s="7" t="s">
        <v>142</v>
      </c>
      <c r="CL277" s="7">
        <v>2</v>
      </c>
      <c r="CM277" s="7"/>
      <c r="CN277" s="7"/>
      <c r="CO277" s="7"/>
      <c r="CP277" s="7"/>
    </row>
    <row r="278" spans="1:99" x14ac:dyDescent="0.2">
      <c r="A278" s="7" t="s">
        <v>1222</v>
      </c>
      <c r="B278" s="7" t="s">
        <v>46</v>
      </c>
      <c r="C278" t="str">
        <f t="shared" si="83"/>
        <v>I</v>
      </c>
      <c r="D278" t="str">
        <f t="shared" si="84"/>
        <v>B</v>
      </c>
      <c r="E278" t="str">
        <f t="shared" si="85"/>
        <v>N</v>
      </c>
      <c r="F278" s="7">
        <v>134</v>
      </c>
      <c r="G278" s="7">
        <v>128</v>
      </c>
      <c r="H278" s="7">
        <v>50.795000000000002</v>
      </c>
      <c r="I278" s="7">
        <v>0.65500000000000003</v>
      </c>
      <c r="J278" s="7">
        <v>0.39400000000000002</v>
      </c>
      <c r="K278" s="7" t="s">
        <v>868</v>
      </c>
      <c r="L278" t="str">
        <f t="shared" si="86"/>
        <v>M</v>
      </c>
      <c r="M278" s="7">
        <v>30</v>
      </c>
      <c r="N278" s="7">
        <v>2.5819999999999999</v>
      </c>
      <c r="O278" s="7">
        <v>1.653</v>
      </c>
      <c r="P278" s="7" t="s">
        <v>1230</v>
      </c>
      <c r="Q278" t="str">
        <f t="shared" si="82"/>
        <v>F</v>
      </c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>
        <v>3</v>
      </c>
      <c r="AQ278" s="7">
        <v>0.755</v>
      </c>
      <c r="AR278" s="7"/>
      <c r="AS278" s="7"/>
      <c r="AT278" s="7"/>
      <c r="AU278" s="7"/>
      <c r="AV278" s="7"/>
      <c r="AW278" s="7"/>
      <c r="AX278" s="7"/>
      <c r="AY278" s="7"/>
      <c r="AZ278" s="7"/>
      <c r="BA278" s="7"/>
      <c r="BB278" s="7"/>
      <c r="BC278" s="7"/>
      <c r="BD278" s="7"/>
      <c r="BE278" s="7"/>
      <c r="BF278" s="7"/>
      <c r="BG278" s="7"/>
      <c r="BH278" s="7"/>
      <c r="BI278" s="7"/>
      <c r="BJ278" s="7"/>
      <c r="BK278" s="7"/>
      <c r="BL278" s="7"/>
      <c r="BM278" s="7"/>
      <c r="BN278" s="7"/>
      <c r="BO278" s="7"/>
      <c r="BP278" s="7"/>
      <c r="BQ278" s="7"/>
      <c r="BR278" s="7"/>
      <c r="BS278" s="7"/>
      <c r="BT278" s="7"/>
      <c r="BU278" s="7"/>
      <c r="BV278" s="7">
        <v>0.755</v>
      </c>
      <c r="BW278" t="s">
        <v>1255</v>
      </c>
      <c r="BX278" t="str">
        <f t="shared" si="92"/>
        <v>22</v>
      </c>
      <c r="BY278" t="str">
        <f t="shared" si="93"/>
        <v>6</v>
      </c>
      <c r="BZ278" t="str">
        <f t="shared" si="94"/>
        <v>2021</v>
      </c>
      <c r="CA278" s="5">
        <f t="shared" si="87"/>
        <v>44369</v>
      </c>
      <c r="CB278">
        <v>173</v>
      </c>
      <c r="CC278" s="7">
        <v>12</v>
      </c>
      <c r="CD278" t="s">
        <v>1237</v>
      </c>
      <c r="CE278">
        <f t="shared" si="88"/>
        <v>0.78173052121981701</v>
      </c>
      <c r="CF278">
        <f t="shared" si="89"/>
        <v>1.3063422417231751</v>
      </c>
      <c r="CG278">
        <f t="shared" si="95"/>
        <v>1.3166887789973063E-2</v>
      </c>
      <c r="CH278">
        <f t="shared" si="96"/>
        <v>3.3637214602580277</v>
      </c>
      <c r="CI278">
        <f t="shared" si="90"/>
        <v>1.8289201693080022</v>
      </c>
      <c r="CJ278" s="1">
        <f t="shared" si="91"/>
        <v>3.3152869376907166</v>
      </c>
      <c r="CK278" s="7" t="s">
        <v>142</v>
      </c>
      <c r="CL278" s="7">
        <v>1</v>
      </c>
      <c r="CM278" s="7"/>
      <c r="CN278" s="7"/>
      <c r="CO278" s="7"/>
      <c r="CP278" s="7"/>
    </row>
    <row r="279" spans="1:99" x14ac:dyDescent="0.2">
      <c r="A279" s="7" t="s">
        <v>1223</v>
      </c>
      <c r="B279" s="7" t="s">
        <v>46</v>
      </c>
      <c r="C279" t="str">
        <f t="shared" si="83"/>
        <v>I</v>
      </c>
      <c r="D279" t="str">
        <f t="shared" si="84"/>
        <v>B</v>
      </c>
      <c r="E279" t="str">
        <f t="shared" si="85"/>
        <v>N</v>
      </c>
      <c r="F279" s="7">
        <v>116</v>
      </c>
      <c r="G279" s="7">
        <v>107</v>
      </c>
      <c r="H279" s="7">
        <v>29.143999999999998</v>
      </c>
      <c r="I279" s="7">
        <v>0.42299999999999999</v>
      </c>
      <c r="J279" s="7">
        <v>2.3140000000000001</v>
      </c>
      <c r="K279" s="7" t="s">
        <v>867</v>
      </c>
      <c r="L279" t="str">
        <f t="shared" si="86"/>
        <v>F</v>
      </c>
      <c r="M279" s="7">
        <v>30</v>
      </c>
      <c r="N279" s="7">
        <v>1.8120000000000001</v>
      </c>
      <c r="O279" s="7">
        <v>0.88</v>
      </c>
      <c r="P279" s="7" t="s">
        <v>1231</v>
      </c>
      <c r="Q279" t="str">
        <f t="shared" si="82"/>
        <v>F</v>
      </c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  <c r="AS279" s="7"/>
      <c r="AT279" s="7"/>
      <c r="AU279" s="7"/>
      <c r="AV279" s="7"/>
      <c r="AW279" s="7"/>
      <c r="AX279" s="7"/>
      <c r="AY279" s="7"/>
      <c r="AZ279" s="7"/>
      <c r="BA279" s="7"/>
      <c r="BB279" s="7"/>
      <c r="BC279" s="7"/>
      <c r="BD279" s="7"/>
      <c r="BE279" s="7"/>
      <c r="BF279" s="7">
        <v>1</v>
      </c>
      <c r="BG279" s="7">
        <v>0.755</v>
      </c>
      <c r="BH279" s="7"/>
      <c r="BI279" s="7"/>
      <c r="BJ279" s="7"/>
      <c r="BK279" s="7"/>
      <c r="BL279" s="7"/>
      <c r="BM279" s="7"/>
      <c r="BN279" s="7"/>
      <c r="BO279" s="7"/>
      <c r="BP279" s="7"/>
      <c r="BQ279" s="7"/>
      <c r="BR279" s="7"/>
      <c r="BS279" s="7"/>
      <c r="BT279" s="7"/>
      <c r="BU279" s="7"/>
      <c r="BV279" s="7">
        <v>0.755</v>
      </c>
      <c r="BW279" t="s">
        <v>1255</v>
      </c>
      <c r="BX279" t="str">
        <f t="shared" si="92"/>
        <v>22</v>
      </c>
      <c r="BY279" t="str">
        <f t="shared" si="93"/>
        <v>6</v>
      </c>
      <c r="BZ279" t="str">
        <f t="shared" si="94"/>
        <v>2021</v>
      </c>
      <c r="CA279" s="5">
        <f t="shared" si="87"/>
        <v>44369</v>
      </c>
      <c r="CB279">
        <v>173</v>
      </c>
      <c r="CC279" s="7">
        <v>12</v>
      </c>
      <c r="CD279" t="s">
        <v>1236</v>
      </c>
      <c r="CE279">
        <f t="shared" si="88"/>
        <v>8.6246738725307495</v>
      </c>
      <c r="CF279">
        <f t="shared" si="89"/>
        <v>1.4727899446398105</v>
      </c>
      <c r="CG279">
        <f t="shared" si="95"/>
        <v>1.6018479948498504E-2</v>
      </c>
      <c r="CH279">
        <f t="shared" si="96"/>
        <v>3.1135012737050669</v>
      </c>
      <c r="CI279">
        <f t="shared" si="90"/>
        <v>3.1979138073016751</v>
      </c>
      <c r="CJ279" s="1">
        <f t="shared" si="91"/>
        <v>5.788498490255285</v>
      </c>
      <c r="CK279" s="7" t="s">
        <v>142</v>
      </c>
      <c r="CL279" s="7">
        <v>2</v>
      </c>
      <c r="CM279" s="7"/>
      <c r="CN279" s="7"/>
      <c r="CO279" s="7"/>
      <c r="CP279" s="7"/>
    </row>
    <row r="280" spans="1:99" x14ac:dyDescent="0.2">
      <c r="A280" s="7" t="s">
        <v>1224</v>
      </c>
      <c r="B280" s="7" t="s">
        <v>46</v>
      </c>
      <c r="C280" t="str">
        <f t="shared" si="83"/>
        <v>I</v>
      </c>
      <c r="D280" t="str">
        <f t="shared" si="84"/>
        <v>B</v>
      </c>
      <c r="E280" t="str">
        <f t="shared" si="85"/>
        <v>N</v>
      </c>
      <c r="F280" s="7">
        <v>117</v>
      </c>
      <c r="G280" s="7">
        <v>111</v>
      </c>
      <c r="H280" s="7">
        <v>32.466000000000001</v>
      </c>
      <c r="I280" s="7">
        <v>0.32300000000000001</v>
      </c>
      <c r="J280" s="7">
        <v>0.26400000000000001</v>
      </c>
      <c r="K280" s="7" t="s">
        <v>868</v>
      </c>
      <c r="L280" t="str">
        <f t="shared" si="86"/>
        <v>M</v>
      </c>
      <c r="M280" s="7">
        <v>30</v>
      </c>
      <c r="N280" s="7">
        <v>1.56</v>
      </c>
      <c r="O280" s="7">
        <v>1.091</v>
      </c>
      <c r="P280" s="7" t="s">
        <v>1232</v>
      </c>
      <c r="Q280" t="str">
        <f t="shared" si="82"/>
        <v>F</v>
      </c>
      <c r="R280" s="7"/>
      <c r="S280" s="7"/>
      <c r="T280" s="7"/>
      <c r="U280" s="7"/>
      <c r="V280" s="7">
        <v>1</v>
      </c>
      <c r="W280" s="7">
        <v>0.34499999999999997</v>
      </c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  <c r="AS280" s="7"/>
      <c r="AT280" s="7"/>
      <c r="AU280" s="7"/>
      <c r="AV280" s="7"/>
      <c r="AW280" s="7"/>
      <c r="AX280" s="7"/>
      <c r="AY280" s="7"/>
      <c r="AZ280" s="7"/>
      <c r="BA280" s="7"/>
      <c r="BB280" s="7"/>
      <c r="BC280" s="7"/>
      <c r="BD280" s="7"/>
      <c r="BE280" s="7"/>
      <c r="BF280" s="7"/>
      <c r="BG280" s="7"/>
      <c r="BH280" s="7"/>
      <c r="BI280" s="7"/>
      <c r="BJ280" s="7"/>
      <c r="BK280" s="7"/>
      <c r="BL280" s="7"/>
      <c r="BM280" s="7"/>
      <c r="BN280" s="7"/>
      <c r="BO280" s="7"/>
      <c r="BP280" s="7"/>
      <c r="BQ280" s="7"/>
      <c r="BR280" s="7"/>
      <c r="BS280" s="7"/>
      <c r="BT280" s="7"/>
      <c r="BU280" s="7"/>
      <c r="BV280" s="7">
        <v>0.34499999999999997</v>
      </c>
      <c r="BW280" t="s">
        <v>1255</v>
      </c>
      <c r="BX280" t="str">
        <f t="shared" si="92"/>
        <v>22</v>
      </c>
      <c r="BY280" t="str">
        <f t="shared" si="93"/>
        <v>6</v>
      </c>
      <c r="BZ280" t="str">
        <f t="shared" si="94"/>
        <v>2021</v>
      </c>
      <c r="CA280" s="5">
        <f t="shared" si="87"/>
        <v>44369</v>
      </c>
      <c r="CB280">
        <v>173</v>
      </c>
      <c r="CC280" s="7">
        <v>12</v>
      </c>
      <c r="CD280" t="s">
        <v>1238</v>
      </c>
      <c r="CE280">
        <f t="shared" si="88"/>
        <v>0.81982485559903129</v>
      </c>
      <c r="CF280">
        <f t="shared" si="89"/>
        <v>1.0048844227358988</v>
      </c>
      <c r="CG280">
        <f t="shared" si="95"/>
        <v>1.013206185890398E-2</v>
      </c>
      <c r="CH280">
        <f t="shared" si="96"/>
        <v>3.4772908366533866</v>
      </c>
      <c r="CI280">
        <f t="shared" si="90"/>
        <v>1.4445881845623116</v>
      </c>
      <c r="CJ280" s="1">
        <f t="shared" si="91"/>
        <v>2.5072383416497259</v>
      </c>
      <c r="CK280" s="7" t="s">
        <v>142</v>
      </c>
      <c r="CL280" s="7">
        <v>2</v>
      </c>
      <c r="CM280" s="7"/>
      <c r="CN280" s="7"/>
      <c r="CO280" s="7"/>
      <c r="CP280" s="7"/>
    </row>
    <row r="281" spans="1:99" x14ac:dyDescent="0.2">
      <c r="A281" s="7" t="s">
        <v>1225</v>
      </c>
      <c r="B281" s="7" t="s">
        <v>46</v>
      </c>
      <c r="C281" t="str">
        <f t="shared" si="83"/>
        <v>I</v>
      </c>
      <c r="D281" t="str">
        <f t="shared" si="84"/>
        <v>I</v>
      </c>
      <c r="E281" t="str">
        <f t="shared" si="85"/>
        <v>G</v>
      </c>
      <c r="F281" s="7">
        <v>91</v>
      </c>
      <c r="G281" s="7">
        <v>85</v>
      </c>
      <c r="H281" s="7">
        <v>14.651</v>
      </c>
      <c r="I281" s="7">
        <v>0.182</v>
      </c>
      <c r="J281" s="7">
        <v>0.105</v>
      </c>
      <c r="K281" s="7" t="s">
        <v>1181</v>
      </c>
      <c r="L281" t="str">
        <f t="shared" si="86"/>
        <v>M</v>
      </c>
      <c r="M281" s="7">
        <v>40</v>
      </c>
      <c r="N281" s="7">
        <v>0.72099999999999997</v>
      </c>
      <c r="O281" s="7">
        <v>0.70599999999999996</v>
      </c>
      <c r="P281" s="7" t="s">
        <v>36</v>
      </c>
      <c r="Q281" t="str">
        <f t="shared" si="82"/>
        <v>MT</v>
      </c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  <c r="AS281" s="7"/>
      <c r="AT281" s="7"/>
      <c r="AU281" s="7"/>
      <c r="AV281" s="7"/>
      <c r="AW281" s="7"/>
      <c r="AX281" s="7"/>
      <c r="AY281" s="7"/>
      <c r="AZ281" s="7"/>
      <c r="BA281" s="7"/>
      <c r="BB281" s="7"/>
      <c r="BC281" s="7"/>
      <c r="BD281" s="7"/>
      <c r="BE281" s="7"/>
      <c r="BF281" s="7"/>
      <c r="BG281" s="7"/>
      <c r="BH281" s="7"/>
      <c r="BI281" s="7"/>
      <c r="BJ281" s="7"/>
      <c r="BK281" s="7"/>
      <c r="BL281" s="7"/>
      <c r="BM281" s="7"/>
      <c r="BN281" s="7"/>
      <c r="BO281" s="7"/>
      <c r="BP281" s="7"/>
      <c r="BQ281" s="7"/>
      <c r="BR281" s="7"/>
      <c r="BS281" s="7"/>
      <c r="BT281" s="7"/>
      <c r="BU281" s="7"/>
      <c r="BW281" t="s">
        <v>1255</v>
      </c>
      <c r="BX281" t="str">
        <f t="shared" si="92"/>
        <v>22</v>
      </c>
      <c r="BY281" t="str">
        <f t="shared" si="93"/>
        <v>6</v>
      </c>
      <c r="BZ281" t="str">
        <f t="shared" si="94"/>
        <v>2021</v>
      </c>
      <c r="CA281" s="5">
        <f t="shared" si="87"/>
        <v>44369</v>
      </c>
      <c r="CB281">
        <v>173</v>
      </c>
      <c r="CC281" s="7">
        <v>12</v>
      </c>
      <c r="CD281" t="s">
        <v>1236</v>
      </c>
      <c r="CE281">
        <f t="shared" si="88"/>
        <v>0.72184793070259867</v>
      </c>
      <c r="CF281">
        <f t="shared" si="89"/>
        <v>1.257861635220126</v>
      </c>
      <c r="CG281">
        <f t="shared" si="95"/>
        <v>1.2670565302144251E-2</v>
      </c>
      <c r="CH281">
        <f t="shared" si="96"/>
        <v>5.0627465041233419</v>
      </c>
      <c r="CI281">
        <f t="shared" si="90"/>
        <v>0.10238208995972981</v>
      </c>
      <c r="CJ281" s="1">
        <f t="shared" si="91"/>
        <v>0.10238208995972981</v>
      </c>
      <c r="CK281" s="7" t="s">
        <v>142</v>
      </c>
      <c r="CL281" s="7">
        <v>1</v>
      </c>
      <c r="CM281" s="7"/>
      <c r="CN281" s="7"/>
      <c r="CO281" s="7"/>
      <c r="CP281" s="7"/>
    </row>
    <row r="282" spans="1:99" x14ac:dyDescent="0.2">
      <c r="A282" s="7" t="s">
        <v>1226</v>
      </c>
      <c r="B282" s="7" t="s">
        <v>46</v>
      </c>
      <c r="C282" t="str">
        <f t="shared" si="83"/>
        <v>I</v>
      </c>
      <c r="D282" t="str">
        <f t="shared" si="84"/>
        <v>I</v>
      </c>
      <c r="E282" t="str">
        <f t="shared" si="85"/>
        <v>G</v>
      </c>
      <c r="F282" s="7">
        <v>103</v>
      </c>
      <c r="G282" s="7">
        <v>98</v>
      </c>
      <c r="H282" s="7">
        <v>22.347000000000001</v>
      </c>
      <c r="I282" s="7">
        <v>0.216</v>
      </c>
      <c r="J282" s="7">
        <v>0.1</v>
      </c>
      <c r="K282" s="7" t="s">
        <v>1181</v>
      </c>
      <c r="L282" t="str">
        <f t="shared" si="86"/>
        <v>M</v>
      </c>
      <c r="M282" s="7">
        <v>40</v>
      </c>
      <c r="N282" s="7">
        <v>0.82899999999999996</v>
      </c>
      <c r="O282" s="7">
        <v>0.77800000000000002</v>
      </c>
      <c r="P282" s="7" t="s">
        <v>36</v>
      </c>
      <c r="Q282" t="str">
        <f t="shared" si="82"/>
        <v>MT</v>
      </c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  <c r="AU282" s="7"/>
      <c r="AV282" s="7"/>
      <c r="AW282" s="7"/>
      <c r="AX282" s="7"/>
      <c r="AY282" s="7"/>
      <c r="AZ282" s="7"/>
      <c r="BA282" s="7"/>
      <c r="BB282" s="7"/>
      <c r="BC282" s="7"/>
      <c r="BD282" s="7"/>
      <c r="BE282" s="7"/>
      <c r="BF282" s="7"/>
      <c r="BG282" s="7"/>
      <c r="BH282" s="7"/>
      <c r="BI282" s="7"/>
      <c r="BJ282" s="7"/>
      <c r="BK282" s="7"/>
      <c r="BL282" s="7"/>
      <c r="BM282" s="7"/>
      <c r="BN282" s="7"/>
      <c r="BO282" s="7"/>
      <c r="BP282" s="7"/>
      <c r="BQ282" s="7"/>
      <c r="BR282" s="7"/>
      <c r="BS282" s="7"/>
      <c r="BT282" s="7"/>
      <c r="BU282" s="7"/>
      <c r="BW282" t="s">
        <v>1255</v>
      </c>
      <c r="BX282" t="str">
        <f t="shared" si="92"/>
        <v>22</v>
      </c>
      <c r="BY282" t="str">
        <f t="shared" si="93"/>
        <v>6</v>
      </c>
      <c r="BZ282" t="str">
        <f t="shared" si="94"/>
        <v>2021</v>
      </c>
      <c r="CA282" s="5">
        <f t="shared" si="87"/>
        <v>44369</v>
      </c>
      <c r="CB282">
        <v>173</v>
      </c>
      <c r="CC282" s="7">
        <v>12</v>
      </c>
      <c r="CD282" t="s">
        <v>1236</v>
      </c>
      <c r="CE282">
        <f t="shared" si="88"/>
        <v>0.44949880882815663</v>
      </c>
      <c r="CF282">
        <f t="shared" si="89"/>
        <v>0.97600650671004463</v>
      </c>
      <c r="CG282">
        <f t="shared" si="95"/>
        <v>9.8043665743724751E-3</v>
      </c>
      <c r="CH282">
        <f t="shared" si="96"/>
        <v>3.6070286058695347</v>
      </c>
      <c r="CI282">
        <f t="shared" si="90"/>
        <v>0.22821855282588238</v>
      </c>
      <c r="CJ282" s="1">
        <f t="shared" si="91"/>
        <v>0.22821855282588238</v>
      </c>
      <c r="CK282" s="7" t="s">
        <v>142</v>
      </c>
      <c r="CL282" s="7">
        <v>1</v>
      </c>
      <c r="CM282" s="7"/>
      <c r="CN282" s="7"/>
      <c r="CO282" s="7"/>
      <c r="CP282" s="7"/>
    </row>
    <row r="283" spans="1:99" x14ac:dyDescent="0.2">
      <c r="A283" s="7" t="s">
        <v>1227</v>
      </c>
      <c r="B283" s="7" t="s">
        <v>46</v>
      </c>
      <c r="C283" t="str">
        <f t="shared" si="83"/>
        <v>I</v>
      </c>
      <c r="D283" t="str">
        <f t="shared" si="84"/>
        <v>I</v>
      </c>
      <c r="E283" t="str">
        <f t="shared" si="85"/>
        <v>G</v>
      </c>
      <c r="F283" s="7">
        <v>102</v>
      </c>
      <c r="G283" s="7">
        <v>96</v>
      </c>
      <c r="H283" s="7">
        <v>20.437999999999999</v>
      </c>
      <c r="I283" s="7">
        <v>0.20300000000000001</v>
      </c>
      <c r="J283" s="7">
        <v>0.13100000000000001</v>
      </c>
      <c r="K283" s="7" t="s">
        <v>1181</v>
      </c>
      <c r="L283" t="str">
        <f t="shared" si="86"/>
        <v>M</v>
      </c>
      <c r="M283" s="7">
        <v>40</v>
      </c>
      <c r="N283" s="7">
        <v>0.93200000000000005</v>
      </c>
      <c r="O283" s="7">
        <v>0.69099999999999995</v>
      </c>
      <c r="P283" s="7" t="s">
        <v>1233</v>
      </c>
      <c r="Q283" t="str">
        <f t="shared" si="82"/>
        <v>F</v>
      </c>
      <c r="R283" s="7"/>
      <c r="S283" s="7"/>
      <c r="T283" s="7"/>
      <c r="U283" s="7"/>
      <c r="V283" s="7">
        <v>1</v>
      </c>
      <c r="W283" s="7">
        <v>0.17699999999999999</v>
      </c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  <c r="AS283" s="7"/>
      <c r="AT283" s="7"/>
      <c r="AU283" s="7"/>
      <c r="AV283" s="7"/>
      <c r="AW283" s="7"/>
      <c r="AX283" s="7"/>
      <c r="AY283" s="7"/>
      <c r="AZ283" s="7"/>
      <c r="BA283" s="7"/>
      <c r="BB283" s="7"/>
      <c r="BC283" s="7"/>
      <c r="BD283" s="7"/>
      <c r="BE283" s="7"/>
      <c r="BF283" s="7"/>
      <c r="BG283" s="7"/>
      <c r="BH283" s="7"/>
      <c r="BI283" s="7"/>
      <c r="BJ283" s="7"/>
      <c r="BK283" s="7"/>
      <c r="BL283" s="7"/>
      <c r="BM283" s="7"/>
      <c r="BN283" s="7"/>
      <c r="BO283" s="7"/>
      <c r="BP283" s="7"/>
      <c r="BQ283" s="7"/>
      <c r="BR283" s="7"/>
      <c r="BS283" s="7"/>
      <c r="BT283" s="7"/>
      <c r="BU283" s="7"/>
      <c r="BV283" s="7">
        <v>0.17699999999999999</v>
      </c>
      <c r="BW283" t="s">
        <v>1255</v>
      </c>
      <c r="BX283" t="str">
        <f t="shared" si="92"/>
        <v>22</v>
      </c>
      <c r="BY283" t="str">
        <f t="shared" si="93"/>
        <v>6</v>
      </c>
      <c r="BZ283" t="str">
        <f t="shared" si="94"/>
        <v>2021</v>
      </c>
      <c r="CA283" s="5">
        <f t="shared" si="87"/>
        <v>44369</v>
      </c>
      <c r="CB283">
        <v>173</v>
      </c>
      <c r="CC283" s="7">
        <v>12</v>
      </c>
      <c r="CD283" t="s">
        <v>1236</v>
      </c>
      <c r="CE283">
        <f t="shared" si="88"/>
        <v>0.64509774954449217</v>
      </c>
      <c r="CF283">
        <f t="shared" si="89"/>
        <v>1.0032122559920931</v>
      </c>
      <c r="CG283">
        <f t="shared" si="95"/>
        <v>1.0097493036211701E-2</v>
      </c>
      <c r="CH283">
        <f t="shared" si="96"/>
        <v>3.4992657112472778</v>
      </c>
      <c r="CI283">
        <f t="shared" si="90"/>
        <v>1.1791760446227622</v>
      </c>
      <c r="CJ283" s="1">
        <f t="shared" si="91"/>
        <v>2.0452099031216369</v>
      </c>
      <c r="CK283" s="7" t="s">
        <v>142</v>
      </c>
      <c r="CL283" s="7">
        <v>1</v>
      </c>
      <c r="CM283" s="7"/>
      <c r="CN283" s="7"/>
      <c r="CO283" s="7"/>
      <c r="CP283" s="7"/>
    </row>
    <row r="284" spans="1:99" x14ac:dyDescent="0.2">
      <c r="A284" s="7" t="s">
        <v>1228</v>
      </c>
      <c r="B284" s="7" t="s">
        <v>46</v>
      </c>
      <c r="C284" t="str">
        <f t="shared" si="83"/>
        <v>I</v>
      </c>
      <c r="D284" t="str">
        <f t="shared" si="84"/>
        <v>I</v>
      </c>
      <c r="E284" t="str">
        <f t="shared" si="85"/>
        <v>G</v>
      </c>
      <c r="F284" s="7">
        <v>86</v>
      </c>
      <c r="G284" s="7">
        <v>80</v>
      </c>
      <c r="H284" s="7">
        <v>11.048</v>
      </c>
      <c r="I284" s="7">
        <v>0.11700000000000001</v>
      </c>
      <c r="J284" s="7">
        <v>3.2000000000000001E-2</v>
      </c>
      <c r="K284" s="7" t="s">
        <v>1181</v>
      </c>
      <c r="L284" t="str">
        <f t="shared" si="86"/>
        <v>M</v>
      </c>
      <c r="M284" s="7">
        <v>40</v>
      </c>
      <c r="N284" s="7">
        <v>0.42599999999999999</v>
      </c>
      <c r="O284" s="7">
        <v>0.38</v>
      </c>
      <c r="P284" s="7" t="s">
        <v>1234</v>
      </c>
      <c r="Q284" t="str">
        <f t="shared" si="82"/>
        <v>F</v>
      </c>
      <c r="R284" s="7"/>
      <c r="S284" s="7"/>
      <c r="T284" s="7"/>
      <c r="U284" s="7"/>
      <c r="V284" s="7">
        <v>1</v>
      </c>
      <c r="W284" s="7">
        <v>2.5000000000000001E-2</v>
      </c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  <c r="AS284" s="7"/>
      <c r="AT284" s="7"/>
      <c r="AU284" s="7"/>
      <c r="AV284" s="7"/>
      <c r="AW284" s="7"/>
      <c r="AX284" s="7"/>
      <c r="AY284" s="7"/>
      <c r="AZ284" s="7"/>
      <c r="BA284" s="7"/>
      <c r="BB284" s="7"/>
      <c r="BC284" s="7"/>
      <c r="BD284" s="7"/>
      <c r="BE284" s="7"/>
      <c r="BF284" s="7"/>
      <c r="BG284" s="7"/>
      <c r="BH284" s="7"/>
      <c r="BI284" s="7"/>
      <c r="BJ284" s="7"/>
      <c r="BK284" s="7"/>
      <c r="BL284" s="7"/>
      <c r="BM284" s="7"/>
      <c r="BN284" s="7"/>
      <c r="BO284" s="7"/>
      <c r="BP284" s="7"/>
      <c r="BQ284" s="7"/>
      <c r="BR284" s="7"/>
      <c r="BS284" s="7"/>
      <c r="BT284" s="7"/>
      <c r="BU284" s="7"/>
      <c r="BV284" s="7">
        <v>2.5000000000000001E-2</v>
      </c>
      <c r="BW284" t="s">
        <v>1255</v>
      </c>
      <c r="BX284" t="str">
        <f t="shared" si="92"/>
        <v>22</v>
      </c>
      <c r="BY284" t="str">
        <f t="shared" si="93"/>
        <v>6</v>
      </c>
      <c r="BZ284" t="str">
        <f t="shared" si="94"/>
        <v>2021</v>
      </c>
      <c r="CA284" s="5">
        <f t="shared" si="87"/>
        <v>44369</v>
      </c>
      <c r="CB284">
        <v>173</v>
      </c>
      <c r="CC284" s="7">
        <v>12</v>
      </c>
      <c r="CD284" t="s">
        <v>1236</v>
      </c>
      <c r="CE284">
        <f t="shared" si="88"/>
        <v>0.29048656499636893</v>
      </c>
      <c r="CF284">
        <f t="shared" si="89"/>
        <v>1.0703503796541947</v>
      </c>
      <c r="CG284">
        <f t="shared" si="95"/>
        <v>1.0734929810074321E-2</v>
      </c>
      <c r="CH284">
        <f t="shared" si="96"/>
        <v>3.5620547431571059</v>
      </c>
      <c r="CI284">
        <f t="shared" si="90"/>
        <v>0.4163649529326573</v>
      </c>
      <c r="CJ284" s="1">
        <f t="shared" si="91"/>
        <v>0.64265025343953641</v>
      </c>
      <c r="CK284" s="7" t="s">
        <v>142</v>
      </c>
      <c r="CL284" s="7">
        <v>2</v>
      </c>
      <c r="CM284" s="7"/>
      <c r="CN284" s="7"/>
      <c r="CO284" s="7"/>
      <c r="CP284" s="7"/>
    </row>
    <row r="285" spans="1:99" x14ac:dyDescent="0.2">
      <c r="A285" s="7" t="s">
        <v>1239</v>
      </c>
      <c r="B285" s="7" t="s">
        <v>46</v>
      </c>
      <c r="C285" t="str">
        <f t="shared" si="83"/>
        <v>I</v>
      </c>
      <c r="D285" t="str">
        <f t="shared" si="84"/>
        <v>I</v>
      </c>
      <c r="E285" t="str">
        <f t="shared" si="85"/>
        <v>G</v>
      </c>
      <c r="F285" s="7">
        <v>93</v>
      </c>
      <c r="G285" s="7">
        <v>87</v>
      </c>
      <c r="H285" s="7">
        <v>12.090999999999999</v>
      </c>
      <c r="I285" s="7">
        <v>0.13</v>
      </c>
      <c r="J285" s="7">
        <v>0.999</v>
      </c>
      <c r="K285" s="7" t="s">
        <v>867</v>
      </c>
      <c r="L285" t="str">
        <f t="shared" si="86"/>
        <v>F</v>
      </c>
      <c r="M285" s="7">
        <v>30</v>
      </c>
      <c r="N285" s="7">
        <v>0.41599999999999998</v>
      </c>
      <c r="O285" s="7">
        <v>0.39700000000000002</v>
      </c>
      <c r="P285" s="7" t="s">
        <v>36</v>
      </c>
      <c r="Q285" t="str">
        <f t="shared" si="82"/>
        <v>MT</v>
      </c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  <c r="AQ285" s="7"/>
      <c r="AR285" s="7"/>
      <c r="AS285" s="7"/>
      <c r="AT285" s="7"/>
      <c r="AU285" s="7"/>
      <c r="AV285" s="7"/>
      <c r="AW285" s="7"/>
      <c r="AX285" s="7"/>
      <c r="AY285" s="7"/>
      <c r="AZ285" s="7"/>
      <c r="BA285" s="7"/>
      <c r="BB285" s="7"/>
      <c r="BC285" s="7"/>
      <c r="BD285" s="7"/>
      <c r="BE285" s="7"/>
      <c r="BF285" s="7"/>
      <c r="BG285" s="7"/>
      <c r="BH285" s="7"/>
      <c r="BI285" s="7"/>
      <c r="BJ285" s="7"/>
      <c r="BK285" s="7"/>
      <c r="BL285" s="7"/>
      <c r="BM285" s="7"/>
      <c r="BN285" s="7"/>
      <c r="BO285" s="7"/>
      <c r="BP285" s="7"/>
      <c r="BQ285" s="7"/>
      <c r="BR285" s="7"/>
      <c r="BS285" s="7"/>
      <c r="BT285" s="7"/>
      <c r="BU285" s="7"/>
      <c r="BW285" t="s">
        <v>1255</v>
      </c>
      <c r="BX285" t="str">
        <f t="shared" si="92"/>
        <v>22</v>
      </c>
      <c r="BY285" t="str">
        <f t="shared" si="93"/>
        <v>6</v>
      </c>
      <c r="BZ285" t="str">
        <f t="shared" si="94"/>
        <v>2021</v>
      </c>
      <c r="CA285" s="5">
        <f t="shared" si="87"/>
        <v>44369</v>
      </c>
      <c r="CB285">
        <v>173</v>
      </c>
      <c r="CC285" s="7">
        <v>12</v>
      </c>
      <c r="CD285" t="s">
        <v>1236</v>
      </c>
      <c r="CE285">
        <f t="shared" si="88"/>
        <v>9.006491164803462</v>
      </c>
      <c r="CF285">
        <f t="shared" si="89"/>
        <v>1.0868656466850599</v>
      </c>
      <c r="CG285">
        <f t="shared" si="95"/>
        <v>1.1859149790184275E-2</v>
      </c>
      <c r="CH285">
        <f t="shared" si="96"/>
        <v>3.3949033692491879</v>
      </c>
      <c r="CI285">
        <f t="shared" si="90"/>
        <v>0.15714167562649875</v>
      </c>
      <c r="CJ285" s="1">
        <f t="shared" si="91"/>
        <v>0.15714167562649875</v>
      </c>
      <c r="CK285" s="7" t="s">
        <v>142</v>
      </c>
      <c r="CL285" s="7">
        <v>1</v>
      </c>
      <c r="CM285" s="7">
        <v>0</v>
      </c>
      <c r="CN285" s="7">
        <v>2</v>
      </c>
      <c r="CO285" s="7">
        <v>0</v>
      </c>
      <c r="CP285" s="7">
        <v>0</v>
      </c>
      <c r="CQ285" s="12">
        <v>4.0000000000000002E-4</v>
      </c>
      <c r="CR285">
        <f>CQ285/(H285-I285-J285-N285)*1000</f>
        <v>3.7929072634174103E-2</v>
      </c>
      <c r="CS285">
        <v>2.7160000000000002</v>
      </c>
      <c r="CT285">
        <v>103.95932441403386</v>
      </c>
      <c r="CU285">
        <v>126.72250420862012</v>
      </c>
    </row>
    <row r="286" spans="1:99" x14ac:dyDescent="0.2">
      <c r="A286" s="7" t="s">
        <v>1240</v>
      </c>
      <c r="B286" s="7" t="s">
        <v>46</v>
      </c>
      <c r="C286" t="str">
        <f t="shared" si="83"/>
        <v>I</v>
      </c>
      <c r="D286" t="str">
        <f t="shared" si="84"/>
        <v>I</v>
      </c>
      <c r="E286" t="str">
        <f t="shared" si="85"/>
        <v>G</v>
      </c>
      <c r="F286" s="7">
        <v>91</v>
      </c>
      <c r="G286" s="7">
        <v>86</v>
      </c>
      <c r="H286" s="7">
        <v>14.122999999999999</v>
      </c>
      <c r="I286" s="7">
        <v>0.16600000000000001</v>
      </c>
      <c r="J286" s="7">
        <v>8.7999999999999995E-2</v>
      </c>
      <c r="K286" s="7" t="s">
        <v>1181</v>
      </c>
      <c r="L286" t="str">
        <f t="shared" si="86"/>
        <v>M</v>
      </c>
      <c r="M286" s="7">
        <v>40</v>
      </c>
      <c r="N286" s="7">
        <v>0.59</v>
      </c>
      <c r="O286" s="7">
        <v>0.55700000000000005</v>
      </c>
      <c r="P286" s="7" t="s">
        <v>1248</v>
      </c>
      <c r="Q286" t="str">
        <f t="shared" si="82"/>
        <v>F</v>
      </c>
      <c r="R286" s="7"/>
      <c r="S286" s="7"/>
      <c r="T286" s="7">
        <v>1</v>
      </c>
      <c r="U286" s="7">
        <v>1.2999999999999999E-2</v>
      </c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  <c r="AS286" s="7"/>
      <c r="AT286" s="7"/>
      <c r="AU286" s="7"/>
      <c r="AV286" s="7"/>
      <c r="AW286" s="7"/>
      <c r="AX286" s="7"/>
      <c r="AY286" s="7"/>
      <c r="AZ286" s="7"/>
      <c r="BA286" s="7"/>
      <c r="BB286" s="7"/>
      <c r="BC286" s="7"/>
      <c r="BD286" s="7"/>
      <c r="BE286" s="7"/>
      <c r="BF286" s="7"/>
      <c r="BG286" s="7"/>
      <c r="BH286" s="7"/>
      <c r="BI286" s="7"/>
      <c r="BJ286" s="7"/>
      <c r="BK286" s="7"/>
      <c r="BL286" s="7"/>
      <c r="BM286" s="7"/>
      <c r="BN286" s="7"/>
      <c r="BO286" s="7"/>
      <c r="BP286" s="7"/>
      <c r="BQ286" s="7"/>
      <c r="BR286" s="7"/>
      <c r="BS286" s="7"/>
      <c r="BT286" s="7"/>
      <c r="BU286" s="7"/>
      <c r="BV286" s="7">
        <v>1.2999999999999999E-2</v>
      </c>
      <c r="BW286" t="s">
        <v>1255</v>
      </c>
      <c r="BX286" t="str">
        <f t="shared" si="92"/>
        <v>22</v>
      </c>
      <c r="BY286" t="str">
        <f t="shared" si="93"/>
        <v>6</v>
      </c>
      <c r="BZ286" t="str">
        <f t="shared" si="94"/>
        <v>2021</v>
      </c>
      <c r="CA286" s="5">
        <f t="shared" si="87"/>
        <v>44369</v>
      </c>
      <c r="CB286">
        <v>173</v>
      </c>
      <c r="CC286" s="7">
        <v>12</v>
      </c>
      <c r="CD286" t="s">
        <v>1236</v>
      </c>
      <c r="CE286">
        <f t="shared" si="88"/>
        <v>0.62700391877449224</v>
      </c>
      <c r="CF286">
        <f t="shared" si="89"/>
        <v>1.1893673425521245</v>
      </c>
      <c r="CG286">
        <f t="shared" si="95"/>
        <v>1.196913980820535E-2</v>
      </c>
      <c r="CH286">
        <f t="shared" si="96"/>
        <v>4.105852867462775</v>
      </c>
      <c r="CI286">
        <f t="shared" si="90"/>
        <v>0.23366140338454944</v>
      </c>
      <c r="CJ286" s="1">
        <f t="shared" si="91"/>
        <v>0.32570983502088729</v>
      </c>
      <c r="CK286" s="7" t="s">
        <v>142</v>
      </c>
      <c r="CL286" s="7">
        <v>1</v>
      </c>
      <c r="CM286" s="7"/>
      <c r="CN286" s="7"/>
      <c r="CO286" s="7"/>
      <c r="CP286" s="7"/>
    </row>
    <row r="287" spans="1:99" x14ac:dyDescent="0.2">
      <c r="A287" s="7" t="s">
        <v>1241</v>
      </c>
      <c r="B287" s="7" t="s">
        <v>46</v>
      </c>
      <c r="C287" t="str">
        <f t="shared" si="83"/>
        <v>I</v>
      </c>
      <c r="D287" t="str">
        <f t="shared" si="84"/>
        <v>S</v>
      </c>
      <c r="E287" t="str">
        <f t="shared" si="85"/>
        <v>G</v>
      </c>
      <c r="F287" s="7">
        <v>72</v>
      </c>
      <c r="G287" s="7">
        <v>68</v>
      </c>
      <c r="H287" s="7">
        <v>6.3109999999999999</v>
      </c>
      <c r="I287" s="7">
        <v>6.6000000000000003E-2</v>
      </c>
      <c r="J287" s="7">
        <v>8.0000000000000002E-3</v>
      </c>
      <c r="K287" s="7" t="s">
        <v>1181</v>
      </c>
      <c r="L287" t="str">
        <f t="shared" si="86"/>
        <v>M</v>
      </c>
      <c r="M287" s="7">
        <v>40</v>
      </c>
      <c r="N287" s="7">
        <v>0.32</v>
      </c>
      <c r="O287" s="7">
        <v>0.25</v>
      </c>
      <c r="P287" s="7" t="s">
        <v>1249</v>
      </c>
      <c r="Q287" t="str">
        <f t="shared" si="82"/>
        <v>F</v>
      </c>
      <c r="R287" s="7"/>
      <c r="S287" s="7"/>
      <c r="T287" s="7">
        <v>1</v>
      </c>
      <c r="U287" s="7">
        <v>3.5000000000000003E-2</v>
      </c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  <c r="AQ287" s="7"/>
      <c r="AR287" s="7"/>
      <c r="AS287" s="7"/>
      <c r="AT287" s="7"/>
      <c r="AU287" s="7"/>
      <c r="AV287" s="7"/>
      <c r="AW287" s="7"/>
      <c r="AX287" s="7"/>
      <c r="AY287" s="7"/>
      <c r="AZ287" s="7"/>
      <c r="BA287" s="7"/>
      <c r="BB287" s="7"/>
      <c r="BC287" s="7"/>
      <c r="BD287" s="7"/>
      <c r="BE287" s="7"/>
      <c r="BF287" s="7"/>
      <c r="BG287" s="7"/>
      <c r="BH287" s="7"/>
      <c r="BI287" s="7"/>
      <c r="BJ287" s="7"/>
      <c r="BK287" s="7"/>
      <c r="BL287" s="7"/>
      <c r="BM287" s="7"/>
      <c r="BN287" s="7"/>
      <c r="BO287" s="7"/>
      <c r="BP287" s="7"/>
      <c r="BQ287" s="7"/>
      <c r="BR287" s="7"/>
      <c r="BS287" s="7"/>
      <c r="BT287" s="7"/>
      <c r="BU287" s="7"/>
      <c r="BV287" s="7">
        <v>3.5000000000000003E-2</v>
      </c>
      <c r="BW287" t="s">
        <v>1255</v>
      </c>
      <c r="BX287" t="str">
        <f t="shared" si="92"/>
        <v>22</v>
      </c>
      <c r="BY287" t="str">
        <f t="shared" si="93"/>
        <v>6</v>
      </c>
      <c r="BZ287" t="str">
        <f t="shared" si="94"/>
        <v>2021</v>
      </c>
      <c r="CA287" s="5">
        <f t="shared" si="87"/>
        <v>44369</v>
      </c>
      <c r="CB287">
        <v>173</v>
      </c>
      <c r="CC287" s="7">
        <v>12</v>
      </c>
      <c r="CD287" t="s">
        <v>1236</v>
      </c>
      <c r="CE287">
        <f t="shared" si="88"/>
        <v>0.12692368713311122</v>
      </c>
      <c r="CF287">
        <f t="shared" si="89"/>
        <v>1.0568454763811048</v>
      </c>
      <c r="CG287">
        <f t="shared" si="95"/>
        <v>1.0582010582010583E-2</v>
      </c>
      <c r="CH287">
        <f t="shared" si="96"/>
        <v>4.1247318924269925</v>
      </c>
      <c r="CI287">
        <f t="shared" si="90"/>
        <v>1.1091744572967834</v>
      </c>
      <c r="CJ287" s="1">
        <f t="shared" si="91"/>
        <v>1.6637616859451754</v>
      </c>
      <c r="CK287" s="7" t="s">
        <v>142</v>
      </c>
      <c r="CL287" s="7">
        <v>1</v>
      </c>
      <c r="CM287" s="7"/>
      <c r="CN287" s="7"/>
      <c r="CO287" s="7"/>
      <c r="CP287" s="7"/>
    </row>
    <row r="288" spans="1:99" x14ac:dyDescent="0.2">
      <c r="A288" s="7" t="s">
        <v>1242</v>
      </c>
      <c r="B288" s="7" t="s">
        <v>46</v>
      </c>
      <c r="C288" t="str">
        <f t="shared" si="83"/>
        <v>I</v>
      </c>
      <c r="D288" t="str">
        <f t="shared" si="84"/>
        <v>S</v>
      </c>
      <c r="E288" t="str">
        <f t="shared" si="85"/>
        <v>G</v>
      </c>
      <c r="F288" s="7">
        <v>83</v>
      </c>
      <c r="G288" s="7">
        <v>79</v>
      </c>
      <c r="H288" s="7">
        <v>10.906000000000001</v>
      </c>
      <c r="I288" s="7">
        <v>0.16700000000000001</v>
      </c>
      <c r="J288" s="7">
        <v>4.5999999999999999E-2</v>
      </c>
      <c r="K288" s="7" t="s">
        <v>1181</v>
      </c>
      <c r="L288" t="str">
        <f t="shared" si="86"/>
        <v>M</v>
      </c>
      <c r="M288" s="7">
        <v>40</v>
      </c>
      <c r="N288" s="7">
        <v>0.86199999999999999</v>
      </c>
      <c r="O288" s="7">
        <v>0.44400000000000001</v>
      </c>
      <c r="P288" s="7" t="s">
        <v>1250</v>
      </c>
      <c r="Q288" t="str">
        <f t="shared" si="82"/>
        <v>F</v>
      </c>
      <c r="R288" s="7"/>
      <c r="S288" s="7"/>
      <c r="T288" s="7"/>
      <c r="U288" s="7"/>
      <c r="V288" s="7">
        <v>1</v>
      </c>
      <c r="W288" s="7">
        <v>0.39100000000000001</v>
      </c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  <c r="AS288" s="7"/>
      <c r="AT288" s="7"/>
      <c r="AU288" s="7"/>
      <c r="AV288" s="7"/>
      <c r="AW288" s="7"/>
      <c r="AX288" s="7"/>
      <c r="AY288" s="7"/>
      <c r="AZ288" s="7"/>
      <c r="BA288" s="7"/>
      <c r="BB288" s="7"/>
      <c r="BC288" s="7"/>
      <c r="BD288" s="7"/>
      <c r="BE288" s="7"/>
      <c r="BF288" s="7"/>
      <c r="BG288" s="7"/>
      <c r="BH288" s="7"/>
      <c r="BI288" s="7"/>
      <c r="BJ288" s="7"/>
      <c r="BK288" s="7"/>
      <c r="BL288" s="7"/>
      <c r="BM288" s="7"/>
      <c r="BN288" s="7"/>
      <c r="BO288" s="7"/>
      <c r="BP288" s="7"/>
      <c r="BQ288" s="7"/>
      <c r="BR288" s="7"/>
      <c r="BS288" s="7"/>
      <c r="BT288" s="7"/>
      <c r="BU288" s="7"/>
      <c r="BV288" s="7">
        <v>0.39100000000000001</v>
      </c>
      <c r="BW288" t="s">
        <v>1255</v>
      </c>
      <c r="BX288" t="str">
        <f t="shared" si="92"/>
        <v>22</v>
      </c>
      <c r="BY288" t="str">
        <f t="shared" si="93"/>
        <v>6</v>
      </c>
      <c r="BZ288" t="str">
        <f t="shared" si="94"/>
        <v>2021</v>
      </c>
      <c r="CA288" s="5">
        <f t="shared" si="87"/>
        <v>44369</v>
      </c>
      <c r="CB288">
        <v>173</v>
      </c>
      <c r="CC288" s="7">
        <v>12</v>
      </c>
      <c r="CD288" t="s">
        <v>1256</v>
      </c>
      <c r="CE288">
        <f t="shared" si="88"/>
        <v>0.42357274401473288</v>
      </c>
      <c r="CF288">
        <f t="shared" si="89"/>
        <v>1.5550796163516156</v>
      </c>
      <c r="CG288">
        <f t="shared" si="95"/>
        <v>1.5617693818385859E-2</v>
      </c>
      <c r="CH288">
        <f t="shared" si="96"/>
        <v>4.2439304148346393</v>
      </c>
      <c r="CI288">
        <f t="shared" si="90"/>
        <v>3.8327526132404177</v>
      </c>
      <c r="CJ288" s="1">
        <f t="shared" si="91"/>
        <v>7.417935081606454</v>
      </c>
      <c r="CK288" s="7" t="s">
        <v>142</v>
      </c>
      <c r="CL288" s="7">
        <v>1</v>
      </c>
      <c r="CM288" s="7"/>
      <c r="CN288" s="7"/>
      <c r="CO288" s="7"/>
      <c r="CP288" s="7"/>
    </row>
    <row r="289" spans="1:99" x14ac:dyDescent="0.2">
      <c r="A289" s="7" t="s">
        <v>1243</v>
      </c>
      <c r="B289" s="7" t="s">
        <v>46</v>
      </c>
      <c r="C289" t="str">
        <f t="shared" si="83"/>
        <v>I</v>
      </c>
      <c r="D289" t="str">
        <f t="shared" si="84"/>
        <v>S</v>
      </c>
      <c r="E289" t="str">
        <f t="shared" si="85"/>
        <v>G</v>
      </c>
      <c r="F289" s="7">
        <v>71</v>
      </c>
      <c r="G289" s="7">
        <v>66</v>
      </c>
      <c r="H289" s="7">
        <v>5.7140000000000004</v>
      </c>
      <c r="I289" s="7">
        <v>6.0999999999999999E-2</v>
      </c>
      <c r="J289" s="7">
        <v>8.0000000000000002E-3</v>
      </c>
      <c r="K289" s="7" t="s">
        <v>1181</v>
      </c>
      <c r="L289" t="str">
        <f t="shared" si="86"/>
        <v>M</v>
      </c>
      <c r="M289" s="7">
        <v>40</v>
      </c>
      <c r="N289" s="7">
        <v>0.222</v>
      </c>
      <c r="O289" s="7">
        <v>0.17499999999999999</v>
      </c>
      <c r="P289" s="7" t="s">
        <v>1251</v>
      </c>
      <c r="Q289" t="str">
        <f t="shared" si="82"/>
        <v>F</v>
      </c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>
        <v>4</v>
      </c>
      <c r="AO289" s="7">
        <v>7.0000000000000001E-3</v>
      </c>
      <c r="AP289" s="7"/>
      <c r="AQ289" s="7"/>
      <c r="AR289" s="7"/>
      <c r="AS289" s="7"/>
      <c r="AT289" s="7"/>
      <c r="AU289" s="7"/>
      <c r="AV289" s="7"/>
      <c r="AW289" s="7"/>
      <c r="AX289" s="7"/>
      <c r="AY289" s="7"/>
      <c r="AZ289" s="7"/>
      <c r="BA289" s="7"/>
      <c r="BB289" s="7"/>
      <c r="BC289" s="7"/>
      <c r="BD289" s="7"/>
      <c r="BE289" s="7"/>
      <c r="BF289" s="7"/>
      <c r="BG289" s="7"/>
      <c r="BH289" s="7"/>
      <c r="BI289" s="7"/>
      <c r="BJ289" s="7"/>
      <c r="BK289" s="7"/>
      <c r="BL289" s="7"/>
      <c r="BM289" s="7"/>
      <c r="BN289" s="7"/>
      <c r="BO289" s="7"/>
      <c r="BP289" s="7"/>
      <c r="BQ289" s="7"/>
      <c r="BR289" s="7"/>
      <c r="BS289" s="7"/>
      <c r="BT289" s="7"/>
      <c r="BU289" s="7"/>
      <c r="BV289" s="7">
        <v>7.0000000000000001E-3</v>
      </c>
      <c r="BW289" t="s">
        <v>1255</v>
      </c>
      <c r="BX289" t="str">
        <f t="shared" si="92"/>
        <v>22</v>
      </c>
      <c r="BY289" t="str">
        <f t="shared" si="93"/>
        <v>6</v>
      </c>
      <c r="BZ289" t="str">
        <f t="shared" si="94"/>
        <v>2021</v>
      </c>
      <c r="CA289" s="5">
        <f t="shared" si="87"/>
        <v>44369</v>
      </c>
      <c r="CB289">
        <v>173</v>
      </c>
      <c r="CC289" s="7">
        <v>12</v>
      </c>
      <c r="CD289" t="s">
        <v>948</v>
      </c>
      <c r="CE289">
        <f t="shared" si="88"/>
        <v>0.14020329477742727</v>
      </c>
      <c r="CF289">
        <f t="shared" si="89"/>
        <v>1.0790730585529806</v>
      </c>
      <c r="CG289">
        <f t="shared" si="95"/>
        <v>1.0806023029229405E-2</v>
      </c>
      <c r="CH289">
        <f t="shared" si="96"/>
        <v>3.1594150568694706</v>
      </c>
      <c r="CI289">
        <f t="shared" si="90"/>
        <v>0.82254112705635296</v>
      </c>
      <c r="CJ289" s="1">
        <f t="shared" si="91"/>
        <v>0.94504725236261833</v>
      </c>
      <c r="CK289" s="7" t="s">
        <v>142</v>
      </c>
      <c r="CL289" s="7">
        <v>1</v>
      </c>
      <c r="CM289" s="7"/>
      <c r="CN289" s="7"/>
      <c r="CO289" s="7"/>
      <c r="CP289" s="7"/>
    </row>
    <row r="290" spans="1:99" x14ac:dyDescent="0.2">
      <c r="A290" s="7" t="s">
        <v>1244</v>
      </c>
      <c r="B290" s="7" t="s">
        <v>46</v>
      </c>
      <c r="C290" t="str">
        <f t="shared" si="83"/>
        <v>S</v>
      </c>
      <c r="D290" t="str">
        <f t="shared" si="84"/>
        <v>IMM</v>
      </c>
      <c r="E290" t="str">
        <f t="shared" si="85"/>
        <v>G</v>
      </c>
      <c r="F290" s="7">
        <v>60</v>
      </c>
      <c r="G290" s="7">
        <v>56</v>
      </c>
      <c r="H290" s="7">
        <v>3.762</v>
      </c>
      <c r="I290" s="7">
        <v>7.2999999999999995E-2</v>
      </c>
      <c r="J290" s="7">
        <v>0.113</v>
      </c>
      <c r="K290" s="7" t="s">
        <v>867</v>
      </c>
      <c r="L290" t="str">
        <f t="shared" si="86"/>
        <v>F</v>
      </c>
      <c r="M290" s="7">
        <v>30</v>
      </c>
      <c r="N290" s="7">
        <v>0.21099999999999999</v>
      </c>
      <c r="O290" s="7">
        <v>0.17899999999999999</v>
      </c>
      <c r="P290" s="7" t="s">
        <v>1252</v>
      </c>
      <c r="Q290" t="str">
        <f t="shared" si="82"/>
        <v>F</v>
      </c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>
        <v>20</v>
      </c>
      <c r="AO290" s="7">
        <v>1.2E-2</v>
      </c>
      <c r="AP290" s="7"/>
      <c r="AQ290" s="7"/>
      <c r="AR290" s="7"/>
      <c r="AS290" s="7"/>
      <c r="AT290" s="7"/>
      <c r="AU290" s="7"/>
      <c r="AV290" s="7"/>
      <c r="AW290" s="7"/>
      <c r="AX290" s="7"/>
      <c r="AY290" s="7"/>
      <c r="AZ290" s="7"/>
      <c r="BA290" s="7"/>
      <c r="BB290" s="7"/>
      <c r="BC290" s="7"/>
      <c r="BD290" s="7"/>
      <c r="BE290" s="7"/>
      <c r="BF290" s="7"/>
      <c r="BG290" s="7"/>
      <c r="BH290" s="7"/>
      <c r="BI290" s="7"/>
      <c r="BJ290" s="7"/>
      <c r="BK290" s="7"/>
      <c r="BL290" s="7"/>
      <c r="BM290" s="7"/>
      <c r="BN290" s="7"/>
      <c r="BO290" s="7"/>
      <c r="BP290" s="7"/>
      <c r="BQ290" s="7"/>
      <c r="BR290" s="7"/>
      <c r="BS290" s="7"/>
      <c r="BT290" s="7"/>
      <c r="BU290" s="7"/>
      <c r="BV290" s="7">
        <v>1.2E-2</v>
      </c>
      <c r="BW290" t="s">
        <v>1255</v>
      </c>
      <c r="BX290" t="str">
        <f t="shared" si="92"/>
        <v>22</v>
      </c>
      <c r="BY290" t="str">
        <f t="shared" si="93"/>
        <v>6</v>
      </c>
      <c r="BZ290" t="str">
        <f t="shared" si="94"/>
        <v>2021</v>
      </c>
      <c r="CA290" s="5">
        <f t="shared" si="87"/>
        <v>44369</v>
      </c>
      <c r="CB290">
        <v>173</v>
      </c>
      <c r="CC290" s="7">
        <v>12</v>
      </c>
      <c r="CD290" t="s">
        <v>1257</v>
      </c>
      <c r="CE290">
        <f t="shared" si="88"/>
        <v>3.096738832556865</v>
      </c>
      <c r="CF290">
        <f t="shared" si="89"/>
        <v>1.9788560585524533</v>
      </c>
      <c r="CG290">
        <f t="shared" si="95"/>
        <v>2.0413870246085011E-2</v>
      </c>
      <c r="CH290">
        <f t="shared" si="96"/>
        <v>4.9958135640524697</v>
      </c>
      <c r="CI290">
        <f t="shared" si="90"/>
        <v>0.85061137692716648</v>
      </c>
      <c r="CJ290" s="1">
        <f t="shared" si="91"/>
        <v>1.1695906432748537</v>
      </c>
      <c r="CK290" s="7" t="s">
        <v>142</v>
      </c>
      <c r="CL290" s="7">
        <v>1</v>
      </c>
      <c r="CM290" s="7">
        <v>0</v>
      </c>
      <c r="CN290" s="7">
        <v>0</v>
      </c>
      <c r="CO290" s="7">
        <v>0</v>
      </c>
      <c r="CP290" s="7">
        <v>0</v>
      </c>
      <c r="CQ290" s="12">
        <v>7.1999999999999998E-3</v>
      </c>
      <c r="CR290">
        <f>CQ290/(H290-I290-J290-N290)*1000</f>
        <v>2.1396731054977711</v>
      </c>
      <c r="CS290">
        <v>6.9210000000000003</v>
      </c>
      <c r="CU290">
        <v>172.24376089353476</v>
      </c>
    </row>
    <row r="291" spans="1:99" x14ac:dyDescent="0.2">
      <c r="A291" s="7" t="s">
        <v>1245</v>
      </c>
      <c r="B291" s="7" t="s">
        <v>46</v>
      </c>
      <c r="C291" t="str">
        <f t="shared" si="83"/>
        <v>S</v>
      </c>
      <c r="D291" t="str">
        <f t="shared" si="84"/>
        <v>IMM</v>
      </c>
      <c r="E291" t="str">
        <f t="shared" si="85"/>
        <v>N</v>
      </c>
      <c r="F291" s="7">
        <v>56</v>
      </c>
      <c r="G291" s="7">
        <v>53</v>
      </c>
      <c r="H291" s="7">
        <v>2.9239999999999999</v>
      </c>
      <c r="I291" s="7">
        <v>4.8000000000000001E-2</v>
      </c>
      <c r="J291" s="7">
        <v>0.28699999999999998</v>
      </c>
      <c r="K291" s="7" t="s">
        <v>867</v>
      </c>
      <c r="L291" t="str">
        <f t="shared" si="86"/>
        <v>F</v>
      </c>
      <c r="M291" s="7">
        <v>30</v>
      </c>
      <c r="N291" s="7">
        <v>0.106</v>
      </c>
      <c r="O291" s="7">
        <v>8.5999999999999993E-2</v>
      </c>
      <c r="P291" s="7" t="s">
        <v>36</v>
      </c>
      <c r="Q291" t="str">
        <f t="shared" si="82"/>
        <v>MT</v>
      </c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  <c r="AQ291" s="7"/>
      <c r="AR291" s="7"/>
      <c r="AS291" s="7"/>
      <c r="AT291" s="7"/>
      <c r="AU291" s="7"/>
      <c r="AV291" s="7"/>
      <c r="AW291" s="7"/>
      <c r="AX291" s="7"/>
      <c r="AY291" s="7"/>
      <c r="AZ291" s="7"/>
      <c r="BA291" s="7"/>
      <c r="BB291" s="7"/>
      <c r="BC291" s="7"/>
      <c r="BD291" s="7"/>
      <c r="BE291" s="7"/>
      <c r="BF291" s="7"/>
      <c r="BG291" s="7"/>
      <c r="BH291" s="7"/>
      <c r="BI291" s="7"/>
      <c r="BJ291" s="7"/>
      <c r="BK291" s="7"/>
      <c r="BL291" s="7"/>
      <c r="BM291" s="7"/>
      <c r="BN291" s="7"/>
      <c r="BO291" s="7"/>
      <c r="BP291" s="7"/>
      <c r="BQ291" s="7"/>
      <c r="BR291" s="7"/>
      <c r="BS291" s="7"/>
      <c r="BT291" s="7"/>
      <c r="BU291" s="7"/>
      <c r="BW291" t="s">
        <v>1255</v>
      </c>
      <c r="BX291" t="str">
        <f t="shared" si="92"/>
        <v>22</v>
      </c>
      <c r="BY291" t="str">
        <f t="shared" si="93"/>
        <v>6</v>
      </c>
      <c r="BZ291" t="str">
        <f t="shared" si="94"/>
        <v>2021</v>
      </c>
      <c r="CA291" s="5">
        <f t="shared" si="87"/>
        <v>44369</v>
      </c>
      <c r="CB291">
        <v>173</v>
      </c>
      <c r="CC291" s="7">
        <v>12</v>
      </c>
      <c r="CD291" t="s">
        <v>948</v>
      </c>
      <c r="CE291">
        <f t="shared" si="88"/>
        <v>10.883579825559348</v>
      </c>
      <c r="CF291">
        <f t="shared" si="89"/>
        <v>1.6689847009735743</v>
      </c>
      <c r="CG291">
        <f t="shared" si="95"/>
        <v>1.8539976825028968E-2</v>
      </c>
      <c r="CH291">
        <f t="shared" si="96"/>
        <v>3.0303030303030298</v>
      </c>
      <c r="CI291">
        <f t="shared" si="90"/>
        <v>0.68399452804377581</v>
      </c>
      <c r="CJ291" s="1">
        <f t="shared" si="91"/>
        <v>0.68399452804377581</v>
      </c>
      <c r="CK291" s="7" t="s">
        <v>142</v>
      </c>
      <c r="CL291" s="7">
        <v>1</v>
      </c>
      <c r="CM291" s="7"/>
      <c r="CN291" s="7"/>
      <c r="CO291" s="7"/>
      <c r="CP291" s="7"/>
    </row>
    <row r="292" spans="1:99" x14ac:dyDescent="0.2">
      <c r="A292" s="7" t="s">
        <v>1246</v>
      </c>
      <c r="B292" s="7" t="s">
        <v>46</v>
      </c>
      <c r="C292" t="str">
        <f t="shared" si="83"/>
        <v>S</v>
      </c>
      <c r="D292" t="str">
        <f t="shared" si="84"/>
        <v>IMM</v>
      </c>
      <c r="E292" t="str">
        <f t="shared" si="85"/>
        <v>G</v>
      </c>
      <c r="F292" s="7">
        <v>60</v>
      </c>
      <c r="G292" s="7">
        <v>56</v>
      </c>
      <c r="H292" s="7">
        <v>3.6459999999999999</v>
      </c>
      <c r="I292" s="7">
        <v>4.2000000000000003E-2</v>
      </c>
      <c r="J292" s="7">
        <v>4.7E-2</v>
      </c>
      <c r="K292" s="7" t="s">
        <v>336</v>
      </c>
      <c r="L292" t="str">
        <f t="shared" si="86"/>
        <v>F</v>
      </c>
      <c r="M292" s="7">
        <v>20</v>
      </c>
      <c r="N292" s="7">
        <v>0.224</v>
      </c>
      <c r="O292" s="7">
        <v>0.17499999999999999</v>
      </c>
      <c r="P292" s="7" t="s">
        <v>1253</v>
      </c>
      <c r="Q292" t="str">
        <f t="shared" si="82"/>
        <v>F</v>
      </c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  <c r="AQ292" s="7"/>
      <c r="AR292" s="7"/>
      <c r="AS292" s="7"/>
      <c r="AT292" s="7"/>
      <c r="AU292" s="7"/>
      <c r="AV292" s="7"/>
      <c r="AW292" s="7"/>
      <c r="AX292" s="7"/>
      <c r="AY292" s="7"/>
      <c r="AZ292" s="7"/>
      <c r="BA292" s="7"/>
      <c r="BB292" s="7"/>
      <c r="BC292" s="7"/>
      <c r="BD292" s="7"/>
      <c r="BE292" s="7"/>
      <c r="BF292" s="7"/>
      <c r="BG292" s="7"/>
      <c r="BH292" s="7"/>
      <c r="BI292" s="7"/>
      <c r="BJ292" s="7"/>
      <c r="BK292" s="7"/>
      <c r="BL292" s="7"/>
      <c r="BM292" s="7"/>
      <c r="BN292" s="7"/>
      <c r="BO292" s="7"/>
      <c r="BP292" s="7"/>
      <c r="BQ292" s="7"/>
      <c r="BR292" s="7"/>
      <c r="BS292" s="7"/>
      <c r="BT292" s="7">
        <v>1</v>
      </c>
      <c r="BU292" s="7">
        <v>1.2999999999999999E-2</v>
      </c>
      <c r="BV292" s="7">
        <v>1.2999999999999999E-2</v>
      </c>
      <c r="BW292" t="s">
        <v>1255</v>
      </c>
      <c r="BX292" t="str">
        <f t="shared" si="92"/>
        <v>22</v>
      </c>
      <c r="BY292" t="str">
        <f t="shared" si="93"/>
        <v>6</v>
      </c>
      <c r="BZ292" t="str">
        <f t="shared" si="94"/>
        <v>2021</v>
      </c>
      <c r="CA292" s="5">
        <f t="shared" si="87"/>
        <v>44369</v>
      </c>
      <c r="CB292">
        <v>173</v>
      </c>
      <c r="CC292" s="7">
        <v>12</v>
      </c>
      <c r="CD292" t="s">
        <v>948</v>
      </c>
      <c r="CE292">
        <f t="shared" si="88"/>
        <v>1.305918310641845</v>
      </c>
      <c r="CF292">
        <f t="shared" si="89"/>
        <v>1.165371809100999</v>
      </c>
      <c r="CG292">
        <f t="shared" si="95"/>
        <v>1.1807703120607254E-2</v>
      </c>
      <c r="CH292">
        <f t="shared" si="96"/>
        <v>5.0417747046960528</v>
      </c>
      <c r="CI292">
        <f t="shared" si="90"/>
        <v>1.3439385628085578</v>
      </c>
      <c r="CJ292" s="1">
        <f t="shared" si="91"/>
        <v>1.7004936917169506</v>
      </c>
      <c r="CK292" s="7" t="s">
        <v>142</v>
      </c>
      <c r="CL292" s="7">
        <v>1</v>
      </c>
      <c r="CM292" s="7">
        <v>0</v>
      </c>
      <c r="CN292" s="7">
        <v>3</v>
      </c>
      <c r="CO292" s="7">
        <v>0</v>
      </c>
      <c r="CP292" s="7">
        <v>0</v>
      </c>
      <c r="CQ292" s="12">
        <v>1.04E-2</v>
      </c>
      <c r="CR292">
        <f>CQ292/(H292-I292-J292-N292)*1000</f>
        <v>3.1203120312031203</v>
      </c>
      <c r="CS292">
        <v>6.9640000000000004</v>
      </c>
      <c r="CU292">
        <v>145.729429628292</v>
      </c>
    </row>
    <row r="293" spans="1:99" x14ac:dyDescent="0.2">
      <c r="A293" s="7" t="s">
        <v>1247</v>
      </c>
      <c r="B293" s="7" t="s">
        <v>46</v>
      </c>
      <c r="C293" t="str">
        <f t="shared" si="83"/>
        <v>I</v>
      </c>
      <c r="D293" t="str">
        <f t="shared" si="84"/>
        <v>S</v>
      </c>
      <c r="E293" t="str">
        <f t="shared" si="85"/>
        <v>G</v>
      </c>
      <c r="F293" s="7">
        <v>77</v>
      </c>
      <c r="G293" s="7">
        <v>73</v>
      </c>
      <c r="H293" s="7">
        <v>8.4589999999999996</v>
      </c>
      <c r="I293" s="7">
        <v>8.8999999999999996E-2</v>
      </c>
      <c r="J293" s="7">
        <v>8.0000000000000002E-3</v>
      </c>
      <c r="K293" s="7" t="s">
        <v>1181</v>
      </c>
      <c r="L293" t="str">
        <f t="shared" si="86"/>
        <v>M</v>
      </c>
      <c r="M293" s="7">
        <v>40</v>
      </c>
      <c r="N293" s="7">
        <v>0.33400000000000002</v>
      </c>
      <c r="O293" s="7">
        <v>0.29699999999999999</v>
      </c>
      <c r="P293" s="7" t="s">
        <v>1254</v>
      </c>
      <c r="Q293" t="str">
        <f t="shared" si="82"/>
        <v>F</v>
      </c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AR293" s="7"/>
      <c r="AS293" s="7"/>
      <c r="AT293" s="7"/>
      <c r="AU293" s="7"/>
      <c r="AV293" s="7"/>
      <c r="AW293" s="7"/>
      <c r="AX293" s="7"/>
      <c r="AY293" s="7"/>
      <c r="AZ293" s="7"/>
      <c r="BA293" s="7"/>
      <c r="BB293" s="7"/>
      <c r="BC293" s="7"/>
      <c r="BD293" s="7"/>
      <c r="BE293" s="7"/>
      <c r="BF293" s="7"/>
      <c r="BG293" s="7"/>
      <c r="BH293" s="7"/>
      <c r="BI293" s="7"/>
      <c r="BJ293" s="7"/>
      <c r="BK293" s="7"/>
      <c r="BL293" s="7"/>
      <c r="BM293" s="7"/>
      <c r="BN293" s="7"/>
      <c r="BO293" s="7"/>
      <c r="BP293" s="7"/>
      <c r="BQ293" s="7"/>
      <c r="BR293" s="7"/>
      <c r="BS293" s="7"/>
      <c r="BT293" s="7">
        <v>1</v>
      </c>
      <c r="BU293" s="7">
        <v>2.1999999999999999E-2</v>
      </c>
      <c r="BV293" s="7">
        <v>2.1999999999999999E-2</v>
      </c>
      <c r="BW293" t="s">
        <v>1255</v>
      </c>
      <c r="BX293" t="str">
        <f t="shared" si="92"/>
        <v>22</v>
      </c>
      <c r="BY293" t="str">
        <f t="shared" si="93"/>
        <v>6</v>
      </c>
      <c r="BZ293" t="str">
        <f t="shared" si="94"/>
        <v>2021</v>
      </c>
      <c r="CA293" s="5">
        <f t="shared" si="87"/>
        <v>44369</v>
      </c>
      <c r="CB293">
        <v>173</v>
      </c>
      <c r="CC293" s="7">
        <v>12</v>
      </c>
      <c r="CD293" t="s">
        <v>948</v>
      </c>
      <c r="CE293">
        <f t="shared" si="88"/>
        <v>9.4663353449295939E-2</v>
      </c>
      <c r="CF293">
        <f t="shared" si="89"/>
        <v>1.063321385902031</v>
      </c>
      <c r="CG293">
        <f t="shared" si="95"/>
        <v>1.064338674958144E-2</v>
      </c>
      <c r="CH293">
        <f t="shared" si="96"/>
        <v>3.6388140161725069</v>
      </c>
      <c r="CI293">
        <f t="shared" si="90"/>
        <v>0.43740394845726482</v>
      </c>
      <c r="CJ293" s="1">
        <f t="shared" si="91"/>
        <v>0.69748197186428695</v>
      </c>
      <c r="CK293" s="7" t="s">
        <v>142</v>
      </c>
      <c r="CL293" s="7">
        <v>1</v>
      </c>
      <c r="CM293" s="7"/>
      <c r="CN293" s="7"/>
      <c r="CO293" s="7"/>
      <c r="CP293" s="7"/>
    </row>
    <row r="294" spans="1:99" ht="32" x14ac:dyDescent="0.2">
      <c r="A294" s="7" t="s">
        <v>1303</v>
      </c>
      <c r="B294" s="7" t="s">
        <v>46</v>
      </c>
      <c r="C294" t="str">
        <f t="shared" si="83"/>
        <v>I</v>
      </c>
      <c r="D294" t="str">
        <f t="shared" si="84"/>
        <v>B</v>
      </c>
      <c r="E294" t="str">
        <f t="shared" si="85"/>
        <v>N</v>
      </c>
      <c r="F294" s="7">
        <v>140</v>
      </c>
      <c r="G294" s="7">
        <v>134</v>
      </c>
      <c r="H294" s="7">
        <v>53.66</v>
      </c>
      <c r="I294" s="7">
        <v>0.53700000000000003</v>
      </c>
      <c r="J294" s="7">
        <v>0.56100000000000005</v>
      </c>
      <c r="K294" s="7" t="s">
        <v>868</v>
      </c>
      <c r="L294" t="str">
        <f t="shared" si="86"/>
        <v>M</v>
      </c>
      <c r="M294" s="7">
        <v>30</v>
      </c>
      <c r="N294" s="7">
        <v>2.3679999999999999</v>
      </c>
      <c r="O294" s="7">
        <v>1.8779999999999999</v>
      </c>
      <c r="P294" s="7" t="s">
        <v>1339</v>
      </c>
      <c r="Q294" t="str">
        <f t="shared" si="82"/>
        <v>F</v>
      </c>
      <c r="R294" s="7"/>
      <c r="S294" s="7"/>
      <c r="T294" s="7"/>
      <c r="U294" s="7"/>
      <c r="V294" s="7">
        <v>1</v>
      </c>
      <c r="W294" s="7">
        <v>0.316</v>
      </c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>
        <v>3</v>
      </c>
      <c r="AK294" s="7">
        <v>1.2999999999999999E-2</v>
      </c>
      <c r="AL294" s="7"/>
      <c r="AM294" s="7"/>
      <c r="AN294" s="7"/>
      <c r="AO294" s="7"/>
      <c r="AP294" s="7"/>
      <c r="AQ294" s="7"/>
      <c r="AR294" s="7"/>
      <c r="AS294" s="7"/>
      <c r="AT294" s="7"/>
      <c r="AU294" s="7"/>
      <c r="AV294" s="7"/>
      <c r="AW294" s="7"/>
      <c r="AX294" s="7"/>
      <c r="AY294" s="7"/>
      <c r="AZ294" s="7"/>
      <c r="BA294" s="7"/>
      <c r="BB294" s="7"/>
      <c r="BC294" s="7"/>
      <c r="BD294" s="7"/>
      <c r="BE294" s="7"/>
      <c r="BF294" s="7"/>
      <c r="BG294" s="7"/>
      <c r="BH294" s="7"/>
      <c r="BI294" s="7"/>
      <c r="BJ294" s="7"/>
      <c r="BK294" s="7"/>
      <c r="BL294" s="7"/>
      <c r="BM294" s="7"/>
      <c r="BN294" s="7"/>
      <c r="BO294" s="7"/>
      <c r="BP294" s="7"/>
      <c r="BQ294" s="7"/>
      <c r="BR294" s="7"/>
      <c r="BS294" s="7"/>
      <c r="BT294" s="7"/>
      <c r="BU294" s="7"/>
      <c r="BV294" s="7">
        <v>0.32900000000000001</v>
      </c>
      <c r="BW294" s="5">
        <v>44384</v>
      </c>
      <c r="BX294" s="7">
        <v>7</v>
      </c>
      <c r="BY294" s="7">
        <v>7</v>
      </c>
      <c r="BZ294" s="7">
        <v>2021</v>
      </c>
      <c r="CA294" s="5">
        <f t="shared" si="87"/>
        <v>44384</v>
      </c>
      <c r="CB294">
        <v>188</v>
      </c>
      <c r="CC294" s="7">
        <v>13</v>
      </c>
      <c r="CD294" t="s">
        <v>1352</v>
      </c>
      <c r="CE294">
        <f t="shared" si="88"/>
        <v>1.0565170718845931</v>
      </c>
      <c r="CF294">
        <f t="shared" si="89"/>
        <v>1.010861585377332</v>
      </c>
      <c r="CG294">
        <f t="shared" si="95"/>
        <v>1.0216506221224459E-2</v>
      </c>
      <c r="CH294">
        <f t="shared" si="96"/>
        <v>3.6267428836275153</v>
      </c>
      <c r="CI294">
        <f t="shared" si="90"/>
        <v>0.9131569139023481</v>
      </c>
      <c r="CJ294" s="1">
        <f t="shared" si="91"/>
        <v>1.5262765560939247</v>
      </c>
      <c r="CK294" s="7" t="s">
        <v>142</v>
      </c>
      <c r="CL294" s="7">
        <v>1</v>
      </c>
      <c r="CM294" s="7"/>
      <c r="CN294" s="7"/>
      <c r="CO294" s="7"/>
      <c r="CP294" s="7"/>
    </row>
    <row r="295" spans="1:99" ht="32" x14ac:dyDescent="0.2">
      <c r="A295" s="7" t="s">
        <v>1304</v>
      </c>
      <c r="B295" s="7" t="s">
        <v>46</v>
      </c>
      <c r="C295" t="str">
        <f t="shared" si="83"/>
        <v>I</v>
      </c>
      <c r="D295" t="str">
        <f t="shared" si="84"/>
        <v>B</v>
      </c>
      <c r="E295" t="str">
        <f t="shared" si="85"/>
        <v>N</v>
      </c>
      <c r="F295" s="7">
        <v>124</v>
      </c>
      <c r="G295" s="7">
        <v>117</v>
      </c>
      <c r="H295" s="7">
        <v>37.616999999999997</v>
      </c>
      <c r="I295" s="7">
        <v>0.40500000000000003</v>
      </c>
      <c r="J295" s="7">
        <v>0.11600000000000001</v>
      </c>
      <c r="K295" s="7" t="s">
        <v>868</v>
      </c>
      <c r="L295" t="str">
        <f t="shared" si="86"/>
        <v>M</v>
      </c>
      <c r="M295" s="7">
        <v>30</v>
      </c>
      <c r="N295" s="7">
        <v>2.2490000000000001</v>
      </c>
      <c r="O295" s="7">
        <v>2.0579999999999998</v>
      </c>
      <c r="P295" s="7" t="s">
        <v>1340</v>
      </c>
      <c r="Q295" t="str">
        <f t="shared" si="82"/>
        <v>F</v>
      </c>
      <c r="R295" s="7"/>
      <c r="S295" s="7"/>
      <c r="T295" s="7"/>
      <c r="U295" s="7"/>
      <c r="V295" s="7">
        <v>3</v>
      </c>
      <c r="W295" s="7">
        <v>0.11</v>
      </c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7"/>
      <c r="AP295" s="7"/>
      <c r="AQ295" s="7"/>
      <c r="AR295" s="7"/>
      <c r="AS295" s="7"/>
      <c r="AT295" s="7"/>
      <c r="AU295" s="7"/>
      <c r="AV295" s="7"/>
      <c r="AW295" s="7"/>
      <c r="AX295" s="7"/>
      <c r="AY295" s="7"/>
      <c r="AZ295" s="7"/>
      <c r="BA295" s="7"/>
      <c r="BB295" s="7"/>
      <c r="BC295" s="7"/>
      <c r="BD295" s="7"/>
      <c r="BE295" s="7"/>
      <c r="BF295" s="7"/>
      <c r="BG295" s="7"/>
      <c r="BH295" s="7"/>
      <c r="BI295" s="7"/>
      <c r="BJ295" s="7"/>
      <c r="BK295" s="7"/>
      <c r="BL295" s="7"/>
      <c r="BM295" s="7"/>
      <c r="BN295" s="7"/>
      <c r="BO295" s="7"/>
      <c r="BP295" s="7"/>
      <c r="BQ295" s="7"/>
      <c r="BR295" s="7"/>
      <c r="BS295" s="7"/>
      <c r="BT295" s="7"/>
      <c r="BU295" s="7"/>
      <c r="BV295" s="7">
        <v>0.11</v>
      </c>
      <c r="BW295" s="5">
        <v>44384</v>
      </c>
      <c r="BX295" s="7">
        <v>7</v>
      </c>
      <c r="BY295" s="7">
        <v>7</v>
      </c>
      <c r="BZ295" s="7">
        <v>2021</v>
      </c>
      <c r="CA295" s="5">
        <f t="shared" si="87"/>
        <v>44384</v>
      </c>
      <c r="CB295">
        <v>188</v>
      </c>
      <c r="CC295" s="7">
        <v>13</v>
      </c>
      <c r="CD295" t="s">
        <v>1353</v>
      </c>
      <c r="CE295">
        <f t="shared" si="88"/>
        <v>0.309325084664409</v>
      </c>
      <c r="CF295">
        <f t="shared" si="89"/>
        <v>1.0883585940019349</v>
      </c>
      <c r="CG295">
        <f t="shared" si="95"/>
        <v>1.0917619150312703E-2</v>
      </c>
      <c r="CH295">
        <f t="shared" si="96"/>
        <v>5.7875643297055603</v>
      </c>
      <c r="CI295">
        <f t="shared" si="90"/>
        <v>0.50774915596671799</v>
      </c>
      <c r="CJ295" s="1">
        <f t="shared" si="91"/>
        <v>0.80017013584283769</v>
      </c>
      <c r="CK295" s="7" t="s">
        <v>142</v>
      </c>
      <c r="CL295" s="7">
        <v>1</v>
      </c>
      <c r="CM295" s="7"/>
      <c r="CN295" s="7"/>
      <c r="CO295" s="7"/>
      <c r="CP295" s="7"/>
    </row>
    <row r="296" spans="1:99" ht="32" x14ac:dyDescent="0.2">
      <c r="A296" s="7" t="s">
        <v>1305</v>
      </c>
      <c r="B296" s="7" t="s">
        <v>46</v>
      </c>
      <c r="C296" t="str">
        <f t="shared" si="83"/>
        <v>I</v>
      </c>
      <c r="D296" t="str">
        <f t="shared" si="84"/>
        <v>B</v>
      </c>
      <c r="E296" t="str">
        <f t="shared" si="85"/>
        <v>N</v>
      </c>
      <c r="F296" s="7">
        <v>122</v>
      </c>
      <c r="G296" s="7">
        <v>114</v>
      </c>
      <c r="H296" s="7">
        <v>34.052</v>
      </c>
      <c r="I296" s="7">
        <v>0.35499999999999998</v>
      </c>
      <c r="J296" s="7">
        <v>0.23300000000000001</v>
      </c>
      <c r="K296" s="7" t="s">
        <v>868</v>
      </c>
      <c r="L296" t="str">
        <f t="shared" si="86"/>
        <v>M</v>
      </c>
      <c r="M296" s="7">
        <v>30</v>
      </c>
      <c r="N296" s="7">
        <v>2.355</v>
      </c>
      <c r="O296" s="7">
        <v>1.8939999999999999</v>
      </c>
      <c r="P296" s="7" t="s">
        <v>1341</v>
      </c>
      <c r="Q296" t="str">
        <f t="shared" si="82"/>
        <v>F</v>
      </c>
      <c r="R296" s="7"/>
      <c r="S296" s="7"/>
      <c r="T296" s="7"/>
      <c r="U296" s="7"/>
      <c r="V296" s="7">
        <v>1</v>
      </c>
      <c r="W296" s="7">
        <v>0.27100000000000002</v>
      </c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  <c r="AP296" s="7"/>
      <c r="AQ296" s="7"/>
      <c r="AR296" s="7">
        <v>1</v>
      </c>
      <c r="AS296" s="7">
        <v>0.02</v>
      </c>
      <c r="AT296" s="7"/>
      <c r="AU296" s="7"/>
      <c r="AV296" s="7">
        <v>25</v>
      </c>
      <c r="AW296" s="7">
        <v>5.8000000000000003E-2</v>
      </c>
      <c r="AX296" s="7"/>
      <c r="AY296" s="7"/>
      <c r="AZ296" s="7"/>
      <c r="BA296" s="7"/>
      <c r="BB296" s="7"/>
      <c r="BC296" s="7"/>
      <c r="BD296" s="7"/>
      <c r="BE296" s="7"/>
      <c r="BF296" s="7"/>
      <c r="BG296" s="7"/>
      <c r="BH296" s="7"/>
      <c r="BI296" s="7"/>
      <c r="BJ296" s="7"/>
      <c r="BK296" s="7"/>
      <c r="BL296" s="7"/>
      <c r="BM296" s="7"/>
      <c r="BN296" s="7"/>
      <c r="BO296" s="7"/>
      <c r="BP296" s="7"/>
      <c r="BQ296" s="7"/>
      <c r="BR296" s="7"/>
      <c r="BS296" s="7"/>
      <c r="BT296" s="7"/>
      <c r="BU296" s="7"/>
      <c r="BV296">
        <f>0.271+0.058+0.02</f>
        <v>0.34900000000000003</v>
      </c>
      <c r="BW296" s="5">
        <v>44384</v>
      </c>
      <c r="BX296" s="7">
        <v>7</v>
      </c>
      <c r="BY296" s="7">
        <v>7</v>
      </c>
      <c r="BZ296" s="7">
        <v>2021</v>
      </c>
      <c r="CA296" s="5">
        <f t="shared" si="87"/>
        <v>44384</v>
      </c>
      <c r="CB296">
        <v>188</v>
      </c>
      <c r="CC296" s="7">
        <v>13</v>
      </c>
      <c r="CD296" t="s">
        <v>1354</v>
      </c>
      <c r="CE296">
        <f t="shared" si="88"/>
        <v>0.688961826192377</v>
      </c>
      <c r="CF296">
        <f t="shared" si="89"/>
        <v>1.0535062468469001</v>
      </c>
      <c r="CG296">
        <f t="shared" si="95"/>
        <v>1.0608415013148456E-2</v>
      </c>
      <c r="CH296">
        <f t="shared" si="96"/>
        <v>5.8896697555818136</v>
      </c>
      <c r="CI296">
        <f t="shared" si="90"/>
        <v>1.3538118172207216</v>
      </c>
      <c r="CJ296" s="1">
        <f t="shared" si="91"/>
        <v>2.378714906613415</v>
      </c>
      <c r="CK296" s="7" t="s">
        <v>142</v>
      </c>
      <c r="CL296" s="7">
        <v>1</v>
      </c>
      <c r="CM296" s="7"/>
      <c r="CN296" s="7"/>
      <c r="CO296" s="7"/>
      <c r="CP296" s="7"/>
    </row>
    <row r="297" spans="1:99" x14ac:dyDescent="0.2">
      <c r="A297" s="7" t="s">
        <v>1306</v>
      </c>
      <c r="B297" s="7" t="s">
        <v>46</v>
      </c>
      <c r="C297" t="str">
        <f t="shared" si="83"/>
        <v>I</v>
      </c>
      <c r="D297" t="str">
        <f t="shared" si="84"/>
        <v>B</v>
      </c>
      <c r="E297" t="str">
        <f t="shared" si="85"/>
        <v>N</v>
      </c>
      <c r="F297" s="7">
        <v>141</v>
      </c>
      <c r="G297" s="7">
        <v>134</v>
      </c>
      <c r="H297" s="7">
        <v>59.548999999999999</v>
      </c>
      <c r="I297" s="7">
        <v>0.59</v>
      </c>
      <c r="J297" s="7">
        <v>0.45600000000000002</v>
      </c>
      <c r="K297" s="7" t="s">
        <v>868</v>
      </c>
      <c r="L297" t="str">
        <f t="shared" si="86"/>
        <v>M</v>
      </c>
      <c r="M297" s="7">
        <v>30</v>
      </c>
      <c r="N297" s="7">
        <v>2.1760000000000002</v>
      </c>
      <c r="O297" s="7">
        <v>1.8720000000000001</v>
      </c>
      <c r="P297" s="7" t="s">
        <v>1342</v>
      </c>
      <c r="Q297" t="str">
        <f t="shared" si="82"/>
        <v>F</v>
      </c>
      <c r="R297" s="7"/>
      <c r="S297" s="7"/>
      <c r="T297" s="7"/>
      <c r="U297" s="7"/>
      <c r="V297" s="7">
        <v>1</v>
      </c>
      <c r="W297" s="7">
        <v>0.25</v>
      </c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  <c r="AP297" s="7"/>
      <c r="AQ297" s="7"/>
      <c r="AR297" s="7"/>
      <c r="AS297" s="7"/>
      <c r="AT297" s="7"/>
      <c r="AU297" s="7"/>
      <c r="AV297" s="7"/>
      <c r="AW297" s="7"/>
      <c r="AX297" s="7"/>
      <c r="AY297" s="7"/>
      <c r="AZ297" s="7"/>
      <c r="BA297" s="7"/>
      <c r="BB297" s="7"/>
      <c r="BC297" s="7"/>
      <c r="BD297" s="7"/>
      <c r="BE297" s="7"/>
      <c r="BF297" s="7"/>
      <c r="BG297" s="7"/>
      <c r="BH297" s="7"/>
      <c r="BI297" s="7"/>
      <c r="BJ297" s="7"/>
      <c r="BK297" s="7"/>
      <c r="BL297" s="7"/>
      <c r="BM297" s="7"/>
      <c r="BN297" s="7"/>
      <c r="BO297" s="7"/>
      <c r="BP297" s="7"/>
      <c r="BQ297" s="7"/>
      <c r="BR297" s="7"/>
      <c r="BS297" s="7"/>
      <c r="BT297" s="7"/>
      <c r="BU297" s="7"/>
      <c r="BV297" s="7">
        <v>0.25</v>
      </c>
      <c r="BW297" s="5">
        <v>44384</v>
      </c>
      <c r="BX297" s="7">
        <v>7</v>
      </c>
      <c r="BY297" s="7">
        <v>7</v>
      </c>
      <c r="BZ297" s="7">
        <v>2021</v>
      </c>
      <c r="CA297" s="5">
        <f t="shared" si="87"/>
        <v>44384</v>
      </c>
      <c r="CB297">
        <v>188</v>
      </c>
      <c r="CC297" s="7">
        <v>13</v>
      </c>
      <c r="CD297" t="s">
        <v>1355</v>
      </c>
      <c r="CE297">
        <f t="shared" si="88"/>
        <v>0.7716650026229841</v>
      </c>
      <c r="CF297">
        <f t="shared" si="89"/>
        <v>1.0006953984972609</v>
      </c>
      <c r="CG297">
        <f t="shared" si="95"/>
        <v>1.008495290839786E-2</v>
      </c>
      <c r="CH297">
        <f t="shared" si="96"/>
        <v>3.2456611821003172</v>
      </c>
      <c r="CI297">
        <f t="shared" si="90"/>
        <v>0.5105039547263599</v>
      </c>
      <c r="CJ297" s="1">
        <f t="shared" si="91"/>
        <v>0.93032628591580047</v>
      </c>
      <c r="CK297" s="7" t="s">
        <v>142</v>
      </c>
      <c r="CL297" s="7">
        <v>2</v>
      </c>
      <c r="CM297" s="7"/>
      <c r="CN297" s="7"/>
      <c r="CO297" s="7"/>
      <c r="CP297" s="7"/>
    </row>
    <row r="298" spans="1:99" x14ac:dyDescent="0.2">
      <c r="A298" s="7" t="s">
        <v>1307</v>
      </c>
      <c r="B298" s="7" t="s">
        <v>46</v>
      </c>
      <c r="C298" t="str">
        <f t="shared" si="83"/>
        <v>I</v>
      </c>
      <c r="D298" t="str">
        <f t="shared" si="84"/>
        <v>B</v>
      </c>
      <c r="E298" t="str">
        <f t="shared" si="85"/>
        <v>N</v>
      </c>
      <c r="F298" s="7">
        <v>117</v>
      </c>
      <c r="G298" s="7">
        <v>111</v>
      </c>
      <c r="H298" s="7">
        <v>29.038</v>
      </c>
      <c r="I298" s="7">
        <v>0.28599999999999998</v>
      </c>
      <c r="J298" s="7">
        <v>0.115</v>
      </c>
      <c r="K298" s="7" t="s">
        <v>1337</v>
      </c>
      <c r="L298" t="str">
        <f t="shared" si="86"/>
        <v>M</v>
      </c>
      <c r="M298" t="s">
        <v>1338</v>
      </c>
      <c r="N298" s="7">
        <v>1.1220000000000001</v>
      </c>
      <c r="O298" s="7">
        <v>1.01</v>
      </c>
      <c r="P298" s="7" t="s">
        <v>1343</v>
      </c>
      <c r="Q298" t="str">
        <f t="shared" si="82"/>
        <v>F</v>
      </c>
      <c r="R298" s="7"/>
      <c r="S298" s="7"/>
      <c r="T298" s="7">
        <v>3</v>
      </c>
      <c r="U298" s="7">
        <v>6.0999999999999999E-2</v>
      </c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  <c r="AP298" s="7"/>
      <c r="AQ298" s="7"/>
      <c r="AR298" s="7"/>
      <c r="AS298" s="7"/>
      <c r="AT298" s="7"/>
      <c r="AU298" s="7"/>
      <c r="AV298" s="7"/>
      <c r="AW298" s="7"/>
      <c r="AX298" s="7"/>
      <c r="AY298" s="7"/>
      <c r="AZ298" s="7"/>
      <c r="BA298" s="7"/>
      <c r="BB298" s="7"/>
      <c r="BC298" s="7"/>
      <c r="BD298" s="7"/>
      <c r="BE298" s="7"/>
      <c r="BF298" s="7"/>
      <c r="BG298" s="7"/>
      <c r="BH298" s="7"/>
      <c r="BI298" s="7"/>
      <c r="BJ298" s="7"/>
      <c r="BK298" s="7"/>
      <c r="BL298" s="7"/>
      <c r="BM298" s="7"/>
      <c r="BN298" s="7"/>
      <c r="BO298" s="7"/>
      <c r="BP298" s="7"/>
      <c r="BQ298" s="7"/>
      <c r="BR298" s="7"/>
      <c r="BS298" s="7"/>
      <c r="BT298" s="7"/>
      <c r="BU298" s="7"/>
      <c r="BV298" s="7">
        <v>6.0999999999999999E-2</v>
      </c>
      <c r="BW298" s="5">
        <v>44384</v>
      </c>
      <c r="BX298" s="7">
        <v>7</v>
      </c>
      <c r="BY298" s="7">
        <v>7</v>
      </c>
      <c r="BZ298" s="7">
        <v>2021</v>
      </c>
      <c r="CA298" s="5">
        <f t="shared" si="87"/>
        <v>44384</v>
      </c>
      <c r="CB298">
        <v>188</v>
      </c>
      <c r="CC298" s="7">
        <v>13</v>
      </c>
      <c r="CD298" t="s">
        <v>1356</v>
      </c>
      <c r="CE298">
        <f t="shared" si="88"/>
        <v>0.39760744044532031</v>
      </c>
      <c r="CF298">
        <f t="shared" si="89"/>
        <v>0.99471341124095713</v>
      </c>
      <c r="CG298">
        <f t="shared" si="95"/>
        <v>9.9870796521982046E-3</v>
      </c>
      <c r="CH298">
        <f t="shared" si="96"/>
        <v>3.6035393178250321</v>
      </c>
      <c r="CI298">
        <f t="shared" si="90"/>
        <v>0.38570149459329189</v>
      </c>
      <c r="CJ298" s="1">
        <f t="shared" si="91"/>
        <v>0.59577105861285251</v>
      </c>
      <c r="CK298" s="7" t="s">
        <v>142</v>
      </c>
      <c r="CL298" s="7">
        <v>2</v>
      </c>
      <c r="CM298" s="7"/>
      <c r="CN298" s="7"/>
      <c r="CO298" s="7"/>
      <c r="CP298" s="7"/>
    </row>
    <row r="299" spans="1:99" x14ac:dyDescent="0.2">
      <c r="A299" s="7" t="s">
        <v>1308</v>
      </c>
      <c r="B299" s="7" t="s">
        <v>46</v>
      </c>
      <c r="C299" t="str">
        <f t="shared" si="83"/>
        <v>I</v>
      </c>
      <c r="D299" t="str">
        <f t="shared" si="84"/>
        <v>B</v>
      </c>
      <c r="E299" t="str">
        <f t="shared" si="85"/>
        <v>N</v>
      </c>
      <c r="F299" s="7">
        <v>137</v>
      </c>
      <c r="G299" s="7">
        <v>131</v>
      </c>
      <c r="H299" s="7">
        <v>43.735999999999997</v>
      </c>
      <c r="I299" s="7">
        <v>0.60799999999999998</v>
      </c>
      <c r="J299" s="7">
        <v>1.012</v>
      </c>
      <c r="K299" s="7" t="s">
        <v>867</v>
      </c>
      <c r="L299" t="str">
        <f t="shared" si="86"/>
        <v>F</v>
      </c>
      <c r="M299" s="7">
        <v>30</v>
      </c>
      <c r="N299" s="7">
        <v>1.752</v>
      </c>
      <c r="O299" s="7">
        <v>1.599</v>
      </c>
      <c r="P299" s="7" t="s">
        <v>1344</v>
      </c>
      <c r="Q299" t="str">
        <f t="shared" si="82"/>
        <v>F</v>
      </c>
      <c r="R299" s="7"/>
      <c r="S299" s="7"/>
      <c r="T299" s="7"/>
      <c r="U299" s="7"/>
      <c r="V299" s="7">
        <v>2</v>
      </c>
      <c r="W299" s="7">
        <v>7.6999999999999999E-2</v>
      </c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7"/>
      <c r="AP299" s="7"/>
      <c r="AQ299" s="7"/>
      <c r="AR299" s="7"/>
      <c r="AS299" s="7"/>
      <c r="AT299" s="7"/>
      <c r="AU299" s="7"/>
      <c r="AV299" s="7"/>
      <c r="AW299" s="7"/>
      <c r="AX299" s="7"/>
      <c r="AY299" s="7"/>
      <c r="AZ299" s="7"/>
      <c r="BA299" s="7"/>
      <c r="BB299" s="7"/>
      <c r="BC299" s="7"/>
      <c r="BD299" s="7"/>
      <c r="BE299" s="7"/>
      <c r="BF299" s="7"/>
      <c r="BG299" s="7"/>
      <c r="BH299" s="7"/>
      <c r="BI299" s="7"/>
      <c r="BJ299" s="7"/>
      <c r="BK299" s="7"/>
      <c r="BL299" s="7"/>
      <c r="BM299" s="7"/>
      <c r="BN299" s="7"/>
      <c r="BO299" s="7"/>
      <c r="BP299" s="7"/>
      <c r="BQ299" s="7"/>
      <c r="BR299" s="7"/>
      <c r="BS299" s="7"/>
      <c r="BT299" s="7"/>
      <c r="BU299" s="7"/>
      <c r="BV299" s="7">
        <v>7.6999999999999999E-2</v>
      </c>
      <c r="BW299" s="5">
        <v>44384</v>
      </c>
      <c r="BX299" s="7">
        <v>7</v>
      </c>
      <c r="BY299" s="7">
        <v>7</v>
      </c>
      <c r="BZ299" s="7">
        <v>2021</v>
      </c>
      <c r="CA299" s="5">
        <f t="shared" si="87"/>
        <v>44384</v>
      </c>
      <c r="CB299">
        <v>188</v>
      </c>
      <c r="CC299" s="7">
        <v>13</v>
      </c>
      <c r="CD299" t="s">
        <v>1357</v>
      </c>
      <c r="CE299">
        <f t="shared" si="88"/>
        <v>2.368692070030896</v>
      </c>
      <c r="CF299">
        <f t="shared" si="89"/>
        <v>1.4097570024114265</v>
      </c>
      <c r="CG299">
        <f t="shared" si="95"/>
        <v>1.4436318738721626E-2</v>
      </c>
      <c r="CH299">
        <f t="shared" si="96"/>
        <v>3.7947646961103065</v>
      </c>
      <c r="CI299">
        <f t="shared" si="90"/>
        <v>0.34982623010792036</v>
      </c>
      <c r="CJ299" s="1">
        <f t="shared" si="91"/>
        <v>0.52588256813608936</v>
      </c>
      <c r="CK299" s="7" t="s">
        <v>142</v>
      </c>
      <c r="CL299" s="7">
        <v>2</v>
      </c>
      <c r="CM299" s="7"/>
      <c r="CN299" s="7"/>
      <c r="CO299" s="7"/>
      <c r="CP299" s="7"/>
    </row>
    <row r="300" spans="1:99" x14ac:dyDescent="0.2">
      <c r="A300" s="7" t="s">
        <v>1309</v>
      </c>
      <c r="B300" s="7" t="s">
        <v>46</v>
      </c>
      <c r="C300" t="str">
        <f t="shared" si="83"/>
        <v>I</v>
      </c>
      <c r="D300" t="str">
        <f t="shared" si="84"/>
        <v>B</v>
      </c>
      <c r="E300" t="str">
        <f t="shared" si="85"/>
        <v>N</v>
      </c>
      <c r="F300" s="7">
        <v>123</v>
      </c>
      <c r="G300" s="7">
        <v>113</v>
      </c>
      <c r="H300" s="7">
        <v>37.076000000000001</v>
      </c>
      <c r="I300" s="7">
        <v>0.38700000000000001</v>
      </c>
      <c r="J300" s="7">
        <v>2.0369999999999999</v>
      </c>
      <c r="K300" s="7" t="s">
        <v>867</v>
      </c>
      <c r="L300" t="str">
        <f t="shared" si="86"/>
        <v>F</v>
      </c>
      <c r="M300" s="7">
        <v>30</v>
      </c>
      <c r="N300" s="7">
        <v>1.208</v>
      </c>
      <c r="O300" s="7">
        <v>1.0389999999999999</v>
      </c>
      <c r="P300" s="7" t="s">
        <v>1345</v>
      </c>
      <c r="Q300" t="str">
        <f t="shared" si="82"/>
        <v>F</v>
      </c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  <c r="AO300" s="7"/>
      <c r="AP300" s="7"/>
      <c r="AQ300" s="7"/>
      <c r="AR300" s="7"/>
      <c r="AS300" s="7"/>
      <c r="AT300" s="7"/>
      <c r="AU300" s="7"/>
      <c r="AV300" s="7"/>
      <c r="AW300" s="7"/>
      <c r="AX300" s="7"/>
      <c r="AY300" s="7"/>
      <c r="AZ300" s="7"/>
      <c r="BA300" s="7"/>
      <c r="BB300" s="7"/>
      <c r="BC300" s="7"/>
      <c r="BD300" s="7"/>
      <c r="BE300" s="7"/>
      <c r="BF300" s="7"/>
      <c r="BG300" s="7"/>
      <c r="BH300" s="7"/>
      <c r="BI300" s="7"/>
      <c r="BJ300" s="7"/>
      <c r="BK300" s="7"/>
      <c r="BL300" s="7"/>
      <c r="BM300" s="7"/>
      <c r="BN300" s="7"/>
      <c r="BO300" s="7"/>
      <c r="BP300" s="7"/>
      <c r="BQ300" s="7"/>
      <c r="BR300" s="7"/>
      <c r="BS300" s="7"/>
      <c r="BT300" s="7">
        <v>1</v>
      </c>
      <c r="BU300" s="7">
        <v>0.01</v>
      </c>
      <c r="BV300" s="7">
        <v>0.01</v>
      </c>
      <c r="BW300" s="5">
        <v>44384</v>
      </c>
      <c r="BX300" s="7">
        <v>7</v>
      </c>
      <c r="BY300" s="7">
        <v>7</v>
      </c>
      <c r="BZ300" s="7">
        <v>2021</v>
      </c>
      <c r="CA300" s="5">
        <f t="shared" si="87"/>
        <v>44384</v>
      </c>
      <c r="CB300">
        <v>188</v>
      </c>
      <c r="CC300" s="7">
        <v>13</v>
      </c>
      <c r="CD300" t="s">
        <v>1358</v>
      </c>
      <c r="CE300">
        <f t="shared" si="88"/>
        <v>5.8135220754016945</v>
      </c>
      <c r="CF300">
        <f t="shared" si="89"/>
        <v>1.0548120690125107</v>
      </c>
      <c r="CG300">
        <f t="shared" si="95"/>
        <v>1.1168186540459426E-2</v>
      </c>
      <c r="CH300">
        <f t="shared" si="96"/>
        <v>2.8831478757943221</v>
      </c>
      <c r="CI300">
        <f t="shared" si="90"/>
        <v>0.45582047685834509</v>
      </c>
      <c r="CJ300" s="1">
        <f t="shared" si="91"/>
        <v>0.48279210270795136</v>
      </c>
      <c r="CK300" s="7" t="s">
        <v>142</v>
      </c>
      <c r="CL300" s="7">
        <v>2</v>
      </c>
      <c r="CM300" s="7"/>
      <c r="CN300" s="7"/>
      <c r="CO300" s="7"/>
      <c r="CP300" s="7"/>
    </row>
    <row r="301" spans="1:99" x14ac:dyDescent="0.2">
      <c r="A301" s="7" t="s">
        <v>1310</v>
      </c>
      <c r="B301" s="7" t="s">
        <v>46</v>
      </c>
      <c r="C301" t="str">
        <f t="shared" si="83"/>
        <v>I</v>
      </c>
      <c r="D301" t="str">
        <f t="shared" si="84"/>
        <v>I</v>
      </c>
      <c r="E301" t="str">
        <f t="shared" si="85"/>
        <v>G</v>
      </c>
      <c r="F301" s="7">
        <v>87</v>
      </c>
      <c r="G301" s="7">
        <v>82</v>
      </c>
      <c r="H301" s="7">
        <v>11.397</v>
      </c>
      <c r="I301" s="7">
        <v>0.106</v>
      </c>
      <c r="J301" s="7">
        <v>0.02</v>
      </c>
      <c r="K301" s="7" t="s">
        <v>1210</v>
      </c>
      <c r="L301" t="str">
        <f t="shared" si="86"/>
        <v>F</v>
      </c>
      <c r="M301" s="7">
        <v>40</v>
      </c>
      <c r="N301" s="7">
        <v>0.42599999999999999</v>
      </c>
      <c r="O301" s="7">
        <v>0.41699999999999998</v>
      </c>
      <c r="P301" s="7" t="s">
        <v>36</v>
      </c>
      <c r="Q301" t="str">
        <f t="shared" si="82"/>
        <v>MT</v>
      </c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  <c r="AO301" s="7"/>
      <c r="AP301" s="7"/>
      <c r="AQ301" s="7"/>
      <c r="AR301" s="7"/>
      <c r="AS301" s="7"/>
      <c r="AT301" s="7"/>
      <c r="AU301" s="7"/>
      <c r="AV301" s="7"/>
      <c r="AW301" s="7"/>
      <c r="AX301" s="7"/>
      <c r="AY301" s="7"/>
      <c r="AZ301" s="7"/>
      <c r="BA301" s="7"/>
      <c r="BB301" s="7"/>
      <c r="BC301" s="7"/>
      <c r="BD301" s="7"/>
      <c r="BE301" s="7"/>
      <c r="BF301" s="7"/>
      <c r="BG301" s="7"/>
      <c r="BH301" s="7"/>
      <c r="BI301" s="7"/>
      <c r="BJ301" s="7"/>
      <c r="BK301" s="7"/>
      <c r="BL301" s="7"/>
      <c r="BM301" s="7"/>
      <c r="BN301" s="7"/>
      <c r="BO301" s="7"/>
      <c r="BP301" s="7"/>
      <c r="BQ301" s="7"/>
      <c r="BR301" s="7"/>
      <c r="BS301" s="7"/>
      <c r="BT301" s="7"/>
      <c r="BU301" s="7"/>
      <c r="BW301" s="5">
        <v>44384</v>
      </c>
      <c r="BX301" s="7">
        <v>7</v>
      </c>
      <c r="BY301" s="7">
        <v>7</v>
      </c>
      <c r="BZ301" s="7">
        <v>2021</v>
      </c>
      <c r="CA301" s="5">
        <f t="shared" si="87"/>
        <v>44384</v>
      </c>
      <c r="CB301">
        <v>188</v>
      </c>
      <c r="CC301" s="7">
        <v>13</v>
      </c>
      <c r="CD301" t="s">
        <v>1359</v>
      </c>
      <c r="CE301">
        <f t="shared" si="88"/>
        <v>0.17579326711786938</v>
      </c>
      <c r="CF301">
        <f t="shared" si="89"/>
        <v>0.93880081480825428</v>
      </c>
      <c r="CG301">
        <f t="shared" si="95"/>
        <v>9.4046668441132106E-3</v>
      </c>
      <c r="CH301">
        <f t="shared" si="96"/>
        <v>3.7978142076502728</v>
      </c>
      <c r="CI301">
        <f t="shared" si="90"/>
        <v>7.8968149513029814E-2</v>
      </c>
      <c r="CJ301" s="1">
        <f t="shared" si="91"/>
        <v>7.8968149513029814E-2</v>
      </c>
      <c r="CK301" s="7" t="s">
        <v>142</v>
      </c>
      <c r="CL301" s="7">
        <v>1</v>
      </c>
      <c r="CM301" s="7">
        <v>1</v>
      </c>
      <c r="CN301" s="7">
        <v>3</v>
      </c>
      <c r="CO301" s="7">
        <v>0</v>
      </c>
      <c r="CP301" s="7">
        <v>0</v>
      </c>
      <c r="CQ301" s="12">
        <v>7.9000000000000008E-3</v>
      </c>
      <c r="CR301">
        <f>CQ301/(H301-I301-J301-N301)*1000</f>
        <v>0.72844628861226379</v>
      </c>
      <c r="CS301">
        <v>4.4379999999999997</v>
      </c>
      <c r="CT301">
        <v>91.50876579037589</v>
      </c>
    </row>
    <row r="302" spans="1:99" x14ac:dyDescent="0.2">
      <c r="A302" s="7" t="s">
        <v>1311</v>
      </c>
      <c r="B302" s="7" t="s">
        <v>46</v>
      </c>
      <c r="C302" t="str">
        <f t="shared" si="83"/>
        <v>I</v>
      </c>
      <c r="D302" t="str">
        <f t="shared" si="84"/>
        <v>S</v>
      </c>
      <c r="E302" t="str">
        <f t="shared" si="85"/>
        <v>G</v>
      </c>
      <c r="F302" s="7">
        <v>78</v>
      </c>
      <c r="G302" s="7">
        <v>73</v>
      </c>
      <c r="H302" s="7">
        <v>8.7089999999999996</v>
      </c>
      <c r="I302" s="7">
        <v>0.114</v>
      </c>
      <c r="J302" s="7">
        <v>0.30199999999999999</v>
      </c>
      <c r="K302" s="7" t="s">
        <v>867</v>
      </c>
      <c r="L302" t="str">
        <f t="shared" si="86"/>
        <v>F</v>
      </c>
      <c r="M302" s="7">
        <v>30</v>
      </c>
      <c r="N302" s="7">
        <v>0.248</v>
      </c>
      <c r="O302" s="7">
        <v>0.22500000000000001</v>
      </c>
      <c r="P302" s="7" t="s">
        <v>36</v>
      </c>
      <c r="Q302" t="str">
        <f t="shared" si="82"/>
        <v>MT</v>
      </c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7"/>
      <c r="AP302" s="7"/>
      <c r="AQ302" s="7"/>
      <c r="AR302" s="7"/>
      <c r="AS302" s="7"/>
      <c r="AT302" s="7"/>
      <c r="AU302" s="7"/>
      <c r="AV302" s="7"/>
      <c r="AW302" s="7"/>
      <c r="AX302" s="7"/>
      <c r="AY302" s="7"/>
      <c r="AZ302" s="7"/>
      <c r="BA302" s="7"/>
      <c r="BB302" s="7"/>
      <c r="BC302" s="7"/>
      <c r="BD302" s="7"/>
      <c r="BE302" s="7"/>
      <c r="BF302" s="7"/>
      <c r="BG302" s="7"/>
      <c r="BH302" s="7"/>
      <c r="BI302" s="7"/>
      <c r="BJ302" s="7"/>
      <c r="BK302" s="7"/>
      <c r="BL302" s="7"/>
      <c r="BM302" s="7"/>
      <c r="BN302" s="7"/>
      <c r="BO302" s="7"/>
      <c r="BP302" s="7"/>
      <c r="BQ302" s="7"/>
      <c r="BR302" s="7"/>
      <c r="BS302" s="7"/>
      <c r="BT302" s="7"/>
      <c r="BU302" s="7"/>
      <c r="BW302" s="5">
        <v>44384</v>
      </c>
      <c r="BX302" s="7">
        <v>7</v>
      </c>
      <c r="BY302" s="7">
        <v>7</v>
      </c>
      <c r="BZ302" s="7">
        <v>2021</v>
      </c>
      <c r="CA302" s="5">
        <f t="shared" si="87"/>
        <v>44384</v>
      </c>
      <c r="CB302">
        <v>188</v>
      </c>
      <c r="CC302" s="7">
        <v>13</v>
      </c>
      <c r="CD302" t="s">
        <v>1360</v>
      </c>
      <c r="CE302">
        <f t="shared" si="88"/>
        <v>3.5922445581063398</v>
      </c>
      <c r="CF302">
        <f t="shared" si="89"/>
        <v>1.3263525305410124</v>
      </c>
      <c r="CG302">
        <f t="shared" si="95"/>
        <v>1.3746533220788618E-2</v>
      </c>
      <c r="CH302">
        <f t="shared" si="96"/>
        <v>2.6520509193776522</v>
      </c>
      <c r="CI302">
        <f t="shared" si="90"/>
        <v>0.26409461476633361</v>
      </c>
      <c r="CJ302" s="1">
        <f t="shared" si="91"/>
        <v>0.26409461476633361</v>
      </c>
      <c r="CK302" s="7" t="s">
        <v>142</v>
      </c>
      <c r="CL302" s="7">
        <v>1</v>
      </c>
      <c r="CM302" s="7">
        <v>0</v>
      </c>
      <c r="CN302" s="7">
        <v>3</v>
      </c>
      <c r="CO302" s="7">
        <v>1</v>
      </c>
      <c r="CP302" s="7">
        <v>0</v>
      </c>
      <c r="CQ302" s="12">
        <v>1.2E-2</v>
      </c>
      <c r="CR302">
        <f>CQ302/(H302-I302-J302-N302)*1000</f>
        <v>1.4916096954630207</v>
      </c>
      <c r="CS302">
        <v>5.0629999999999997</v>
      </c>
      <c r="CT302">
        <v>96.168543758895098</v>
      </c>
      <c r="CU302">
        <v>128.03765230132936</v>
      </c>
    </row>
    <row r="303" spans="1:99" x14ac:dyDescent="0.2">
      <c r="A303" s="7" t="s">
        <v>1312</v>
      </c>
      <c r="B303" s="7" t="s">
        <v>46</v>
      </c>
      <c r="C303" t="str">
        <f t="shared" si="83"/>
        <v>I</v>
      </c>
      <c r="D303" t="str">
        <f t="shared" si="84"/>
        <v>I</v>
      </c>
      <c r="E303" t="str">
        <f t="shared" si="85"/>
        <v>G</v>
      </c>
      <c r="F303" s="7">
        <v>89</v>
      </c>
      <c r="G303" s="7">
        <v>85</v>
      </c>
      <c r="H303" s="7">
        <v>12.474</v>
      </c>
      <c r="I303" s="7">
        <v>0.155</v>
      </c>
      <c r="J303" s="7">
        <v>2.5000000000000001E-2</v>
      </c>
      <c r="K303" s="7" t="s">
        <v>1181</v>
      </c>
      <c r="L303" t="str">
        <f t="shared" si="86"/>
        <v>M</v>
      </c>
      <c r="M303" s="7">
        <v>40</v>
      </c>
      <c r="N303" s="7">
        <v>0.71799999999999997</v>
      </c>
      <c r="O303" s="7">
        <v>0.60699999999999998</v>
      </c>
      <c r="P303" s="7" t="s">
        <v>1346</v>
      </c>
      <c r="Q303" t="str">
        <f t="shared" si="82"/>
        <v>F</v>
      </c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  <c r="AO303" s="7"/>
      <c r="AP303" s="7"/>
      <c r="AQ303" s="7"/>
      <c r="AR303" s="7"/>
      <c r="AS303" s="7"/>
      <c r="AT303" s="7"/>
      <c r="AU303" s="7"/>
      <c r="AV303" s="7"/>
      <c r="AW303" s="7"/>
      <c r="AX303" s="7"/>
      <c r="AY303" s="7"/>
      <c r="AZ303" s="7"/>
      <c r="BA303" s="7"/>
      <c r="BB303" s="7">
        <v>3.9E-2</v>
      </c>
      <c r="BC303" s="7"/>
      <c r="BD303" s="7"/>
      <c r="BE303" s="7"/>
      <c r="BF303" s="7"/>
      <c r="BG303" s="7"/>
      <c r="BH303" s="7"/>
      <c r="BI303" s="7"/>
      <c r="BJ303" s="7"/>
      <c r="BK303" s="7"/>
      <c r="BL303" s="7"/>
      <c r="BM303" s="7"/>
      <c r="BN303" s="7"/>
      <c r="BO303" s="7"/>
      <c r="BP303" s="7"/>
      <c r="BQ303" s="7"/>
      <c r="BR303" s="7"/>
      <c r="BS303" s="7"/>
      <c r="BT303" s="7"/>
      <c r="BU303" s="7"/>
      <c r="BV303" s="7">
        <v>3.9E-2</v>
      </c>
      <c r="BW303" s="5">
        <v>44384</v>
      </c>
      <c r="BX303" s="7">
        <v>7</v>
      </c>
      <c r="BY303" s="7">
        <v>7</v>
      </c>
      <c r="BZ303" s="7">
        <v>2021</v>
      </c>
      <c r="CA303" s="5">
        <f t="shared" si="87"/>
        <v>44384</v>
      </c>
      <c r="CB303">
        <v>188</v>
      </c>
      <c r="CC303" s="7">
        <v>13</v>
      </c>
      <c r="CD303" t="s">
        <v>1361</v>
      </c>
      <c r="CE303">
        <f t="shared" si="88"/>
        <v>0.20081934291910999</v>
      </c>
      <c r="CF303">
        <f t="shared" si="89"/>
        <v>1.2582190112833833</v>
      </c>
      <c r="CG303">
        <f t="shared" si="95"/>
        <v>1.2607776150967951E-2</v>
      </c>
      <c r="CH303">
        <f t="shared" si="96"/>
        <v>5.1150248588522791</v>
      </c>
      <c r="CI303">
        <f t="shared" si="90"/>
        <v>0.88985088985088967</v>
      </c>
      <c r="CJ303" s="1">
        <f t="shared" si="91"/>
        <v>1.2025012025012023</v>
      </c>
      <c r="CK303" s="7" t="s">
        <v>142</v>
      </c>
      <c r="CL303" s="7">
        <v>2</v>
      </c>
      <c r="CM303" s="7"/>
      <c r="CN303" s="7"/>
      <c r="CO303" s="7"/>
      <c r="CP303" s="7"/>
    </row>
    <row r="304" spans="1:99" x14ac:dyDescent="0.2">
      <c r="A304" s="7" t="s">
        <v>1313</v>
      </c>
      <c r="B304" s="7" t="s">
        <v>46</v>
      </c>
      <c r="C304" t="str">
        <f t="shared" si="83"/>
        <v>I</v>
      </c>
      <c r="D304" t="str">
        <f t="shared" si="84"/>
        <v>S</v>
      </c>
      <c r="E304" t="str">
        <f t="shared" si="85"/>
        <v>G</v>
      </c>
      <c r="F304" s="7">
        <v>72</v>
      </c>
      <c r="G304" s="7">
        <v>69</v>
      </c>
      <c r="H304" s="7">
        <v>6.7370000000000001</v>
      </c>
      <c r="I304" s="7">
        <v>9.2999999999999999E-2</v>
      </c>
      <c r="J304" s="7">
        <v>0.25800000000000001</v>
      </c>
      <c r="K304" s="7" t="s">
        <v>868</v>
      </c>
      <c r="L304" t="str">
        <f t="shared" si="86"/>
        <v>M</v>
      </c>
      <c r="M304" s="7">
        <v>30</v>
      </c>
      <c r="N304" s="7">
        <v>0.23200000000000001</v>
      </c>
      <c r="O304" s="7">
        <v>0.22500000000000001</v>
      </c>
      <c r="P304" s="7" t="s">
        <v>36</v>
      </c>
      <c r="Q304" t="str">
        <f t="shared" si="82"/>
        <v>MT</v>
      </c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7"/>
      <c r="AP304" s="7"/>
      <c r="AQ304" s="7"/>
      <c r="AR304" s="7"/>
      <c r="AS304" s="7"/>
      <c r="AT304" s="7"/>
      <c r="AU304" s="7"/>
      <c r="AV304" s="7"/>
      <c r="AW304" s="7"/>
      <c r="AX304" s="7"/>
      <c r="AY304" s="7"/>
      <c r="AZ304" s="7"/>
      <c r="BA304" s="7"/>
      <c r="BB304" s="7"/>
      <c r="BC304" s="7"/>
      <c r="BD304" s="7"/>
      <c r="BE304" s="7"/>
      <c r="BF304" s="7"/>
      <c r="BG304" s="7"/>
      <c r="BH304" s="7"/>
      <c r="BI304" s="7"/>
      <c r="BJ304" s="7"/>
      <c r="BK304" s="7"/>
      <c r="BL304" s="7"/>
      <c r="BM304" s="7"/>
      <c r="BN304" s="7"/>
      <c r="BO304" s="7"/>
      <c r="BP304" s="7"/>
      <c r="BQ304" s="7"/>
      <c r="BR304" s="7"/>
      <c r="BS304" s="7"/>
      <c r="BT304" s="7"/>
      <c r="BU304" s="7"/>
      <c r="BW304" s="5">
        <v>44384</v>
      </c>
      <c r="BX304" s="7">
        <v>7</v>
      </c>
      <c r="BY304" s="7">
        <v>7</v>
      </c>
      <c r="BZ304" s="7">
        <v>2021</v>
      </c>
      <c r="CA304" s="5">
        <f t="shared" si="87"/>
        <v>44384</v>
      </c>
      <c r="CB304">
        <v>188</v>
      </c>
      <c r="CC304" s="7">
        <v>13</v>
      </c>
      <c r="CD304" t="s">
        <v>1362</v>
      </c>
      <c r="CE304">
        <f t="shared" si="88"/>
        <v>3.9820960024695173</v>
      </c>
      <c r="CF304">
        <f t="shared" si="89"/>
        <v>1.399759181216135</v>
      </c>
      <c r="CG304">
        <f t="shared" si="95"/>
        <v>1.4563106796116505E-2</v>
      </c>
      <c r="CH304">
        <f t="shared" si="96"/>
        <v>3.4551597051597049</v>
      </c>
      <c r="CI304">
        <f t="shared" si="90"/>
        <v>0.10390381475434179</v>
      </c>
      <c r="CJ304" s="1">
        <f t="shared" si="91"/>
        <v>0.10390381475434179</v>
      </c>
      <c r="CK304" s="7" t="s">
        <v>142</v>
      </c>
      <c r="CL304" s="7">
        <v>2</v>
      </c>
      <c r="CM304" s="7"/>
      <c r="CN304" s="7"/>
      <c r="CO304" s="7"/>
      <c r="CP304" s="7"/>
    </row>
    <row r="305" spans="1:99" x14ac:dyDescent="0.2">
      <c r="A305" s="7" t="s">
        <v>1314</v>
      </c>
      <c r="B305" s="7" t="s">
        <v>46</v>
      </c>
      <c r="C305" t="str">
        <f t="shared" si="83"/>
        <v>I</v>
      </c>
      <c r="D305" t="str">
        <f t="shared" si="84"/>
        <v>S</v>
      </c>
      <c r="E305" t="str">
        <f t="shared" si="85"/>
        <v>G</v>
      </c>
      <c r="F305" s="7">
        <v>73</v>
      </c>
      <c r="G305" s="7">
        <v>67</v>
      </c>
      <c r="H305" s="7">
        <v>6.5359999999999996</v>
      </c>
      <c r="I305" s="7">
        <v>0.106</v>
      </c>
      <c r="J305" s="7">
        <v>8.4000000000000005E-2</v>
      </c>
      <c r="K305" s="7" t="s">
        <v>867</v>
      </c>
      <c r="L305" t="str">
        <f t="shared" si="86"/>
        <v>F</v>
      </c>
      <c r="M305" s="7">
        <v>30</v>
      </c>
      <c r="N305" s="7">
        <v>0.24299999999999999</v>
      </c>
      <c r="O305" s="7">
        <v>0.19800000000000001</v>
      </c>
      <c r="P305" s="7" t="s">
        <v>1347</v>
      </c>
      <c r="Q305" t="str">
        <f t="shared" si="82"/>
        <v>F</v>
      </c>
      <c r="R305" s="7"/>
      <c r="S305" s="7"/>
      <c r="T305" s="7">
        <v>1</v>
      </c>
      <c r="U305" s="7">
        <v>2.9000000000000001E-2</v>
      </c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  <c r="AP305" s="7"/>
      <c r="AQ305" s="7"/>
      <c r="AR305" s="7"/>
      <c r="AS305" s="7"/>
      <c r="AT305" s="7"/>
      <c r="AU305" s="7"/>
      <c r="AV305" s="7"/>
      <c r="AW305" s="7"/>
      <c r="AX305" s="7"/>
      <c r="AY305" s="7"/>
      <c r="AZ305" s="7"/>
      <c r="BA305" s="7"/>
      <c r="BB305" s="7"/>
      <c r="BC305" s="7"/>
      <c r="BD305" s="7"/>
      <c r="BE305" s="7"/>
      <c r="BF305" s="7"/>
      <c r="BG305" s="7"/>
      <c r="BH305" s="7"/>
      <c r="BI305" s="7"/>
      <c r="BJ305" s="7"/>
      <c r="BK305" s="7"/>
      <c r="BL305" s="7"/>
      <c r="BM305" s="7"/>
      <c r="BN305" s="7"/>
      <c r="BO305" s="7"/>
      <c r="BP305" s="7"/>
      <c r="BQ305" s="7"/>
      <c r="BR305" s="7"/>
      <c r="BS305" s="7"/>
      <c r="BT305" s="7"/>
      <c r="BU305" s="7"/>
      <c r="BV305" s="7">
        <v>2.9000000000000001E-2</v>
      </c>
      <c r="BW305" s="5">
        <v>44384</v>
      </c>
      <c r="BX305" s="7">
        <v>7</v>
      </c>
      <c r="BY305" s="7">
        <v>7</v>
      </c>
      <c r="BZ305" s="7">
        <v>2021</v>
      </c>
      <c r="CA305" s="5">
        <f t="shared" si="87"/>
        <v>44384</v>
      </c>
      <c r="CB305">
        <v>188</v>
      </c>
      <c r="CC305" s="7">
        <v>13</v>
      </c>
      <c r="CD305" t="s">
        <v>1363</v>
      </c>
      <c r="CE305">
        <f t="shared" si="88"/>
        <v>1.3019218846869189</v>
      </c>
      <c r="CF305">
        <f t="shared" si="89"/>
        <v>1.6485225505443235</v>
      </c>
      <c r="CG305">
        <f t="shared" si="95"/>
        <v>1.6703435234793569E-2</v>
      </c>
      <c r="CH305">
        <f t="shared" si="96"/>
        <v>3.1240138845061538</v>
      </c>
      <c r="CI305">
        <f t="shared" si="90"/>
        <v>0.68849449204406343</v>
      </c>
      <c r="CJ305" s="1">
        <f t="shared" si="91"/>
        <v>1.1321909424724601</v>
      </c>
      <c r="CK305" s="7" t="s">
        <v>142</v>
      </c>
      <c r="CL305" s="7">
        <v>2</v>
      </c>
      <c r="CM305" s="7">
        <v>1</v>
      </c>
      <c r="CN305" s="7">
        <v>14</v>
      </c>
      <c r="CO305" s="7">
        <v>2</v>
      </c>
      <c r="CP305" s="7">
        <v>0</v>
      </c>
      <c r="CQ305" s="12">
        <v>9.7999999999999997E-3</v>
      </c>
      <c r="CR305">
        <f>CQ305/(H305-I305-J305-N305)*1000</f>
        <v>1.6057676552515157</v>
      </c>
      <c r="CS305">
        <v>6.4960000000000004</v>
      </c>
      <c r="CT305">
        <v>99.513162033001024</v>
      </c>
      <c r="CU305">
        <v>126.45955948020836</v>
      </c>
    </row>
    <row r="306" spans="1:99" x14ac:dyDescent="0.2">
      <c r="A306" s="7" t="s">
        <v>1315</v>
      </c>
      <c r="B306" s="7" t="s">
        <v>46</v>
      </c>
      <c r="C306" t="str">
        <f t="shared" si="83"/>
        <v>I</v>
      </c>
      <c r="D306" t="str">
        <f t="shared" si="84"/>
        <v>S</v>
      </c>
      <c r="E306" t="str">
        <f t="shared" si="85"/>
        <v>G</v>
      </c>
      <c r="F306" s="7">
        <v>72</v>
      </c>
      <c r="G306" s="7">
        <v>68</v>
      </c>
      <c r="H306" s="7">
        <v>6.2089999999999996</v>
      </c>
      <c r="I306" s="7">
        <v>9.8000000000000004E-2</v>
      </c>
      <c r="J306" s="7">
        <v>9.0999999999999998E-2</v>
      </c>
      <c r="K306" s="7" t="s">
        <v>868</v>
      </c>
      <c r="L306" t="str">
        <f t="shared" si="86"/>
        <v>M</v>
      </c>
      <c r="M306" s="7">
        <v>30</v>
      </c>
      <c r="N306" s="7">
        <v>0.20799999999999999</v>
      </c>
      <c r="O306" s="7">
        <v>0.19500000000000001</v>
      </c>
      <c r="P306" s="7" t="s">
        <v>36</v>
      </c>
      <c r="Q306" t="str">
        <f t="shared" si="82"/>
        <v>MT</v>
      </c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  <c r="AO306" s="7"/>
      <c r="AP306" s="7"/>
      <c r="AQ306" s="7"/>
      <c r="AR306" s="7"/>
      <c r="AS306" s="7"/>
      <c r="AT306" s="7"/>
      <c r="AU306" s="7"/>
      <c r="AV306" s="7"/>
      <c r="AW306" s="7"/>
      <c r="AX306" s="7"/>
      <c r="AY306" s="7"/>
      <c r="AZ306" s="7"/>
      <c r="BA306" s="7"/>
      <c r="BB306" s="7"/>
      <c r="BC306" s="7"/>
      <c r="BD306" s="7"/>
      <c r="BE306" s="7"/>
      <c r="BF306" s="7"/>
      <c r="BG306" s="7"/>
      <c r="BH306" s="7"/>
      <c r="BI306" s="7"/>
      <c r="BJ306" s="7"/>
      <c r="BK306" s="7"/>
      <c r="BL306" s="7"/>
      <c r="BM306" s="7"/>
      <c r="BN306" s="7"/>
      <c r="BO306" s="7"/>
      <c r="BP306" s="7"/>
      <c r="BQ306" s="7"/>
      <c r="BR306" s="7"/>
      <c r="BS306" s="7"/>
      <c r="BT306" s="7"/>
      <c r="BU306" s="7"/>
      <c r="BW306" s="5">
        <v>44384</v>
      </c>
      <c r="BX306" s="7">
        <v>7</v>
      </c>
      <c r="BY306" s="7">
        <v>7</v>
      </c>
      <c r="BZ306" s="7">
        <v>2021</v>
      </c>
      <c r="CA306" s="5">
        <f t="shared" si="87"/>
        <v>44384</v>
      </c>
      <c r="CB306">
        <v>188</v>
      </c>
      <c r="CC306" s="7">
        <v>13</v>
      </c>
      <c r="CD306" t="s">
        <v>1364</v>
      </c>
      <c r="CE306">
        <f t="shared" si="88"/>
        <v>1.4874141876430207</v>
      </c>
      <c r="CF306">
        <f t="shared" si="89"/>
        <v>1.6036655211912947</v>
      </c>
      <c r="CG306">
        <f t="shared" ref="CG306:CG319" si="97">I306/(H306-I306-J306)</f>
        <v>1.6279069767441864E-2</v>
      </c>
      <c r="CH306">
        <f t="shared" ref="CH306:CH319" si="98">O306/(H306-O306)*100</f>
        <v>3.2424343199201866</v>
      </c>
      <c r="CI306">
        <f t="shared" si="90"/>
        <v>0.2093734900950231</v>
      </c>
      <c r="CJ306" s="1">
        <f t="shared" si="91"/>
        <v>0.2093734900950231</v>
      </c>
      <c r="CK306" s="7" t="s">
        <v>142</v>
      </c>
      <c r="CL306" s="7">
        <v>2</v>
      </c>
      <c r="CM306" s="7"/>
      <c r="CN306" s="7"/>
      <c r="CO306" s="7"/>
      <c r="CP306" s="7"/>
    </row>
    <row r="307" spans="1:99" x14ac:dyDescent="0.2">
      <c r="A307" s="7" t="s">
        <v>1316</v>
      </c>
      <c r="B307" s="7" t="s">
        <v>46</v>
      </c>
      <c r="C307" t="str">
        <f t="shared" si="83"/>
        <v>I</v>
      </c>
      <c r="D307" t="str">
        <f t="shared" si="84"/>
        <v>S</v>
      </c>
      <c r="E307" t="str">
        <f t="shared" si="85"/>
        <v>G</v>
      </c>
      <c r="F307" s="7">
        <v>69</v>
      </c>
      <c r="G307" s="7">
        <v>65</v>
      </c>
      <c r="H307" s="7">
        <v>5.5880000000000001</v>
      </c>
      <c r="I307" s="7">
        <v>6.9000000000000006E-2</v>
      </c>
      <c r="J307" s="7">
        <v>0.08</v>
      </c>
      <c r="K307" s="7" t="s">
        <v>867</v>
      </c>
      <c r="L307" t="str">
        <f t="shared" si="86"/>
        <v>F</v>
      </c>
      <c r="M307" s="7">
        <v>30</v>
      </c>
      <c r="N307" s="7">
        <v>0.248</v>
      </c>
      <c r="O307" s="7">
        <v>0.186</v>
      </c>
      <c r="P307" s="7" t="s">
        <v>1348</v>
      </c>
      <c r="Q307" t="str">
        <f t="shared" si="82"/>
        <v>F</v>
      </c>
      <c r="R307" s="7"/>
      <c r="S307" s="7"/>
      <c r="T307" s="7">
        <v>3</v>
      </c>
      <c r="U307" s="7">
        <v>2.3E-2</v>
      </c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  <c r="AP307" s="7"/>
      <c r="AQ307" s="7"/>
      <c r="AR307" s="7"/>
      <c r="AS307" s="7"/>
      <c r="AT307" s="7"/>
      <c r="AU307" s="7"/>
      <c r="AV307" s="7"/>
      <c r="AW307" s="7"/>
      <c r="AX307" s="7"/>
      <c r="AY307" s="7"/>
      <c r="AZ307" s="7"/>
      <c r="BA307" s="7"/>
      <c r="BB307" s="7"/>
      <c r="BC307" s="7"/>
      <c r="BD307" s="7"/>
      <c r="BE307" s="7"/>
      <c r="BF307" s="7"/>
      <c r="BG307" s="7"/>
      <c r="BH307" s="7"/>
      <c r="BI307" s="7"/>
      <c r="BJ307" s="7"/>
      <c r="BK307" s="7"/>
      <c r="BL307" s="7"/>
      <c r="BM307" s="7"/>
      <c r="BN307" s="7"/>
      <c r="BO307" s="7"/>
      <c r="BP307" s="7"/>
      <c r="BQ307" s="7"/>
      <c r="BR307" s="7"/>
      <c r="BS307" s="7"/>
      <c r="BT307" s="7"/>
      <c r="BU307" s="7"/>
      <c r="BV307" s="7">
        <v>2.3E-2</v>
      </c>
      <c r="BW307" s="5">
        <v>44384</v>
      </c>
      <c r="BX307" s="7">
        <v>7</v>
      </c>
      <c r="BY307" s="7">
        <v>7</v>
      </c>
      <c r="BZ307" s="7">
        <v>2021</v>
      </c>
      <c r="CA307" s="5">
        <f t="shared" si="87"/>
        <v>44384</v>
      </c>
      <c r="CB307">
        <v>188</v>
      </c>
      <c r="CC307" s="7">
        <v>13</v>
      </c>
      <c r="CD307" t="s">
        <v>1365</v>
      </c>
      <c r="CE307">
        <f t="shared" si="88"/>
        <v>1.4524328249818446</v>
      </c>
      <c r="CF307">
        <f t="shared" si="89"/>
        <v>1.250226490306215</v>
      </c>
      <c r="CG307">
        <f t="shared" si="97"/>
        <v>1.2686155543298402E-2</v>
      </c>
      <c r="CH307">
        <f t="shared" si="98"/>
        <v>3.4431691965938538</v>
      </c>
      <c r="CI307">
        <f t="shared" si="90"/>
        <v>1.1095204008589834</v>
      </c>
      <c r="CJ307" s="1">
        <f t="shared" si="91"/>
        <v>1.5211166785969934</v>
      </c>
      <c r="CK307" s="7" t="s">
        <v>142</v>
      </c>
      <c r="CL307" s="7">
        <v>2</v>
      </c>
      <c r="CM307" s="7">
        <v>0</v>
      </c>
      <c r="CN307" s="7">
        <v>1</v>
      </c>
      <c r="CO307" s="7">
        <v>0</v>
      </c>
      <c r="CP307" s="7">
        <v>0</v>
      </c>
      <c r="CQ307" s="12">
        <v>8.0999999999999996E-3</v>
      </c>
      <c r="CR307">
        <f>CQ307/(H307-I307-J307-N307)*1000</f>
        <v>1.56039298786361</v>
      </c>
      <c r="CS307">
        <v>5.6289999999999996</v>
      </c>
      <c r="CT307">
        <v>98.838335853685535</v>
      </c>
      <c r="CU307">
        <v>127.90610563941357</v>
      </c>
    </row>
    <row r="308" spans="1:99" x14ac:dyDescent="0.2">
      <c r="A308" s="7" t="s">
        <v>1443</v>
      </c>
      <c r="B308" s="7" t="s">
        <v>46</v>
      </c>
      <c r="C308" t="str">
        <f t="shared" si="83"/>
        <v>I</v>
      </c>
      <c r="D308" t="str">
        <f t="shared" si="84"/>
        <v>I</v>
      </c>
      <c r="E308" t="str">
        <f t="shared" si="85"/>
        <v>G</v>
      </c>
      <c r="F308" s="7">
        <v>92</v>
      </c>
      <c r="G308" s="7">
        <v>86</v>
      </c>
      <c r="H308" s="7">
        <v>13.541</v>
      </c>
      <c r="I308" s="7">
        <v>0.114</v>
      </c>
      <c r="J308" s="7">
        <v>3.4000000000000002E-2</v>
      </c>
      <c r="K308" s="7" t="s">
        <v>1181</v>
      </c>
      <c r="L308" t="str">
        <f t="shared" si="86"/>
        <v>M</v>
      </c>
      <c r="M308" s="7">
        <v>40</v>
      </c>
      <c r="N308" s="7">
        <v>0.58299999999999996</v>
      </c>
      <c r="O308" s="7">
        <v>0.56699999999999995</v>
      </c>
      <c r="P308" s="7" t="s">
        <v>36</v>
      </c>
      <c r="Q308" t="str">
        <f t="shared" si="82"/>
        <v>MT</v>
      </c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7"/>
      <c r="AP308" s="7"/>
      <c r="AQ308" s="7"/>
      <c r="AR308" s="7"/>
      <c r="AS308" s="7"/>
      <c r="AT308" s="7"/>
      <c r="AU308" s="7"/>
      <c r="AV308" s="7"/>
      <c r="AW308" s="7"/>
      <c r="AX308" s="7"/>
      <c r="AY308" s="7"/>
      <c r="AZ308" s="7"/>
      <c r="BA308" s="7"/>
      <c r="BB308" s="7"/>
      <c r="BC308" s="7"/>
      <c r="BD308" s="7"/>
      <c r="BE308" s="7"/>
      <c r="BF308" s="7"/>
      <c r="BG308" s="7"/>
      <c r="BH308" s="7"/>
      <c r="BI308" s="7"/>
      <c r="BJ308" s="7"/>
      <c r="BK308" s="7"/>
      <c r="BL308" s="7"/>
      <c r="BM308" s="7"/>
      <c r="BN308" s="7"/>
      <c r="BO308" s="7"/>
      <c r="BP308" s="7"/>
      <c r="BQ308" s="7"/>
      <c r="BR308" s="7"/>
      <c r="BS308" s="7"/>
      <c r="BT308" s="7"/>
      <c r="BU308" s="7"/>
      <c r="BW308" s="5">
        <v>44204</v>
      </c>
      <c r="BX308">
        <v>1</v>
      </c>
      <c r="BY308">
        <v>8</v>
      </c>
      <c r="BZ308">
        <v>2021</v>
      </c>
      <c r="CA308" s="5">
        <f t="shared" si="87"/>
        <v>44409</v>
      </c>
      <c r="CB308">
        <v>213</v>
      </c>
      <c r="CC308" s="7">
        <v>15</v>
      </c>
      <c r="CE308">
        <f t="shared" si="88"/>
        <v>0.25172132968090621</v>
      </c>
      <c r="CF308">
        <f t="shared" si="89"/>
        <v>0.84903552543382743</v>
      </c>
      <c r="CG308">
        <f t="shared" si="97"/>
        <v>8.5119092063018001E-3</v>
      </c>
      <c r="CH308">
        <f t="shared" si="98"/>
        <v>4.370279019577616</v>
      </c>
      <c r="CI308">
        <f t="shared" si="90"/>
        <v>0.11815966324495986</v>
      </c>
      <c r="CJ308" s="1">
        <f t="shared" si="91"/>
        <v>0.11815966324495986</v>
      </c>
      <c r="CK308" s="7" t="s">
        <v>142</v>
      </c>
      <c r="CL308" s="7">
        <v>2</v>
      </c>
      <c r="CM308" s="7"/>
      <c r="CN308" s="7"/>
      <c r="CO308" s="7"/>
      <c r="CP308" s="7"/>
    </row>
    <row r="309" spans="1:99" x14ac:dyDescent="0.2">
      <c r="A309" s="7" t="s">
        <v>1444</v>
      </c>
      <c r="B309" s="7" t="s">
        <v>46</v>
      </c>
      <c r="C309" t="str">
        <f t="shared" si="83"/>
        <v>I</v>
      </c>
      <c r="D309" t="str">
        <f t="shared" si="84"/>
        <v>I</v>
      </c>
      <c r="E309" t="str">
        <f t="shared" si="85"/>
        <v>G</v>
      </c>
      <c r="F309" s="7">
        <v>98</v>
      </c>
      <c r="G309" s="7">
        <v>87</v>
      </c>
      <c r="H309" s="7">
        <v>17.54</v>
      </c>
      <c r="I309" s="7">
        <v>0.17699999999999999</v>
      </c>
      <c r="J309" s="7">
        <v>2.1999999999999999E-2</v>
      </c>
      <c r="K309" s="7" t="s">
        <v>1181</v>
      </c>
      <c r="L309" t="str">
        <f t="shared" si="86"/>
        <v>M</v>
      </c>
      <c r="M309" s="7">
        <v>40</v>
      </c>
      <c r="N309" s="7">
        <v>0.90200000000000002</v>
      </c>
      <c r="O309" s="7">
        <v>0.88600000000000001</v>
      </c>
      <c r="P309" s="7" t="s">
        <v>36</v>
      </c>
      <c r="Q309" t="str">
        <f t="shared" si="82"/>
        <v>MT</v>
      </c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  <c r="AP309" s="7"/>
      <c r="AQ309" s="7"/>
      <c r="AR309" s="7"/>
      <c r="AS309" s="7"/>
      <c r="AT309" s="7"/>
      <c r="AU309" s="7"/>
      <c r="AV309" s="7"/>
      <c r="AW309" s="7"/>
      <c r="AX309" s="7"/>
      <c r="AY309" s="7"/>
      <c r="AZ309" s="7"/>
      <c r="BA309" s="7"/>
      <c r="BB309" s="7"/>
      <c r="BC309" s="7"/>
      <c r="BD309" s="7"/>
      <c r="BE309" s="7"/>
      <c r="BF309" s="7"/>
      <c r="BG309" s="7"/>
      <c r="BH309" s="7"/>
      <c r="BI309" s="7"/>
      <c r="BJ309" s="7"/>
      <c r="BK309" s="7"/>
      <c r="BL309" s="7"/>
      <c r="BM309" s="7"/>
      <c r="BN309" s="7"/>
      <c r="BO309" s="7"/>
      <c r="BP309" s="7"/>
      <c r="BQ309" s="7"/>
      <c r="BR309" s="7"/>
      <c r="BS309" s="7"/>
      <c r="BT309" s="7"/>
      <c r="BU309" s="7"/>
      <c r="BW309" s="5">
        <v>44204</v>
      </c>
      <c r="BX309">
        <v>1</v>
      </c>
      <c r="BY309">
        <v>8</v>
      </c>
      <c r="BZ309">
        <v>2021</v>
      </c>
      <c r="CA309" s="5">
        <f t="shared" si="87"/>
        <v>44409</v>
      </c>
      <c r="CB309">
        <v>213</v>
      </c>
      <c r="CC309" s="7">
        <v>15</v>
      </c>
      <c r="CE309">
        <f t="shared" si="88"/>
        <v>0.12558511245575979</v>
      </c>
      <c r="CF309">
        <f t="shared" si="89"/>
        <v>1.0194090882911939</v>
      </c>
      <c r="CG309">
        <f t="shared" si="97"/>
        <v>1.0207023816388903E-2</v>
      </c>
      <c r="CH309">
        <f t="shared" si="98"/>
        <v>5.3200432328569711</v>
      </c>
      <c r="CI309">
        <f t="shared" si="90"/>
        <v>9.1220068415051397E-2</v>
      </c>
      <c r="CJ309" s="1">
        <f t="shared" si="91"/>
        <v>9.1220068415051397E-2</v>
      </c>
      <c r="CK309" s="7" t="s">
        <v>142</v>
      </c>
      <c r="CL309" s="7">
        <v>2</v>
      </c>
      <c r="CM309" s="7"/>
      <c r="CN309" s="7"/>
      <c r="CO309" s="7"/>
      <c r="CP309" s="7"/>
    </row>
    <row r="310" spans="1:99" x14ac:dyDescent="0.2">
      <c r="A310" s="7" t="s">
        <v>1445</v>
      </c>
      <c r="B310" s="7" t="s">
        <v>46</v>
      </c>
      <c r="C310" t="str">
        <f t="shared" si="83"/>
        <v>I</v>
      </c>
      <c r="D310" t="str">
        <f t="shared" si="84"/>
        <v>I</v>
      </c>
      <c r="E310" t="str">
        <f t="shared" si="85"/>
        <v>G</v>
      </c>
      <c r="F310" s="7">
        <v>98</v>
      </c>
      <c r="G310" s="7">
        <v>93</v>
      </c>
      <c r="H310" s="7">
        <v>14.254</v>
      </c>
      <c r="I310" s="7">
        <v>0.14799999999999999</v>
      </c>
      <c r="J310" s="7">
        <v>0.36399999999999999</v>
      </c>
      <c r="K310" s="7" t="s">
        <v>867</v>
      </c>
      <c r="L310" t="str">
        <f t="shared" si="86"/>
        <v>F</v>
      </c>
      <c r="M310" s="7">
        <v>30</v>
      </c>
      <c r="N310" s="7">
        <v>0.505</v>
      </c>
      <c r="O310" s="7">
        <v>0.49299999999999999</v>
      </c>
      <c r="P310" s="7" t="s">
        <v>36</v>
      </c>
      <c r="Q310" t="str">
        <f t="shared" si="82"/>
        <v>MT</v>
      </c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  <c r="AS310" s="7"/>
      <c r="AT310" s="7"/>
      <c r="AU310" s="7"/>
      <c r="AV310" s="7"/>
      <c r="AW310" s="7"/>
      <c r="AX310" s="7"/>
      <c r="AY310" s="7"/>
      <c r="AZ310" s="7"/>
      <c r="BA310" s="7"/>
      <c r="BB310" s="7"/>
      <c r="BC310" s="7"/>
      <c r="BD310" s="7"/>
      <c r="BE310" s="7"/>
      <c r="BF310" s="7"/>
      <c r="BG310" s="7"/>
      <c r="BH310" s="7"/>
      <c r="BI310" s="7"/>
      <c r="BJ310" s="7"/>
      <c r="BK310" s="7"/>
      <c r="BL310" s="7"/>
      <c r="BM310" s="7"/>
      <c r="BN310" s="7"/>
      <c r="BO310" s="7"/>
      <c r="BP310" s="7"/>
      <c r="BQ310" s="7"/>
      <c r="BR310" s="7"/>
      <c r="BS310" s="7"/>
      <c r="BT310" s="7"/>
      <c r="BU310" s="7"/>
      <c r="BW310" s="5">
        <v>44204</v>
      </c>
      <c r="BX310">
        <v>1</v>
      </c>
      <c r="BY310">
        <v>8</v>
      </c>
      <c r="BZ310">
        <v>2021</v>
      </c>
      <c r="CA310" s="5">
        <f t="shared" si="87"/>
        <v>44409</v>
      </c>
      <c r="CB310">
        <v>213</v>
      </c>
      <c r="CC310" s="7">
        <v>15</v>
      </c>
      <c r="CE310">
        <f t="shared" si="88"/>
        <v>2.6205903527717784</v>
      </c>
      <c r="CF310">
        <f t="shared" si="89"/>
        <v>1.0491989224443499</v>
      </c>
      <c r="CG310">
        <f t="shared" si="97"/>
        <v>1.0769902488720711E-2</v>
      </c>
      <c r="CH310">
        <f t="shared" si="98"/>
        <v>3.5825884746748056</v>
      </c>
      <c r="CI310">
        <f t="shared" si="90"/>
        <v>8.4186894906692941E-2</v>
      </c>
      <c r="CJ310" s="1">
        <f t="shared" si="91"/>
        <v>8.4186894906692941E-2</v>
      </c>
      <c r="CK310" s="7" t="s">
        <v>142</v>
      </c>
      <c r="CL310" s="7">
        <v>2</v>
      </c>
      <c r="CM310" s="7"/>
      <c r="CN310" s="7"/>
      <c r="CO310" s="7"/>
      <c r="CP310" s="7"/>
      <c r="CQ310" s="12">
        <v>1.2999999999999999E-3</v>
      </c>
      <c r="CR310">
        <f>CQ310/(H310-I310-J310-N310)*1000</f>
        <v>9.8209564100627048E-2</v>
      </c>
      <c r="CT310">
        <v>97.517213161013672</v>
      </c>
      <c r="CU310">
        <v>102.38843735349532</v>
      </c>
    </row>
    <row r="311" spans="1:99" x14ac:dyDescent="0.2">
      <c r="A311" s="7" t="s">
        <v>1446</v>
      </c>
      <c r="B311" s="7" t="s">
        <v>46</v>
      </c>
      <c r="C311" t="str">
        <f t="shared" si="83"/>
        <v>I</v>
      </c>
      <c r="D311" t="str">
        <f t="shared" si="84"/>
        <v>B</v>
      </c>
      <c r="E311" t="str">
        <f t="shared" si="85"/>
        <v>N</v>
      </c>
      <c r="F311" s="7">
        <v>116</v>
      </c>
      <c r="G311" s="7">
        <v>110</v>
      </c>
      <c r="H311" s="7">
        <v>28.85</v>
      </c>
      <c r="I311" s="7">
        <v>0.31900000000000001</v>
      </c>
      <c r="J311" s="7">
        <v>0.622</v>
      </c>
      <c r="K311" s="7" t="s">
        <v>867</v>
      </c>
      <c r="L311" t="str">
        <f t="shared" si="86"/>
        <v>F</v>
      </c>
      <c r="M311" s="7">
        <v>30</v>
      </c>
      <c r="N311" s="7">
        <v>1.204</v>
      </c>
      <c r="O311" s="7">
        <v>1.0660000000000001</v>
      </c>
      <c r="P311" s="7" t="s">
        <v>1456</v>
      </c>
      <c r="Q311" t="str">
        <f t="shared" si="82"/>
        <v>F</v>
      </c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  <c r="AP311" s="7"/>
      <c r="AQ311" s="7"/>
      <c r="AR311" s="7"/>
      <c r="AS311" s="7"/>
      <c r="AT311" s="7"/>
      <c r="AU311" s="7"/>
      <c r="AV311" s="7"/>
      <c r="AW311" s="7"/>
      <c r="AX311" s="7"/>
      <c r="AY311" s="7"/>
      <c r="AZ311" s="7"/>
      <c r="BA311" s="7"/>
      <c r="BB311" s="7"/>
      <c r="BC311" s="7"/>
      <c r="BD311" s="7"/>
      <c r="BE311" s="7"/>
      <c r="BF311" s="7"/>
      <c r="BG311" s="7"/>
      <c r="BH311" s="7"/>
      <c r="BI311" s="7"/>
      <c r="BJ311" s="7"/>
      <c r="BK311" s="7"/>
      <c r="BL311" s="7"/>
      <c r="BM311" s="7"/>
      <c r="BN311" s="7"/>
      <c r="BO311" s="7"/>
      <c r="BP311" s="7"/>
      <c r="BQ311" s="7"/>
      <c r="BR311" s="7"/>
      <c r="BS311" s="7"/>
      <c r="BT311" s="7">
        <v>1</v>
      </c>
      <c r="BU311" s="7">
        <v>2.7E-2</v>
      </c>
      <c r="BV311" s="7">
        <v>2.7E-2</v>
      </c>
      <c r="BW311" s="5">
        <v>44204</v>
      </c>
      <c r="BX311">
        <v>1</v>
      </c>
      <c r="BY311">
        <v>8</v>
      </c>
      <c r="BZ311">
        <v>2021</v>
      </c>
      <c r="CA311" s="5">
        <f t="shared" si="87"/>
        <v>44409</v>
      </c>
      <c r="CB311">
        <v>213</v>
      </c>
      <c r="CC311" s="7">
        <v>15</v>
      </c>
      <c r="CE311">
        <f t="shared" si="88"/>
        <v>2.2034859005243019</v>
      </c>
      <c r="CF311">
        <f t="shared" si="89"/>
        <v>1.1180820861519047</v>
      </c>
      <c r="CG311">
        <f t="shared" si="97"/>
        <v>1.1430004657995627E-2</v>
      </c>
      <c r="CH311">
        <f t="shared" si="98"/>
        <v>3.8367405701122945</v>
      </c>
      <c r="CI311">
        <f t="shared" si="90"/>
        <v>0.47833622183708807</v>
      </c>
      <c r="CJ311" s="1">
        <f t="shared" si="91"/>
        <v>0.57192374350086617</v>
      </c>
      <c r="CK311" s="7" t="s">
        <v>142</v>
      </c>
      <c r="CL311" s="7">
        <v>2</v>
      </c>
      <c r="CM311" s="7"/>
      <c r="CN311" s="7"/>
      <c r="CO311" s="7"/>
      <c r="CP311" s="7"/>
    </row>
    <row r="312" spans="1:99" x14ac:dyDescent="0.2">
      <c r="A312" s="7" t="s">
        <v>1447</v>
      </c>
      <c r="B312" s="7" t="s">
        <v>46</v>
      </c>
      <c r="C312" t="str">
        <f t="shared" si="83"/>
        <v>I</v>
      </c>
      <c r="D312" t="str">
        <f t="shared" si="84"/>
        <v>I</v>
      </c>
      <c r="E312" t="str">
        <f t="shared" si="85"/>
        <v>G</v>
      </c>
      <c r="F312" s="7">
        <v>101</v>
      </c>
      <c r="G312" s="7">
        <v>84</v>
      </c>
      <c r="H312" s="7">
        <v>17.488</v>
      </c>
      <c r="I312" s="7">
        <v>0.17100000000000001</v>
      </c>
      <c r="J312" s="7">
        <v>0.40400000000000003</v>
      </c>
      <c r="K312" s="7" t="s">
        <v>867</v>
      </c>
      <c r="L312" t="str">
        <f t="shared" si="86"/>
        <v>F</v>
      </c>
      <c r="M312" s="7">
        <v>30</v>
      </c>
      <c r="N312" s="7">
        <v>0.69399999999999995</v>
      </c>
      <c r="O312" s="7">
        <v>0.67400000000000004</v>
      </c>
      <c r="P312" s="7" t="s">
        <v>36</v>
      </c>
      <c r="Q312" t="str">
        <f t="shared" si="82"/>
        <v>MT</v>
      </c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  <c r="AO312" s="7"/>
      <c r="AP312" s="7"/>
      <c r="AQ312" s="7"/>
      <c r="AR312" s="7"/>
      <c r="AS312" s="7"/>
      <c r="AT312" s="7"/>
      <c r="AU312" s="7"/>
      <c r="AV312" s="7"/>
      <c r="AW312" s="7"/>
      <c r="AX312" s="7"/>
      <c r="AY312" s="7"/>
      <c r="AZ312" s="7"/>
      <c r="BA312" s="7"/>
      <c r="BB312" s="7"/>
      <c r="BC312" s="7"/>
      <c r="BD312" s="7"/>
      <c r="BE312" s="7"/>
      <c r="BF312" s="7"/>
      <c r="BG312" s="7"/>
      <c r="BH312" s="7"/>
      <c r="BI312" s="7"/>
      <c r="BJ312" s="7"/>
      <c r="BK312" s="7"/>
      <c r="BL312" s="7"/>
      <c r="BM312" s="7"/>
      <c r="BN312" s="7"/>
      <c r="BO312" s="7"/>
      <c r="BP312" s="7"/>
      <c r="BQ312" s="7"/>
      <c r="BR312" s="7"/>
      <c r="BS312" s="7"/>
      <c r="BT312" s="7"/>
      <c r="BU312" s="7"/>
      <c r="BW312" s="5">
        <v>44204</v>
      </c>
      <c r="BX312">
        <v>1</v>
      </c>
      <c r="BY312">
        <v>8</v>
      </c>
      <c r="BZ312">
        <v>2021</v>
      </c>
      <c r="CA312" s="5">
        <f t="shared" si="87"/>
        <v>44409</v>
      </c>
      <c r="CB312">
        <v>213</v>
      </c>
      <c r="CC312" s="7">
        <v>15</v>
      </c>
      <c r="CE312">
        <f t="shared" si="88"/>
        <v>2.3647857644579724</v>
      </c>
      <c r="CF312">
        <f t="shared" si="89"/>
        <v>0.98746896113645555</v>
      </c>
      <c r="CG312">
        <f t="shared" si="97"/>
        <v>1.0110565836930173E-2</v>
      </c>
      <c r="CH312">
        <f t="shared" si="98"/>
        <v>4.0085642916617106</v>
      </c>
      <c r="CI312">
        <f t="shared" si="90"/>
        <v>0.11436413540713579</v>
      </c>
      <c r="CJ312" s="1">
        <f t="shared" si="91"/>
        <v>0.11436413540713579</v>
      </c>
      <c r="CK312" s="7" t="s">
        <v>142</v>
      </c>
      <c r="CL312" s="7">
        <v>1</v>
      </c>
      <c r="CM312" s="7"/>
      <c r="CN312" s="7"/>
      <c r="CO312" s="7"/>
      <c r="CP312" s="7"/>
      <c r="CQ312" s="12">
        <v>8.0000000000000002E-3</v>
      </c>
      <c r="CR312">
        <f>CQ312/(H312-I312-J312-N312)*1000</f>
        <v>0.49324865898020837</v>
      </c>
      <c r="CU312">
        <v>131.59209313410835</v>
      </c>
    </row>
    <row r="313" spans="1:99" x14ac:dyDescent="0.2">
      <c r="A313" s="7" t="s">
        <v>1448</v>
      </c>
      <c r="B313" s="7" t="s">
        <v>46</v>
      </c>
      <c r="C313" t="str">
        <f t="shared" si="83"/>
        <v>I</v>
      </c>
      <c r="D313" t="str">
        <f t="shared" si="84"/>
        <v>I</v>
      </c>
      <c r="E313" t="str">
        <f t="shared" si="85"/>
        <v>G</v>
      </c>
      <c r="F313" s="7">
        <v>101</v>
      </c>
      <c r="G313" s="7">
        <v>95</v>
      </c>
      <c r="H313" s="7">
        <v>17.777000000000001</v>
      </c>
      <c r="I313" s="7">
        <v>0.13300000000000001</v>
      </c>
      <c r="J313" s="7">
        <v>3.1E-2</v>
      </c>
      <c r="K313" s="7" t="s">
        <v>1181</v>
      </c>
      <c r="L313" t="str">
        <f t="shared" si="86"/>
        <v>M</v>
      </c>
      <c r="M313" s="7">
        <v>40</v>
      </c>
      <c r="N313" s="7">
        <v>0.78</v>
      </c>
      <c r="O313" s="7">
        <v>0.73099999999999998</v>
      </c>
      <c r="P313" s="7" t="s">
        <v>36</v>
      </c>
      <c r="Q313" t="str">
        <f t="shared" si="82"/>
        <v>MT</v>
      </c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  <c r="AP313" s="7"/>
      <c r="AQ313" s="7"/>
      <c r="AR313" s="7"/>
      <c r="AS313" s="7"/>
      <c r="AT313" s="7"/>
      <c r="AU313" s="7"/>
      <c r="AV313" s="7"/>
      <c r="AW313" s="7"/>
      <c r="AX313" s="7"/>
      <c r="AY313" s="7"/>
      <c r="AZ313" s="7"/>
      <c r="BA313" s="7"/>
      <c r="BB313" s="7"/>
      <c r="BC313" s="7"/>
      <c r="BD313" s="7"/>
      <c r="BE313" s="7"/>
      <c r="BF313" s="7"/>
      <c r="BG313" s="7"/>
      <c r="BH313" s="7"/>
      <c r="BI313" s="7"/>
      <c r="BJ313" s="7"/>
      <c r="BK313" s="7"/>
      <c r="BL313" s="7"/>
      <c r="BM313" s="7"/>
      <c r="BN313" s="7"/>
      <c r="BO313" s="7"/>
      <c r="BP313" s="7"/>
      <c r="BQ313" s="7"/>
      <c r="BR313" s="7"/>
      <c r="BS313" s="7"/>
      <c r="BT313" s="7"/>
      <c r="BU313" s="7"/>
      <c r="BW313" s="5">
        <v>44204</v>
      </c>
      <c r="BX313">
        <v>1</v>
      </c>
      <c r="BY313">
        <v>8</v>
      </c>
      <c r="BZ313">
        <v>2021</v>
      </c>
      <c r="CA313" s="5">
        <f t="shared" si="87"/>
        <v>44409</v>
      </c>
      <c r="CB313">
        <v>213</v>
      </c>
      <c r="CC313" s="7">
        <v>15</v>
      </c>
      <c r="CE313">
        <f t="shared" si="88"/>
        <v>0.17468725346556968</v>
      </c>
      <c r="CF313">
        <f t="shared" si="89"/>
        <v>0.75379732486964401</v>
      </c>
      <c r="CG313">
        <f t="shared" si="97"/>
        <v>7.5512405609492982E-3</v>
      </c>
      <c r="CH313">
        <f t="shared" si="98"/>
        <v>4.2883961046579842</v>
      </c>
      <c r="CI313">
        <f t="shared" si="90"/>
        <v>0.27563705912133679</v>
      </c>
      <c r="CJ313" s="1">
        <f t="shared" si="91"/>
        <v>0.27563705912133679</v>
      </c>
      <c r="CK313" s="7" t="s">
        <v>142</v>
      </c>
      <c r="CL313" s="7">
        <v>1</v>
      </c>
      <c r="CM313" s="7"/>
      <c r="CN313" s="7"/>
      <c r="CO313" s="7"/>
      <c r="CP313" s="7"/>
    </row>
    <row r="314" spans="1:99" x14ac:dyDescent="0.2">
      <c r="A314" s="7" t="s">
        <v>1449</v>
      </c>
      <c r="B314" s="7" t="s">
        <v>46</v>
      </c>
      <c r="C314" t="str">
        <f t="shared" si="83"/>
        <v>I</v>
      </c>
      <c r="D314" t="str">
        <f t="shared" si="84"/>
        <v>B</v>
      </c>
      <c r="E314" t="str">
        <f t="shared" si="85"/>
        <v>N</v>
      </c>
      <c r="F314" s="7">
        <v>123</v>
      </c>
      <c r="G314" s="7">
        <v>112</v>
      </c>
      <c r="H314" s="7">
        <v>33.131999999999998</v>
      </c>
      <c r="I314" s="7">
        <v>0.308</v>
      </c>
      <c r="J314" s="7">
        <v>0.44400000000000001</v>
      </c>
      <c r="K314" s="7" t="s">
        <v>1455</v>
      </c>
      <c r="L314" t="str">
        <f t="shared" si="86"/>
        <v>F</v>
      </c>
      <c r="M314" s="7">
        <v>21</v>
      </c>
      <c r="N314" s="7">
        <v>1.5489999999999999</v>
      </c>
      <c r="O314" s="7">
        <v>1.2350000000000001</v>
      </c>
      <c r="P314" s="7" t="s">
        <v>1457</v>
      </c>
      <c r="Q314" t="str">
        <f t="shared" si="82"/>
        <v>F</v>
      </c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  <c r="AP314" s="7"/>
      <c r="AQ314" s="7"/>
      <c r="AR314" s="7"/>
      <c r="AS314" s="7"/>
      <c r="AT314" s="7"/>
      <c r="AU314" s="7"/>
      <c r="AV314" s="7"/>
      <c r="AW314" s="7"/>
      <c r="AX314" s="7"/>
      <c r="AY314" s="7"/>
      <c r="AZ314" s="7"/>
      <c r="BA314" s="7"/>
      <c r="BB314" s="7"/>
      <c r="BC314" s="7"/>
      <c r="BD314" s="7"/>
      <c r="BE314" s="7"/>
      <c r="BF314" s="7"/>
      <c r="BG314" s="7"/>
      <c r="BH314" s="7"/>
      <c r="BI314" s="7"/>
      <c r="BJ314" s="7"/>
      <c r="BK314" s="7"/>
      <c r="BL314" s="7"/>
      <c r="BM314" s="7"/>
      <c r="BN314" s="7"/>
      <c r="BO314" s="7"/>
      <c r="BP314" s="7">
        <v>1</v>
      </c>
      <c r="BQ314" s="7">
        <v>0.219</v>
      </c>
      <c r="BR314" s="7"/>
      <c r="BS314" s="7"/>
      <c r="BT314" s="7"/>
      <c r="BU314" s="7"/>
      <c r="BV314" s="7">
        <v>0.219</v>
      </c>
      <c r="BW314" s="5">
        <v>44204</v>
      </c>
      <c r="BX314">
        <v>1</v>
      </c>
      <c r="BY314">
        <v>8</v>
      </c>
      <c r="BZ314">
        <v>2021</v>
      </c>
      <c r="CA314" s="5">
        <f t="shared" si="87"/>
        <v>44409</v>
      </c>
      <c r="CB314">
        <v>213</v>
      </c>
      <c r="CC314" s="7">
        <v>15</v>
      </c>
      <c r="CD314" t="s">
        <v>1461</v>
      </c>
      <c r="CE314">
        <f t="shared" si="88"/>
        <v>1.3582966226138034</v>
      </c>
      <c r="CF314">
        <f t="shared" si="89"/>
        <v>0.93833780160857916</v>
      </c>
      <c r="CG314">
        <f t="shared" si="97"/>
        <v>9.5120444718962329E-3</v>
      </c>
      <c r="CH314">
        <f t="shared" si="98"/>
        <v>3.8718374768787043</v>
      </c>
      <c r="CI314">
        <f t="shared" si="90"/>
        <v>0.94772425449716236</v>
      </c>
      <c r="CJ314" s="1">
        <f t="shared" si="91"/>
        <v>1.6087166485572857</v>
      </c>
      <c r="CK314" s="7" t="s">
        <v>142</v>
      </c>
      <c r="CL314" s="7">
        <v>1</v>
      </c>
      <c r="CM314" s="7"/>
      <c r="CN314" s="7"/>
      <c r="CO314" s="7"/>
      <c r="CP314" s="7"/>
    </row>
    <row r="315" spans="1:99" ht="32" x14ac:dyDescent="0.2">
      <c r="A315" s="7" t="s">
        <v>1450</v>
      </c>
      <c r="B315" s="7" t="s">
        <v>46</v>
      </c>
      <c r="C315" t="str">
        <f t="shared" si="83"/>
        <v>I</v>
      </c>
      <c r="D315" t="str">
        <f t="shared" si="84"/>
        <v>S</v>
      </c>
      <c r="E315" t="str">
        <f t="shared" si="85"/>
        <v>G</v>
      </c>
      <c r="F315" s="7">
        <v>83</v>
      </c>
      <c r="G315" s="7">
        <v>78</v>
      </c>
      <c r="H315" s="7">
        <v>9.218</v>
      </c>
      <c r="I315" s="7">
        <v>9.8000000000000004E-2</v>
      </c>
      <c r="J315" s="7">
        <v>3.1E-2</v>
      </c>
      <c r="K315" s="7" t="s">
        <v>1181</v>
      </c>
      <c r="L315" t="str">
        <f t="shared" si="86"/>
        <v>M</v>
      </c>
      <c r="M315" s="7">
        <v>40</v>
      </c>
      <c r="N315" s="7">
        <v>0.39700000000000002</v>
      </c>
      <c r="O315" s="7">
        <v>0.314</v>
      </c>
      <c r="P315" s="7" t="s">
        <v>1458</v>
      </c>
      <c r="Q315" t="str">
        <f t="shared" si="82"/>
        <v>F</v>
      </c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>
        <v>5</v>
      </c>
      <c r="AK315" s="7">
        <v>1.7999999999999999E-2</v>
      </c>
      <c r="AL315" s="7"/>
      <c r="AM315" s="7"/>
      <c r="AN315" s="7"/>
      <c r="AO315" s="7"/>
      <c r="AP315" s="7"/>
      <c r="AQ315" s="7"/>
      <c r="AR315" s="7"/>
      <c r="AS315" s="7"/>
      <c r="AT315" s="7"/>
      <c r="AU315" s="7"/>
      <c r="AV315" s="7"/>
      <c r="AW315" s="7"/>
      <c r="AX315" s="7"/>
      <c r="AY315" s="7"/>
      <c r="AZ315" s="7"/>
      <c r="BA315" s="7"/>
      <c r="BB315" s="7"/>
      <c r="BC315" s="7"/>
      <c r="BD315" s="7">
        <v>4</v>
      </c>
      <c r="BE315" s="7">
        <v>2.8000000000000001E-2</v>
      </c>
      <c r="BF315" s="7"/>
      <c r="BG315" s="7"/>
      <c r="BH315" s="7"/>
      <c r="BI315" s="7"/>
      <c r="BJ315" s="7"/>
      <c r="BK315" s="7"/>
      <c r="BL315" s="7"/>
      <c r="BM315" s="7"/>
      <c r="BN315" s="7"/>
      <c r="BO315" s="7"/>
      <c r="BP315" s="7"/>
      <c r="BQ315" s="7"/>
      <c r="BR315" s="7"/>
      <c r="BS315" s="7"/>
      <c r="BT315" s="7"/>
      <c r="BU315" s="7"/>
      <c r="BV315" s="7">
        <v>4.5999999999999999E-2</v>
      </c>
      <c r="BW315" s="5">
        <v>44204</v>
      </c>
      <c r="BX315">
        <v>1</v>
      </c>
      <c r="BY315">
        <v>8</v>
      </c>
      <c r="BZ315">
        <v>2021</v>
      </c>
      <c r="CA315" s="5">
        <f t="shared" si="87"/>
        <v>44409</v>
      </c>
      <c r="CB315">
        <v>213</v>
      </c>
      <c r="CC315" s="7">
        <v>15</v>
      </c>
      <c r="CE315">
        <f t="shared" si="88"/>
        <v>0.33743332970501799</v>
      </c>
      <c r="CF315">
        <f t="shared" si="89"/>
        <v>1.0745614035087721</v>
      </c>
      <c r="CG315">
        <f t="shared" si="97"/>
        <v>1.0782264275497857E-2</v>
      </c>
      <c r="CH315">
        <f t="shared" si="98"/>
        <v>3.5265049415992809</v>
      </c>
      <c r="CI315">
        <f t="shared" si="90"/>
        <v>0.9004122369277503</v>
      </c>
      <c r="CJ315" s="1">
        <f t="shared" si="91"/>
        <v>1.3994358863093947</v>
      </c>
      <c r="CK315" s="7" t="s">
        <v>142</v>
      </c>
      <c r="CL315" s="7">
        <v>2</v>
      </c>
      <c r="CM315" s="7"/>
      <c r="CN315" s="7"/>
      <c r="CO315" s="7"/>
      <c r="CP315" s="7"/>
    </row>
    <row r="316" spans="1:99" x14ac:dyDescent="0.2">
      <c r="A316" s="7" t="s">
        <v>1451</v>
      </c>
      <c r="B316" s="7" t="s">
        <v>46</v>
      </c>
      <c r="C316" t="str">
        <f t="shared" si="83"/>
        <v>I</v>
      </c>
      <c r="D316" t="str">
        <f t="shared" si="84"/>
        <v>S</v>
      </c>
      <c r="E316" t="str">
        <f t="shared" si="85"/>
        <v>G</v>
      </c>
      <c r="F316" s="7">
        <v>68</v>
      </c>
      <c r="G316" s="7">
        <v>64</v>
      </c>
      <c r="H316" s="7">
        <v>5.1980000000000004</v>
      </c>
      <c r="I316" s="7">
        <v>7.0999999999999994E-2</v>
      </c>
      <c r="J316" s="7">
        <v>8.9999999999999993E-3</v>
      </c>
      <c r="K316" s="7" t="s">
        <v>1181</v>
      </c>
      <c r="L316" t="str">
        <f t="shared" si="86"/>
        <v>M</v>
      </c>
      <c r="M316" s="7">
        <v>40</v>
      </c>
      <c r="N316" s="7">
        <v>0.28299999999999997</v>
      </c>
      <c r="O316" s="7">
        <v>0.222</v>
      </c>
      <c r="P316" s="7" t="s">
        <v>1459</v>
      </c>
      <c r="Q316" t="str">
        <f t="shared" ref="Q316:Q379" si="99">IF(P316="MT","MT","F")</f>
        <v>F</v>
      </c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>
        <v>50</v>
      </c>
      <c r="AO316" s="7">
        <v>3.9E-2</v>
      </c>
      <c r="AP316" s="7"/>
      <c r="AQ316" s="7"/>
      <c r="AR316" s="7"/>
      <c r="AS316" s="7"/>
      <c r="AT316" s="7"/>
      <c r="AU316" s="7"/>
      <c r="AV316" s="7"/>
      <c r="AW316" s="7"/>
      <c r="AX316" s="7"/>
      <c r="AY316" s="7"/>
      <c r="AZ316" s="7"/>
      <c r="BA316" s="7"/>
      <c r="BB316" s="7"/>
      <c r="BC316" s="7"/>
      <c r="BD316" s="7"/>
      <c r="BE316" s="7"/>
      <c r="BF316" s="7"/>
      <c r="BG316" s="7"/>
      <c r="BH316" s="7"/>
      <c r="BI316" s="7"/>
      <c r="BJ316" s="7"/>
      <c r="BK316" s="7"/>
      <c r="BL316" s="7"/>
      <c r="BM316" s="7"/>
      <c r="BN316" s="7"/>
      <c r="BO316" s="7"/>
      <c r="BP316" s="7"/>
      <c r="BQ316" s="7"/>
      <c r="BR316" s="7"/>
      <c r="BS316" s="7"/>
      <c r="BT316" s="7"/>
      <c r="BU316" s="7"/>
      <c r="BV316" s="7">
        <v>3.9E-2</v>
      </c>
      <c r="BW316" s="5">
        <v>44204</v>
      </c>
      <c r="BX316">
        <v>1</v>
      </c>
      <c r="BY316">
        <v>8</v>
      </c>
      <c r="BZ316">
        <v>2021</v>
      </c>
      <c r="CA316" s="5">
        <f t="shared" si="87"/>
        <v>44409</v>
      </c>
      <c r="CB316">
        <v>213</v>
      </c>
      <c r="CC316" s="7">
        <v>15</v>
      </c>
      <c r="CE316">
        <f t="shared" si="88"/>
        <v>0.17344382347273074</v>
      </c>
      <c r="CF316">
        <f t="shared" si="89"/>
        <v>1.3848254339769843</v>
      </c>
      <c r="CG316">
        <f t="shared" si="97"/>
        <v>1.3872606486908946E-2</v>
      </c>
      <c r="CH316">
        <f t="shared" si="98"/>
        <v>4.4614147909967841</v>
      </c>
      <c r="CI316">
        <f t="shared" si="90"/>
        <v>1.1735282801077331</v>
      </c>
      <c r="CJ316" s="1">
        <f t="shared" si="91"/>
        <v>1.9238168526356285</v>
      </c>
      <c r="CK316" s="7" t="s">
        <v>142</v>
      </c>
      <c r="CL316" s="7">
        <v>1</v>
      </c>
      <c r="CM316" s="7"/>
      <c r="CN316" s="7"/>
      <c r="CO316" s="7"/>
      <c r="CP316" s="7"/>
    </row>
    <row r="317" spans="1:99" ht="32" x14ac:dyDescent="0.2">
      <c r="A317" s="7" t="s">
        <v>1452</v>
      </c>
      <c r="B317" s="7" t="s">
        <v>46</v>
      </c>
      <c r="C317" t="str">
        <f t="shared" si="83"/>
        <v>I</v>
      </c>
      <c r="D317" t="str">
        <f t="shared" si="84"/>
        <v>I</v>
      </c>
      <c r="E317" t="str">
        <f t="shared" si="85"/>
        <v>G</v>
      </c>
      <c r="F317" s="7">
        <v>91</v>
      </c>
      <c r="G317" s="7">
        <v>84</v>
      </c>
      <c r="H317" s="7">
        <v>12.558</v>
      </c>
      <c r="I317" s="7">
        <v>0.151</v>
      </c>
      <c r="J317" s="7">
        <v>0.26100000000000001</v>
      </c>
      <c r="K317" s="7" t="s">
        <v>867</v>
      </c>
      <c r="L317" t="str">
        <f t="shared" si="86"/>
        <v>F</v>
      </c>
      <c r="M317" s="7">
        <v>30</v>
      </c>
      <c r="N317" s="7">
        <v>0.53700000000000003</v>
      </c>
      <c r="O317" s="7">
        <v>0.45600000000000002</v>
      </c>
      <c r="P317" s="7" t="s">
        <v>1460</v>
      </c>
      <c r="Q317" t="str">
        <f t="shared" si="99"/>
        <v>F</v>
      </c>
      <c r="R317" s="7"/>
      <c r="S317" s="7"/>
      <c r="T317" s="7"/>
      <c r="U317" s="7"/>
      <c r="V317" s="7">
        <v>1</v>
      </c>
      <c r="W317" s="7">
        <v>2.4E-2</v>
      </c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  <c r="AO317" s="7"/>
      <c r="AP317" s="7"/>
      <c r="AQ317" s="7"/>
      <c r="AR317" s="7"/>
      <c r="AS317" s="7"/>
      <c r="AT317" s="7"/>
      <c r="AU317" s="7"/>
      <c r="AV317" s="7">
        <v>12</v>
      </c>
      <c r="AW317" s="7">
        <v>2.1000000000000001E-2</v>
      </c>
      <c r="AX317" s="7"/>
      <c r="AY317" s="7"/>
      <c r="AZ317" s="7"/>
      <c r="BA317" s="7"/>
      <c r="BB317" s="7"/>
      <c r="BC317" s="7"/>
      <c r="BD317" s="7"/>
      <c r="BE317" s="7"/>
      <c r="BF317" s="7"/>
      <c r="BG317" s="7"/>
      <c r="BH317" s="7"/>
      <c r="BI317" s="7"/>
      <c r="BJ317" s="7"/>
      <c r="BK317" s="7"/>
      <c r="BL317" s="7"/>
      <c r="BM317" s="7"/>
      <c r="BN317" s="7"/>
      <c r="BO317" s="7"/>
      <c r="BP317" s="7"/>
      <c r="BQ317" s="7"/>
      <c r="BR317" s="7"/>
      <c r="BS317" s="7"/>
      <c r="BT317" s="7"/>
      <c r="BU317" s="7"/>
      <c r="BV317" s="7">
        <v>4.4999999999999998E-2</v>
      </c>
      <c r="BW317" s="5">
        <v>44204</v>
      </c>
      <c r="BX317">
        <v>1</v>
      </c>
      <c r="BY317">
        <v>8</v>
      </c>
      <c r="BZ317">
        <v>2021</v>
      </c>
      <c r="CA317" s="5">
        <f t="shared" si="87"/>
        <v>44409</v>
      </c>
      <c r="CB317">
        <v>213</v>
      </c>
      <c r="CC317" s="7">
        <v>15</v>
      </c>
      <c r="CE317">
        <f t="shared" si="88"/>
        <v>2.1224688948524029</v>
      </c>
      <c r="CF317">
        <f t="shared" si="89"/>
        <v>1.2170548883694687</v>
      </c>
      <c r="CG317">
        <f t="shared" si="97"/>
        <v>1.2432076403754322E-2</v>
      </c>
      <c r="CH317">
        <f t="shared" si="98"/>
        <v>3.7679722359940508</v>
      </c>
      <c r="CI317">
        <f t="shared" si="90"/>
        <v>0.64500716674629732</v>
      </c>
      <c r="CJ317" s="1">
        <f t="shared" si="91"/>
        <v>1.0033444816053512</v>
      </c>
      <c r="CK317" s="7" t="s">
        <v>142</v>
      </c>
      <c r="CL317" s="7">
        <v>2</v>
      </c>
      <c r="CM317" s="7"/>
      <c r="CN317" s="7"/>
      <c r="CO317" s="7"/>
      <c r="CP317" s="7"/>
      <c r="CQ317" s="12">
        <v>2.5399999999999999E-2</v>
      </c>
      <c r="CR317">
        <f>CQ317/(H317-I317-J317-N317)*1000</f>
        <v>2.1879576190886381</v>
      </c>
      <c r="CT317">
        <v>104.29726038231158</v>
      </c>
      <c r="CU317">
        <v>116.09576635438592</v>
      </c>
    </row>
    <row r="318" spans="1:99" x14ac:dyDescent="0.2">
      <c r="A318" s="7" t="s">
        <v>1453</v>
      </c>
      <c r="B318" s="7" t="s">
        <v>46</v>
      </c>
      <c r="C318" t="str">
        <f t="shared" si="83"/>
        <v>I</v>
      </c>
      <c r="D318" t="str">
        <f t="shared" si="84"/>
        <v>B</v>
      </c>
      <c r="E318" t="str">
        <f t="shared" si="85"/>
        <v>N</v>
      </c>
      <c r="F318" s="7">
        <v>127</v>
      </c>
      <c r="G318" s="7">
        <v>120</v>
      </c>
      <c r="H318" s="7">
        <v>37.936</v>
      </c>
      <c r="I318" s="7">
        <v>0.52600000000000002</v>
      </c>
      <c r="J318" s="7">
        <v>0.89500000000000002</v>
      </c>
      <c r="K318" s="7" t="s">
        <v>867</v>
      </c>
      <c r="L318" t="str">
        <f t="shared" si="86"/>
        <v>F</v>
      </c>
      <c r="M318" s="7">
        <v>30</v>
      </c>
      <c r="N318" s="7">
        <v>1.4470000000000001</v>
      </c>
      <c r="O318" s="7">
        <v>1.403</v>
      </c>
      <c r="P318" s="7" t="s">
        <v>36</v>
      </c>
      <c r="Q318" t="str">
        <f t="shared" si="99"/>
        <v>MT</v>
      </c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  <c r="AP318" s="7"/>
      <c r="AQ318" s="7"/>
      <c r="AR318" s="7"/>
      <c r="AS318" s="7"/>
      <c r="AT318" s="7"/>
      <c r="AU318" s="7"/>
      <c r="AV318" s="7"/>
      <c r="AW318" s="7"/>
      <c r="AX318" s="7"/>
      <c r="AY318" s="7"/>
      <c r="AZ318" s="7"/>
      <c r="BA318" s="7"/>
      <c r="BB318" s="7"/>
      <c r="BC318" s="7"/>
      <c r="BD318" s="7"/>
      <c r="BE318" s="7"/>
      <c r="BF318" s="7"/>
      <c r="BG318" s="7"/>
      <c r="BH318" s="7"/>
      <c r="BI318" s="7"/>
      <c r="BJ318" s="7"/>
      <c r="BK318" s="7"/>
      <c r="BL318" s="7"/>
      <c r="BM318" s="7"/>
      <c r="BN318" s="7"/>
      <c r="BO318" s="7"/>
      <c r="BP318" s="7"/>
      <c r="BQ318" s="7"/>
      <c r="BR318" s="7"/>
      <c r="BS318" s="7"/>
      <c r="BT318" s="7"/>
      <c r="BU318" s="7"/>
      <c r="BW318" s="5">
        <v>44204</v>
      </c>
      <c r="BX318">
        <v>1</v>
      </c>
      <c r="BY318">
        <v>8</v>
      </c>
      <c r="BZ318">
        <v>2021</v>
      </c>
      <c r="CA318" s="5">
        <f t="shared" si="87"/>
        <v>44409</v>
      </c>
      <c r="CB318">
        <v>213</v>
      </c>
      <c r="CC318" s="7">
        <v>15</v>
      </c>
      <c r="CE318">
        <f t="shared" si="88"/>
        <v>2.4162414621635486</v>
      </c>
      <c r="CF318">
        <f t="shared" si="89"/>
        <v>1.4060411654637799</v>
      </c>
      <c r="CG318">
        <f t="shared" si="97"/>
        <v>1.4405039025058198E-2</v>
      </c>
      <c r="CH318">
        <f t="shared" si="98"/>
        <v>3.8403635069663045</v>
      </c>
      <c r="CI318">
        <f t="shared" si="90"/>
        <v>0.11598481653310849</v>
      </c>
      <c r="CJ318" s="1">
        <f t="shared" si="91"/>
        <v>0.11598481653310849</v>
      </c>
      <c r="CK318" s="7" t="s">
        <v>142</v>
      </c>
      <c r="CL318" s="7">
        <v>2</v>
      </c>
      <c r="CM318" s="7"/>
      <c r="CN318" s="7"/>
      <c r="CO318" s="7"/>
      <c r="CP318" s="7"/>
    </row>
    <row r="319" spans="1:99" x14ac:dyDescent="0.2">
      <c r="A319" s="7" t="s">
        <v>1454</v>
      </c>
      <c r="B319" s="7" t="s">
        <v>46</v>
      </c>
      <c r="C319" t="str">
        <f t="shared" si="83"/>
        <v>I</v>
      </c>
      <c r="D319" t="str">
        <f t="shared" si="84"/>
        <v>B</v>
      </c>
      <c r="E319" t="str">
        <f t="shared" si="85"/>
        <v>N</v>
      </c>
      <c r="F319" s="7">
        <v>138</v>
      </c>
      <c r="G319" s="7">
        <v>130</v>
      </c>
      <c r="H319" s="7">
        <v>49.536999999999999</v>
      </c>
      <c r="I319" s="7">
        <v>0.35399999999999998</v>
      </c>
      <c r="J319" s="7">
        <v>0.497</v>
      </c>
      <c r="K319" s="7" t="s">
        <v>868</v>
      </c>
      <c r="L319" t="str">
        <f t="shared" si="86"/>
        <v>M</v>
      </c>
      <c r="M319" s="7">
        <v>30</v>
      </c>
      <c r="N319" s="7">
        <v>1.605</v>
      </c>
      <c r="O319" s="7">
        <v>1.528</v>
      </c>
      <c r="P319" s="7" t="s">
        <v>36</v>
      </c>
      <c r="Q319" t="str">
        <f t="shared" si="99"/>
        <v>MT</v>
      </c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  <c r="AP319" s="7"/>
      <c r="AQ319" s="7"/>
      <c r="AR319" s="7"/>
      <c r="AS319" s="7"/>
      <c r="AT319" s="7"/>
      <c r="AU319" s="7"/>
      <c r="AV319" s="7"/>
      <c r="AW319" s="7"/>
      <c r="AX319" s="7"/>
      <c r="AY319" s="7"/>
      <c r="AZ319" s="7"/>
      <c r="BA319" s="7"/>
      <c r="BB319" s="7"/>
      <c r="BC319" s="7"/>
      <c r="BD319" s="7"/>
      <c r="BE319" s="7"/>
      <c r="BF319" s="7"/>
      <c r="BG319" s="7"/>
      <c r="BH319" s="7"/>
      <c r="BI319" s="7"/>
      <c r="BJ319" s="7"/>
      <c r="BK319" s="7"/>
      <c r="BL319" s="7"/>
      <c r="BM319" s="7"/>
      <c r="BN319" s="7"/>
      <c r="BO319" s="7"/>
      <c r="BP319" s="7"/>
      <c r="BQ319" s="7"/>
      <c r="BR319" s="7"/>
      <c r="BS319" s="7"/>
      <c r="BT319" s="7"/>
      <c r="BU319" s="7"/>
      <c r="BW319" s="5">
        <v>44204</v>
      </c>
      <c r="BX319">
        <v>1</v>
      </c>
      <c r="BY319">
        <v>8</v>
      </c>
      <c r="BZ319">
        <v>2021</v>
      </c>
      <c r="CA319" s="5">
        <f t="shared" si="87"/>
        <v>44409</v>
      </c>
      <c r="CB319">
        <v>213</v>
      </c>
      <c r="CC319" s="7">
        <v>15</v>
      </c>
      <c r="CE319">
        <f t="shared" si="88"/>
        <v>1.0134584013050572</v>
      </c>
      <c r="CF319">
        <f t="shared" si="89"/>
        <v>0.71976089299148083</v>
      </c>
      <c r="CG319">
        <f t="shared" si="97"/>
        <v>7.2710840898821015E-3</v>
      </c>
      <c r="CH319">
        <f t="shared" si="98"/>
        <v>3.1827365702264161</v>
      </c>
      <c r="CI319">
        <f t="shared" si="90"/>
        <v>0.15543936855279883</v>
      </c>
      <c r="CJ319" s="1">
        <f t="shared" si="91"/>
        <v>0.15543936855279883</v>
      </c>
      <c r="CK319" s="7" t="s">
        <v>142</v>
      </c>
      <c r="CL319" s="7">
        <v>1</v>
      </c>
      <c r="CM319" s="7"/>
      <c r="CN319" s="7"/>
      <c r="CO319" s="7"/>
      <c r="CP319" s="7"/>
    </row>
    <row r="320" spans="1:99" ht="17" x14ac:dyDescent="0.2">
      <c r="A320" t="s">
        <v>101</v>
      </c>
      <c r="B320" t="s">
        <v>102</v>
      </c>
      <c r="C320" t="str">
        <f t="shared" si="83"/>
        <v>B</v>
      </c>
      <c r="D320" t="str">
        <f t="shared" si="84"/>
        <v>B</v>
      </c>
      <c r="E320" t="str">
        <f t="shared" si="85"/>
        <v>N</v>
      </c>
      <c r="F320">
        <v>206</v>
      </c>
      <c r="G320">
        <v>196</v>
      </c>
      <c r="H320">
        <v>171.71799999999999</v>
      </c>
      <c r="I320">
        <v>2.34</v>
      </c>
      <c r="J320">
        <v>0.33500000000000002</v>
      </c>
      <c r="K320" t="s">
        <v>38</v>
      </c>
      <c r="L320" t="str">
        <f t="shared" si="86"/>
        <v>M</v>
      </c>
      <c r="M320">
        <v>22</v>
      </c>
      <c r="N320">
        <v>7.1319999999999997</v>
      </c>
      <c r="O320">
        <v>7.05</v>
      </c>
      <c r="P320" t="s">
        <v>36</v>
      </c>
      <c r="Q320" t="str">
        <f t="shared" si="99"/>
        <v>MT</v>
      </c>
      <c r="BV320" s="1"/>
      <c r="BW320" s="1" t="s">
        <v>103</v>
      </c>
      <c r="BX320" t="str">
        <f t="shared" ref="BX320" si="100">LEFT(BW320,2)</f>
        <v>21</v>
      </c>
      <c r="BY320" t="str">
        <f>MID(BW320,4,2)</f>
        <v>12</v>
      </c>
      <c r="BZ320" t="str">
        <f t="shared" ref="BZ320" si="101">RIGHT(BW320,4)</f>
        <v>2020</v>
      </c>
      <c r="CA320" s="5">
        <f t="shared" si="87"/>
        <v>44186</v>
      </c>
      <c r="CB320">
        <v>356</v>
      </c>
      <c r="CC320">
        <v>1</v>
      </c>
      <c r="CD320" s="1" t="s">
        <v>104</v>
      </c>
      <c r="CE320">
        <f t="shared" si="88"/>
        <v>0.19546862874380774</v>
      </c>
      <c r="CF320">
        <f t="shared" si="89"/>
        <v>1.3815253456765342</v>
      </c>
      <c r="CG320">
        <f t="shared" ref="CG320:CG351" si="102">I320/(H320-I320-J320)*100</f>
        <v>1.3842631756417005</v>
      </c>
      <c r="CH320">
        <f t="shared" ref="CH320:CH351" si="103">O320/H320*100</f>
        <v>4.1055684319640342</v>
      </c>
      <c r="CI320">
        <f t="shared" si="90"/>
        <v>4.7752710839865278E-2</v>
      </c>
      <c r="CJ320" s="1"/>
      <c r="CK320" s="6" t="s">
        <v>105</v>
      </c>
      <c r="CL320" s="6"/>
      <c r="CM320" s="6"/>
      <c r="CN320" s="6"/>
      <c r="CO320" s="6"/>
      <c r="CP320" s="6"/>
    </row>
    <row r="321" spans="1:94" ht="17" x14ac:dyDescent="0.2">
      <c r="A321" t="s">
        <v>106</v>
      </c>
      <c r="B321" t="s">
        <v>102</v>
      </c>
      <c r="C321" t="str">
        <f t="shared" si="83"/>
        <v>B</v>
      </c>
      <c r="D321" t="str">
        <f t="shared" si="84"/>
        <v>B</v>
      </c>
      <c r="E321" t="str">
        <f t="shared" si="85"/>
        <v>N</v>
      </c>
      <c r="F321">
        <v>177</v>
      </c>
      <c r="G321">
        <v>169</v>
      </c>
      <c r="H321">
        <v>121.184</v>
      </c>
      <c r="I321">
        <v>2.12</v>
      </c>
      <c r="J321">
        <v>0.19900000000000001</v>
      </c>
      <c r="K321" t="s">
        <v>38</v>
      </c>
      <c r="L321" t="str">
        <f t="shared" si="86"/>
        <v>M</v>
      </c>
      <c r="M321">
        <v>22</v>
      </c>
      <c r="N321">
        <v>5.6050000000000004</v>
      </c>
      <c r="O321">
        <v>5.5229999999999997</v>
      </c>
      <c r="P321" t="s">
        <v>36</v>
      </c>
      <c r="Q321" t="str">
        <f t="shared" si="99"/>
        <v>MT</v>
      </c>
      <c r="BV321" s="1"/>
      <c r="BW321" s="1" t="s">
        <v>103</v>
      </c>
      <c r="BX321" t="str">
        <f t="shared" ref="BX321:BX336" si="104">LEFT(BW321,2)</f>
        <v>21</v>
      </c>
      <c r="BY321" t="str">
        <f t="shared" ref="BY321:BY336" si="105">MID(BW321,4,2)</f>
        <v>12</v>
      </c>
      <c r="BZ321" t="str">
        <f t="shared" ref="BZ321:BZ336" si="106">RIGHT(BW321,4)</f>
        <v>2020</v>
      </c>
      <c r="CA321" s="5">
        <f t="shared" si="87"/>
        <v>44186</v>
      </c>
      <c r="CB321">
        <v>356</v>
      </c>
      <c r="CC321">
        <v>1</v>
      </c>
      <c r="CD321" s="1" t="s">
        <v>104</v>
      </c>
      <c r="CE321">
        <f t="shared" si="88"/>
        <v>0.16448320039674341</v>
      </c>
      <c r="CF321">
        <f t="shared" si="89"/>
        <v>1.7805549956326012</v>
      </c>
      <c r="CG321">
        <f t="shared" si="102"/>
        <v>1.7835359441383085</v>
      </c>
      <c r="CH321">
        <f t="shared" si="103"/>
        <v>4.5575323475046208</v>
      </c>
      <c r="CI321">
        <f t="shared" si="90"/>
        <v>6.7665698442039166E-2</v>
      </c>
      <c r="CJ321" s="1"/>
      <c r="CK321" s="6" t="s">
        <v>105</v>
      </c>
      <c r="CL321" s="6"/>
      <c r="CM321" s="6"/>
      <c r="CN321" s="6"/>
      <c r="CO321" s="6"/>
      <c r="CP321" s="6"/>
    </row>
    <row r="322" spans="1:94" ht="17" x14ac:dyDescent="0.2">
      <c r="A322" t="s">
        <v>107</v>
      </c>
      <c r="B322" t="s">
        <v>102</v>
      </c>
      <c r="C322" t="str">
        <f t="shared" ref="C322:C385" si="107">IF(F322&gt;=150,"B",IF(F322&lt;=60,"S","I"))</f>
        <v>B</v>
      </c>
      <c r="D322" t="str">
        <f t="shared" ref="D322:D385" si="108">IF(F322&gt;=110,"B",IF(F322&gt;=85,"I",IF(F322&gt;=65,"S","IMM")))</f>
        <v>B</v>
      </c>
      <c r="E322" t="str">
        <f t="shared" ref="E322:E385" si="109">IF(AND(F322&gt;=60,F322&lt;=110),"G","N")</f>
        <v>N</v>
      </c>
      <c r="F322">
        <v>198</v>
      </c>
      <c r="G322">
        <v>188</v>
      </c>
      <c r="H322">
        <v>164.89400000000001</v>
      </c>
      <c r="I322">
        <v>2.4929999999999999</v>
      </c>
      <c r="J322">
        <v>0.27600000000000002</v>
      </c>
      <c r="K322" t="s">
        <v>38</v>
      </c>
      <c r="L322" t="str">
        <f t="shared" ref="L322:L385" si="110">LEFT(K322,1)</f>
        <v>M</v>
      </c>
      <c r="M322">
        <v>22</v>
      </c>
      <c r="N322">
        <v>1.43</v>
      </c>
      <c r="O322">
        <v>1.3779999999999999</v>
      </c>
      <c r="P322" t="s">
        <v>36</v>
      </c>
      <c r="Q322" t="str">
        <f t="shared" si="99"/>
        <v>MT</v>
      </c>
      <c r="BV322" s="1"/>
      <c r="BW322" s="1" t="s">
        <v>103</v>
      </c>
      <c r="BX322" t="str">
        <f t="shared" si="104"/>
        <v>21</v>
      </c>
      <c r="BY322" t="str">
        <f t="shared" si="105"/>
        <v>12</v>
      </c>
      <c r="BZ322" t="str">
        <f t="shared" si="106"/>
        <v>2020</v>
      </c>
      <c r="CA322" s="5">
        <f t="shared" si="87"/>
        <v>44186</v>
      </c>
      <c r="CB322">
        <v>356</v>
      </c>
      <c r="CC322">
        <v>1</v>
      </c>
      <c r="CD322" s="1" t="s">
        <v>104</v>
      </c>
      <c r="CE322">
        <f t="shared" si="88"/>
        <v>0.16766088763075729</v>
      </c>
      <c r="CF322">
        <f t="shared" si="89"/>
        <v>1.5350890696485857</v>
      </c>
      <c r="CG322">
        <f t="shared" si="102"/>
        <v>1.5377023901310718</v>
      </c>
      <c r="CH322">
        <f t="shared" si="103"/>
        <v>0.83568838162698456</v>
      </c>
      <c r="CI322">
        <f t="shared" si="90"/>
        <v>3.1535410627433404E-2</v>
      </c>
      <c r="CJ322" s="1"/>
      <c r="CK322" s="6" t="s">
        <v>105</v>
      </c>
      <c r="CL322" s="6"/>
      <c r="CM322" s="6"/>
      <c r="CN322" s="6"/>
      <c r="CO322" s="6"/>
      <c r="CP322" s="6"/>
    </row>
    <row r="323" spans="1:94" ht="17" x14ac:dyDescent="0.2">
      <c r="A323" t="s">
        <v>108</v>
      </c>
      <c r="B323" t="s">
        <v>102</v>
      </c>
      <c r="C323" t="str">
        <f t="shared" si="107"/>
        <v>B</v>
      </c>
      <c r="D323" t="str">
        <f t="shared" si="108"/>
        <v>B</v>
      </c>
      <c r="E323" t="str">
        <f t="shared" si="109"/>
        <v>N</v>
      </c>
      <c r="F323">
        <v>174</v>
      </c>
      <c r="G323">
        <v>166</v>
      </c>
      <c r="H323">
        <v>104.36</v>
      </c>
      <c r="I323">
        <v>1.724</v>
      </c>
      <c r="J323">
        <v>0.88</v>
      </c>
      <c r="K323" t="s">
        <v>24</v>
      </c>
      <c r="L323" t="str">
        <f t="shared" si="110"/>
        <v>F</v>
      </c>
      <c r="M323">
        <v>22</v>
      </c>
      <c r="N323">
        <v>3.99</v>
      </c>
      <c r="O323">
        <v>3.9369999999999998</v>
      </c>
      <c r="P323" t="s">
        <v>36</v>
      </c>
      <c r="Q323" t="str">
        <f t="shared" si="99"/>
        <v>MT</v>
      </c>
      <c r="BV323" s="1"/>
      <c r="BW323" s="1" t="s">
        <v>103</v>
      </c>
      <c r="BX323" t="str">
        <f t="shared" si="104"/>
        <v>21</v>
      </c>
      <c r="BY323" t="str">
        <f t="shared" si="105"/>
        <v>12</v>
      </c>
      <c r="BZ323" t="str">
        <f t="shared" si="106"/>
        <v>2020</v>
      </c>
      <c r="CA323" s="5">
        <f t="shared" ref="CA323:CA386" si="111">DATE(BZ323,BY323,BX323)</f>
        <v>44186</v>
      </c>
      <c r="CB323">
        <v>356</v>
      </c>
      <c r="CC323">
        <v>1</v>
      </c>
      <c r="CD323" s="1" t="s">
        <v>27</v>
      </c>
      <c r="CE323">
        <f t="shared" si="88"/>
        <v>0.8504058755315036</v>
      </c>
      <c r="CF323">
        <f t="shared" si="89"/>
        <v>1.6797225145173234</v>
      </c>
      <c r="CG323">
        <f t="shared" si="102"/>
        <v>1.6942489877746765</v>
      </c>
      <c r="CH323">
        <f t="shared" si="103"/>
        <v>3.7725182062092757</v>
      </c>
      <c r="CI323">
        <f t="shared" si="90"/>
        <v>5.0785741663472952E-2</v>
      </c>
      <c r="CJ323" s="1"/>
      <c r="CK323" s="6" t="s">
        <v>105</v>
      </c>
      <c r="CL323" s="6"/>
      <c r="CM323" s="6"/>
      <c r="CN323" s="6"/>
      <c r="CO323" s="6"/>
      <c r="CP323" s="6"/>
    </row>
    <row r="324" spans="1:94" ht="17" x14ac:dyDescent="0.2">
      <c r="A324" t="s">
        <v>109</v>
      </c>
      <c r="B324" t="s">
        <v>102</v>
      </c>
      <c r="C324" t="str">
        <f t="shared" si="107"/>
        <v>B</v>
      </c>
      <c r="D324" t="str">
        <f t="shared" si="108"/>
        <v>B</v>
      </c>
      <c r="E324" t="str">
        <f t="shared" si="109"/>
        <v>N</v>
      </c>
      <c r="F324">
        <v>198</v>
      </c>
      <c r="G324">
        <v>189</v>
      </c>
      <c r="H324">
        <v>153.09200000000001</v>
      </c>
      <c r="I324">
        <v>2.0819999999999999</v>
      </c>
      <c r="J324">
        <v>0.23100000000000001</v>
      </c>
      <c r="K324" t="s">
        <v>38</v>
      </c>
      <c r="L324" t="str">
        <f t="shared" si="110"/>
        <v>M</v>
      </c>
      <c r="M324">
        <v>22</v>
      </c>
      <c r="N324">
        <v>5.5369999999999999</v>
      </c>
      <c r="O324">
        <v>5.4859999999999998</v>
      </c>
      <c r="P324" t="s">
        <v>36</v>
      </c>
      <c r="Q324" t="str">
        <f t="shared" si="99"/>
        <v>MT</v>
      </c>
      <c r="BV324" s="1"/>
      <c r="BW324" s="1" t="s">
        <v>103</v>
      </c>
      <c r="BX324" t="str">
        <f t="shared" si="104"/>
        <v>21</v>
      </c>
      <c r="BY324" t="str">
        <f t="shared" si="105"/>
        <v>12</v>
      </c>
      <c r="BZ324" t="str">
        <f t="shared" si="106"/>
        <v>2020</v>
      </c>
      <c r="CA324" s="5">
        <f t="shared" si="111"/>
        <v>44186</v>
      </c>
      <c r="CB324">
        <v>356</v>
      </c>
      <c r="CC324">
        <v>1</v>
      </c>
      <c r="CD324" s="1" t="s">
        <v>104</v>
      </c>
      <c r="CE324">
        <f t="shared" si="88"/>
        <v>0.15111768207718121</v>
      </c>
      <c r="CF324">
        <f t="shared" si="89"/>
        <v>1.378716641282034</v>
      </c>
      <c r="CG324">
        <f t="shared" si="102"/>
        <v>1.3808288952705612</v>
      </c>
      <c r="CH324">
        <f t="shared" si="103"/>
        <v>3.5834661510725572</v>
      </c>
      <c r="CI324">
        <f t="shared" si="90"/>
        <v>3.3313301805450418E-2</v>
      </c>
      <c r="CJ324" s="1"/>
      <c r="CK324" s="6" t="s">
        <v>105</v>
      </c>
      <c r="CL324" s="6"/>
      <c r="CM324" s="6"/>
      <c r="CN324" s="6"/>
      <c r="CO324" s="6"/>
      <c r="CP324" s="6"/>
    </row>
    <row r="325" spans="1:94" ht="17" x14ac:dyDescent="0.2">
      <c r="A325" t="s">
        <v>110</v>
      </c>
      <c r="B325" t="s">
        <v>102</v>
      </c>
      <c r="C325" t="str">
        <f t="shared" si="107"/>
        <v>B</v>
      </c>
      <c r="D325" t="str">
        <f t="shared" si="108"/>
        <v>B</v>
      </c>
      <c r="E325" t="str">
        <f t="shared" si="109"/>
        <v>N</v>
      </c>
      <c r="F325">
        <v>196</v>
      </c>
      <c r="G325">
        <v>186</v>
      </c>
      <c r="H325">
        <v>141.476</v>
      </c>
      <c r="I325">
        <v>2.5129999999999999</v>
      </c>
      <c r="J325">
        <v>0.32700000000000001</v>
      </c>
      <c r="K325" t="s">
        <v>38</v>
      </c>
      <c r="L325" t="str">
        <f t="shared" si="110"/>
        <v>M</v>
      </c>
      <c r="M325">
        <v>22</v>
      </c>
      <c r="N325">
        <v>5.3330000000000002</v>
      </c>
      <c r="O325">
        <v>5.2089999999999996</v>
      </c>
      <c r="P325" t="s">
        <v>36</v>
      </c>
      <c r="Q325" t="str">
        <f t="shared" si="99"/>
        <v>MT</v>
      </c>
      <c r="BV325" s="1"/>
      <c r="BW325" s="1" t="s">
        <v>103</v>
      </c>
      <c r="BX325" t="str">
        <f t="shared" si="104"/>
        <v>21</v>
      </c>
      <c r="BY325" t="str">
        <f t="shared" si="105"/>
        <v>12</v>
      </c>
      <c r="BZ325" t="str">
        <f t="shared" si="106"/>
        <v>2020</v>
      </c>
      <c r="CA325" s="5">
        <f t="shared" si="111"/>
        <v>44186</v>
      </c>
      <c r="CB325">
        <v>356</v>
      </c>
      <c r="CC325">
        <v>1</v>
      </c>
      <c r="CD325" s="1" t="s">
        <v>104</v>
      </c>
      <c r="CE325">
        <f t="shared" si="88"/>
        <v>0.23167007913623194</v>
      </c>
      <c r="CF325">
        <f t="shared" si="89"/>
        <v>1.8083950404064391</v>
      </c>
      <c r="CG325">
        <f t="shared" si="102"/>
        <v>1.812660492224242</v>
      </c>
      <c r="CH325">
        <f t="shared" si="103"/>
        <v>3.6818965760977123</v>
      </c>
      <c r="CI325">
        <f t="shared" si="90"/>
        <v>8.7647374819757817E-2</v>
      </c>
      <c r="CJ325" s="1"/>
      <c r="CK325" s="6" t="s">
        <v>105</v>
      </c>
      <c r="CL325" s="6"/>
      <c r="CM325" s="6"/>
      <c r="CN325" s="6"/>
      <c r="CO325" s="6"/>
      <c r="CP325" s="6"/>
    </row>
    <row r="326" spans="1:94" ht="17" x14ac:dyDescent="0.2">
      <c r="A326" t="s">
        <v>130</v>
      </c>
      <c r="B326" t="s">
        <v>102</v>
      </c>
      <c r="C326" t="str">
        <f t="shared" si="107"/>
        <v>B</v>
      </c>
      <c r="D326" t="str">
        <f t="shared" si="108"/>
        <v>B</v>
      </c>
      <c r="E326" t="str">
        <f t="shared" si="109"/>
        <v>N</v>
      </c>
      <c r="F326">
        <v>207</v>
      </c>
      <c r="G326">
        <v>198</v>
      </c>
      <c r="H326">
        <v>156.922</v>
      </c>
      <c r="I326">
        <v>2.653</v>
      </c>
      <c r="J326">
        <v>1.8640000000000001</v>
      </c>
      <c r="K326" t="s">
        <v>24</v>
      </c>
      <c r="L326" t="str">
        <f t="shared" si="110"/>
        <v>F</v>
      </c>
      <c r="M326">
        <v>22</v>
      </c>
      <c r="N326">
        <v>5.8810000000000002</v>
      </c>
      <c r="O326">
        <v>5.7720000000000002</v>
      </c>
      <c r="P326" t="s">
        <v>36</v>
      </c>
      <c r="Q326" t="str">
        <f t="shared" si="99"/>
        <v>MT</v>
      </c>
      <c r="BV326" s="1"/>
      <c r="BW326" s="1" t="s">
        <v>131</v>
      </c>
      <c r="BX326" t="str">
        <f t="shared" si="104"/>
        <v>30</v>
      </c>
      <c r="BY326" t="str">
        <f t="shared" si="105"/>
        <v>12</v>
      </c>
      <c r="BZ326" t="str">
        <f t="shared" si="106"/>
        <v>2020</v>
      </c>
      <c r="CA326" s="5">
        <f t="shared" si="111"/>
        <v>44195</v>
      </c>
      <c r="CB326">
        <v>365</v>
      </c>
      <c r="CC326">
        <v>1</v>
      </c>
      <c r="CD326" s="1" t="s">
        <v>104</v>
      </c>
      <c r="CE326">
        <f t="shared" si="88"/>
        <v>1.2021308155657884</v>
      </c>
      <c r="CF326">
        <f t="shared" si="89"/>
        <v>1.7197233403989136</v>
      </c>
      <c r="CG326">
        <f t="shared" si="102"/>
        <v>1.740756536859027</v>
      </c>
      <c r="CH326">
        <f t="shared" si="103"/>
        <v>3.6782605370821173</v>
      </c>
      <c r="CI326">
        <f t="shared" si="90"/>
        <v>6.9461261008653977E-2</v>
      </c>
      <c r="CJ326" s="1"/>
      <c r="CK326" s="6" t="s">
        <v>105</v>
      </c>
      <c r="CL326" s="6"/>
      <c r="CM326" s="6"/>
      <c r="CN326" s="6"/>
      <c r="CO326" s="6"/>
      <c r="CP326" s="6"/>
    </row>
    <row r="327" spans="1:94" ht="17" x14ac:dyDescent="0.2">
      <c r="A327" t="s">
        <v>132</v>
      </c>
      <c r="B327" t="s">
        <v>102</v>
      </c>
      <c r="C327" t="str">
        <f t="shared" si="107"/>
        <v>B</v>
      </c>
      <c r="D327" t="str">
        <f t="shared" si="108"/>
        <v>B</v>
      </c>
      <c r="E327" t="str">
        <f t="shared" si="109"/>
        <v>N</v>
      </c>
      <c r="F327">
        <v>194</v>
      </c>
      <c r="G327">
        <v>184</v>
      </c>
      <c r="H327">
        <v>150.27099999999999</v>
      </c>
      <c r="I327">
        <v>2.4929999999999999</v>
      </c>
      <c r="J327">
        <v>0.26100000000000001</v>
      </c>
      <c r="K327" t="s">
        <v>38</v>
      </c>
      <c r="L327" t="str">
        <f t="shared" si="110"/>
        <v>M</v>
      </c>
      <c r="M327">
        <v>22</v>
      </c>
      <c r="N327">
        <v>7.3259999999999996</v>
      </c>
      <c r="O327">
        <v>6.8179999999999996</v>
      </c>
      <c r="P327" t="s">
        <v>133</v>
      </c>
      <c r="Q327" t="str">
        <f t="shared" si="99"/>
        <v>F</v>
      </c>
      <c r="BV327" s="1"/>
      <c r="BW327" s="1" t="s">
        <v>131</v>
      </c>
      <c r="BX327" t="str">
        <f t="shared" si="104"/>
        <v>30</v>
      </c>
      <c r="BY327" t="str">
        <f t="shared" si="105"/>
        <v>12</v>
      </c>
      <c r="BZ327" t="str">
        <f t="shared" si="106"/>
        <v>2020</v>
      </c>
      <c r="CA327" s="5">
        <f t="shared" si="111"/>
        <v>44195</v>
      </c>
      <c r="CB327">
        <v>365</v>
      </c>
      <c r="CC327">
        <v>1</v>
      </c>
      <c r="CD327" s="1" t="s">
        <v>104</v>
      </c>
      <c r="CE327">
        <f t="shared" si="88"/>
        <v>0.17398840077328179</v>
      </c>
      <c r="CF327">
        <f t="shared" si="89"/>
        <v>1.6869899443760235</v>
      </c>
      <c r="CG327">
        <f t="shared" si="102"/>
        <v>1.6899747147786355</v>
      </c>
      <c r="CH327">
        <f t="shared" si="103"/>
        <v>4.5371362405254505</v>
      </c>
      <c r="CI327">
        <f t="shared" si="90"/>
        <v>0.33805591231841142</v>
      </c>
      <c r="CJ327" s="1"/>
      <c r="CK327" s="6" t="s">
        <v>105</v>
      </c>
      <c r="CL327" s="6"/>
      <c r="CM327" s="6"/>
      <c r="CN327" s="6"/>
      <c r="CO327" s="6"/>
      <c r="CP327" s="6"/>
    </row>
    <row r="328" spans="1:94" ht="17" x14ac:dyDescent="0.2">
      <c r="A328" t="s">
        <v>134</v>
      </c>
      <c r="B328" t="s">
        <v>102</v>
      </c>
      <c r="C328" t="str">
        <f t="shared" si="107"/>
        <v>B</v>
      </c>
      <c r="D328" t="str">
        <f t="shared" si="108"/>
        <v>B</v>
      </c>
      <c r="E328" t="str">
        <f t="shared" si="109"/>
        <v>N</v>
      </c>
      <c r="F328">
        <v>195</v>
      </c>
      <c r="G328">
        <v>184</v>
      </c>
      <c r="H328">
        <v>163.654</v>
      </c>
      <c r="I328">
        <v>2.585</v>
      </c>
      <c r="J328">
        <v>0.26600000000000001</v>
      </c>
      <c r="K328" t="s">
        <v>38</v>
      </c>
      <c r="L328" t="str">
        <f t="shared" si="110"/>
        <v>M</v>
      </c>
      <c r="M328">
        <v>22</v>
      </c>
      <c r="N328">
        <v>6.7759999999999998</v>
      </c>
      <c r="O328">
        <v>6.4450000000000003</v>
      </c>
      <c r="P328" t="s">
        <v>135</v>
      </c>
      <c r="Q328" t="str">
        <f t="shared" si="99"/>
        <v>F</v>
      </c>
      <c r="BV328" s="1"/>
      <c r="BW328" s="1" t="s">
        <v>131</v>
      </c>
      <c r="BX328" t="str">
        <f t="shared" si="104"/>
        <v>30</v>
      </c>
      <c r="BY328" t="str">
        <f t="shared" si="105"/>
        <v>12</v>
      </c>
      <c r="BZ328" t="str">
        <f t="shared" si="106"/>
        <v>2020</v>
      </c>
      <c r="CA328" s="5">
        <f t="shared" si="111"/>
        <v>44195</v>
      </c>
      <c r="CB328">
        <v>365</v>
      </c>
      <c r="CC328">
        <v>1</v>
      </c>
      <c r="CD328" s="1" t="s">
        <v>104</v>
      </c>
      <c r="CE328">
        <f t="shared" si="88"/>
        <v>0.16280265380566505</v>
      </c>
      <c r="CF328">
        <f t="shared" si="89"/>
        <v>1.6049022468631455</v>
      </c>
      <c r="CG328">
        <f t="shared" si="102"/>
        <v>1.6075570729401814</v>
      </c>
      <c r="CH328">
        <f t="shared" si="103"/>
        <v>3.9381866621041954</v>
      </c>
      <c r="CI328">
        <f t="shared" si="90"/>
        <v>0.20225597907781021</v>
      </c>
      <c r="CJ328" s="1"/>
      <c r="CK328" s="6" t="s">
        <v>105</v>
      </c>
      <c r="CL328" s="6"/>
      <c r="CM328" s="6"/>
      <c r="CN328" s="6"/>
      <c r="CO328" s="6"/>
      <c r="CP328" s="6"/>
    </row>
    <row r="329" spans="1:94" ht="17" x14ac:dyDescent="0.2">
      <c r="A329" t="s">
        <v>136</v>
      </c>
      <c r="B329" t="s">
        <v>102</v>
      </c>
      <c r="C329" t="str">
        <f t="shared" si="107"/>
        <v>B</v>
      </c>
      <c r="D329" t="str">
        <f t="shared" si="108"/>
        <v>B</v>
      </c>
      <c r="E329" t="str">
        <f t="shared" si="109"/>
        <v>N</v>
      </c>
      <c r="F329">
        <v>198</v>
      </c>
      <c r="G329">
        <v>182</v>
      </c>
      <c r="H329">
        <v>141.56100000000001</v>
      </c>
      <c r="I329">
        <v>2.536</v>
      </c>
      <c r="J329">
        <v>0.23</v>
      </c>
      <c r="K329" t="s">
        <v>38</v>
      </c>
      <c r="L329" t="str">
        <f t="shared" si="110"/>
        <v>M</v>
      </c>
      <c r="M329">
        <v>22</v>
      </c>
      <c r="N329">
        <v>4.3239999999999998</v>
      </c>
      <c r="O329">
        <v>4.2699999999999996</v>
      </c>
      <c r="P329" t="s">
        <v>29</v>
      </c>
      <c r="Q329" t="str">
        <f t="shared" si="99"/>
        <v>F</v>
      </c>
      <c r="BV329" s="1"/>
      <c r="BW329" s="1" t="s">
        <v>131</v>
      </c>
      <c r="BX329" t="str">
        <f t="shared" si="104"/>
        <v>30</v>
      </c>
      <c r="BY329" t="str">
        <f t="shared" si="105"/>
        <v>12</v>
      </c>
      <c r="BZ329" t="str">
        <f t="shared" si="106"/>
        <v>2020</v>
      </c>
      <c r="CA329" s="5">
        <f t="shared" si="111"/>
        <v>44195</v>
      </c>
      <c r="CB329">
        <v>365</v>
      </c>
      <c r="CC329">
        <v>1</v>
      </c>
      <c r="CD329" s="1" t="s">
        <v>137</v>
      </c>
      <c r="CE329">
        <f t="shared" si="88"/>
        <v>0.1627385357777133</v>
      </c>
      <c r="CF329">
        <f t="shared" si="89"/>
        <v>1.8241323502967093</v>
      </c>
      <c r="CG329">
        <f t="shared" si="102"/>
        <v>1.8271551568860549</v>
      </c>
      <c r="CH329">
        <f t="shared" si="103"/>
        <v>3.0163675023488103</v>
      </c>
      <c r="CI329">
        <f t="shared" si="90"/>
        <v>3.8146099561320042E-2</v>
      </c>
      <c r="CJ329" s="1"/>
      <c r="CK329" s="6" t="s">
        <v>105</v>
      </c>
      <c r="CL329" s="6"/>
      <c r="CM329" s="6"/>
      <c r="CN329" s="6"/>
      <c r="CO329" s="6"/>
      <c r="CP329" s="6"/>
    </row>
    <row r="330" spans="1:94" ht="17" x14ac:dyDescent="0.2">
      <c r="A330" t="s">
        <v>240</v>
      </c>
      <c r="B330" t="s">
        <v>102</v>
      </c>
      <c r="C330" t="str">
        <f t="shared" si="107"/>
        <v>I</v>
      </c>
      <c r="D330" t="str">
        <f t="shared" si="108"/>
        <v>S</v>
      </c>
      <c r="E330" t="str">
        <f t="shared" si="109"/>
        <v>G</v>
      </c>
      <c r="F330">
        <v>67</v>
      </c>
      <c r="G330">
        <v>63</v>
      </c>
      <c r="H330">
        <v>4.476</v>
      </c>
      <c r="I330">
        <v>8.1000000000000003E-2</v>
      </c>
      <c r="J330">
        <v>0.03</v>
      </c>
      <c r="K330" t="s">
        <v>24</v>
      </c>
      <c r="L330" t="str">
        <f t="shared" si="110"/>
        <v>F</v>
      </c>
      <c r="M330">
        <v>22</v>
      </c>
      <c r="N330">
        <v>0.19800000000000001</v>
      </c>
      <c r="O330">
        <v>0.14899999999999999</v>
      </c>
      <c r="P330" t="s">
        <v>29</v>
      </c>
      <c r="Q330" t="str">
        <f t="shared" si="99"/>
        <v>F</v>
      </c>
      <c r="BV330" s="1"/>
      <c r="BW330" t="s">
        <v>227</v>
      </c>
      <c r="BX330" t="str">
        <f t="shared" si="104"/>
        <v>21</v>
      </c>
      <c r="BY330" t="str">
        <f t="shared" si="105"/>
        <v>01</v>
      </c>
      <c r="BZ330" t="str">
        <f t="shared" si="106"/>
        <v>2021</v>
      </c>
      <c r="CA330" s="5">
        <f t="shared" si="111"/>
        <v>44217</v>
      </c>
      <c r="CB330">
        <v>21</v>
      </c>
      <c r="CC330">
        <v>2</v>
      </c>
      <c r="CD330" t="s">
        <v>241</v>
      </c>
      <c r="CE330">
        <f t="shared" ref="CE330:CE371" si="112">J330/(H330-J330)*100</f>
        <v>0.67476383265856954</v>
      </c>
      <c r="CF330">
        <f t="shared" ref="CF330:CF371" si="113">I330/(H330-I330)*100</f>
        <v>1.8430034129692834</v>
      </c>
      <c r="CG330">
        <f t="shared" si="102"/>
        <v>1.8556701030927838</v>
      </c>
      <c r="CH330">
        <f t="shared" si="103"/>
        <v>3.3288650580875783</v>
      </c>
      <c r="CI330">
        <f t="shared" ref="CI330:CI371" si="114">(N330-O330)/H330*100</f>
        <v>1.0947274352100094</v>
      </c>
      <c r="CJ330" s="1"/>
      <c r="CK330" s="6" t="s">
        <v>142</v>
      </c>
      <c r="CL330" s="6"/>
      <c r="CM330" s="6"/>
      <c r="CN330" s="6"/>
      <c r="CO330" s="6"/>
      <c r="CP330" s="6"/>
    </row>
    <row r="331" spans="1:94" ht="17" x14ac:dyDescent="0.2">
      <c r="A331" t="s">
        <v>242</v>
      </c>
      <c r="B331" t="s">
        <v>102</v>
      </c>
      <c r="C331" t="str">
        <f t="shared" si="107"/>
        <v>S</v>
      </c>
      <c r="D331" t="str">
        <f t="shared" si="108"/>
        <v>IMM</v>
      </c>
      <c r="E331" t="str">
        <f t="shared" si="109"/>
        <v>N</v>
      </c>
      <c r="F331">
        <v>56</v>
      </c>
      <c r="G331">
        <v>53</v>
      </c>
      <c r="H331">
        <v>2.5779999999999998</v>
      </c>
      <c r="I331">
        <v>3.6999999999999998E-2</v>
      </c>
      <c r="J331">
        <v>1E-3</v>
      </c>
      <c r="K331" t="s">
        <v>38</v>
      </c>
      <c r="L331" t="str">
        <f t="shared" si="110"/>
        <v>M</v>
      </c>
      <c r="M331">
        <v>22</v>
      </c>
      <c r="N331">
        <v>0.13300000000000001</v>
      </c>
      <c r="O331">
        <v>9.7000000000000003E-2</v>
      </c>
      <c r="P331" t="s">
        <v>243</v>
      </c>
      <c r="Q331" t="str">
        <f t="shared" si="99"/>
        <v>F</v>
      </c>
      <c r="BV331" s="1"/>
      <c r="BW331" t="s">
        <v>227</v>
      </c>
      <c r="BX331" t="str">
        <f t="shared" si="104"/>
        <v>21</v>
      </c>
      <c r="BY331" t="str">
        <f t="shared" si="105"/>
        <v>01</v>
      </c>
      <c r="BZ331" t="str">
        <f t="shared" si="106"/>
        <v>2021</v>
      </c>
      <c r="CA331" s="5">
        <f t="shared" si="111"/>
        <v>44217</v>
      </c>
      <c r="CB331">
        <v>21</v>
      </c>
      <c r="CC331">
        <v>2</v>
      </c>
      <c r="CD331" t="s">
        <v>228</v>
      </c>
      <c r="CE331">
        <f t="shared" si="112"/>
        <v>3.8804811796662786E-2</v>
      </c>
      <c r="CF331">
        <f t="shared" si="113"/>
        <v>1.4561196379378198</v>
      </c>
      <c r="CG331">
        <f t="shared" si="102"/>
        <v>1.4566929133858268</v>
      </c>
      <c r="CH331">
        <f t="shared" si="103"/>
        <v>3.7626066718386348</v>
      </c>
      <c r="CI331">
        <f t="shared" si="114"/>
        <v>1.3964313421256791</v>
      </c>
      <c r="CJ331" s="1"/>
      <c r="CK331" s="6" t="s">
        <v>142</v>
      </c>
      <c r="CL331" s="6"/>
      <c r="CM331" s="6"/>
      <c r="CN331" s="6"/>
      <c r="CO331" s="6"/>
      <c r="CP331" s="6"/>
    </row>
    <row r="332" spans="1:94" ht="17" x14ac:dyDescent="0.2">
      <c r="A332" t="s">
        <v>244</v>
      </c>
      <c r="B332" t="s">
        <v>102</v>
      </c>
      <c r="C332" t="str">
        <f t="shared" si="107"/>
        <v>S</v>
      </c>
      <c r="D332" t="str">
        <f t="shared" si="108"/>
        <v>IMM</v>
      </c>
      <c r="E332" t="str">
        <f t="shared" si="109"/>
        <v>N</v>
      </c>
      <c r="F332">
        <v>56</v>
      </c>
      <c r="G332">
        <v>51</v>
      </c>
      <c r="H332">
        <v>2.5339999999999998</v>
      </c>
      <c r="I332">
        <v>5.5E-2</v>
      </c>
      <c r="J332">
        <v>2.5999999999999999E-2</v>
      </c>
      <c r="K332" t="s">
        <v>24</v>
      </c>
      <c r="L332" t="str">
        <f t="shared" si="110"/>
        <v>F</v>
      </c>
      <c r="M332">
        <v>22</v>
      </c>
      <c r="N332">
        <v>0.13400000000000001</v>
      </c>
      <c r="O332">
        <v>0.104</v>
      </c>
      <c r="P332" t="s">
        <v>29</v>
      </c>
      <c r="Q332" t="str">
        <f t="shared" si="99"/>
        <v>F</v>
      </c>
      <c r="BV332" s="1"/>
      <c r="BW332" t="s">
        <v>227</v>
      </c>
      <c r="BX332" t="str">
        <f t="shared" si="104"/>
        <v>21</v>
      </c>
      <c r="BY332" t="str">
        <f t="shared" si="105"/>
        <v>01</v>
      </c>
      <c r="BZ332" t="str">
        <f t="shared" si="106"/>
        <v>2021</v>
      </c>
      <c r="CA332" s="5">
        <f t="shared" si="111"/>
        <v>44217</v>
      </c>
      <c r="CB332">
        <v>21</v>
      </c>
      <c r="CC332">
        <v>2</v>
      </c>
      <c r="CD332" t="s">
        <v>141</v>
      </c>
      <c r="CE332">
        <f t="shared" si="112"/>
        <v>1.036682615629984</v>
      </c>
      <c r="CF332">
        <f t="shared" si="113"/>
        <v>2.2186365469947562</v>
      </c>
      <c r="CG332">
        <f t="shared" si="102"/>
        <v>2.2421524663677133</v>
      </c>
      <c r="CH332">
        <f t="shared" si="103"/>
        <v>4.1041831097079724</v>
      </c>
      <c r="CI332">
        <f t="shared" si="114"/>
        <v>1.1838989739542232</v>
      </c>
      <c r="CJ332" s="1"/>
      <c r="CK332" s="6" t="s">
        <v>142</v>
      </c>
      <c r="CL332" s="6"/>
      <c r="CM332" s="6"/>
      <c r="CN332" s="6"/>
      <c r="CO332" s="6"/>
      <c r="CP332" s="6"/>
    </row>
    <row r="333" spans="1:94" ht="17" x14ac:dyDescent="0.2">
      <c r="A333" t="s">
        <v>245</v>
      </c>
      <c r="B333" t="s">
        <v>102</v>
      </c>
      <c r="C333" t="str">
        <f t="shared" si="107"/>
        <v>I</v>
      </c>
      <c r="D333" t="str">
        <f t="shared" si="108"/>
        <v>I</v>
      </c>
      <c r="E333" t="str">
        <f t="shared" si="109"/>
        <v>G</v>
      </c>
      <c r="F333">
        <v>88</v>
      </c>
      <c r="G333">
        <v>84</v>
      </c>
      <c r="H333">
        <v>11.117000000000001</v>
      </c>
      <c r="I333">
        <v>0.17799999999999999</v>
      </c>
      <c r="J333">
        <v>0.01</v>
      </c>
      <c r="K333" t="s">
        <v>38</v>
      </c>
      <c r="L333" t="str">
        <f t="shared" si="110"/>
        <v>M</v>
      </c>
      <c r="M333">
        <v>22</v>
      </c>
      <c r="N333">
        <v>0.6</v>
      </c>
      <c r="O333">
        <v>0.53900000000000003</v>
      </c>
      <c r="P333" t="s">
        <v>29</v>
      </c>
      <c r="Q333" t="str">
        <f t="shared" si="99"/>
        <v>F</v>
      </c>
      <c r="BV333" s="1"/>
      <c r="BW333" t="s">
        <v>246</v>
      </c>
      <c r="BX333" t="str">
        <f t="shared" si="104"/>
        <v>22</v>
      </c>
      <c r="BY333" t="str">
        <f t="shared" si="105"/>
        <v>01</v>
      </c>
      <c r="BZ333" t="str">
        <f t="shared" si="106"/>
        <v>2021</v>
      </c>
      <c r="CA333" s="5">
        <f t="shared" si="111"/>
        <v>44218</v>
      </c>
      <c r="CB333">
        <v>22</v>
      </c>
      <c r="CC333">
        <v>2</v>
      </c>
      <c r="CD333" t="s">
        <v>149</v>
      </c>
      <c r="CE333">
        <f t="shared" si="112"/>
        <v>9.0033312325560458E-2</v>
      </c>
      <c r="CF333">
        <f t="shared" si="113"/>
        <v>1.6272054118292349</v>
      </c>
      <c r="CG333">
        <f t="shared" si="102"/>
        <v>1.6286942995699514</v>
      </c>
      <c r="CH333">
        <f t="shared" si="103"/>
        <v>4.8484303319240798</v>
      </c>
      <c r="CI333">
        <f t="shared" si="114"/>
        <v>0.54870918413240921</v>
      </c>
      <c r="CJ333" s="1"/>
      <c r="CK333" s="6" t="s">
        <v>105</v>
      </c>
      <c r="CL333" s="6"/>
      <c r="CM333" s="6"/>
      <c r="CN333" s="6"/>
      <c r="CO333" s="6"/>
      <c r="CP333" s="6"/>
    </row>
    <row r="334" spans="1:94" ht="17" x14ac:dyDescent="0.2">
      <c r="A334" t="s">
        <v>247</v>
      </c>
      <c r="B334" t="s">
        <v>102</v>
      </c>
      <c r="C334" t="str">
        <f t="shared" si="107"/>
        <v>I</v>
      </c>
      <c r="D334" t="str">
        <f t="shared" si="108"/>
        <v>I</v>
      </c>
      <c r="E334" t="str">
        <f t="shared" si="109"/>
        <v>G</v>
      </c>
      <c r="F334">
        <v>101</v>
      </c>
      <c r="G334">
        <v>95</v>
      </c>
      <c r="H334">
        <v>16.686</v>
      </c>
      <c r="I334">
        <v>0.26200000000000001</v>
      </c>
      <c r="J334">
        <v>8.9999999999999993E-3</v>
      </c>
      <c r="K334" t="s">
        <v>38</v>
      </c>
      <c r="L334" t="str">
        <f t="shared" si="110"/>
        <v>M</v>
      </c>
      <c r="M334">
        <v>22</v>
      </c>
      <c r="N334">
        <v>1.163</v>
      </c>
      <c r="O334">
        <v>0.81399999999999995</v>
      </c>
      <c r="P334" t="s">
        <v>248</v>
      </c>
      <c r="Q334" t="str">
        <f t="shared" si="99"/>
        <v>F</v>
      </c>
      <c r="BV334" s="1"/>
      <c r="BW334" t="s">
        <v>246</v>
      </c>
      <c r="BX334" t="str">
        <f t="shared" si="104"/>
        <v>22</v>
      </c>
      <c r="BY334" t="str">
        <f t="shared" si="105"/>
        <v>01</v>
      </c>
      <c r="BZ334" t="str">
        <f t="shared" si="106"/>
        <v>2021</v>
      </c>
      <c r="CA334" s="5">
        <f t="shared" si="111"/>
        <v>44218</v>
      </c>
      <c r="CB334">
        <v>22</v>
      </c>
      <c r="CC334">
        <v>2</v>
      </c>
      <c r="CD334" t="s">
        <v>149</v>
      </c>
      <c r="CE334">
        <f t="shared" si="112"/>
        <v>5.3966540744738264E-2</v>
      </c>
      <c r="CF334">
        <f t="shared" si="113"/>
        <v>1.5952264978080861</v>
      </c>
      <c r="CG334">
        <f t="shared" si="102"/>
        <v>1.5961011270179717</v>
      </c>
      <c r="CH334">
        <f t="shared" si="103"/>
        <v>4.878341124295817</v>
      </c>
      <c r="CI334">
        <f t="shared" si="114"/>
        <v>2.0915737744216711</v>
      </c>
      <c r="CJ334" s="1"/>
      <c r="CK334" s="6" t="s">
        <v>105</v>
      </c>
      <c r="CL334" s="6"/>
      <c r="CM334" s="6"/>
      <c r="CN334" s="6"/>
      <c r="CO334" s="6"/>
      <c r="CP334" s="6"/>
    </row>
    <row r="335" spans="1:94" ht="17" x14ac:dyDescent="0.2">
      <c r="A335" t="s">
        <v>249</v>
      </c>
      <c r="B335" t="s">
        <v>102</v>
      </c>
      <c r="C335" t="str">
        <f t="shared" si="107"/>
        <v>I</v>
      </c>
      <c r="D335" t="str">
        <f t="shared" si="108"/>
        <v>S</v>
      </c>
      <c r="E335" t="str">
        <f t="shared" si="109"/>
        <v>G</v>
      </c>
      <c r="F335">
        <v>81</v>
      </c>
      <c r="G335">
        <v>76</v>
      </c>
      <c r="H335">
        <v>7.92</v>
      </c>
      <c r="I335">
        <v>0.10299999999999999</v>
      </c>
      <c r="J335">
        <v>5.0000000000000001E-3</v>
      </c>
      <c r="K335" t="s">
        <v>38</v>
      </c>
      <c r="L335" t="str">
        <f t="shared" si="110"/>
        <v>M</v>
      </c>
      <c r="M335">
        <v>22</v>
      </c>
      <c r="N335">
        <v>0.48699999999999999</v>
      </c>
      <c r="O335">
        <v>0.36699999999999999</v>
      </c>
      <c r="P335" t="s">
        <v>250</v>
      </c>
      <c r="Q335" t="str">
        <f t="shared" si="99"/>
        <v>F</v>
      </c>
      <c r="BV335" s="1"/>
      <c r="BW335" t="s">
        <v>246</v>
      </c>
      <c r="BX335" t="str">
        <f t="shared" si="104"/>
        <v>22</v>
      </c>
      <c r="BY335" t="str">
        <f t="shared" si="105"/>
        <v>01</v>
      </c>
      <c r="BZ335" t="str">
        <f t="shared" si="106"/>
        <v>2021</v>
      </c>
      <c r="CA335" s="5">
        <f t="shared" si="111"/>
        <v>44218</v>
      </c>
      <c r="CB335">
        <v>22</v>
      </c>
      <c r="CC335">
        <v>2</v>
      </c>
      <c r="CD335" t="s">
        <v>149</v>
      </c>
      <c r="CE335">
        <f t="shared" si="112"/>
        <v>6.3171193935565376E-2</v>
      </c>
      <c r="CF335">
        <f t="shared" si="113"/>
        <v>1.3176410387616733</v>
      </c>
      <c r="CG335">
        <f t="shared" si="102"/>
        <v>1.3184843830005117</v>
      </c>
      <c r="CH335">
        <f t="shared" si="103"/>
        <v>4.6338383838383841</v>
      </c>
      <c r="CI335">
        <f t="shared" si="114"/>
        <v>1.5151515151515151</v>
      </c>
      <c r="CJ335" s="1"/>
      <c r="CK335" s="6" t="s">
        <v>105</v>
      </c>
      <c r="CL335" s="6"/>
      <c r="CM335" s="6"/>
      <c r="CN335" s="6"/>
      <c r="CO335" s="6"/>
      <c r="CP335" s="6"/>
    </row>
    <row r="336" spans="1:94" ht="17" x14ac:dyDescent="0.2">
      <c r="A336" t="s">
        <v>251</v>
      </c>
      <c r="B336" t="s">
        <v>102</v>
      </c>
      <c r="C336" t="str">
        <f t="shared" si="107"/>
        <v>I</v>
      </c>
      <c r="D336" t="str">
        <f t="shared" si="108"/>
        <v>B</v>
      </c>
      <c r="E336" t="str">
        <f t="shared" si="109"/>
        <v>N</v>
      </c>
      <c r="F336">
        <v>136</v>
      </c>
      <c r="G336">
        <v>130</v>
      </c>
      <c r="H336">
        <v>51.673000000000002</v>
      </c>
      <c r="I336">
        <v>1.0029999999999999</v>
      </c>
      <c r="J336">
        <v>0.373</v>
      </c>
      <c r="K336" t="s">
        <v>24</v>
      </c>
      <c r="L336" t="str">
        <f t="shared" si="110"/>
        <v>F</v>
      </c>
      <c r="M336">
        <v>22</v>
      </c>
      <c r="N336">
        <v>2.7850000000000001</v>
      </c>
      <c r="O336">
        <v>2.38</v>
      </c>
      <c r="P336" t="s">
        <v>252</v>
      </c>
      <c r="Q336" t="str">
        <f t="shared" si="99"/>
        <v>F</v>
      </c>
      <c r="BV336" s="1"/>
      <c r="BW336" t="s">
        <v>246</v>
      </c>
      <c r="BX336" t="str">
        <f t="shared" si="104"/>
        <v>22</v>
      </c>
      <c r="BY336" t="str">
        <f t="shared" si="105"/>
        <v>01</v>
      </c>
      <c r="BZ336" t="str">
        <f t="shared" si="106"/>
        <v>2021</v>
      </c>
      <c r="CA336" s="5">
        <f t="shared" si="111"/>
        <v>44218</v>
      </c>
      <c r="CB336">
        <v>22</v>
      </c>
      <c r="CC336">
        <v>2</v>
      </c>
      <c r="CD336" t="s">
        <v>253</v>
      </c>
      <c r="CE336">
        <f t="shared" si="112"/>
        <v>0.72709551656920068</v>
      </c>
      <c r="CF336">
        <f t="shared" si="113"/>
        <v>1.9794750345372012</v>
      </c>
      <c r="CG336">
        <f t="shared" si="102"/>
        <v>1.9941547209575121</v>
      </c>
      <c r="CH336">
        <f t="shared" si="103"/>
        <v>4.6058870203007372</v>
      </c>
      <c r="CI336">
        <f t="shared" si="114"/>
        <v>0.78377489210999984</v>
      </c>
      <c r="CJ336" s="1"/>
      <c r="CK336" s="6" t="s">
        <v>105</v>
      </c>
      <c r="CL336" s="6"/>
      <c r="CM336" s="6"/>
      <c r="CN336" s="6"/>
      <c r="CO336" s="6"/>
      <c r="CP336" s="6"/>
    </row>
    <row r="337" spans="1:94" ht="17" x14ac:dyDescent="0.2">
      <c r="A337" t="s">
        <v>342</v>
      </c>
      <c r="B337" t="s">
        <v>102</v>
      </c>
      <c r="C337" t="str">
        <f t="shared" si="107"/>
        <v>I</v>
      </c>
      <c r="D337" t="str">
        <f t="shared" si="108"/>
        <v>S</v>
      </c>
      <c r="E337" t="str">
        <f t="shared" si="109"/>
        <v>G</v>
      </c>
      <c r="F337">
        <v>78</v>
      </c>
      <c r="G337">
        <v>74</v>
      </c>
      <c r="H337">
        <v>7.7229999999999999</v>
      </c>
      <c r="I337">
        <v>0.14899999999999999</v>
      </c>
      <c r="J337">
        <v>7.0000000000000001E-3</v>
      </c>
      <c r="K337" t="s">
        <v>38</v>
      </c>
      <c r="L337" t="str">
        <f t="shared" si="110"/>
        <v>M</v>
      </c>
      <c r="M337">
        <v>22</v>
      </c>
      <c r="N337">
        <v>0.45800000000000002</v>
      </c>
      <c r="O337">
        <v>0.36399999999999999</v>
      </c>
      <c r="P337" t="s">
        <v>343</v>
      </c>
      <c r="Q337" t="str">
        <f t="shared" si="99"/>
        <v>F</v>
      </c>
      <c r="AP337">
        <v>2</v>
      </c>
      <c r="AQ337">
        <v>1.7999999999999999E-2</v>
      </c>
      <c r="AR337">
        <v>9</v>
      </c>
      <c r="AS337">
        <v>4.3999999999999997E-2</v>
      </c>
      <c r="BV337" s="1">
        <f>0.044+0.018</f>
        <v>6.2E-2</v>
      </c>
      <c r="BW337" s="5">
        <v>44502</v>
      </c>
      <c r="BX337">
        <v>11</v>
      </c>
      <c r="BY337">
        <v>2</v>
      </c>
      <c r="BZ337">
        <v>2021</v>
      </c>
      <c r="CA337" s="5">
        <f t="shared" si="111"/>
        <v>44238</v>
      </c>
      <c r="CB337">
        <v>42</v>
      </c>
      <c r="CC337">
        <v>3</v>
      </c>
      <c r="CD337" t="s">
        <v>256</v>
      </c>
      <c r="CE337">
        <f t="shared" si="112"/>
        <v>9.0720580611715909E-2</v>
      </c>
      <c r="CF337">
        <f t="shared" si="113"/>
        <v>1.9672564034856086</v>
      </c>
      <c r="CG337">
        <f t="shared" si="102"/>
        <v>1.9690762521474823</v>
      </c>
      <c r="CH337">
        <f t="shared" si="103"/>
        <v>4.7131943545254433</v>
      </c>
      <c r="CI337">
        <f t="shared" si="114"/>
        <v>1.2171435970477797</v>
      </c>
      <c r="CJ337" s="1">
        <f t="shared" ref="CJ337:CJ368" si="115">(N337-O337+(BV337))/(H337)*100</f>
        <v>2.0199404376537617</v>
      </c>
      <c r="CK337" s="6" t="s">
        <v>142</v>
      </c>
      <c r="CL337" s="6">
        <v>3</v>
      </c>
      <c r="CM337" s="6"/>
      <c r="CN337" s="6"/>
      <c r="CO337" s="6"/>
      <c r="CP337" s="6"/>
    </row>
    <row r="338" spans="1:94" ht="17" x14ac:dyDescent="0.2">
      <c r="A338" t="s">
        <v>344</v>
      </c>
      <c r="B338" t="s">
        <v>102</v>
      </c>
      <c r="C338" t="str">
        <f t="shared" si="107"/>
        <v>S</v>
      </c>
      <c r="D338" t="str">
        <f t="shared" si="108"/>
        <v>IMM</v>
      </c>
      <c r="E338" t="str">
        <f t="shared" si="109"/>
        <v>N</v>
      </c>
      <c r="F338">
        <v>58</v>
      </c>
      <c r="G338">
        <v>55</v>
      </c>
      <c r="H338">
        <v>2.7410000000000001</v>
      </c>
      <c r="I338">
        <v>0.05</v>
      </c>
      <c r="J338">
        <v>3.3000000000000002E-2</v>
      </c>
      <c r="K338" t="s">
        <v>24</v>
      </c>
      <c r="L338" t="str">
        <f t="shared" si="110"/>
        <v>F</v>
      </c>
      <c r="M338">
        <v>22</v>
      </c>
      <c r="N338">
        <v>0.126</v>
      </c>
      <c r="O338">
        <v>0.10299999999999999</v>
      </c>
      <c r="P338" t="s">
        <v>345</v>
      </c>
      <c r="Q338" t="str">
        <f t="shared" si="99"/>
        <v>F</v>
      </c>
      <c r="AV338">
        <v>6</v>
      </c>
      <c r="AW338">
        <v>4.0000000000000001E-3</v>
      </c>
      <c r="BV338" s="1">
        <v>4.0000000000000001E-3</v>
      </c>
      <c r="BW338" s="5">
        <v>44502</v>
      </c>
      <c r="BX338">
        <v>11</v>
      </c>
      <c r="BY338">
        <v>2</v>
      </c>
      <c r="BZ338">
        <v>2021</v>
      </c>
      <c r="CA338" s="5">
        <f t="shared" si="111"/>
        <v>44238</v>
      </c>
      <c r="CB338">
        <v>42</v>
      </c>
      <c r="CC338">
        <v>3</v>
      </c>
      <c r="CD338" t="s">
        <v>256</v>
      </c>
      <c r="CE338">
        <f t="shared" si="112"/>
        <v>1.2186115214180206</v>
      </c>
      <c r="CF338">
        <f t="shared" si="113"/>
        <v>1.8580453363062057</v>
      </c>
      <c r="CG338">
        <f t="shared" si="102"/>
        <v>1.8811136192626032</v>
      </c>
      <c r="CH338">
        <f t="shared" si="103"/>
        <v>3.7577526450200653</v>
      </c>
      <c r="CI338">
        <f t="shared" si="114"/>
        <v>0.83910981393651973</v>
      </c>
      <c r="CJ338" s="1">
        <f t="shared" si="115"/>
        <v>0.98504195549069706</v>
      </c>
      <c r="CK338" s="6" t="s">
        <v>142</v>
      </c>
      <c r="CL338" s="6">
        <v>3</v>
      </c>
      <c r="CM338" s="6"/>
      <c r="CN338" s="6"/>
      <c r="CO338" s="6"/>
      <c r="CP338" s="6"/>
    </row>
    <row r="339" spans="1:94" ht="17" x14ac:dyDescent="0.2">
      <c r="A339" t="s">
        <v>346</v>
      </c>
      <c r="B339" t="s">
        <v>102</v>
      </c>
      <c r="C339" t="str">
        <f t="shared" si="107"/>
        <v>I</v>
      </c>
      <c r="D339" t="str">
        <f t="shared" si="108"/>
        <v>S</v>
      </c>
      <c r="E339" t="str">
        <f t="shared" si="109"/>
        <v>G</v>
      </c>
      <c r="F339">
        <v>68</v>
      </c>
      <c r="G339">
        <v>65</v>
      </c>
      <c r="H339">
        <v>4.2489999999999997</v>
      </c>
      <c r="I339">
        <v>0.10299999999999999</v>
      </c>
      <c r="J339">
        <v>6.0000000000000001E-3</v>
      </c>
      <c r="K339" t="s">
        <v>38</v>
      </c>
      <c r="L339" t="str">
        <f t="shared" si="110"/>
        <v>M</v>
      </c>
      <c r="M339">
        <v>22</v>
      </c>
      <c r="N339">
        <v>0.21299999999999999</v>
      </c>
      <c r="O339">
        <v>0.16600000000000001</v>
      </c>
      <c r="P339" t="s">
        <v>347</v>
      </c>
      <c r="Q339" t="str">
        <f t="shared" si="99"/>
        <v>F</v>
      </c>
      <c r="AV339">
        <v>10</v>
      </c>
      <c r="AW339">
        <v>1.7000000000000001E-2</v>
      </c>
      <c r="BB339">
        <v>1</v>
      </c>
      <c r="BC339">
        <v>6.0000000000000001E-3</v>
      </c>
      <c r="BV339" s="1">
        <v>2.3E-2</v>
      </c>
      <c r="BW339" s="5">
        <v>44502</v>
      </c>
      <c r="BX339">
        <v>11</v>
      </c>
      <c r="BY339">
        <v>2</v>
      </c>
      <c r="BZ339">
        <v>2021</v>
      </c>
      <c r="CA339" s="5">
        <f t="shared" si="111"/>
        <v>44238</v>
      </c>
      <c r="CB339">
        <v>42</v>
      </c>
      <c r="CC339">
        <v>3</v>
      </c>
      <c r="CD339" t="s">
        <v>290</v>
      </c>
      <c r="CE339">
        <f t="shared" si="112"/>
        <v>0.14140938015555032</v>
      </c>
      <c r="CF339">
        <f t="shared" si="113"/>
        <v>2.4843222383019778</v>
      </c>
      <c r="CG339">
        <f t="shared" si="102"/>
        <v>2.4879227053140096</v>
      </c>
      <c r="CH339">
        <f t="shared" si="103"/>
        <v>3.9068016003765598</v>
      </c>
      <c r="CI339">
        <f t="shared" si="114"/>
        <v>1.1061426217933628</v>
      </c>
      <c r="CJ339" s="1">
        <f t="shared" si="115"/>
        <v>1.6474464579901149</v>
      </c>
      <c r="CK339" s="6" t="s">
        <v>142</v>
      </c>
      <c r="CL339" s="6">
        <v>2</v>
      </c>
      <c r="CM339" s="6"/>
      <c r="CN339" s="6"/>
      <c r="CO339" s="6"/>
      <c r="CP339" s="6"/>
    </row>
    <row r="340" spans="1:94" ht="17" x14ac:dyDescent="0.2">
      <c r="A340" t="s">
        <v>348</v>
      </c>
      <c r="B340" t="s">
        <v>102</v>
      </c>
      <c r="C340" t="str">
        <f t="shared" si="107"/>
        <v>I</v>
      </c>
      <c r="D340" t="str">
        <f t="shared" si="108"/>
        <v>IMM</v>
      </c>
      <c r="E340" t="str">
        <f t="shared" si="109"/>
        <v>G</v>
      </c>
      <c r="F340">
        <v>64</v>
      </c>
      <c r="G340">
        <v>61</v>
      </c>
      <c r="H340">
        <v>4.0590000000000002</v>
      </c>
      <c r="I340">
        <v>4.7E-2</v>
      </c>
      <c r="J340">
        <v>5.0000000000000001E-3</v>
      </c>
      <c r="K340" t="s">
        <v>38</v>
      </c>
      <c r="L340" t="str">
        <f t="shared" si="110"/>
        <v>M</v>
      </c>
      <c r="M340">
        <v>22</v>
      </c>
      <c r="N340">
        <v>0.16400000000000001</v>
      </c>
      <c r="O340">
        <v>0.13900000000000001</v>
      </c>
      <c r="P340" t="s">
        <v>349</v>
      </c>
      <c r="Q340" t="str">
        <f t="shared" si="99"/>
        <v>F</v>
      </c>
      <c r="AV340">
        <v>5</v>
      </c>
      <c r="AW340">
        <v>8.9999999999999993E-3</v>
      </c>
      <c r="BV340" s="1">
        <v>8.9999999999999993E-3</v>
      </c>
      <c r="BW340" s="5">
        <v>44502</v>
      </c>
      <c r="BX340">
        <v>11</v>
      </c>
      <c r="BY340">
        <v>2</v>
      </c>
      <c r="BZ340">
        <v>2021</v>
      </c>
      <c r="CA340" s="5">
        <f t="shared" si="111"/>
        <v>44238</v>
      </c>
      <c r="CB340">
        <v>42</v>
      </c>
      <c r="CC340">
        <v>3</v>
      </c>
      <c r="CD340" t="s">
        <v>256</v>
      </c>
      <c r="CE340">
        <f t="shared" si="112"/>
        <v>0.123334977799704</v>
      </c>
      <c r="CF340">
        <f t="shared" si="113"/>
        <v>1.1714855433698901</v>
      </c>
      <c r="CG340">
        <f t="shared" si="102"/>
        <v>1.1729473421512351</v>
      </c>
      <c r="CH340">
        <f t="shared" si="103"/>
        <v>3.424488790342449</v>
      </c>
      <c r="CI340">
        <f t="shared" si="114"/>
        <v>0.61591525006159131</v>
      </c>
      <c r="CJ340" s="1">
        <f t="shared" si="115"/>
        <v>0.83764474008376433</v>
      </c>
      <c r="CK340" s="6" t="s">
        <v>142</v>
      </c>
      <c r="CL340" s="6">
        <v>3</v>
      </c>
      <c r="CM340" s="6"/>
      <c r="CN340" s="6"/>
      <c r="CO340" s="6"/>
      <c r="CP340" s="6"/>
    </row>
    <row r="341" spans="1:94" ht="17" x14ac:dyDescent="0.2">
      <c r="A341" t="s">
        <v>350</v>
      </c>
      <c r="B341" t="s">
        <v>102</v>
      </c>
      <c r="C341" t="str">
        <f t="shared" si="107"/>
        <v>I</v>
      </c>
      <c r="D341" t="str">
        <f t="shared" si="108"/>
        <v>S</v>
      </c>
      <c r="E341" t="str">
        <f t="shared" si="109"/>
        <v>G</v>
      </c>
      <c r="F341">
        <v>70</v>
      </c>
      <c r="G341">
        <v>66</v>
      </c>
      <c r="H341">
        <v>4.6379999999999999</v>
      </c>
      <c r="I341">
        <v>7.2999999999999995E-2</v>
      </c>
      <c r="J341">
        <v>5.1999999999999998E-2</v>
      </c>
      <c r="K341" t="s">
        <v>24</v>
      </c>
      <c r="L341" t="str">
        <f t="shared" si="110"/>
        <v>F</v>
      </c>
      <c r="M341">
        <v>22</v>
      </c>
      <c r="N341">
        <v>0.187</v>
      </c>
      <c r="O341">
        <v>0.16</v>
      </c>
      <c r="P341" t="s">
        <v>351</v>
      </c>
      <c r="Q341" t="str">
        <f t="shared" si="99"/>
        <v>F</v>
      </c>
      <c r="AV341">
        <v>6</v>
      </c>
      <c r="AW341">
        <v>6.0000000000000001E-3</v>
      </c>
      <c r="BV341" s="1">
        <v>6.0000000000000001E-3</v>
      </c>
      <c r="BW341" s="5">
        <v>44502</v>
      </c>
      <c r="BX341">
        <v>11</v>
      </c>
      <c r="BY341">
        <v>2</v>
      </c>
      <c r="BZ341">
        <v>2021</v>
      </c>
      <c r="CA341" s="5">
        <f t="shared" si="111"/>
        <v>44238</v>
      </c>
      <c r="CB341">
        <v>42</v>
      </c>
      <c r="CC341">
        <v>3</v>
      </c>
      <c r="CD341" t="s">
        <v>256</v>
      </c>
      <c r="CE341">
        <f t="shared" si="112"/>
        <v>1.1338857392062798</v>
      </c>
      <c r="CF341">
        <f t="shared" si="113"/>
        <v>1.5991237677984667</v>
      </c>
      <c r="CG341">
        <f t="shared" si="102"/>
        <v>1.6175493020163971</v>
      </c>
      <c r="CH341">
        <f t="shared" si="103"/>
        <v>3.44976282880552</v>
      </c>
      <c r="CI341">
        <f t="shared" si="114"/>
        <v>0.58214747736093142</v>
      </c>
      <c r="CJ341" s="1">
        <f t="shared" si="115"/>
        <v>0.71151358344113835</v>
      </c>
      <c r="CK341" s="6" t="s">
        <v>142</v>
      </c>
      <c r="CL341" s="6">
        <v>3</v>
      </c>
      <c r="CM341" s="6"/>
      <c r="CN341" s="6"/>
      <c r="CO341" s="6"/>
      <c r="CP341" s="6"/>
    </row>
    <row r="342" spans="1:94" ht="17" x14ac:dyDescent="0.2">
      <c r="A342" t="s">
        <v>352</v>
      </c>
      <c r="B342" t="s">
        <v>102</v>
      </c>
      <c r="C342" t="str">
        <f t="shared" si="107"/>
        <v>I</v>
      </c>
      <c r="D342" t="str">
        <f t="shared" si="108"/>
        <v>S</v>
      </c>
      <c r="E342" t="str">
        <f t="shared" si="109"/>
        <v>G</v>
      </c>
      <c r="F342">
        <v>66</v>
      </c>
      <c r="G342">
        <v>62</v>
      </c>
      <c r="H342">
        <v>4.4800000000000004</v>
      </c>
      <c r="I342">
        <v>7.9000000000000001E-2</v>
      </c>
      <c r="J342">
        <v>4.0000000000000001E-3</v>
      </c>
      <c r="K342" t="s">
        <v>38</v>
      </c>
      <c r="L342" t="str">
        <f t="shared" si="110"/>
        <v>M</v>
      </c>
      <c r="M342">
        <v>22</v>
      </c>
      <c r="N342">
        <v>0.23</v>
      </c>
      <c r="O342">
        <v>0.17899999999999999</v>
      </c>
      <c r="P342" t="s">
        <v>353</v>
      </c>
      <c r="Q342" t="str">
        <f t="shared" si="99"/>
        <v>F</v>
      </c>
      <c r="AR342">
        <v>15</v>
      </c>
      <c r="AS342">
        <v>3.1E-2</v>
      </c>
      <c r="BV342" s="1">
        <v>3.1E-2</v>
      </c>
      <c r="BW342" s="5">
        <v>44502</v>
      </c>
      <c r="BX342">
        <v>11</v>
      </c>
      <c r="BY342">
        <v>2</v>
      </c>
      <c r="BZ342">
        <v>2021</v>
      </c>
      <c r="CA342" s="5">
        <f t="shared" si="111"/>
        <v>44238</v>
      </c>
      <c r="CB342">
        <v>42</v>
      </c>
      <c r="CC342">
        <v>3</v>
      </c>
      <c r="CD342" t="s">
        <v>256</v>
      </c>
      <c r="CE342">
        <f t="shared" si="112"/>
        <v>8.9365504915102756E-2</v>
      </c>
      <c r="CF342">
        <f t="shared" si="113"/>
        <v>1.7950465803226536</v>
      </c>
      <c r="CG342">
        <f t="shared" si="102"/>
        <v>1.7966795542415279</v>
      </c>
      <c r="CH342">
        <f t="shared" si="103"/>
        <v>3.995535714285714</v>
      </c>
      <c r="CI342">
        <f t="shared" si="114"/>
        <v>1.1383928571428574</v>
      </c>
      <c r="CJ342" s="1">
        <f t="shared" si="115"/>
        <v>1.830357142857143</v>
      </c>
      <c r="CK342" s="6" t="s">
        <v>142</v>
      </c>
      <c r="CL342" s="6">
        <v>3</v>
      </c>
      <c r="CM342" s="6"/>
      <c r="CN342" s="6"/>
      <c r="CO342" s="6"/>
      <c r="CP342" s="6"/>
    </row>
    <row r="343" spans="1:94" ht="17" x14ac:dyDescent="0.2">
      <c r="A343" t="s">
        <v>354</v>
      </c>
      <c r="B343" t="s">
        <v>102</v>
      </c>
      <c r="C343" t="str">
        <f t="shared" si="107"/>
        <v>I</v>
      </c>
      <c r="D343" t="str">
        <f t="shared" si="108"/>
        <v>IMM</v>
      </c>
      <c r="E343" t="str">
        <f t="shared" si="109"/>
        <v>G</v>
      </c>
      <c r="F343">
        <v>62</v>
      </c>
      <c r="G343">
        <v>58</v>
      </c>
      <c r="H343">
        <v>3.1509999999999998</v>
      </c>
      <c r="I343">
        <v>4.4999999999999998E-2</v>
      </c>
      <c r="J343">
        <v>3.1E-2</v>
      </c>
      <c r="K343" t="s">
        <v>336</v>
      </c>
      <c r="L343" t="str">
        <f t="shared" si="110"/>
        <v>F</v>
      </c>
      <c r="M343">
        <v>20</v>
      </c>
      <c r="N343">
        <v>0.23</v>
      </c>
      <c r="O343">
        <v>0.13800000000000001</v>
      </c>
      <c r="P343" t="s">
        <v>355</v>
      </c>
      <c r="Q343" t="str">
        <f t="shared" si="99"/>
        <v>F</v>
      </c>
      <c r="T343">
        <v>4</v>
      </c>
      <c r="U343">
        <v>0.01</v>
      </c>
      <c r="AR343">
        <v>2</v>
      </c>
      <c r="AS343">
        <v>4.8000000000000001E-2</v>
      </c>
      <c r="BV343" s="1">
        <v>5.8000000000000003E-2</v>
      </c>
      <c r="BW343" s="5">
        <v>44502</v>
      </c>
      <c r="BX343">
        <v>11</v>
      </c>
      <c r="BY343">
        <v>2</v>
      </c>
      <c r="BZ343">
        <v>2021</v>
      </c>
      <c r="CA343" s="5">
        <f t="shared" si="111"/>
        <v>44238</v>
      </c>
      <c r="CB343">
        <v>42</v>
      </c>
      <c r="CC343">
        <v>3</v>
      </c>
      <c r="CD343" t="s">
        <v>256</v>
      </c>
      <c r="CE343">
        <f t="shared" si="112"/>
        <v>0.99358974358974372</v>
      </c>
      <c r="CF343">
        <f t="shared" si="113"/>
        <v>1.4488087572440438</v>
      </c>
      <c r="CG343">
        <f t="shared" si="102"/>
        <v>1.4634146341463417</v>
      </c>
      <c r="CH343">
        <f t="shared" si="103"/>
        <v>4.3795620437956213</v>
      </c>
      <c r="CI343">
        <f t="shared" si="114"/>
        <v>2.9197080291970807</v>
      </c>
      <c r="CJ343" s="1">
        <f t="shared" si="115"/>
        <v>4.7603935258648047</v>
      </c>
      <c r="CK343" s="6" t="s">
        <v>142</v>
      </c>
      <c r="CL343" s="6">
        <v>3</v>
      </c>
      <c r="CM343" s="6"/>
      <c r="CN343" s="6"/>
      <c r="CO343" s="6"/>
      <c r="CP343" s="6"/>
    </row>
    <row r="344" spans="1:94" ht="17" x14ac:dyDescent="0.2">
      <c r="A344" t="s">
        <v>356</v>
      </c>
      <c r="B344" t="s">
        <v>102</v>
      </c>
      <c r="C344" t="str">
        <f t="shared" si="107"/>
        <v>S</v>
      </c>
      <c r="D344" t="str">
        <f t="shared" si="108"/>
        <v>IMM</v>
      </c>
      <c r="E344" t="str">
        <f t="shared" si="109"/>
        <v>N</v>
      </c>
      <c r="F344">
        <v>56</v>
      </c>
      <c r="G344">
        <v>53</v>
      </c>
      <c r="H344">
        <v>2.726</v>
      </c>
      <c r="I344">
        <v>3.5999999999999997E-2</v>
      </c>
      <c r="J344">
        <v>3.0000000000000001E-3</v>
      </c>
      <c r="K344" t="s">
        <v>38</v>
      </c>
      <c r="L344" t="str">
        <f t="shared" si="110"/>
        <v>M</v>
      </c>
      <c r="M344">
        <v>22</v>
      </c>
      <c r="N344">
        <v>0.16900000000000001</v>
      </c>
      <c r="O344">
        <v>0.123</v>
      </c>
      <c r="P344" t="s">
        <v>357</v>
      </c>
      <c r="Q344" t="str">
        <f t="shared" si="99"/>
        <v>F</v>
      </c>
      <c r="AR344">
        <v>3</v>
      </c>
      <c r="AS344">
        <v>1.4999999999999999E-2</v>
      </c>
      <c r="AV344">
        <v>3</v>
      </c>
      <c r="AW344">
        <v>7.0000000000000001E-3</v>
      </c>
      <c r="BV344" s="1">
        <v>2.1999999999999999E-2</v>
      </c>
      <c r="BW344" s="5">
        <v>44502</v>
      </c>
      <c r="BX344">
        <v>11</v>
      </c>
      <c r="BY344">
        <v>2</v>
      </c>
      <c r="BZ344">
        <v>2021</v>
      </c>
      <c r="CA344" s="5">
        <f t="shared" si="111"/>
        <v>44238</v>
      </c>
      <c r="CB344">
        <v>42</v>
      </c>
      <c r="CC344">
        <v>3</v>
      </c>
      <c r="CD344" t="s">
        <v>256</v>
      </c>
      <c r="CE344">
        <f t="shared" si="112"/>
        <v>0.11017260374586854</v>
      </c>
      <c r="CF344">
        <f t="shared" si="113"/>
        <v>1.3382899628252787</v>
      </c>
      <c r="CG344">
        <f t="shared" si="102"/>
        <v>1.339784145887607</v>
      </c>
      <c r="CH344">
        <f t="shared" si="103"/>
        <v>4.5121056493030078</v>
      </c>
      <c r="CI344">
        <f t="shared" si="114"/>
        <v>1.6874541452677922</v>
      </c>
      <c r="CJ344" s="1">
        <f t="shared" si="115"/>
        <v>2.4944974321349966</v>
      </c>
      <c r="CK344" s="6" t="s">
        <v>142</v>
      </c>
      <c r="CL344" s="6">
        <v>3</v>
      </c>
      <c r="CM344" s="6"/>
      <c r="CN344" s="6"/>
      <c r="CO344" s="6"/>
      <c r="CP344" s="6"/>
    </row>
    <row r="345" spans="1:94" ht="17" x14ac:dyDescent="0.2">
      <c r="A345" t="s">
        <v>358</v>
      </c>
      <c r="B345" t="s">
        <v>102</v>
      </c>
      <c r="C345" t="str">
        <f t="shared" si="107"/>
        <v>S</v>
      </c>
      <c r="D345" t="str">
        <f t="shared" si="108"/>
        <v>IMM</v>
      </c>
      <c r="E345" t="str">
        <f t="shared" si="109"/>
        <v>G</v>
      </c>
      <c r="F345">
        <v>60</v>
      </c>
      <c r="G345">
        <v>56</v>
      </c>
      <c r="H345">
        <v>2.8460000000000001</v>
      </c>
      <c r="I345">
        <v>4.8000000000000001E-2</v>
      </c>
      <c r="J345">
        <v>2E-3</v>
      </c>
      <c r="K345" t="s">
        <v>359</v>
      </c>
      <c r="L345" t="str">
        <f t="shared" si="110"/>
        <v>M</v>
      </c>
      <c r="M345">
        <v>20</v>
      </c>
      <c r="N345">
        <v>0.115</v>
      </c>
      <c r="O345">
        <v>9.6000000000000002E-2</v>
      </c>
      <c r="P345" t="s">
        <v>360</v>
      </c>
      <c r="Q345" t="str">
        <f t="shared" si="99"/>
        <v>F</v>
      </c>
      <c r="AR345">
        <v>1</v>
      </c>
      <c r="AS345">
        <v>1E-3</v>
      </c>
      <c r="AV345">
        <v>3</v>
      </c>
      <c r="AW345">
        <v>7.0000000000000001E-3</v>
      </c>
      <c r="BV345" s="1">
        <v>8.0000000000000002E-3</v>
      </c>
      <c r="BW345" s="5">
        <v>44502</v>
      </c>
      <c r="BX345">
        <v>11</v>
      </c>
      <c r="BY345">
        <v>2</v>
      </c>
      <c r="BZ345">
        <v>2021</v>
      </c>
      <c r="CA345" s="5">
        <f t="shared" si="111"/>
        <v>44238</v>
      </c>
      <c r="CB345">
        <v>42</v>
      </c>
      <c r="CC345">
        <v>3</v>
      </c>
      <c r="CD345" t="s">
        <v>361</v>
      </c>
      <c r="CE345">
        <f t="shared" si="112"/>
        <v>7.0323488045007029E-2</v>
      </c>
      <c r="CF345">
        <f t="shared" si="113"/>
        <v>1.7155110793423873</v>
      </c>
      <c r="CG345">
        <f t="shared" si="102"/>
        <v>1.7167381974248928</v>
      </c>
      <c r="CH345">
        <f t="shared" si="103"/>
        <v>3.3731553056921992</v>
      </c>
      <c r="CI345">
        <f t="shared" si="114"/>
        <v>0.66760365425158119</v>
      </c>
      <c r="CJ345" s="1">
        <f t="shared" si="115"/>
        <v>0.9486999297259312</v>
      </c>
      <c r="CK345" s="6" t="s">
        <v>142</v>
      </c>
      <c r="CL345" s="6">
        <v>2</v>
      </c>
      <c r="CM345" s="6"/>
      <c r="CN345" s="6"/>
      <c r="CO345" s="6"/>
      <c r="CP345" s="6"/>
    </row>
    <row r="346" spans="1:94" ht="17" x14ac:dyDescent="0.2">
      <c r="A346" t="s">
        <v>362</v>
      </c>
      <c r="B346" t="s">
        <v>102</v>
      </c>
      <c r="C346" t="str">
        <f t="shared" si="107"/>
        <v>S</v>
      </c>
      <c r="D346" t="str">
        <f t="shared" si="108"/>
        <v>IMM</v>
      </c>
      <c r="E346" t="str">
        <f t="shared" si="109"/>
        <v>N</v>
      </c>
      <c r="F346">
        <v>55</v>
      </c>
      <c r="G346">
        <v>52</v>
      </c>
      <c r="H346">
        <v>2.444</v>
      </c>
      <c r="I346">
        <v>4.1000000000000002E-2</v>
      </c>
      <c r="J346">
        <v>4.0000000000000001E-3</v>
      </c>
      <c r="K346" t="s">
        <v>38</v>
      </c>
      <c r="L346" t="str">
        <f t="shared" si="110"/>
        <v>M</v>
      </c>
      <c r="M346">
        <v>22</v>
      </c>
      <c r="N346">
        <v>0.14000000000000001</v>
      </c>
      <c r="O346">
        <v>0.11700000000000001</v>
      </c>
      <c r="P346" t="s">
        <v>363</v>
      </c>
      <c r="Q346" t="str">
        <f t="shared" si="99"/>
        <v>F</v>
      </c>
      <c r="AV346">
        <v>10</v>
      </c>
      <c r="AW346">
        <v>1.2E-2</v>
      </c>
      <c r="BV346" s="1">
        <v>1.2E-2</v>
      </c>
      <c r="BW346" s="5">
        <v>44502</v>
      </c>
      <c r="BX346">
        <v>11</v>
      </c>
      <c r="BY346">
        <v>2</v>
      </c>
      <c r="BZ346">
        <v>2021</v>
      </c>
      <c r="CA346" s="5">
        <f t="shared" si="111"/>
        <v>44238</v>
      </c>
      <c r="CB346">
        <v>42</v>
      </c>
      <c r="CC346">
        <v>3</v>
      </c>
      <c r="CD346" t="s">
        <v>256</v>
      </c>
      <c r="CE346">
        <f t="shared" si="112"/>
        <v>0.16393442622950818</v>
      </c>
      <c r="CF346">
        <f t="shared" si="113"/>
        <v>1.706200582605077</v>
      </c>
      <c r="CG346">
        <f t="shared" si="102"/>
        <v>1.7090454355981659</v>
      </c>
      <c r="CH346">
        <f t="shared" si="103"/>
        <v>4.7872340425531918</v>
      </c>
      <c r="CI346">
        <f t="shared" si="114"/>
        <v>0.94108019639934559</v>
      </c>
      <c r="CJ346" s="1">
        <f t="shared" si="115"/>
        <v>1.4320785597381342</v>
      </c>
      <c r="CK346" s="6" t="s">
        <v>142</v>
      </c>
      <c r="CL346" s="6">
        <v>3</v>
      </c>
      <c r="CM346" s="6"/>
      <c r="CN346" s="6"/>
      <c r="CO346" s="6"/>
      <c r="CP346" s="6"/>
    </row>
    <row r="347" spans="1:94" ht="17" x14ac:dyDescent="0.2">
      <c r="A347" t="s">
        <v>364</v>
      </c>
      <c r="B347" t="s">
        <v>102</v>
      </c>
      <c r="C347" t="str">
        <f t="shared" si="107"/>
        <v>S</v>
      </c>
      <c r="D347" t="str">
        <f t="shared" si="108"/>
        <v>IMM</v>
      </c>
      <c r="E347" t="str">
        <f t="shared" si="109"/>
        <v>N</v>
      </c>
      <c r="F347">
        <v>59</v>
      </c>
      <c r="G347">
        <v>56</v>
      </c>
      <c r="H347">
        <v>3.0939999999999999</v>
      </c>
      <c r="I347">
        <v>6.2E-2</v>
      </c>
      <c r="J347">
        <v>3.4000000000000002E-2</v>
      </c>
      <c r="K347" t="s">
        <v>24</v>
      </c>
      <c r="L347" t="str">
        <f t="shared" si="110"/>
        <v>F</v>
      </c>
      <c r="M347">
        <v>22</v>
      </c>
      <c r="N347">
        <v>0.17299999999999999</v>
      </c>
      <c r="O347">
        <v>0.13500000000000001</v>
      </c>
      <c r="P347" t="s">
        <v>365</v>
      </c>
      <c r="Q347" t="str">
        <f t="shared" si="99"/>
        <v>F</v>
      </c>
      <c r="AR347">
        <v>1</v>
      </c>
      <c r="AS347">
        <v>6.0000000000000001E-3</v>
      </c>
      <c r="AV347">
        <v>4</v>
      </c>
      <c r="AW347">
        <v>5.0000000000000001E-3</v>
      </c>
      <c r="BV347" s="1">
        <v>1.0999999999999999E-2</v>
      </c>
      <c r="BW347" s="5">
        <v>44502</v>
      </c>
      <c r="BX347">
        <v>11</v>
      </c>
      <c r="BY347">
        <v>2</v>
      </c>
      <c r="BZ347">
        <v>2021</v>
      </c>
      <c r="CA347" s="5">
        <f t="shared" si="111"/>
        <v>44238</v>
      </c>
      <c r="CB347">
        <v>42</v>
      </c>
      <c r="CC347">
        <v>3</v>
      </c>
      <c r="CD347" t="s">
        <v>256</v>
      </c>
      <c r="CE347">
        <f t="shared" si="112"/>
        <v>1.1111111111111112</v>
      </c>
      <c r="CF347">
        <f t="shared" si="113"/>
        <v>2.0448548812664908</v>
      </c>
      <c r="CG347">
        <f t="shared" si="102"/>
        <v>2.0680453635757172</v>
      </c>
      <c r="CH347">
        <f t="shared" si="103"/>
        <v>4.3632837750484814</v>
      </c>
      <c r="CI347">
        <f t="shared" si="114"/>
        <v>1.2281835811247568</v>
      </c>
      <c r="CJ347" s="1">
        <f t="shared" si="115"/>
        <v>1.5837104072398183</v>
      </c>
      <c r="CK347" s="6" t="s">
        <v>142</v>
      </c>
      <c r="CL347" s="6">
        <v>3</v>
      </c>
      <c r="CM347" s="6"/>
      <c r="CN347" s="6"/>
      <c r="CO347" s="6"/>
      <c r="CP347" s="6"/>
    </row>
    <row r="348" spans="1:94" ht="17" x14ac:dyDescent="0.2">
      <c r="A348" t="s">
        <v>366</v>
      </c>
      <c r="B348" t="s">
        <v>102</v>
      </c>
      <c r="C348" t="str">
        <f t="shared" si="107"/>
        <v>S</v>
      </c>
      <c r="D348" t="str">
        <f t="shared" si="108"/>
        <v>IMM</v>
      </c>
      <c r="E348" t="str">
        <f t="shared" si="109"/>
        <v>N</v>
      </c>
      <c r="F348">
        <v>58</v>
      </c>
      <c r="G348">
        <v>55</v>
      </c>
      <c r="H348">
        <v>2.843</v>
      </c>
      <c r="I348">
        <v>5.7000000000000002E-2</v>
      </c>
      <c r="J348">
        <v>3.0000000000000001E-3</v>
      </c>
      <c r="K348" t="s">
        <v>38</v>
      </c>
      <c r="L348" t="str">
        <f t="shared" si="110"/>
        <v>M</v>
      </c>
      <c r="M348">
        <v>22</v>
      </c>
      <c r="N348">
        <v>0.14299999999999999</v>
      </c>
      <c r="O348">
        <v>0.115</v>
      </c>
      <c r="P348" t="s">
        <v>367</v>
      </c>
      <c r="Q348" t="str">
        <f t="shared" si="99"/>
        <v>F</v>
      </c>
      <c r="AR348">
        <v>5</v>
      </c>
      <c r="AS348">
        <v>0.02</v>
      </c>
      <c r="BV348" s="1">
        <v>0.02</v>
      </c>
      <c r="BW348" s="5">
        <v>44502</v>
      </c>
      <c r="BX348">
        <v>11</v>
      </c>
      <c r="BY348">
        <v>2</v>
      </c>
      <c r="BZ348">
        <v>2021</v>
      </c>
      <c r="CA348" s="5">
        <f t="shared" si="111"/>
        <v>44238</v>
      </c>
      <c r="CB348">
        <v>42</v>
      </c>
      <c r="CC348">
        <v>3</v>
      </c>
      <c r="CD348" t="s">
        <v>256</v>
      </c>
      <c r="CE348">
        <f t="shared" si="112"/>
        <v>0.10563380281690142</v>
      </c>
      <c r="CF348">
        <f t="shared" si="113"/>
        <v>2.0459440057430007</v>
      </c>
      <c r="CG348">
        <f t="shared" si="102"/>
        <v>2.0481494789795187</v>
      </c>
      <c r="CH348">
        <f t="shared" si="103"/>
        <v>4.0450228631727052</v>
      </c>
      <c r="CI348">
        <f t="shared" si="114"/>
        <v>0.98487513190291898</v>
      </c>
      <c r="CJ348" s="1">
        <f t="shared" si="115"/>
        <v>1.6883573689764328</v>
      </c>
      <c r="CK348" s="6" t="s">
        <v>142</v>
      </c>
      <c r="CL348" s="6">
        <v>3</v>
      </c>
      <c r="CM348" s="6"/>
      <c r="CN348" s="6"/>
      <c r="CO348" s="6"/>
      <c r="CP348" s="6"/>
    </row>
    <row r="349" spans="1:94" ht="17" x14ac:dyDescent="0.2">
      <c r="A349" t="s">
        <v>368</v>
      </c>
      <c r="B349" t="s">
        <v>102</v>
      </c>
      <c r="C349" t="str">
        <f t="shared" si="107"/>
        <v>S</v>
      </c>
      <c r="D349" t="str">
        <f t="shared" si="108"/>
        <v>IMM</v>
      </c>
      <c r="E349" t="str">
        <f t="shared" si="109"/>
        <v>N</v>
      </c>
      <c r="F349">
        <v>56</v>
      </c>
      <c r="G349">
        <v>53</v>
      </c>
      <c r="H349">
        <v>2.9649999999999999</v>
      </c>
      <c r="I349">
        <v>6.9000000000000006E-2</v>
      </c>
      <c r="J349">
        <v>1E-3</v>
      </c>
      <c r="K349" t="s">
        <v>359</v>
      </c>
      <c r="L349" t="str">
        <f t="shared" si="110"/>
        <v>M</v>
      </c>
      <c r="M349">
        <v>20</v>
      </c>
      <c r="N349">
        <v>0.184</v>
      </c>
      <c r="O349">
        <v>0.126</v>
      </c>
      <c r="P349" t="s">
        <v>369</v>
      </c>
      <c r="Q349" t="str">
        <f t="shared" si="99"/>
        <v>F</v>
      </c>
      <c r="AV349">
        <v>16</v>
      </c>
      <c r="AW349">
        <v>3.6999999999999998E-2</v>
      </c>
      <c r="BV349" s="1">
        <v>3.6999999999999998E-2</v>
      </c>
      <c r="BW349" s="5">
        <v>44502</v>
      </c>
      <c r="BX349">
        <v>11</v>
      </c>
      <c r="BY349">
        <v>2</v>
      </c>
      <c r="BZ349">
        <v>2021</v>
      </c>
      <c r="CA349" s="5">
        <f t="shared" si="111"/>
        <v>44238</v>
      </c>
      <c r="CB349">
        <v>42</v>
      </c>
      <c r="CC349">
        <v>3</v>
      </c>
      <c r="CD349" t="s">
        <v>370</v>
      </c>
      <c r="CE349">
        <f t="shared" si="112"/>
        <v>3.3738191632928474E-2</v>
      </c>
      <c r="CF349">
        <f t="shared" si="113"/>
        <v>2.382596685082873</v>
      </c>
      <c r="CG349">
        <f t="shared" si="102"/>
        <v>2.3834196891191715</v>
      </c>
      <c r="CH349">
        <f t="shared" si="103"/>
        <v>4.2495784148397977</v>
      </c>
      <c r="CI349">
        <f t="shared" si="114"/>
        <v>1.9561551433389543</v>
      </c>
      <c r="CJ349" s="1">
        <f t="shared" si="115"/>
        <v>3.2040472175379429</v>
      </c>
      <c r="CK349" s="6" t="s">
        <v>142</v>
      </c>
      <c r="CL349" s="6">
        <v>3</v>
      </c>
      <c r="CM349" s="6"/>
      <c r="CN349" s="6"/>
      <c r="CO349" s="6"/>
      <c r="CP349" s="6"/>
    </row>
    <row r="350" spans="1:94" ht="17" x14ac:dyDescent="0.2">
      <c r="A350" t="s">
        <v>371</v>
      </c>
      <c r="B350" t="s">
        <v>102</v>
      </c>
      <c r="C350" t="str">
        <f t="shared" si="107"/>
        <v>S</v>
      </c>
      <c r="D350" t="str">
        <f t="shared" si="108"/>
        <v>IMM</v>
      </c>
      <c r="E350" t="str">
        <f t="shared" si="109"/>
        <v>N</v>
      </c>
      <c r="F350">
        <v>56</v>
      </c>
      <c r="G350">
        <v>53</v>
      </c>
      <c r="H350">
        <v>2.6560000000000001</v>
      </c>
      <c r="I350">
        <v>5.7000000000000002E-2</v>
      </c>
      <c r="J350">
        <v>5.0000000000000001E-3</v>
      </c>
      <c r="K350" t="s">
        <v>38</v>
      </c>
      <c r="L350" t="str">
        <f t="shared" si="110"/>
        <v>M</v>
      </c>
      <c r="M350">
        <v>22</v>
      </c>
      <c r="N350">
        <v>0.14799999999999999</v>
      </c>
      <c r="O350">
        <v>0.111</v>
      </c>
      <c r="P350" t="s">
        <v>372</v>
      </c>
      <c r="Q350" t="str">
        <f t="shared" si="99"/>
        <v>F</v>
      </c>
      <c r="AR350">
        <v>7</v>
      </c>
      <c r="AS350">
        <v>2.4E-2</v>
      </c>
      <c r="BV350" s="1">
        <v>2.4E-2</v>
      </c>
      <c r="BW350" s="5">
        <v>44502</v>
      </c>
      <c r="BX350">
        <v>11</v>
      </c>
      <c r="BY350">
        <v>2</v>
      </c>
      <c r="BZ350">
        <v>2021</v>
      </c>
      <c r="CA350" s="5">
        <f t="shared" si="111"/>
        <v>44238</v>
      </c>
      <c r="CB350">
        <v>42</v>
      </c>
      <c r="CC350">
        <v>3</v>
      </c>
      <c r="CD350" t="s">
        <v>256</v>
      </c>
      <c r="CE350">
        <f t="shared" si="112"/>
        <v>0.18860807242549982</v>
      </c>
      <c r="CF350">
        <f t="shared" si="113"/>
        <v>2.1931512120046173</v>
      </c>
      <c r="CG350">
        <f t="shared" si="102"/>
        <v>2.1973785659213569</v>
      </c>
      <c r="CH350">
        <f t="shared" si="103"/>
        <v>4.1792168674698793</v>
      </c>
      <c r="CI350">
        <f t="shared" si="114"/>
        <v>1.3930722891566261</v>
      </c>
      <c r="CJ350" s="1">
        <f t="shared" si="115"/>
        <v>2.2966867469879513</v>
      </c>
      <c r="CK350" s="6" t="s">
        <v>142</v>
      </c>
      <c r="CL350" s="6">
        <v>3</v>
      </c>
      <c r="CM350" s="6"/>
      <c r="CN350" s="6"/>
      <c r="CO350" s="6"/>
      <c r="CP350" s="6"/>
    </row>
    <row r="351" spans="1:94" ht="17" x14ac:dyDescent="0.2">
      <c r="A351" t="s">
        <v>373</v>
      </c>
      <c r="B351" t="s">
        <v>102</v>
      </c>
      <c r="C351" t="str">
        <f t="shared" si="107"/>
        <v>S</v>
      </c>
      <c r="D351" t="str">
        <f t="shared" si="108"/>
        <v>IMM</v>
      </c>
      <c r="E351" t="str">
        <f t="shared" si="109"/>
        <v>N</v>
      </c>
      <c r="F351">
        <v>56</v>
      </c>
      <c r="G351">
        <v>53</v>
      </c>
      <c r="H351">
        <v>2.4510000000000001</v>
      </c>
      <c r="I351">
        <v>3.5999999999999997E-2</v>
      </c>
      <c r="J351">
        <v>3.0000000000000001E-3</v>
      </c>
      <c r="K351" t="s">
        <v>359</v>
      </c>
      <c r="L351" t="str">
        <f t="shared" si="110"/>
        <v>M</v>
      </c>
      <c r="M351">
        <v>20</v>
      </c>
      <c r="N351">
        <v>0.192</v>
      </c>
      <c r="O351">
        <v>0.11700000000000001</v>
      </c>
      <c r="P351" t="s">
        <v>374</v>
      </c>
      <c r="Q351" t="str">
        <f t="shared" si="99"/>
        <v>F</v>
      </c>
      <c r="AR351">
        <v>10</v>
      </c>
      <c r="AS351">
        <v>4.1000000000000002E-2</v>
      </c>
      <c r="AV351">
        <v>3</v>
      </c>
      <c r="AW351">
        <v>5.0000000000000001E-3</v>
      </c>
      <c r="BD351">
        <v>1</v>
      </c>
      <c r="BE351">
        <v>4.0000000000000001E-3</v>
      </c>
      <c r="BV351" s="1">
        <v>0.05</v>
      </c>
      <c r="BW351" s="5">
        <v>44502</v>
      </c>
      <c r="BX351">
        <v>11</v>
      </c>
      <c r="BY351">
        <v>2</v>
      </c>
      <c r="BZ351">
        <v>2021</v>
      </c>
      <c r="CA351" s="5">
        <f t="shared" si="111"/>
        <v>44238</v>
      </c>
      <c r="CB351">
        <v>42</v>
      </c>
      <c r="CC351">
        <v>3</v>
      </c>
      <c r="CD351" t="s">
        <v>256</v>
      </c>
      <c r="CE351">
        <f t="shared" si="112"/>
        <v>0.12254901960784313</v>
      </c>
      <c r="CF351">
        <f t="shared" si="113"/>
        <v>1.4906832298136643</v>
      </c>
      <c r="CG351">
        <f t="shared" si="102"/>
        <v>1.4925373134328357</v>
      </c>
      <c r="CH351">
        <f t="shared" si="103"/>
        <v>4.7735618115055081</v>
      </c>
      <c r="CI351">
        <f t="shared" si="114"/>
        <v>3.0599755201958385</v>
      </c>
      <c r="CJ351" s="1">
        <f t="shared" si="115"/>
        <v>5.0999592003263974</v>
      </c>
      <c r="CK351" s="6" t="s">
        <v>142</v>
      </c>
      <c r="CL351" s="6">
        <v>3</v>
      </c>
      <c r="CM351" s="6"/>
      <c r="CN351" s="6"/>
      <c r="CO351" s="6"/>
      <c r="CP351" s="6"/>
    </row>
    <row r="352" spans="1:94" ht="17" x14ac:dyDescent="0.2">
      <c r="A352" t="s">
        <v>375</v>
      </c>
      <c r="B352" t="s">
        <v>102</v>
      </c>
      <c r="C352" t="str">
        <f t="shared" si="107"/>
        <v>S</v>
      </c>
      <c r="D352" t="str">
        <f t="shared" si="108"/>
        <v>IMM</v>
      </c>
      <c r="E352" t="str">
        <f t="shared" si="109"/>
        <v>N</v>
      </c>
      <c r="F352">
        <v>53</v>
      </c>
      <c r="G352">
        <v>50</v>
      </c>
      <c r="H352">
        <v>2.0960000000000001</v>
      </c>
      <c r="I352">
        <v>3.4000000000000002E-2</v>
      </c>
      <c r="J352">
        <v>3.0000000000000001E-3</v>
      </c>
      <c r="K352" t="s">
        <v>359</v>
      </c>
      <c r="L352" t="str">
        <f t="shared" si="110"/>
        <v>M</v>
      </c>
      <c r="M352">
        <v>20</v>
      </c>
      <c r="N352">
        <v>0.105</v>
      </c>
      <c r="O352">
        <v>6.8000000000000005E-2</v>
      </c>
      <c r="P352" t="s">
        <v>376</v>
      </c>
      <c r="Q352" t="str">
        <f t="shared" si="99"/>
        <v>F</v>
      </c>
      <c r="AR352">
        <v>8</v>
      </c>
      <c r="AS352">
        <v>1.6E-2</v>
      </c>
      <c r="BV352" s="1">
        <v>1.6E-2</v>
      </c>
      <c r="BW352" s="5">
        <v>44502</v>
      </c>
      <c r="BX352">
        <v>11</v>
      </c>
      <c r="BY352">
        <v>2</v>
      </c>
      <c r="BZ352">
        <v>2021</v>
      </c>
      <c r="CA352" s="5">
        <f t="shared" si="111"/>
        <v>44238</v>
      </c>
      <c r="CB352">
        <v>42</v>
      </c>
      <c r="CC352">
        <v>3</v>
      </c>
      <c r="CD352" t="s">
        <v>288</v>
      </c>
      <c r="CE352">
        <f t="shared" si="112"/>
        <v>0.1433349259436216</v>
      </c>
      <c r="CF352">
        <f t="shared" si="113"/>
        <v>1.6488845780795343</v>
      </c>
      <c r="CG352">
        <f t="shared" ref="CG352:CG371" si="116">I352/(H352-I352-J352)*100</f>
        <v>1.6512870325400681</v>
      </c>
      <c r="CH352">
        <f t="shared" ref="CH352:CH371" si="117">O352/H352*100</f>
        <v>3.2442748091603053</v>
      </c>
      <c r="CI352">
        <f t="shared" si="114"/>
        <v>1.7652671755725184</v>
      </c>
      <c r="CJ352" s="1">
        <f t="shared" si="115"/>
        <v>2.5286259541984726</v>
      </c>
      <c r="CK352" s="6" t="s">
        <v>142</v>
      </c>
      <c r="CL352" s="6">
        <v>1</v>
      </c>
      <c r="CM352" s="6"/>
      <c r="CN352" s="6"/>
      <c r="CO352" s="6"/>
      <c r="CP352" s="6"/>
    </row>
    <row r="353" spans="1:94" ht="17" x14ac:dyDescent="0.2">
      <c r="A353" t="s">
        <v>377</v>
      </c>
      <c r="B353" t="s">
        <v>102</v>
      </c>
      <c r="C353" t="str">
        <f t="shared" si="107"/>
        <v>S</v>
      </c>
      <c r="D353" t="str">
        <f t="shared" si="108"/>
        <v>IMM</v>
      </c>
      <c r="E353" t="str">
        <f t="shared" si="109"/>
        <v>N</v>
      </c>
      <c r="F353">
        <v>43</v>
      </c>
      <c r="G353">
        <v>40</v>
      </c>
      <c r="H353">
        <v>1.111</v>
      </c>
      <c r="I353">
        <v>2.5999999999999999E-2</v>
      </c>
      <c r="J353">
        <v>1E-3</v>
      </c>
      <c r="K353" t="s">
        <v>316</v>
      </c>
      <c r="L353" t="str">
        <f t="shared" si="110"/>
        <v>M</v>
      </c>
      <c r="M353">
        <v>10</v>
      </c>
      <c r="N353">
        <v>0.05</v>
      </c>
      <c r="O353">
        <v>4.7E-2</v>
      </c>
      <c r="P353" t="s">
        <v>36</v>
      </c>
      <c r="Q353" t="str">
        <f t="shared" si="99"/>
        <v>MT</v>
      </c>
      <c r="BV353" s="1">
        <v>0</v>
      </c>
      <c r="BW353" s="5">
        <v>44502</v>
      </c>
      <c r="BX353">
        <v>11</v>
      </c>
      <c r="BY353">
        <v>2</v>
      </c>
      <c r="BZ353">
        <v>2021</v>
      </c>
      <c r="CA353" s="5">
        <f t="shared" si="111"/>
        <v>44238</v>
      </c>
      <c r="CB353">
        <v>42</v>
      </c>
      <c r="CC353">
        <v>3</v>
      </c>
      <c r="CD353" t="s">
        <v>370</v>
      </c>
      <c r="CE353">
        <f t="shared" si="112"/>
        <v>9.0090090090090086E-2</v>
      </c>
      <c r="CF353">
        <f t="shared" si="113"/>
        <v>2.3963133640552994</v>
      </c>
      <c r="CG353">
        <f t="shared" si="116"/>
        <v>2.3985239852398523</v>
      </c>
      <c r="CH353">
        <f t="shared" si="117"/>
        <v>4.2304230423042304</v>
      </c>
      <c r="CI353">
        <f t="shared" si="114"/>
        <v>0.2700270027002703</v>
      </c>
      <c r="CJ353" s="1">
        <f t="shared" si="115"/>
        <v>0.2700270027002703</v>
      </c>
      <c r="CK353" s="6" t="s">
        <v>142</v>
      </c>
      <c r="CL353" s="6">
        <v>3</v>
      </c>
      <c r="CM353" s="6"/>
      <c r="CN353" s="6"/>
      <c r="CO353" s="6"/>
      <c r="CP353" s="6"/>
    </row>
    <row r="354" spans="1:94" ht="17" x14ac:dyDescent="0.2">
      <c r="A354" t="s">
        <v>378</v>
      </c>
      <c r="B354" t="s">
        <v>102</v>
      </c>
      <c r="C354" t="str">
        <f t="shared" si="107"/>
        <v>S</v>
      </c>
      <c r="D354" t="str">
        <f t="shared" si="108"/>
        <v>IMM</v>
      </c>
      <c r="E354" t="str">
        <f t="shared" si="109"/>
        <v>N</v>
      </c>
      <c r="F354">
        <v>47</v>
      </c>
      <c r="G354">
        <v>44</v>
      </c>
      <c r="H354">
        <v>1.54</v>
      </c>
      <c r="I354">
        <v>3.2000000000000001E-2</v>
      </c>
      <c r="J354">
        <v>2.1000000000000001E-2</v>
      </c>
      <c r="K354" t="s">
        <v>336</v>
      </c>
      <c r="L354" t="str">
        <f t="shared" si="110"/>
        <v>F</v>
      </c>
      <c r="M354">
        <v>20</v>
      </c>
      <c r="N354">
        <v>6.5000000000000002E-2</v>
      </c>
      <c r="O354">
        <v>5.3999999999999999E-2</v>
      </c>
      <c r="P354" t="s">
        <v>379</v>
      </c>
      <c r="Q354" t="str">
        <f t="shared" si="99"/>
        <v>F</v>
      </c>
      <c r="AV354">
        <v>3</v>
      </c>
      <c r="AW354">
        <v>4.0000000000000001E-3</v>
      </c>
      <c r="BV354" s="1">
        <v>4.0000000000000001E-3</v>
      </c>
      <c r="BW354" s="5">
        <v>44502</v>
      </c>
      <c r="BX354">
        <v>11</v>
      </c>
      <c r="BY354">
        <v>2</v>
      </c>
      <c r="BZ354">
        <v>2021</v>
      </c>
      <c r="CA354" s="5">
        <f t="shared" si="111"/>
        <v>44238</v>
      </c>
      <c r="CB354">
        <v>42</v>
      </c>
      <c r="CC354">
        <v>3</v>
      </c>
      <c r="CD354" t="s">
        <v>290</v>
      </c>
      <c r="CE354">
        <f t="shared" si="112"/>
        <v>1.3824884792626728</v>
      </c>
      <c r="CF354">
        <f t="shared" si="113"/>
        <v>2.1220159151193632</v>
      </c>
      <c r="CG354">
        <f t="shared" si="116"/>
        <v>2.151983860121049</v>
      </c>
      <c r="CH354">
        <f t="shared" si="117"/>
        <v>3.5064935064935061</v>
      </c>
      <c r="CI354">
        <f t="shared" si="114"/>
        <v>0.71428571428571441</v>
      </c>
      <c r="CJ354" s="1">
        <f t="shared" si="115"/>
        <v>0.97402597402597413</v>
      </c>
      <c r="CK354" s="6" t="s">
        <v>142</v>
      </c>
      <c r="CL354" s="6">
        <v>2</v>
      </c>
      <c r="CM354" s="6"/>
      <c r="CN354" s="6"/>
      <c r="CO354" s="6"/>
      <c r="CP354" s="6"/>
    </row>
    <row r="355" spans="1:94" ht="17" x14ac:dyDescent="0.2">
      <c r="A355" t="s">
        <v>380</v>
      </c>
      <c r="B355" t="s">
        <v>102</v>
      </c>
      <c r="C355" t="str">
        <f t="shared" si="107"/>
        <v>S</v>
      </c>
      <c r="D355" t="str">
        <f t="shared" si="108"/>
        <v>IMM</v>
      </c>
      <c r="E355" t="str">
        <f t="shared" si="109"/>
        <v>N</v>
      </c>
      <c r="F355">
        <v>41</v>
      </c>
      <c r="G355">
        <v>38</v>
      </c>
      <c r="H355">
        <v>0.98599999999999999</v>
      </c>
      <c r="I355">
        <v>2.1000000000000001E-2</v>
      </c>
      <c r="J355">
        <v>5.0000000000000001E-3</v>
      </c>
      <c r="K355" t="s">
        <v>271</v>
      </c>
      <c r="L355" t="str">
        <f t="shared" si="110"/>
        <v>F</v>
      </c>
      <c r="M355">
        <v>10</v>
      </c>
      <c r="N355">
        <v>5.7000000000000002E-2</v>
      </c>
      <c r="O355">
        <v>3.9E-2</v>
      </c>
      <c r="P355" t="s">
        <v>381</v>
      </c>
      <c r="Q355" t="str">
        <f t="shared" si="99"/>
        <v>F</v>
      </c>
      <c r="AV355">
        <v>4</v>
      </c>
      <c r="AW355">
        <v>8.0000000000000002E-3</v>
      </c>
      <c r="BV355" s="1">
        <v>8.0000000000000002E-3</v>
      </c>
      <c r="BW355" s="5">
        <v>44502</v>
      </c>
      <c r="BX355">
        <v>11</v>
      </c>
      <c r="BY355">
        <v>2</v>
      </c>
      <c r="BZ355">
        <v>2021</v>
      </c>
      <c r="CA355" s="5">
        <f t="shared" si="111"/>
        <v>44238</v>
      </c>
      <c r="CB355">
        <v>42</v>
      </c>
      <c r="CC355">
        <v>3</v>
      </c>
      <c r="CD355" t="s">
        <v>370</v>
      </c>
      <c r="CE355">
        <f t="shared" si="112"/>
        <v>0.509683995922528</v>
      </c>
      <c r="CF355">
        <f t="shared" si="113"/>
        <v>2.1761658031088085</v>
      </c>
      <c r="CG355">
        <f t="shared" si="116"/>
        <v>2.1875</v>
      </c>
      <c r="CH355">
        <f t="shared" si="117"/>
        <v>3.9553752535496955</v>
      </c>
      <c r="CI355">
        <f t="shared" si="114"/>
        <v>1.8255578093306291</v>
      </c>
      <c r="CJ355" s="1">
        <f t="shared" si="115"/>
        <v>2.6369168356997976</v>
      </c>
      <c r="CK355" s="6" t="s">
        <v>142</v>
      </c>
      <c r="CL355" s="6">
        <v>3</v>
      </c>
      <c r="CM355" s="6"/>
      <c r="CN355" s="6"/>
      <c r="CO355" s="6"/>
      <c r="CP355" s="6"/>
    </row>
    <row r="356" spans="1:94" ht="17" x14ac:dyDescent="0.2">
      <c r="A356" s="6" t="s">
        <v>464</v>
      </c>
      <c r="B356" s="6" t="s">
        <v>102</v>
      </c>
      <c r="C356" t="str">
        <f t="shared" si="107"/>
        <v>S</v>
      </c>
      <c r="D356" t="str">
        <f t="shared" si="108"/>
        <v>IMM</v>
      </c>
      <c r="E356" t="str">
        <f t="shared" si="109"/>
        <v>N</v>
      </c>
      <c r="F356" s="7">
        <v>57</v>
      </c>
      <c r="G356" s="7">
        <v>54</v>
      </c>
      <c r="H356" s="7">
        <v>2.5310000000000001</v>
      </c>
      <c r="I356" s="7">
        <v>6.5000000000000002E-2</v>
      </c>
      <c r="J356" s="7">
        <v>0.02</v>
      </c>
      <c r="K356" s="7" t="s">
        <v>24</v>
      </c>
      <c r="L356" t="str">
        <f t="shared" si="110"/>
        <v>F</v>
      </c>
      <c r="M356">
        <v>22</v>
      </c>
      <c r="N356" s="7">
        <v>0.13</v>
      </c>
      <c r="O356" s="7">
        <v>0.105</v>
      </c>
      <c r="P356" s="7" t="s">
        <v>381</v>
      </c>
      <c r="Q356" t="str">
        <f t="shared" si="99"/>
        <v>F</v>
      </c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  <c r="AO356" s="7"/>
      <c r="AP356" s="7"/>
      <c r="AQ356" s="7"/>
      <c r="AR356" s="7"/>
      <c r="AS356" s="7"/>
      <c r="AT356" s="7"/>
      <c r="AU356" s="7"/>
      <c r="AV356" s="7">
        <v>4</v>
      </c>
      <c r="AW356" s="7">
        <v>8.0000000000000002E-3</v>
      </c>
      <c r="AX356" s="7"/>
      <c r="AY356" s="7"/>
      <c r="AZ356" s="7"/>
      <c r="BA356" s="7"/>
      <c r="BB356" s="7"/>
      <c r="BC356" s="7"/>
      <c r="BD356" s="7"/>
      <c r="BE356" s="7"/>
      <c r="BF356" s="7"/>
      <c r="BG356" s="7"/>
      <c r="BH356" s="7"/>
      <c r="BI356" s="7"/>
      <c r="BJ356" s="7"/>
      <c r="BK356" s="7"/>
      <c r="BL356" s="7"/>
      <c r="BM356" s="7"/>
      <c r="BN356" s="7"/>
      <c r="BO356" s="7"/>
      <c r="BP356" s="7"/>
      <c r="BQ356" s="7"/>
      <c r="BR356" s="7"/>
      <c r="BS356" s="7"/>
      <c r="BT356" s="7"/>
      <c r="BU356" s="7"/>
      <c r="BV356" s="11">
        <v>8.0000000000000002E-3</v>
      </c>
      <c r="BW356" s="7" t="s">
        <v>450</v>
      </c>
      <c r="BX356" t="str">
        <f>LEFT(BW356,2)</f>
        <v>21</v>
      </c>
      <c r="BY356" t="str">
        <f>MID(BW356,4,1)</f>
        <v>2</v>
      </c>
      <c r="BZ356" t="str">
        <f>20&amp;RIGHT(BW356,2)</f>
        <v>2021</v>
      </c>
      <c r="CA356" s="5">
        <f t="shared" si="111"/>
        <v>44248</v>
      </c>
      <c r="CB356">
        <v>52</v>
      </c>
      <c r="CC356">
        <v>4</v>
      </c>
      <c r="CD356" s="7" t="s">
        <v>290</v>
      </c>
      <c r="CE356">
        <f t="shared" si="112"/>
        <v>0.79649542015133401</v>
      </c>
      <c r="CF356">
        <f t="shared" si="113"/>
        <v>2.6358475263584751</v>
      </c>
      <c r="CG356">
        <f t="shared" si="116"/>
        <v>2.6573998364677021</v>
      </c>
      <c r="CH356">
        <f t="shared" si="117"/>
        <v>4.1485578822599765</v>
      </c>
      <c r="CI356">
        <f t="shared" si="114"/>
        <v>0.98775187672856601</v>
      </c>
      <c r="CJ356" s="1">
        <f t="shared" si="115"/>
        <v>1.3038324772817071</v>
      </c>
      <c r="CK356" s="6" t="s">
        <v>142</v>
      </c>
      <c r="CL356" s="6">
        <v>2</v>
      </c>
      <c r="CM356" s="6"/>
      <c r="CN356" s="6"/>
      <c r="CO356" s="6"/>
      <c r="CP356" s="6"/>
    </row>
    <row r="357" spans="1:94" ht="17" x14ac:dyDescent="0.2">
      <c r="A357" s="6" t="s">
        <v>465</v>
      </c>
      <c r="B357" s="6" t="s">
        <v>102</v>
      </c>
      <c r="C357" t="str">
        <f t="shared" si="107"/>
        <v>I</v>
      </c>
      <c r="D357" t="str">
        <f t="shared" si="108"/>
        <v>S</v>
      </c>
      <c r="E357" t="str">
        <f t="shared" si="109"/>
        <v>G</v>
      </c>
      <c r="F357" s="7">
        <v>69</v>
      </c>
      <c r="G357" s="7">
        <v>65</v>
      </c>
      <c r="H357" s="7">
        <v>4.3250000000000002</v>
      </c>
      <c r="I357" s="7">
        <v>7.3999999999999996E-2</v>
      </c>
      <c r="J357" s="7">
        <v>4.1000000000000002E-2</v>
      </c>
      <c r="K357" s="7" t="s">
        <v>24</v>
      </c>
      <c r="L357" t="str">
        <f t="shared" si="110"/>
        <v>F</v>
      </c>
      <c r="M357">
        <v>22</v>
      </c>
      <c r="N357" s="7">
        <v>0.25600000000000001</v>
      </c>
      <c r="O357" s="7">
        <v>0.16600000000000001</v>
      </c>
      <c r="P357" s="7" t="s">
        <v>466</v>
      </c>
      <c r="Q357" t="str">
        <f t="shared" si="99"/>
        <v>F</v>
      </c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  <c r="AO357" s="7"/>
      <c r="AP357" s="7"/>
      <c r="AQ357" s="7"/>
      <c r="AR357" s="7">
        <v>12</v>
      </c>
      <c r="AS357" s="7">
        <v>4.4999999999999998E-2</v>
      </c>
      <c r="AT357" s="7"/>
      <c r="AU357" s="7"/>
      <c r="AV357" s="7"/>
      <c r="AW357" s="7"/>
      <c r="AX357" s="7"/>
      <c r="AY357" s="7"/>
      <c r="AZ357" s="7"/>
      <c r="BA357" s="7"/>
      <c r="BB357" s="7"/>
      <c r="BC357" s="7"/>
      <c r="BD357" s="7"/>
      <c r="BE357" s="7"/>
      <c r="BF357" s="7"/>
      <c r="BG357" s="7"/>
      <c r="BH357" s="7"/>
      <c r="BI357" s="7"/>
      <c r="BJ357" s="7"/>
      <c r="BK357" s="7"/>
      <c r="BL357" s="7"/>
      <c r="BM357" s="7"/>
      <c r="BN357" s="7"/>
      <c r="BO357" s="7"/>
      <c r="BP357" s="7"/>
      <c r="BQ357" s="7"/>
      <c r="BR357" s="7"/>
      <c r="BS357" s="7"/>
      <c r="BT357" s="7"/>
      <c r="BU357" s="7"/>
      <c r="BV357" s="11">
        <v>4.4999999999999998E-2</v>
      </c>
      <c r="BW357" s="7" t="s">
        <v>450</v>
      </c>
      <c r="BX357" t="str">
        <f t="shared" ref="BX357:BX371" si="118">LEFT(BW357,2)</f>
        <v>21</v>
      </c>
      <c r="BY357" t="str">
        <f t="shared" ref="BY357:BY371" si="119">MID(BW357,4,1)</f>
        <v>2</v>
      </c>
      <c r="BZ357" t="str">
        <f t="shared" ref="BZ357:BZ371" si="120">20&amp;RIGHT(BW357,2)</f>
        <v>2021</v>
      </c>
      <c r="CA357" s="5">
        <f t="shared" si="111"/>
        <v>44248</v>
      </c>
      <c r="CB357">
        <v>52</v>
      </c>
      <c r="CC357">
        <v>4</v>
      </c>
      <c r="CD357" s="7" t="s">
        <v>290</v>
      </c>
      <c r="CE357">
        <f t="shared" si="112"/>
        <v>0.95704948646125121</v>
      </c>
      <c r="CF357">
        <f t="shared" si="113"/>
        <v>1.7407668783815569</v>
      </c>
      <c r="CG357">
        <f t="shared" si="116"/>
        <v>1.7577197149643706</v>
      </c>
      <c r="CH357">
        <f t="shared" si="117"/>
        <v>3.8381502890173413</v>
      </c>
      <c r="CI357">
        <f t="shared" si="114"/>
        <v>2.0809248554913293</v>
      </c>
      <c r="CJ357" s="1">
        <f t="shared" si="115"/>
        <v>3.1213872832369942</v>
      </c>
      <c r="CK357" s="6" t="s">
        <v>142</v>
      </c>
      <c r="CL357" s="6">
        <v>2</v>
      </c>
      <c r="CM357" s="6"/>
      <c r="CN357" s="6"/>
      <c r="CO357" s="6"/>
      <c r="CP357" s="6"/>
    </row>
    <row r="358" spans="1:94" ht="17" x14ac:dyDescent="0.2">
      <c r="A358" s="6" t="s">
        <v>467</v>
      </c>
      <c r="B358" s="6" t="s">
        <v>102</v>
      </c>
      <c r="C358" t="str">
        <f t="shared" si="107"/>
        <v>I</v>
      </c>
      <c r="D358" t="str">
        <f t="shared" si="108"/>
        <v>S</v>
      </c>
      <c r="E358" t="str">
        <f t="shared" si="109"/>
        <v>G</v>
      </c>
      <c r="F358" s="7">
        <v>75</v>
      </c>
      <c r="G358" s="7">
        <v>71</v>
      </c>
      <c r="H358" s="7">
        <v>6.0730000000000004</v>
      </c>
      <c r="I358" s="7">
        <v>0.114</v>
      </c>
      <c r="J358" s="7">
        <v>5.7000000000000002E-2</v>
      </c>
      <c r="K358" s="7" t="s">
        <v>24</v>
      </c>
      <c r="L358" t="str">
        <f t="shared" si="110"/>
        <v>F</v>
      </c>
      <c r="M358">
        <v>22</v>
      </c>
      <c r="N358" s="7">
        <v>0.35099999999999998</v>
      </c>
      <c r="O358" s="7">
        <v>0.26300000000000001</v>
      </c>
      <c r="P358" s="7" t="s">
        <v>468</v>
      </c>
      <c r="Q358" t="str">
        <f t="shared" si="99"/>
        <v>F</v>
      </c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  <c r="AO358" s="7"/>
      <c r="AP358" s="7"/>
      <c r="AQ358" s="7"/>
      <c r="AR358" s="7">
        <v>12</v>
      </c>
      <c r="AS358" s="7">
        <v>5.8000000000000003E-2</v>
      </c>
      <c r="AT358" s="7"/>
      <c r="AU358" s="7"/>
      <c r="AV358" s="7"/>
      <c r="AW358" s="7"/>
      <c r="AX358" s="7"/>
      <c r="AY358" s="7"/>
      <c r="AZ358" s="7"/>
      <c r="BA358" s="7"/>
      <c r="BB358" s="7"/>
      <c r="BC358" s="7"/>
      <c r="BD358" s="7"/>
      <c r="BE358" s="7"/>
      <c r="BF358" s="7"/>
      <c r="BG358" s="7"/>
      <c r="BH358" s="7"/>
      <c r="BI358" s="7"/>
      <c r="BJ358" s="7"/>
      <c r="BK358" s="7"/>
      <c r="BL358" s="7"/>
      <c r="BM358" s="7"/>
      <c r="BN358" s="7"/>
      <c r="BO358" s="7"/>
      <c r="BP358" s="7"/>
      <c r="BQ358" s="7"/>
      <c r="BR358" s="7"/>
      <c r="BS358" s="7"/>
      <c r="BT358" s="7"/>
      <c r="BU358" s="7"/>
      <c r="BV358" s="11">
        <v>5.8000000000000003E-2</v>
      </c>
      <c r="BW358" s="7" t="s">
        <v>450</v>
      </c>
      <c r="BX358" t="str">
        <f t="shared" si="118"/>
        <v>21</v>
      </c>
      <c r="BY358" t="str">
        <f t="shared" si="119"/>
        <v>2</v>
      </c>
      <c r="BZ358" t="str">
        <f t="shared" si="120"/>
        <v>2021</v>
      </c>
      <c r="CA358" s="5">
        <f t="shared" si="111"/>
        <v>44248</v>
      </c>
      <c r="CB358">
        <v>52</v>
      </c>
      <c r="CC358">
        <v>4</v>
      </c>
      <c r="CD358" s="7" t="s">
        <v>256</v>
      </c>
      <c r="CE358">
        <f t="shared" si="112"/>
        <v>0.94747340425531923</v>
      </c>
      <c r="CF358">
        <f t="shared" si="113"/>
        <v>1.9130726631985233</v>
      </c>
      <c r="CG358">
        <f t="shared" si="116"/>
        <v>1.9315486275838698</v>
      </c>
      <c r="CH358">
        <f t="shared" si="117"/>
        <v>4.3306438333607771</v>
      </c>
      <c r="CI358">
        <f t="shared" si="114"/>
        <v>1.449036719907788</v>
      </c>
      <c r="CJ358" s="1">
        <f t="shared" si="115"/>
        <v>2.4040836489379211</v>
      </c>
      <c r="CK358" s="6" t="s">
        <v>142</v>
      </c>
      <c r="CL358" s="6">
        <v>3</v>
      </c>
      <c r="CM358" s="6"/>
      <c r="CN358" s="6"/>
      <c r="CO358" s="6"/>
      <c r="CP358" s="6"/>
    </row>
    <row r="359" spans="1:94" ht="17" x14ac:dyDescent="0.2">
      <c r="A359" s="6" t="s">
        <v>469</v>
      </c>
      <c r="B359" s="6" t="s">
        <v>102</v>
      </c>
      <c r="C359" t="str">
        <f t="shared" si="107"/>
        <v>I</v>
      </c>
      <c r="D359" t="str">
        <f t="shared" si="108"/>
        <v>S</v>
      </c>
      <c r="E359" t="str">
        <f t="shared" si="109"/>
        <v>G</v>
      </c>
      <c r="F359" s="7">
        <v>75</v>
      </c>
      <c r="G359" s="7">
        <v>70</v>
      </c>
      <c r="H359" s="7">
        <v>5.8860000000000001</v>
      </c>
      <c r="I359" s="7">
        <v>0.14299999999999999</v>
      </c>
      <c r="J359" s="7">
        <v>5.8999999999999997E-2</v>
      </c>
      <c r="K359" s="7" t="s">
        <v>24</v>
      </c>
      <c r="L359" t="str">
        <f t="shared" si="110"/>
        <v>F</v>
      </c>
      <c r="M359">
        <v>22</v>
      </c>
      <c r="N359" s="7">
        <v>0.26200000000000001</v>
      </c>
      <c r="O359" s="7">
        <v>0.254</v>
      </c>
      <c r="P359" s="7" t="s">
        <v>36</v>
      </c>
      <c r="Q359" t="str">
        <f t="shared" si="99"/>
        <v>MT</v>
      </c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  <c r="AO359" s="7"/>
      <c r="AP359" s="7"/>
      <c r="AQ359" s="7"/>
      <c r="AR359" s="7"/>
      <c r="AS359" s="7"/>
      <c r="AT359" s="7"/>
      <c r="AU359" s="7"/>
      <c r="AV359" s="7"/>
      <c r="AW359" s="7"/>
      <c r="AX359" s="7"/>
      <c r="AY359" s="7"/>
      <c r="AZ359" s="7"/>
      <c r="BA359" s="7"/>
      <c r="BB359" s="7"/>
      <c r="BC359" s="7"/>
      <c r="BD359" s="7"/>
      <c r="BE359" s="7"/>
      <c r="BF359" s="7"/>
      <c r="BG359" s="7"/>
      <c r="BH359" s="7"/>
      <c r="BI359" s="7"/>
      <c r="BJ359" s="7"/>
      <c r="BK359" s="7"/>
      <c r="BL359" s="7"/>
      <c r="BM359" s="7"/>
      <c r="BN359" s="7"/>
      <c r="BO359" s="7"/>
      <c r="BP359" s="7"/>
      <c r="BQ359" s="7"/>
      <c r="BR359" s="7"/>
      <c r="BS359" s="7"/>
      <c r="BT359" s="7"/>
      <c r="BU359" s="7"/>
      <c r="BV359" s="11">
        <v>0</v>
      </c>
      <c r="BW359" s="7" t="s">
        <v>450</v>
      </c>
      <c r="BX359" t="str">
        <f t="shared" si="118"/>
        <v>21</v>
      </c>
      <c r="BY359" t="str">
        <f t="shared" si="119"/>
        <v>2</v>
      </c>
      <c r="BZ359" t="str">
        <f t="shared" si="120"/>
        <v>2021</v>
      </c>
      <c r="CA359" s="5">
        <f t="shared" si="111"/>
        <v>44248</v>
      </c>
      <c r="CB359">
        <v>52</v>
      </c>
      <c r="CC359">
        <v>4</v>
      </c>
      <c r="CD359" s="7" t="s">
        <v>256</v>
      </c>
      <c r="CE359">
        <f t="shared" si="112"/>
        <v>1.012527887420628</v>
      </c>
      <c r="CF359">
        <f t="shared" si="113"/>
        <v>2.4899878112484761</v>
      </c>
      <c r="CG359">
        <f t="shared" si="116"/>
        <v>2.5158339197748063</v>
      </c>
      <c r="CH359">
        <f t="shared" si="117"/>
        <v>4.3153244988107371</v>
      </c>
      <c r="CI359">
        <f t="shared" si="114"/>
        <v>0.13591573224600759</v>
      </c>
      <c r="CJ359" s="1">
        <f t="shared" si="115"/>
        <v>0.13591573224600759</v>
      </c>
      <c r="CK359" s="6" t="s">
        <v>142</v>
      </c>
      <c r="CL359" s="6">
        <v>3</v>
      </c>
      <c r="CM359" s="6"/>
      <c r="CN359" s="6"/>
      <c r="CO359" s="6"/>
      <c r="CP359" s="6"/>
    </row>
    <row r="360" spans="1:94" ht="17" x14ac:dyDescent="0.2">
      <c r="A360" s="6" t="s">
        <v>470</v>
      </c>
      <c r="B360" s="6" t="s">
        <v>102</v>
      </c>
      <c r="C360" t="str">
        <f t="shared" si="107"/>
        <v>I</v>
      </c>
      <c r="D360" t="str">
        <f t="shared" si="108"/>
        <v>S</v>
      </c>
      <c r="E360" t="str">
        <f t="shared" si="109"/>
        <v>G</v>
      </c>
      <c r="F360" s="7">
        <v>72</v>
      </c>
      <c r="G360" s="7">
        <v>68</v>
      </c>
      <c r="H360" s="7">
        <v>5.3250000000000002</v>
      </c>
      <c r="I360" s="7">
        <v>0.114</v>
      </c>
      <c r="J360" s="7">
        <v>6.0000000000000001E-3</v>
      </c>
      <c r="K360" s="7" t="s">
        <v>359</v>
      </c>
      <c r="L360" t="str">
        <f t="shared" si="110"/>
        <v>M</v>
      </c>
      <c r="M360">
        <v>20</v>
      </c>
      <c r="N360" s="7">
        <v>0.23100000000000001</v>
      </c>
      <c r="O360" s="7">
        <v>0.22600000000000001</v>
      </c>
      <c r="P360" s="7" t="s">
        <v>36</v>
      </c>
      <c r="Q360" t="str">
        <f t="shared" si="99"/>
        <v>MT</v>
      </c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  <c r="AO360" s="7"/>
      <c r="AP360" s="7"/>
      <c r="AQ360" s="7"/>
      <c r="AR360" s="7"/>
      <c r="AS360" s="7"/>
      <c r="AT360" s="7"/>
      <c r="AU360" s="7"/>
      <c r="AV360" s="7"/>
      <c r="AW360" s="7"/>
      <c r="AX360" s="7"/>
      <c r="AY360" s="7"/>
      <c r="AZ360" s="7"/>
      <c r="BA360" s="7"/>
      <c r="BB360" s="7"/>
      <c r="BC360" s="7"/>
      <c r="BD360" s="7"/>
      <c r="BE360" s="7"/>
      <c r="BF360" s="7"/>
      <c r="BG360" s="7"/>
      <c r="BH360" s="7"/>
      <c r="BI360" s="7"/>
      <c r="BJ360" s="7"/>
      <c r="BK360" s="7"/>
      <c r="BL360" s="7"/>
      <c r="BM360" s="7"/>
      <c r="BN360" s="7"/>
      <c r="BO360" s="7"/>
      <c r="BP360" s="7"/>
      <c r="BQ360" s="7"/>
      <c r="BR360" s="7"/>
      <c r="BS360" s="7"/>
      <c r="BT360" s="7"/>
      <c r="BU360" s="7"/>
      <c r="BV360" s="11">
        <v>0</v>
      </c>
      <c r="BW360" s="7" t="s">
        <v>450</v>
      </c>
      <c r="BX360" t="str">
        <f t="shared" si="118"/>
        <v>21</v>
      </c>
      <c r="BY360" t="str">
        <f t="shared" si="119"/>
        <v>2</v>
      </c>
      <c r="BZ360" t="str">
        <f t="shared" si="120"/>
        <v>2021</v>
      </c>
      <c r="CA360" s="5">
        <f t="shared" si="111"/>
        <v>44248</v>
      </c>
      <c r="CB360">
        <v>52</v>
      </c>
      <c r="CC360">
        <v>4</v>
      </c>
      <c r="CD360" s="7" t="s">
        <v>256</v>
      </c>
      <c r="CE360">
        <f t="shared" si="112"/>
        <v>0.11280315848843769</v>
      </c>
      <c r="CF360">
        <f t="shared" si="113"/>
        <v>2.1876799078871616</v>
      </c>
      <c r="CG360">
        <f t="shared" si="116"/>
        <v>2.190201729106628</v>
      </c>
      <c r="CH360">
        <f t="shared" si="117"/>
        <v>4.244131455399061</v>
      </c>
      <c r="CI360">
        <f t="shared" si="114"/>
        <v>9.3896713615023553E-2</v>
      </c>
      <c r="CJ360" s="1">
        <f t="shared" si="115"/>
        <v>9.3896713615023553E-2</v>
      </c>
      <c r="CK360" s="6" t="s">
        <v>142</v>
      </c>
      <c r="CL360" s="6">
        <v>3</v>
      </c>
      <c r="CM360" s="6"/>
      <c r="CN360" s="6"/>
      <c r="CO360" s="6"/>
      <c r="CP360" s="6"/>
    </row>
    <row r="361" spans="1:94" ht="17" x14ac:dyDescent="0.2">
      <c r="A361" s="6" t="s">
        <v>471</v>
      </c>
      <c r="B361" s="6" t="s">
        <v>102</v>
      </c>
      <c r="C361" t="str">
        <f t="shared" si="107"/>
        <v>I</v>
      </c>
      <c r="D361" t="str">
        <f t="shared" si="108"/>
        <v>S</v>
      </c>
      <c r="E361" t="str">
        <f t="shared" si="109"/>
        <v>G</v>
      </c>
      <c r="F361" s="7">
        <v>71</v>
      </c>
      <c r="G361" s="7">
        <v>62</v>
      </c>
      <c r="H361" s="7">
        <v>5.03</v>
      </c>
      <c r="I361" s="7">
        <v>8.7999999999999995E-2</v>
      </c>
      <c r="J361" s="7">
        <v>5.1999999999999998E-2</v>
      </c>
      <c r="K361" s="7" t="s">
        <v>24</v>
      </c>
      <c r="L361" t="str">
        <f t="shared" si="110"/>
        <v>F</v>
      </c>
      <c r="M361">
        <v>22</v>
      </c>
      <c r="N361" s="7">
        <v>0.22800000000000001</v>
      </c>
      <c r="O361" s="7">
        <v>0.19600000000000001</v>
      </c>
      <c r="P361" s="7" t="s">
        <v>472</v>
      </c>
      <c r="Q361" t="str">
        <f t="shared" si="99"/>
        <v>F</v>
      </c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  <c r="AO361" s="7"/>
      <c r="AP361" s="7"/>
      <c r="AQ361" s="7"/>
      <c r="AR361" s="7"/>
      <c r="AS361" s="7"/>
      <c r="AT361" s="7"/>
      <c r="AU361" s="7"/>
      <c r="AV361" s="7">
        <v>5</v>
      </c>
      <c r="AW361" s="7">
        <v>1.2999999999999999E-2</v>
      </c>
      <c r="AX361" s="7"/>
      <c r="AY361" s="7"/>
      <c r="AZ361" s="7"/>
      <c r="BA361" s="7"/>
      <c r="BB361" s="7"/>
      <c r="BC361" s="7"/>
      <c r="BD361" s="7"/>
      <c r="BE361" s="7"/>
      <c r="BF361" s="7"/>
      <c r="BG361" s="7"/>
      <c r="BH361" s="7"/>
      <c r="BI361" s="7"/>
      <c r="BJ361" s="7"/>
      <c r="BK361" s="7"/>
      <c r="BL361" s="7"/>
      <c r="BM361" s="7"/>
      <c r="BN361" s="7"/>
      <c r="BO361" s="7"/>
      <c r="BP361" s="7"/>
      <c r="BQ361" s="7"/>
      <c r="BR361" s="7"/>
      <c r="BS361" s="7"/>
      <c r="BT361" s="7"/>
      <c r="BU361" s="7"/>
      <c r="BV361" s="11">
        <v>1.2999999999999999E-2</v>
      </c>
      <c r="BW361" s="7" t="s">
        <v>450</v>
      </c>
      <c r="BX361" t="str">
        <f t="shared" si="118"/>
        <v>21</v>
      </c>
      <c r="BY361" t="str">
        <f t="shared" si="119"/>
        <v>2</v>
      </c>
      <c r="BZ361" t="str">
        <f t="shared" si="120"/>
        <v>2021</v>
      </c>
      <c r="CA361" s="5">
        <f t="shared" si="111"/>
        <v>44248</v>
      </c>
      <c r="CB361">
        <v>52</v>
      </c>
      <c r="CC361">
        <v>4</v>
      </c>
      <c r="CD361" s="7" t="s">
        <v>256</v>
      </c>
      <c r="CE361">
        <f t="shared" si="112"/>
        <v>1.0445962233828845</v>
      </c>
      <c r="CF361">
        <f t="shared" si="113"/>
        <v>1.780655605018211</v>
      </c>
      <c r="CG361">
        <f t="shared" si="116"/>
        <v>1.7995910020449895</v>
      </c>
      <c r="CH361">
        <f t="shared" si="117"/>
        <v>3.8966202783300199</v>
      </c>
      <c r="CI361">
        <f t="shared" si="114"/>
        <v>0.63618290258449306</v>
      </c>
      <c r="CJ361" s="1">
        <f t="shared" si="115"/>
        <v>0.89463220675944333</v>
      </c>
      <c r="CK361" s="6" t="s">
        <v>142</v>
      </c>
      <c r="CL361" s="6">
        <v>3</v>
      </c>
      <c r="CM361" s="6"/>
      <c r="CN361" s="6"/>
      <c r="CO361" s="6"/>
      <c r="CP361" s="6"/>
    </row>
    <row r="362" spans="1:94" ht="17" x14ac:dyDescent="0.2">
      <c r="A362" s="6" t="s">
        <v>473</v>
      </c>
      <c r="B362" s="6" t="s">
        <v>102</v>
      </c>
      <c r="C362" t="str">
        <f t="shared" si="107"/>
        <v>I</v>
      </c>
      <c r="D362" t="str">
        <f t="shared" si="108"/>
        <v>IMM</v>
      </c>
      <c r="E362" t="str">
        <f t="shared" si="109"/>
        <v>G</v>
      </c>
      <c r="F362" s="7">
        <v>63</v>
      </c>
      <c r="G362" s="7">
        <v>60</v>
      </c>
      <c r="H362" s="7">
        <v>3.6509999999999998</v>
      </c>
      <c r="I362" s="7">
        <v>6.6000000000000003E-2</v>
      </c>
      <c r="J362" s="7">
        <v>4.2999999999999997E-2</v>
      </c>
      <c r="K362" s="7" t="s">
        <v>24</v>
      </c>
      <c r="L362" t="str">
        <f t="shared" si="110"/>
        <v>F</v>
      </c>
      <c r="M362">
        <v>22</v>
      </c>
      <c r="N362" s="7">
        <v>0.127</v>
      </c>
      <c r="O362" s="7">
        <v>0.124</v>
      </c>
      <c r="P362" s="7" t="s">
        <v>36</v>
      </c>
      <c r="Q362" t="str">
        <f t="shared" si="99"/>
        <v>MT</v>
      </c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  <c r="AO362" s="7"/>
      <c r="AP362" s="7"/>
      <c r="AQ362" s="7"/>
      <c r="AR362" s="7"/>
      <c r="AS362" s="7"/>
      <c r="AT362" s="7"/>
      <c r="AU362" s="7"/>
      <c r="AV362" s="7"/>
      <c r="AW362" s="7"/>
      <c r="AX362" s="7"/>
      <c r="AY362" s="7"/>
      <c r="AZ362" s="7"/>
      <c r="BA362" s="7"/>
      <c r="BB362" s="7"/>
      <c r="BC362" s="7"/>
      <c r="BD362" s="7"/>
      <c r="BE362" s="7"/>
      <c r="BF362" s="7"/>
      <c r="BG362" s="7"/>
      <c r="BH362" s="7"/>
      <c r="BI362" s="7"/>
      <c r="BJ362" s="7"/>
      <c r="BK362" s="7"/>
      <c r="BL362" s="7"/>
      <c r="BM362" s="7"/>
      <c r="BN362" s="7"/>
      <c r="BO362" s="7"/>
      <c r="BP362" s="7"/>
      <c r="BQ362" s="7"/>
      <c r="BR362" s="7"/>
      <c r="BS362" s="7"/>
      <c r="BT362" s="7"/>
      <c r="BU362" s="7"/>
      <c r="BV362" s="11">
        <v>0</v>
      </c>
      <c r="BW362" s="7" t="s">
        <v>450</v>
      </c>
      <c r="BX362" t="str">
        <f t="shared" si="118"/>
        <v>21</v>
      </c>
      <c r="BY362" t="str">
        <f t="shared" si="119"/>
        <v>2</v>
      </c>
      <c r="BZ362" t="str">
        <f t="shared" si="120"/>
        <v>2021</v>
      </c>
      <c r="CA362" s="5">
        <f t="shared" si="111"/>
        <v>44248</v>
      </c>
      <c r="CB362">
        <v>52</v>
      </c>
      <c r="CC362">
        <v>4</v>
      </c>
      <c r="CD362" s="7" t="s">
        <v>256</v>
      </c>
      <c r="CE362">
        <f t="shared" si="112"/>
        <v>1.1917960088691797</v>
      </c>
      <c r="CF362">
        <f t="shared" si="113"/>
        <v>1.8410041841004186</v>
      </c>
      <c r="CG362">
        <f t="shared" si="116"/>
        <v>1.8633540372670807</v>
      </c>
      <c r="CH362">
        <f t="shared" si="117"/>
        <v>3.3963297726650237</v>
      </c>
      <c r="CI362">
        <f t="shared" si="114"/>
        <v>8.2169268693508699E-2</v>
      </c>
      <c r="CJ362" s="1">
        <f t="shared" si="115"/>
        <v>8.2169268693508699E-2</v>
      </c>
      <c r="CK362" s="6" t="s">
        <v>142</v>
      </c>
      <c r="CL362" s="6">
        <v>3</v>
      </c>
      <c r="CM362" s="6"/>
      <c r="CN362" s="6"/>
      <c r="CO362" s="6"/>
      <c r="CP362" s="6"/>
    </row>
    <row r="363" spans="1:94" ht="17" x14ac:dyDescent="0.2">
      <c r="A363" s="6" t="s">
        <v>474</v>
      </c>
      <c r="B363" s="6" t="s">
        <v>102</v>
      </c>
      <c r="C363" t="str">
        <f t="shared" si="107"/>
        <v>I</v>
      </c>
      <c r="D363" t="str">
        <f t="shared" si="108"/>
        <v>IMM</v>
      </c>
      <c r="E363" t="str">
        <f t="shared" si="109"/>
        <v>G</v>
      </c>
      <c r="F363" s="7">
        <v>62</v>
      </c>
      <c r="G363" s="7">
        <v>59</v>
      </c>
      <c r="H363" s="7">
        <v>3.2770000000000001</v>
      </c>
      <c r="I363" s="7">
        <v>0.06</v>
      </c>
      <c r="J363" s="7">
        <v>2E-3</v>
      </c>
      <c r="K363" s="7" t="s">
        <v>316</v>
      </c>
      <c r="L363" t="str">
        <f t="shared" si="110"/>
        <v>M</v>
      </c>
      <c r="M363">
        <v>10</v>
      </c>
      <c r="N363" s="7">
        <v>0.158</v>
      </c>
      <c r="O363" s="7">
        <v>0.15</v>
      </c>
      <c r="P363" s="7" t="s">
        <v>36</v>
      </c>
      <c r="Q363" t="str">
        <f t="shared" si="99"/>
        <v>MT</v>
      </c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  <c r="AO363" s="7"/>
      <c r="AP363" s="7"/>
      <c r="AQ363" s="7"/>
      <c r="AR363" s="7"/>
      <c r="AS363" s="7"/>
      <c r="AT363" s="7"/>
      <c r="AU363" s="7"/>
      <c r="AV363" s="7"/>
      <c r="AW363" s="7"/>
      <c r="AX363" s="7"/>
      <c r="AY363" s="7"/>
      <c r="AZ363" s="7"/>
      <c r="BA363" s="7"/>
      <c r="BB363" s="7"/>
      <c r="BC363" s="7"/>
      <c r="BD363" s="7"/>
      <c r="BE363" s="7"/>
      <c r="BF363" s="7"/>
      <c r="BG363" s="7"/>
      <c r="BH363" s="7"/>
      <c r="BI363" s="7"/>
      <c r="BJ363" s="7"/>
      <c r="BK363" s="7"/>
      <c r="BL363" s="7"/>
      <c r="BM363" s="7"/>
      <c r="BN363" s="7"/>
      <c r="BO363" s="7"/>
      <c r="BP363" s="7"/>
      <c r="BQ363" s="7"/>
      <c r="BR363" s="7"/>
      <c r="BS363" s="7"/>
      <c r="BT363" s="7"/>
      <c r="BU363" s="7"/>
      <c r="BV363" s="11">
        <v>0</v>
      </c>
      <c r="BW363" s="7" t="s">
        <v>450</v>
      </c>
      <c r="BX363" t="str">
        <f t="shared" si="118"/>
        <v>21</v>
      </c>
      <c r="BY363" t="str">
        <f t="shared" si="119"/>
        <v>2</v>
      </c>
      <c r="BZ363" t="str">
        <f t="shared" si="120"/>
        <v>2021</v>
      </c>
      <c r="CA363" s="5">
        <f t="shared" si="111"/>
        <v>44248</v>
      </c>
      <c r="CB363">
        <v>52</v>
      </c>
      <c r="CC363">
        <v>4</v>
      </c>
      <c r="CD363" s="7" t="s">
        <v>475</v>
      </c>
      <c r="CE363">
        <f t="shared" si="112"/>
        <v>6.1068702290076327E-2</v>
      </c>
      <c r="CF363">
        <f t="shared" si="113"/>
        <v>1.8650917003419334</v>
      </c>
      <c r="CG363">
        <f t="shared" si="116"/>
        <v>1.8662519440124414</v>
      </c>
      <c r="CH363">
        <f t="shared" si="117"/>
        <v>4.5773573390296001</v>
      </c>
      <c r="CI363">
        <f t="shared" si="114"/>
        <v>0.24412572474824557</v>
      </c>
      <c r="CJ363" s="1">
        <f t="shared" si="115"/>
        <v>0.24412572474824557</v>
      </c>
      <c r="CK363" s="6" t="s">
        <v>142</v>
      </c>
      <c r="CL363" s="6">
        <v>4</v>
      </c>
      <c r="CM363" s="6"/>
      <c r="CN363" s="6"/>
      <c r="CO363" s="6"/>
      <c r="CP363" s="6"/>
    </row>
    <row r="364" spans="1:94" ht="17" x14ac:dyDescent="0.2">
      <c r="A364" s="6" t="s">
        <v>476</v>
      </c>
      <c r="B364" s="6" t="s">
        <v>102</v>
      </c>
      <c r="C364" t="str">
        <f t="shared" si="107"/>
        <v>I</v>
      </c>
      <c r="D364" t="str">
        <f t="shared" si="108"/>
        <v>IMM</v>
      </c>
      <c r="E364" t="str">
        <f t="shared" si="109"/>
        <v>G</v>
      </c>
      <c r="F364" s="7">
        <v>61</v>
      </c>
      <c r="G364" s="7">
        <v>58</v>
      </c>
      <c r="H364" s="7">
        <v>3.012</v>
      </c>
      <c r="I364" s="7">
        <v>6.2E-2</v>
      </c>
      <c r="J364" s="7">
        <v>2.8000000000000001E-2</v>
      </c>
      <c r="K364" s="7" t="s">
        <v>24</v>
      </c>
      <c r="L364" t="str">
        <f t="shared" si="110"/>
        <v>F</v>
      </c>
      <c r="M364">
        <v>22</v>
      </c>
      <c r="N364" s="7">
        <v>0.14699999999999999</v>
      </c>
      <c r="O364" s="7">
        <v>9.6000000000000002E-2</v>
      </c>
      <c r="P364" s="7" t="s">
        <v>477</v>
      </c>
      <c r="Q364" t="str">
        <f t="shared" si="99"/>
        <v>F</v>
      </c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>
        <v>10</v>
      </c>
      <c r="AO364" s="7">
        <v>3.0000000000000001E-3</v>
      </c>
      <c r="AP364" s="7"/>
      <c r="AQ364" s="7"/>
      <c r="AR364" s="7"/>
      <c r="AS364" s="7"/>
      <c r="AT364" s="7"/>
      <c r="AU364" s="7"/>
      <c r="AV364" s="7"/>
      <c r="AW364" s="7"/>
      <c r="AX364" s="7"/>
      <c r="AY364" s="7"/>
      <c r="AZ364" s="7"/>
      <c r="BA364" s="7"/>
      <c r="BB364" s="7"/>
      <c r="BC364" s="7"/>
      <c r="BD364" s="7"/>
      <c r="BE364" s="7"/>
      <c r="BF364" s="7"/>
      <c r="BG364" s="7"/>
      <c r="BH364" s="7"/>
      <c r="BI364" s="7"/>
      <c r="BJ364" s="7"/>
      <c r="BK364" s="7"/>
      <c r="BL364" s="7"/>
      <c r="BM364" s="7"/>
      <c r="BN364" s="7"/>
      <c r="BO364" s="7"/>
      <c r="BP364" s="7"/>
      <c r="BQ364" s="7"/>
      <c r="BR364" s="7"/>
      <c r="BS364" s="7"/>
      <c r="BT364" s="7"/>
      <c r="BU364" s="7"/>
      <c r="BV364" s="11">
        <v>3.0000000000000001E-3</v>
      </c>
      <c r="BW364" s="7" t="s">
        <v>450</v>
      </c>
      <c r="BX364" t="str">
        <f t="shared" si="118"/>
        <v>21</v>
      </c>
      <c r="BY364" t="str">
        <f t="shared" si="119"/>
        <v>2</v>
      </c>
      <c r="BZ364" t="str">
        <f t="shared" si="120"/>
        <v>2021</v>
      </c>
      <c r="CA364" s="5">
        <f t="shared" si="111"/>
        <v>44248</v>
      </c>
      <c r="CB364">
        <v>52</v>
      </c>
      <c r="CC364">
        <v>4</v>
      </c>
      <c r="CD364" s="7" t="s">
        <v>256</v>
      </c>
      <c r="CE364">
        <f t="shared" si="112"/>
        <v>0.93833780160857916</v>
      </c>
      <c r="CF364">
        <f t="shared" si="113"/>
        <v>2.101694915254237</v>
      </c>
      <c r="CG364">
        <f t="shared" si="116"/>
        <v>2.1218343600273784</v>
      </c>
      <c r="CH364">
        <f t="shared" si="117"/>
        <v>3.1872509960159361</v>
      </c>
      <c r="CI364">
        <f t="shared" si="114"/>
        <v>1.6932270916334657</v>
      </c>
      <c r="CJ364" s="1">
        <f t="shared" si="115"/>
        <v>1.7928286852589639</v>
      </c>
      <c r="CK364" s="6" t="s">
        <v>142</v>
      </c>
      <c r="CL364" s="6">
        <v>3</v>
      </c>
      <c r="CM364" s="6"/>
      <c r="CN364" s="6"/>
      <c r="CO364" s="6"/>
      <c r="CP364" s="6"/>
    </row>
    <row r="365" spans="1:94" ht="32" x14ac:dyDescent="0.2">
      <c r="A365" s="6" t="s">
        <v>478</v>
      </c>
      <c r="B365" s="6" t="s">
        <v>102</v>
      </c>
      <c r="C365" t="str">
        <f t="shared" si="107"/>
        <v>S</v>
      </c>
      <c r="D365" t="str">
        <f t="shared" si="108"/>
        <v>IMM</v>
      </c>
      <c r="E365" t="str">
        <f t="shared" si="109"/>
        <v>N</v>
      </c>
      <c r="F365" s="7">
        <v>58</v>
      </c>
      <c r="G365" s="7">
        <v>54</v>
      </c>
      <c r="H365" s="7">
        <v>2.887</v>
      </c>
      <c r="I365" s="7">
        <v>5.8999999999999997E-2</v>
      </c>
      <c r="J365" s="7">
        <v>2.7E-2</v>
      </c>
      <c r="K365" s="7" t="s">
        <v>24</v>
      </c>
      <c r="L365" t="str">
        <f t="shared" si="110"/>
        <v>F</v>
      </c>
      <c r="M365">
        <v>22</v>
      </c>
      <c r="N365" s="7">
        <v>0.17</v>
      </c>
      <c r="O365" s="7">
        <v>0.123</v>
      </c>
      <c r="P365" s="7" t="s">
        <v>479</v>
      </c>
      <c r="Q365" t="str">
        <f t="shared" si="99"/>
        <v>F</v>
      </c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  <c r="AO365" s="7"/>
      <c r="AP365" s="7"/>
      <c r="AQ365" s="7"/>
      <c r="AR365" s="7">
        <v>4</v>
      </c>
      <c r="AS365" s="7">
        <v>0.01</v>
      </c>
      <c r="AT365" s="7"/>
      <c r="AU365" s="7"/>
      <c r="AV365" s="7">
        <v>14</v>
      </c>
      <c r="AW365" s="7">
        <v>2.1000000000000001E-2</v>
      </c>
      <c r="AX365" s="7"/>
      <c r="AY365" s="7"/>
      <c r="AZ365" s="7"/>
      <c r="BA365" s="7"/>
      <c r="BB365" s="7"/>
      <c r="BC365" s="7"/>
      <c r="BD365" s="7"/>
      <c r="BE365" s="7"/>
      <c r="BF365" s="7"/>
      <c r="BG365" s="7"/>
      <c r="BH365" s="7"/>
      <c r="BI365" s="7"/>
      <c r="BJ365" s="7"/>
      <c r="BK365" s="7"/>
      <c r="BL365" s="7"/>
      <c r="BM365" s="7"/>
      <c r="BN365" s="7"/>
      <c r="BO365" s="7"/>
      <c r="BP365" s="7"/>
      <c r="BQ365" s="7"/>
      <c r="BR365" s="7"/>
      <c r="BS365" s="7"/>
      <c r="BT365" s="7"/>
      <c r="BU365" s="7"/>
      <c r="BV365" s="11">
        <v>2.1999999999999999E-2</v>
      </c>
      <c r="BW365" s="7" t="s">
        <v>450</v>
      </c>
      <c r="BX365" t="str">
        <f t="shared" si="118"/>
        <v>21</v>
      </c>
      <c r="BY365" t="str">
        <f t="shared" si="119"/>
        <v>2</v>
      </c>
      <c r="BZ365" t="str">
        <f t="shared" si="120"/>
        <v>2021</v>
      </c>
      <c r="CA365" s="5">
        <f t="shared" si="111"/>
        <v>44248</v>
      </c>
      <c r="CB365">
        <v>52</v>
      </c>
      <c r="CC365">
        <v>4</v>
      </c>
      <c r="CD365" s="7" t="s">
        <v>290</v>
      </c>
      <c r="CE365">
        <f t="shared" si="112"/>
        <v>0.94405594405594406</v>
      </c>
      <c r="CF365">
        <f t="shared" si="113"/>
        <v>2.086280056577086</v>
      </c>
      <c r="CG365">
        <f t="shared" si="116"/>
        <v>2.1063905747947165</v>
      </c>
      <c r="CH365">
        <f t="shared" si="117"/>
        <v>4.2604780048493245</v>
      </c>
      <c r="CI365">
        <f t="shared" si="114"/>
        <v>1.6279875303082791</v>
      </c>
      <c r="CJ365" s="1">
        <f t="shared" si="115"/>
        <v>2.3900242466227919</v>
      </c>
      <c r="CK365" s="6" t="s">
        <v>142</v>
      </c>
      <c r="CL365" s="6">
        <v>2</v>
      </c>
      <c r="CM365" s="6"/>
      <c r="CN365" s="6"/>
      <c r="CO365" s="6"/>
      <c r="CP365" s="6"/>
    </row>
    <row r="366" spans="1:94" ht="32" x14ac:dyDescent="0.2">
      <c r="A366" s="6" t="s">
        <v>480</v>
      </c>
      <c r="B366" s="6" t="s">
        <v>102</v>
      </c>
      <c r="C366" t="str">
        <f t="shared" si="107"/>
        <v>S</v>
      </c>
      <c r="D366" t="str">
        <f t="shared" si="108"/>
        <v>IMM</v>
      </c>
      <c r="E366" t="str">
        <f t="shared" si="109"/>
        <v>N</v>
      </c>
      <c r="F366" s="7">
        <v>58</v>
      </c>
      <c r="G366" s="7">
        <v>55</v>
      </c>
      <c r="H366" s="7">
        <v>2.6520000000000001</v>
      </c>
      <c r="I366" s="7">
        <v>7.0999999999999994E-2</v>
      </c>
      <c r="J366" s="7">
        <v>1E-3</v>
      </c>
      <c r="K366" s="7" t="s">
        <v>316</v>
      </c>
      <c r="L366" t="str">
        <f t="shared" si="110"/>
        <v>M</v>
      </c>
      <c r="M366">
        <v>10</v>
      </c>
      <c r="N366" s="7">
        <v>0.121</v>
      </c>
      <c r="O366" s="7">
        <v>0.109</v>
      </c>
      <c r="P366" s="7" t="s">
        <v>481</v>
      </c>
      <c r="Q366" t="str">
        <f t="shared" si="99"/>
        <v>F</v>
      </c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  <c r="AQ366" s="7"/>
      <c r="AR366" s="7"/>
      <c r="AS366" s="7"/>
      <c r="AT366" s="7"/>
      <c r="AU366" s="7"/>
      <c r="AV366" s="7">
        <v>3</v>
      </c>
      <c r="AW366" s="7">
        <v>5.0000000000000001E-3</v>
      </c>
      <c r="AX366" s="7"/>
      <c r="AY366" s="7"/>
      <c r="AZ366" s="7"/>
      <c r="BA366" s="7"/>
      <c r="BB366" s="7"/>
      <c r="BC366" s="7"/>
      <c r="BD366" s="7"/>
      <c r="BE366" s="7"/>
      <c r="BF366" s="7"/>
      <c r="BG366" s="7"/>
      <c r="BH366" s="7"/>
      <c r="BI366" s="7"/>
      <c r="BJ366" s="7"/>
      <c r="BK366" s="7"/>
      <c r="BL366" s="7"/>
      <c r="BM366" s="7"/>
      <c r="BN366" s="7"/>
      <c r="BO366" s="7"/>
      <c r="BP366" s="7"/>
      <c r="BQ366" s="7"/>
      <c r="BR366" s="7"/>
      <c r="BS366" s="7"/>
      <c r="BT366" s="7"/>
      <c r="BU366" s="7"/>
      <c r="BV366" s="11">
        <v>5.0000000000000001E-3</v>
      </c>
      <c r="BW366" s="7" t="s">
        <v>450</v>
      </c>
      <c r="BX366" t="str">
        <f t="shared" si="118"/>
        <v>21</v>
      </c>
      <c r="BY366" t="str">
        <f t="shared" si="119"/>
        <v>2</v>
      </c>
      <c r="BZ366" t="str">
        <f t="shared" si="120"/>
        <v>2021</v>
      </c>
      <c r="CA366" s="5">
        <f t="shared" si="111"/>
        <v>44248</v>
      </c>
      <c r="CB366">
        <v>52</v>
      </c>
      <c r="CC366">
        <v>4</v>
      </c>
      <c r="CD366" s="7" t="s">
        <v>370</v>
      </c>
      <c r="CE366">
        <f t="shared" si="112"/>
        <v>3.7721614485099961E-2</v>
      </c>
      <c r="CF366">
        <f t="shared" si="113"/>
        <v>2.750871755133669</v>
      </c>
      <c r="CG366">
        <f t="shared" si="116"/>
        <v>2.7519379844961236</v>
      </c>
      <c r="CH366">
        <f t="shared" si="117"/>
        <v>4.1101055806938156</v>
      </c>
      <c r="CI366">
        <f t="shared" si="114"/>
        <v>0.45248868778280532</v>
      </c>
      <c r="CJ366" s="1">
        <f t="shared" si="115"/>
        <v>0.64102564102564097</v>
      </c>
      <c r="CK366" s="6" t="s">
        <v>142</v>
      </c>
      <c r="CL366" s="6">
        <v>3</v>
      </c>
      <c r="CM366" s="6"/>
      <c r="CN366" s="6"/>
      <c r="CO366" s="6"/>
      <c r="CP366" s="6"/>
    </row>
    <row r="367" spans="1:94" ht="17" x14ac:dyDescent="0.2">
      <c r="A367" s="6" t="s">
        <v>482</v>
      </c>
      <c r="B367" s="6" t="s">
        <v>102</v>
      </c>
      <c r="C367" t="str">
        <f t="shared" si="107"/>
        <v>I</v>
      </c>
      <c r="D367" t="str">
        <f t="shared" si="108"/>
        <v>IMM</v>
      </c>
      <c r="E367" t="str">
        <f t="shared" si="109"/>
        <v>G</v>
      </c>
      <c r="F367" s="7">
        <v>61</v>
      </c>
      <c r="G367" s="7">
        <v>59</v>
      </c>
      <c r="H367" s="7">
        <v>3.3570000000000002</v>
      </c>
      <c r="I367" s="7">
        <v>7.2999999999999995E-2</v>
      </c>
      <c r="J367" s="7">
        <v>3.5000000000000003E-2</v>
      </c>
      <c r="K367" s="7" t="s">
        <v>24</v>
      </c>
      <c r="L367" t="str">
        <f t="shared" si="110"/>
        <v>F</v>
      </c>
      <c r="M367">
        <v>22</v>
      </c>
      <c r="N367" s="7">
        <v>0.185</v>
      </c>
      <c r="O367" s="7">
        <v>0.14799999999999999</v>
      </c>
      <c r="P367" s="7" t="s">
        <v>483</v>
      </c>
      <c r="Q367" t="str">
        <f t="shared" si="99"/>
        <v>F</v>
      </c>
      <c r="R367" s="7"/>
      <c r="S367" s="7"/>
      <c r="T367" s="7"/>
      <c r="U367" s="7">
        <v>1.7999999999999999E-2</v>
      </c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  <c r="AO367" s="7"/>
      <c r="AP367" s="7"/>
      <c r="AQ367" s="7"/>
      <c r="AR367" s="7"/>
      <c r="AS367" s="7"/>
      <c r="AT367" s="7"/>
      <c r="AU367" s="7"/>
      <c r="AV367" s="7"/>
      <c r="AW367" s="7"/>
      <c r="AX367" s="7"/>
      <c r="AY367" s="7"/>
      <c r="AZ367" s="7"/>
      <c r="BA367" s="7"/>
      <c r="BB367" s="7"/>
      <c r="BC367" s="7"/>
      <c r="BD367" s="7"/>
      <c r="BE367" s="7"/>
      <c r="BF367" s="7"/>
      <c r="BG367" s="7"/>
      <c r="BH367" s="7"/>
      <c r="BI367" s="7"/>
      <c r="BJ367" s="7"/>
      <c r="BK367" s="7"/>
      <c r="BL367" s="7"/>
      <c r="BM367" s="7"/>
      <c r="BN367" s="7"/>
      <c r="BO367" s="7"/>
      <c r="BP367" s="7"/>
      <c r="BQ367" s="7"/>
      <c r="BR367" s="7"/>
      <c r="BS367" s="7"/>
      <c r="BT367" s="7"/>
      <c r="BU367" s="7"/>
      <c r="BV367" s="11">
        <v>1.7999999999999999E-2</v>
      </c>
      <c r="BW367" s="7" t="s">
        <v>450</v>
      </c>
      <c r="BX367" t="str">
        <f t="shared" si="118"/>
        <v>21</v>
      </c>
      <c r="BY367" t="str">
        <f t="shared" si="119"/>
        <v>2</v>
      </c>
      <c r="BZ367" t="str">
        <f t="shared" si="120"/>
        <v>2021</v>
      </c>
      <c r="CA367" s="5">
        <f t="shared" si="111"/>
        <v>44248</v>
      </c>
      <c r="CB367">
        <v>52</v>
      </c>
      <c r="CC367">
        <v>4</v>
      </c>
      <c r="CD367" s="7" t="s">
        <v>290</v>
      </c>
      <c r="CE367">
        <f t="shared" si="112"/>
        <v>1.0535821794099942</v>
      </c>
      <c r="CF367">
        <f t="shared" si="113"/>
        <v>2.2228989037758828</v>
      </c>
      <c r="CG367">
        <f t="shared" si="116"/>
        <v>2.2468451831332716</v>
      </c>
      <c r="CH367">
        <f t="shared" si="117"/>
        <v>4.4086982424784029</v>
      </c>
      <c r="CI367">
        <f t="shared" si="114"/>
        <v>1.102174560619601</v>
      </c>
      <c r="CJ367" s="1">
        <f t="shared" si="115"/>
        <v>1.6383675901102175</v>
      </c>
      <c r="CK367" s="6" t="s">
        <v>142</v>
      </c>
      <c r="CL367" s="6">
        <v>2</v>
      </c>
      <c r="CM367" s="6"/>
      <c r="CN367" s="6"/>
      <c r="CO367" s="6"/>
      <c r="CP367" s="6"/>
    </row>
    <row r="368" spans="1:94" ht="17" x14ac:dyDescent="0.2">
      <c r="A368" s="6" t="s">
        <v>484</v>
      </c>
      <c r="B368" s="6" t="s">
        <v>102</v>
      </c>
      <c r="C368" t="str">
        <f t="shared" si="107"/>
        <v>S</v>
      </c>
      <c r="D368" t="str">
        <f t="shared" si="108"/>
        <v>IMM</v>
      </c>
      <c r="E368" t="str">
        <f t="shared" si="109"/>
        <v>G</v>
      </c>
      <c r="F368" s="7">
        <v>60</v>
      </c>
      <c r="G368" s="7">
        <v>57</v>
      </c>
      <c r="H368" s="7">
        <v>3.0569999999999999</v>
      </c>
      <c r="I368" s="7">
        <v>5.6000000000000001E-2</v>
      </c>
      <c r="J368" s="7">
        <v>0.04</v>
      </c>
      <c r="K368" s="7" t="s">
        <v>24</v>
      </c>
      <c r="L368" t="str">
        <f t="shared" si="110"/>
        <v>F</v>
      </c>
      <c r="M368">
        <v>22</v>
      </c>
      <c r="N368" s="7">
        <v>0.12</v>
      </c>
      <c r="O368" s="7">
        <v>0.109</v>
      </c>
      <c r="P368" s="7" t="s">
        <v>485</v>
      </c>
      <c r="Q368" t="str">
        <f t="shared" si="99"/>
        <v>F</v>
      </c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  <c r="AO368" s="7"/>
      <c r="AP368" s="7"/>
      <c r="AQ368" s="7"/>
      <c r="AR368" s="7"/>
      <c r="AS368" s="7"/>
      <c r="AT368" s="7"/>
      <c r="AU368" s="7"/>
      <c r="AV368" s="7">
        <v>1</v>
      </c>
      <c r="AW368" s="7">
        <v>2E-3</v>
      </c>
      <c r="AX368" s="7"/>
      <c r="AY368" s="7"/>
      <c r="AZ368" s="7"/>
      <c r="BA368" s="7"/>
      <c r="BB368" s="7"/>
      <c r="BC368" s="7"/>
      <c r="BD368" s="7"/>
      <c r="BE368" s="7"/>
      <c r="BF368" s="7"/>
      <c r="BG368" s="7"/>
      <c r="BH368" s="7"/>
      <c r="BI368" s="7"/>
      <c r="BJ368" s="7"/>
      <c r="BK368" s="7"/>
      <c r="BL368" s="7"/>
      <c r="BM368" s="7"/>
      <c r="BN368" s="7"/>
      <c r="BO368" s="7"/>
      <c r="BP368" s="7"/>
      <c r="BQ368" s="7"/>
      <c r="BR368" s="7"/>
      <c r="BS368" s="7"/>
      <c r="BT368" s="7"/>
      <c r="BU368" s="7"/>
      <c r="BV368" s="11">
        <v>2E-3</v>
      </c>
      <c r="BW368" s="7" t="s">
        <v>450</v>
      </c>
      <c r="BX368" t="str">
        <f t="shared" si="118"/>
        <v>21</v>
      </c>
      <c r="BY368" t="str">
        <f t="shared" si="119"/>
        <v>2</v>
      </c>
      <c r="BZ368" t="str">
        <f t="shared" si="120"/>
        <v>2021</v>
      </c>
      <c r="CA368" s="5">
        <f t="shared" si="111"/>
        <v>44248</v>
      </c>
      <c r="CB368">
        <v>52</v>
      </c>
      <c r="CC368">
        <v>4</v>
      </c>
      <c r="CD368" s="7" t="s">
        <v>290</v>
      </c>
      <c r="CE368">
        <f t="shared" si="112"/>
        <v>1.3258203513423932</v>
      </c>
      <c r="CF368">
        <f t="shared" si="113"/>
        <v>1.8660446517827394</v>
      </c>
      <c r="CG368">
        <f t="shared" si="116"/>
        <v>1.8912529550827426</v>
      </c>
      <c r="CH368">
        <f t="shared" si="117"/>
        <v>3.5655871769708867</v>
      </c>
      <c r="CI368">
        <f t="shared" si="114"/>
        <v>0.35982989859339209</v>
      </c>
      <c r="CJ368" s="1">
        <f t="shared" si="115"/>
        <v>0.42525351651946341</v>
      </c>
      <c r="CK368" s="6" t="s">
        <v>142</v>
      </c>
      <c r="CL368" s="6">
        <v>2</v>
      </c>
      <c r="CM368" s="6"/>
      <c r="CN368" s="6"/>
      <c r="CO368" s="6"/>
      <c r="CP368" s="6"/>
    </row>
    <row r="369" spans="1:94" ht="17" x14ac:dyDescent="0.2">
      <c r="A369" s="6" t="s">
        <v>486</v>
      </c>
      <c r="B369" s="6" t="s">
        <v>102</v>
      </c>
      <c r="C369" t="str">
        <f t="shared" si="107"/>
        <v>S</v>
      </c>
      <c r="D369" t="str">
        <f t="shared" si="108"/>
        <v>IMM</v>
      </c>
      <c r="E369" t="str">
        <f t="shared" si="109"/>
        <v>N</v>
      </c>
      <c r="F369" s="7">
        <v>46</v>
      </c>
      <c r="G369" s="7">
        <v>44</v>
      </c>
      <c r="H369" s="7">
        <v>1.252</v>
      </c>
      <c r="I369" s="7">
        <v>2.4E-2</v>
      </c>
      <c r="J369" s="7">
        <v>5.0000000000000001E-3</v>
      </c>
      <c r="K369" s="7" t="s">
        <v>271</v>
      </c>
      <c r="L369" t="str">
        <f t="shared" si="110"/>
        <v>F</v>
      </c>
      <c r="M369">
        <v>10</v>
      </c>
      <c r="N369" s="7">
        <v>5.8999999999999997E-2</v>
      </c>
      <c r="O369" s="7">
        <v>4.9000000000000002E-2</v>
      </c>
      <c r="P369" s="7" t="s">
        <v>487</v>
      </c>
      <c r="Q369" t="str">
        <f t="shared" si="99"/>
        <v>F</v>
      </c>
      <c r="R369" s="7"/>
      <c r="S369" s="7"/>
      <c r="T369" s="7"/>
      <c r="U369" s="7">
        <v>3.0000000000000001E-3</v>
      </c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  <c r="AO369" s="7"/>
      <c r="AP369" s="7"/>
      <c r="AQ369" s="7"/>
      <c r="AR369" s="7"/>
      <c r="AS369" s="7"/>
      <c r="AT369" s="7"/>
      <c r="AU369" s="7"/>
      <c r="AV369" s="7"/>
      <c r="AW369" s="7"/>
      <c r="AX369" s="7"/>
      <c r="AY369" s="7"/>
      <c r="AZ369" s="7"/>
      <c r="BA369" s="7"/>
      <c r="BB369" s="7"/>
      <c r="BC369" s="7"/>
      <c r="BD369" s="7"/>
      <c r="BE369" s="7"/>
      <c r="BF369" s="7"/>
      <c r="BG369" s="7"/>
      <c r="BH369" s="7"/>
      <c r="BI369" s="7"/>
      <c r="BJ369" s="7"/>
      <c r="BK369" s="7"/>
      <c r="BL369" s="7"/>
      <c r="BM369" s="7"/>
      <c r="BN369" s="7"/>
      <c r="BO369" s="7"/>
      <c r="BP369" s="7"/>
      <c r="BQ369" s="7"/>
      <c r="BR369" s="7"/>
      <c r="BS369" s="7"/>
      <c r="BT369" s="7"/>
      <c r="BU369" s="7"/>
      <c r="BV369" s="11">
        <v>3.0000000000000001E-3</v>
      </c>
      <c r="BW369" s="7" t="s">
        <v>450</v>
      </c>
      <c r="BX369" t="str">
        <f t="shared" si="118"/>
        <v>21</v>
      </c>
      <c r="BY369" t="str">
        <f t="shared" si="119"/>
        <v>2</v>
      </c>
      <c r="BZ369" t="str">
        <f t="shared" si="120"/>
        <v>2021</v>
      </c>
      <c r="CA369" s="5">
        <f t="shared" si="111"/>
        <v>44248</v>
      </c>
      <c r="CB369">
        <v>52</v>
      </c>
      <c r="CC369">
        <v>4</v>
      </c>
      <c r="CD369" s="7" t="s">
        <v>290</v>
      </c>
      <c r="CE369">
        <f t="shared" si="112"/>
        <v>0.40096230954290296</v>
      </c>
      <c r="CF369">
        <f t="shared" si="113"/>
        <v>1.954397394136808</v>
      </c>
      <c r="CG369">
        <f t="shared" si="116"/>
        <v>1.9623875715453802</v>
      </c>
      <c r="CH369">
        <f t="shared" si="117"/>
        <v>3.9137380191693292</v>
      </c>
      <c r="CI369">
        <f t="shared" si="114"/>
        <v>0.79872204472843411</v>
      </c>
      <c r="CJ369" s="1">
        <f t="shared" ref="CJ369:CJ400" si="121">(N369-O369+(BV369))/(H369)*100</f>
        <v>1.0383386581469645</v>
      </c>
      <c r="CK369" s="6" t="s">
        <v>142</v>
      </c>
      <c r="CL369" s="6">
        <v>2</v>
      </c>
      <c r="CM369" s="6"/>
      <c r="CN369" s="6"/>
      <c r="CO369" s="6"/>
      <c r="CP369" s="6"/>
    </row>
    <row r="370" spans="1:94" ht="17" x14ac:dyDescent="0.2">
      <c r="A370" s="6" t="s">
        <v>488</v>
      </c>
      <c r="B370" s="6" t="s">
        <v>102</v>
      </c>
      <c r="C370" t="str">
        <f t="shared" si="107"/>
        <v>S</v>
      </c>
      <c r="D370" t="str">
        <f t="shared" si="108"/>
        <v>IMM</v>
      </c>
      <c r="E370" t="str">
        <f t="shared" si="109"/>
        <v>N</v>
      </c>
      <c r="F370" s="7">
        <v>44</v>
      </c>
      <c r="G370" s="7">
        <v>41</v>
      </c>
      <c r="H370" s="7">
        <v>1.085</v>
      </c>
      <c r="I370" s="7">
        <v>3.5000000000000003E-2</v>
      </c>
      <c r="J370" s="7">
        <v>2E-3</v>
      </c>
      <c r="K370" s="7" t="s">
        <v>316</v>
      </c>
      <c r="L370" t="str">
        <f t="shared" si="110"/>
        <v>M</v>
      </c>
      <c r="M370">
        <v>10</v>
      </c>
      <c r="N370" s="7">
        <v>4.4999999999999998E-2</v>
      </c>
      <c r="O370" s="7">
        <v>0.04</v>
      </c>
      <c r="P370" s="7" t="s">
        <v>489</v>
      </c>
      <c r="Q370" t="str">
        <f t="shared" si="99"/>
        <v>F</v>
      </c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  <c r="AO370" s="7"/>
      <c r="AP370" s="7"/>
      <c r="AQ370" s="7"/>
      <c r="AR370" s="7"/>
      <c r="AS370" s="7"/>
      <c r="AT370" s="7"/>
      <c r="AU370" s="7"/>
      <c r="AV370" s="7">
        <v>1</v>
      </c>
      <c r="AW370" s="7">
        <v>1E-3</v>
      </c>
      <c r="AX370" s="7"/>
      <c r="AY370" s="7"/>
      <c r="AZ370" s="7"/>
      <c r="BA370" s="7"/>
      <c r="BB370" s="7"/>
      <c r="BC370" s="7"/>
      <c r="BD370" s="7"/>
      <c r="BE370" s="7"/>
      <c r="BF370" s="7"/>
      <c r="BG370" s="7"/>
      <c r="BH370" s="7"/>
      <c r="BI370" s="7"/>
      <c r="BJ370" s="7"/>
      <c r="BK370" s="7"/>
      <c r="BL370" s="7"/>
      <c r="BM370" s="7"/>
      <c r="BN370" s="7"/>
      <c r="BO370" s="7"/>
      <c r="BP370" s="7"/>
      <c r="BQ370" s="7"/>
      <c r="BR370" s="7"/>
      <c r="BS370" s="7"/>
      <c r="BT370" s="7"/>
      <c r="BU370" s="7"/>
      <c r="BV370" s="11">
        <v>1E-3</v>
      </c>
      <c r="BW370" s="7" t="s">
        <v>450</v>
      </c>
      <c r="BX370" t="str">
        <f t="shared" si="118"/>
        <v>21</v>
      </c>
      <c r="BY370" t="str">
        <f t="shared" si="119"/>
        <v>2</v>
      </c>
      <c r="BZ370" t="str">
        <f t="shared" si="120"/>
        <v>2021</v>
      </c>
      <c r="CA370" s="5">
        <f t="shared" si="111"/>
        <v>44248</v>
      </c>
      <c r="CB370">
        <v>52</v>
      </c>
      <c r="CC370">
        <v>4</v>
      </c>
      <c r="CD370" s="7" t="s">
        <v>290</v>
      </c>
      <c r="CE370">
        <f t="shared" si="112"/>
        <v>0.18467220683287167</v>
      </c>
      <c r="CF370">
        <f t="shared" si="113"/>
        <v>3.3333333333333335</v>
      </c>
      <c r="CG370">
        <f t="shared" si="116"/>
        <v>3.3396946564885495</v>
      </c>
      <c r="CH370">
        <f t="shared" si="117"/>
        <v>3.6866359447004609</v>
      </c>
      <c r="CI370">
        <f t="shared" si="114"/>
        <v>0.46082949308755744</v>
      </c>
      <c r="CJ370" s="1">
        <f t="shared" si="121"/>
        <v>0.55299539170506895</v>
      </c>
      <c r="CK370" s="6" t="s">
        <v>142</v>
      </c>
      <c r="CL370" s="6">
        <v>2</v>
      </c>
      <c r="CM370" s="6"/>
      <c r="CN370" s="6"/>
      <c r="CO370" s="6"/>
      <c r="CP370" s="6"/>
    </row>
    <row r="371" spans="1:94" ht="32" x14ac:dyDescent="0.2">
      <c r="A371" s="6" t="s">
        <v>490</v>
      </c>
      <c r="B371" s="6" t="s">
        <v>102</v>
      </c>
      <c r="C371" t="str">
        <f t="shared" si="107"/>
        <v>S</v>
      </c>
      <c r="D371" t="str">
        <f t="shared" si="108"/>
        <v>IMM</v>
      </c>
      <c r="E371" t="str">
        <f t="shared" si="109"/>
        <v>N</v>
      </c>
      <c r="F371" s="7">
        <v>44</v>
      </c>
      <c r="G371" s="7">
        <v>42</v>
      </c>
      <c r="H371" s="7">
        <v>1.083</v>
      </c>
      <c r="I371" s="7">
        <v>2.7E-2</v>
      </c>
      <c r="J371" s="7">
        <v>2E-3</v>
      </c>
      <c r="K371" s="7" t="s">
        <v>316</v>
      </c>
      <c r="L371" t="str">
        <f t="shared" si="110"/>
        <v>M</v>
      </c>
      <c r="M371">
        <v>10</v>
      </c>
      <c r="N371" s="7">
        <v>5.6000000000000001E-2</v>
      </c>
      <c r="O371" s="7">
        <v>4.1000000000000002E-2</v>
      </c>
      <c r="P371" s="7" t="s">
        <v>491</v>
      </c>
      <c r="Q371" t="str">
        <f t="shared" si="99"/>
        <v>F</v>
      </c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  <c r="AO371" s="7"/>
      <c r="AP371" s="7"/>
      <c r="AQ371" s="7"/>
      <c r="AR371" s="7">
        <v>1</v>
      </c>
      <c r="AS371" s="7">
        <v>1E-3</v>
      </c>
      <c r="AT371" s="7"/>
      <c r="AU371" s="7"/>
      <c r="AV371" s="7">
        <v>2</v>
      </c>
      <c r="AW371" s="7">
        <v>4.0000000000000001E-3</v>
      </c>
      <c r="AX371" s="7"/>
      <c r="AY371" s="7"/>
      <c r="AZ371" s="7"/>
      <c r="BA371" s="7"/>
      <c r="BB371" s="7"/>
      <c r="BC371" s="7"/>
      <c r="BD371" s="7"/>
      <c r="BE371" s="7"/>
      <c r="BF371" s="7"/>
      <c r="BG371" s="7"/>
      <c r="BH371" s="7"/>
      <c r="BI371" s="7"/>
      <c r="BJ371" s="7"/>
      <c r="BK371" s="7"/>
      <c r="BL371" s="7"/>
      <c r="BM371" s="7"/>
      <c r="BN371" s="7"/>
      <c r="BO371" s="7"/>
      <c r="BP371" s="7"/>
      <c r="BQ371" s="7"/>
      <c r="BR371" s="7"/>
      <c r="BS371" s="7"/>
      <c r="BT371" s="7"/>
      <c r="BU371" s="7"/>
      <c r="BV371" s="11">
        <v>5.0000000000000001E-3</v>
      </c>
      <c r="BW371" s="7" t="s">
        <v>450</v>
      </c>
      <c r="BX371" t="str">
        <f t="shared" si="118"/>
        <v>21</v>
      </c>
      <c r="BY371" t="str">
        <f t="shared" si="119"/>
        <v>2</v>
      </c>
      <c r="BZ371" t="str">
        <f t="shared" si="120"/>
        <v>2021</v>
      </c>
      <c r="CA371" s="5">
        <f t="shared" si="111"/>
        <v>44248</v>
      </c>
      <c r="CB371">
        <v>52</v>
      </c>
      <c r="CC371">
        <v>4</v>
      </c>
      <c r="CD371" s="7" t="s">
        <v>361</v>
      </c>
      <c r="CE371">
        <f t="shared" si="112"/>
        <v>0.18501387604070307</v>
      </c>
      <c r="CF371">
        <f t="shared" si="113"/>
        <v>2.5568181818181817</v>
      </c>
      <c r="CG371">
        <f t="shared" si="116"/>
        <v>2.5616698292220113</v>
      </c>
      <c r="CH371">
        <f t="shared" si="117"/>
        <v>3.7857802400738696</v>
      </c>
      <c r="CI371">
        <f t="shared" si="114"/>
        <v>1.3850415512465373</v>
      </c>
      <c r="CJ371" s="1">
        <f t="shared" si="121"/>
        <v>1.8467220683287167</v>
      </c>
      <c r="CK371" s="6" t="s">
        <v>142</v>
      </c>
      <c r="CL371" s="6">
        <v>2</v>
      </c>
      <c r="CM371" s="6"/>
      <c r="CN371" s="6"/>
      <c r="CO371" s="6"/>
      <c r="CP371" s="6"/>
    </row>
    <row r="372" spans="1:94" x14ac:dyDescent="0.2">
      <c r="A372" s="7" t="s">
        <v>556</v>
      </c>
      <c r="B372" s="7" t="s">
        <v>102</v>
      </c>
      <c r="C372" t="str">
        <f t="shared" si="107"/>
        <v>I</v>
      </c>
      <c r="D372" t="str">
        <f t="shared" si="108"/>
        <v>I</v>
      </c>
      <c r="E372" t="str">
        <f t="shared" si="109"/>
        <v>G</v>
      </c>
      <c r="F372" s="7">
        <v>85</v>
      </c>
      <c r="G372" s="7">
        <v>81</v>
      </c>
      <c r="H372" s="7">
        <v>9.1440000000000001</v>
      </c>
      <c r="I372" s="7">
        <v>0.16700000000000001</v>
      </c>
      <c r="J372" s="7">
        <v>8.0000000000000002E-3</v>
      </c>
      <c r="K372" s="7" t="s">
        <v>38</v>
      </c>
      <c r="L372" t="str">
        <f t="shared" si="110"/>
        <v>M</v>
      </c>
      <c r="M372">
        <v>22</v>
      </c>
      <c r="N372" s="7">
        <v>0.38500000000000001</v>
      </c>
      <c r="O372" s="7">
        <v>0.35699999999999998</v>
      </c>
      <c r="P372" s="7" t="s">
        <v>558</v>
      </c>
      <c r="Q372" t="str">
        <f t="shared" si="99"/>
        <v>F</v>
      </c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  <c r="AO372" s="7"/>
      <c r="AP372" s="7"/>
      <c r="AQ372" s="7"/>
      <c r="AR372" s="7"/>
      <c r="AS372" s="7"/>
      <c r="AT372" s="7"/>
      <c r="AU372" s="7"/>
      <c r="AV372" s="7">
        <v>6</v>
      </c>
      <c r="AW372" s="7">
        <v>1.2999999999999999E-2</v>
      </c>
      <c r="AX372" s="7"/>
      <c r="AY372" s="7"/>
      <c r="AZ372" s="7"/>
      <c r="BA372" s="7"/>
      <c r="BB372" s="7"/>
      <c r="BC372" s="7"/>
      <c r="BD372" s="7"/>
      <c r="BE372" s="7"/>
      <c r="BF372" s="7"/>
      <c r="BG372" s="7"/>
      <c r="BH372" s="7"/>
      <c r="BI372" s="7"/>
      <c r="BJ372" s="7"/>
      <c r="BK372" s="7"/>
      <c r="BL372" s="7"/>
      <c r="BM372" s="7"/>
      <c r="BN372" s="7"/>
      <c r="BO372" s="7"/>
      <c r="BP372" s="7"/>
      <c r="BQ372" s="7"/>
      <c r="BR372" s="7"/>
      <c r="BS372" s="7"/>
      <c r="BT372" s="7"/>
      <c r="BU372" s="7"/>
      <c r="BV372" s="11">
        <v>1.2999999999999999E-2</v>
      </c>
      <c r="BW372" s="10">
        <v>44380</v>
      </c>
      <c r="BX372" s="7">
        <v>7</v>
      </c>
      <c r="BY372" s="7">
        <v>3</v>
      </c>
      <c r="BZ372" s="7">
        <v>2021</v>
      </c>
      <c r="CA372" s="5">
        <f t="shared" si="111"/>
        <v>44262</v>
      </c>
      <c r="CB372">
        <v>66</v>
      </c>
      <c r="CC372" s="7">
        <v>5</v>
      </c>
      <c r="CD372" s="7"/>
      <c r="CE372" s="7">
        <v>8.7566000000000005E-2</v>
      </c>
      <c r="CF372" s="7">
        <v>1.8603099999999999</v>
      </c>
      <c r="CG372" s="7">
        <v>1.861969</v>
      </c>
      <c r="CH372" s="7">
        <v>4.0628200000000003</v>
      </c>
      <c r="CI372" s="7">
        <v>0.30621199999999998</v>
      </c>
      <c r="CJ372" s="1">
        <f t="shared" si="121"/>
        <v>0.44838145231846044</v>
      </c>
      <c r="CK372" s="7" t="s">
        <v>142</v>
      </c>
      <c r="CL372" s="7">
        <v>3</v>
      </c>
      <c r="CM372" s="7"/>
      <c r="CN372" s="7"/>
      <c r="CO372" s="7"/>
      <c r="CP372" s="7"/>
    </row>
    <row r="373" spans="1:94" x14ac:dyDescent="0.2">
      <c r="A373" s="7" t="s">
        <v>559</v>
      </c>
      <c r="B373" s="7" t="s">
        <v>102</v>
      </c>
      <c r="C373" t="str">
        <f t="shared" si="107"/>
        <v>I</v>
      </c>
      <c r="D373" t="str">
        <f t="shared" si="108"/>
        <v>IMM</v>
      </c>
      <c r="E373" t="str">
        <f t="shared" si="109"/>
        <v>G</v>
      </c>
      <c r="F373" s="7">
        <v>62</v>
      </c>
      <c r="G373" s="7">
        <v>59</v>
      </c>
      <c r="H373" s="7">
        <v>3.1429999999999998</v>
      </c>
      <c r="I373" s="7">
        <v>5.8000000000000003E-2</v>
      </c>
      <c r="J373" s="7">
        <v>4.2000000000000003E-2</v>
      </c>
      <c r="K373" s="7" t="s">
        <v>24</v>
      </c>
      <c r="L373" t="str">
        <f t="shared" si="110"/>
        <v>F</v>
      </c>
      <c r="M373">
        <v>22</v>
      </c>
      <c r="N373" s="7">
        <v>0.11600000000000001</v>
      </c>
      <c r="O373" s="7">
        <v>0.114</v>
      </c>
      <c r="P373" s="7" t="s">
        <v>36</v>
      </c>
      <c r="Q373" t="str">
        <f t="shared" si="99"/>
        <v>MT</v>
      </c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  <c r="AO373" s="7"/>
      <c r="AP373" s="7"/>
      <c r="AQ373" s="7"/>
      <c r="AR373" s="7"/>
      <c r="AS373" s="7"/>
      <c r="AT373" s="7"/>
      <c r="AU373" s="7"/>
      <c r="AV373" s="7"/>
      <c r="AW373" s="7"/>
      <c r="AX373" s="7"/>
      <c r="AY373" s="7"/>
      <c r="AZ373" s="7"/>
      <c r="BA373" s="7"/>
      <c r="BB373" s="7"/>
      <c r="BC373" s="7"/>
      <c r="BD373" s="7"/>
      <c r="BE373" s="7"/>
      <c r="BF373" s="7"/>
      <c r="BG373" s="7"/>
      <c r="BH373" s="7"/>
      <c r="BI373" s="7"/>
      <c r="BJ373" s="7"/>
      <c r="BK373" s="7"/>
      <c r="BL373" s="7"/>
      <c r="BM373" s="7"/>
      <c r="BN373" s="7"/>
      <c r="BO373" s="7"/>
      <c r="BP373" s="7"/>
      <c r="BQ373" s="7"/>
      <c r="BR373" s="7"/>
      <c r="BS373" s="7"/>
      <c r="BT373" s="7"/>
      <c r="BU373" s="7"/>
      <c r="BV373" s="11">
        <v>0</v>
      </c>
      <c r="BW373" s="10">
        <v>44380</v>
      </c>
      <c r="BX373" s="7">
        <v>7</v>
      </c>
      <c r="BY373" s="7">
        <v>3</v>
      </c>
      <c r="BZ373" s="7">
        <v>2021</v>
      </c>
      <c r="CA373" s="5">
        <f t="shared" si="111"/>
        <v>44262</v>
      </c>
      <c r="CB373">
        <v>66</v>
      </c>
      <c r="CC373" s="7">
        <v>5</v>
      </c>
      <c r="CD373" s="7"/>
      <c r="CE373" s="7">
        <v>1.3544020000000001</v>
      </c>
      <c r="CF373" s="7">
        <v>1.8800650000000001</v>
      </c>
      <c r="CG373" s="7">
        <v>1.9060140000000001</v>
      </c>
      <c r="CH373" s="7">
        <v>3.7636180000000001</v>
      </c>
      <c r="CI373" s="7">
        <v>6.3632999999999995E-2</v>
      </c>
      <c r="CJ373" s="1">
        <f t="shared" si="121"/>
        <v>6.3633471205854344E-2</v>
      </c>
      <c r="CK373" s="7" t="s">
        <v>142</v>
      </c>
      <c r="CL373" s="7">
        <v>3</v>
      </c>
      <c r="CM373" s="7"/>
      <c r="CN373" s="7"/>
      <c r="CO373" s="7"/>
      <c r="CP373" s="7"/>
    </row>
    <row r="374" spans="1:94" x14ac:dyDescent="0.2">
      <c r="A374" s="7" t="s">
        <v>560</v>
      </c>
      <c r="B374" s="7" t="s">
        <v>102</v>
      </c>
      <c r="C374" t="str">
        <f t="shared" si="107"/>
        <v>S</v>
      </c>
      <c r="D374" t="str">
        <f t="shared" si="108"/>
        <v>IMM</v>
      </c>
      <c r="E374" t="str">
        <f t="shared" si="109"/>
        <v>N</v>
      </c>
      <c r="F374" s="7">
        <v>59</v>
      </c>
      <c r="G374" s="7">
        <v>56</v>
      </c>
      <c r="H374" s="7">
        <v>2.6190000000000002</v>
      </c>
      <c r="I374" s="7">
        <v>5.6000000000000001E-2</v>
      </c>
      <c r="J374" s="7">
        <v>2.9000000000000001E-2</v>
      </c>
      <c r="K374" s="7" t="s">
        <v>24</v>
      </c>
      <c r="L374" t="str">
        <f t="shared" si="110"/>
        <v>F</v>
      </c>
      <c r="M374">
        <v>22</v>
      </c>
      <c r="N374" s="7">
        <v>0.108</v>
      </c>
      <c r="O374" s="7">
        <v>9.7000000000000003E-2</v>
      </c>
      <c r="P374" s="7" t="s">
        <v>561</v>
      </c>
      <c r="Q374" t="str">
        <f t="shared" si="99"/>
        <v>F</v>
      </c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>
        <v>1</v>
      </c>
      <c r="AO374" s="7">
        <v>1E-3</v>
      </c>
      <c r="AP374" s="7"/>
      <c r="AQ374" s="7"/>
      <c r="AR374" s="7"/>
      <c r="AS374" s="7"/>
      <c r="AT374" s="7"/>
      <c r="AU374" s="7"/>
      <c r="AV374" s="7"/>
      <c r="AW374" s="7"/>
      <c r="AX374" s="7"/>
      <c r="AY374" s="7"/>
      <c r="AZ374" s="7"/>
      <c r="BA374" s="7"/>
      <c r="BB374" s="7"/>
      <c r="BC374" s="7"/>
      <c r="BD374" s="7"/>
      <c r="BE374" s="7"/>
      <c r="BF374" s="7"/>
      <c r="BG374" s="7"/>
      <c r="BH374" s="7"/>
      <c r="BI374" s="7"/>
      <c r="BJ374" s="7"/>
      <c r="BK374" s="7"/>
      <c r="BL374" s="7"/>
      <c r="BM374" s="7"/>
      <c r="BN374" s="7"/>
      <c r="BO374" s="7"/>
      <c r="BP374" s="7"/>
      <c r="BQ374" s="7"/>
      <c r="BR374" s="7"/>
      <c r="BS374" s="7"/>
      <c r="BT374" s="7"/>
      <c r="BU374" s="7"/>
      <c r="BV374" s="11">
        <v>1E-3</v>
      </c>
      <c r="BW374" s="10">
        <v>44380</v>
      </c>
      <c r="BX374" s="7">
        <v>7</v>
      </c>
      <c r="BY374" s="7">
        <v>3</v>
      </c>
      <c r="BZ374" s="7">
        <v>2021</v>
      </c>
      <c r="CA374" s="5">
        <f t="shared" si="111"/>
        <v>44262</v>
      </c>
      <c r="CB374">
        <v>66</v>
      </c>
      <c r="CC374" s="7">
        <v>5</v>
      </c>
      <c r="CD374" s="7"/>
      <c r="CE374" s="7">
        <v>1.119691</v>
      </c>
      <c r="CF374" s="7">
        <v>2.1849400000000001</v>
      </c>
      <c r="CG374" s="7">
        <v>2.2099449999999998</v>
      </c>
      <c r="CH374" s="7">
        <v>3.8461539999999999</v>
      </c>
      <c r="CI374" s="7">
        <v>0.42000799999999999</v>
      </c>
      <c r="CJ374" s="1">
        <f t="shared" si="121"/>
        <v>0.45819014891179827</v>
      </c>
      <c r="CK374" s="7" t="s">
        <v>142</v>
      </c>
      <c r="CL374" s="7">
        <v>2</v>
      </c>
      <c r="CM374" s="7"/>
      <c r="CN374" s="7"/>
      <c r="CO374" s="7"/>
      <c r="CP374" s="7"/>
    </row>
    <row r="375" spans="1:94" x14ac:dyDescent="0.2">
      <c r="A375" s="7" t="s">
        <v>562</v>
      </c>
      <c r="B375" s="7" t="s">
        <v>102</v>
      </c>
      <c r="C375" t="str">
        <f t="shared" si="107"/>
        <v>S</v>
      </c>
      <c r="D375" t="str">
        <f t="shared" si="108"/>
        <v>IMM</v>
      </c>
      <c r="E375" t="str">
        <f t="shared" si="109"/>
        <v>N</v>
      </c>
      <c r="F375" s="7">
        <v>51</v>
      </c>
      <c r="G375" s="7">
        <v>49</v>
      </c>
      <c r="H375" s="7">
        <v>1.845</v>
      </c>
      <c r="I375" s="7">
        <v>3.9E-2</v>
      </c>
      <c r="J375" s="7">
        <v>2E-3</v>
      </c>
      <c r="K375" s="7" t="s">
        <v>316</v>
      </c>
      <c r="L375" t="str">
        <f t="shared" si="110"/>
        <v>M</v>
      </c>
      <c r="M375">
        <v>10</v>
      </c>
      <c r="N375" s="7">
        <v>6.7000000000000004E-2</v>
      </c>
      <c r="O375" s="7">
        <v>6.3E-2</v>
      </c>
      <c r="P375" s="7" t="s">
        <v>561</v>
      </c>
      <c r="Q375" t="str">
        <f t="shared" si="99"/>
        <v>F</v>
      </c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>
        <v>1</v>
      </c>
      <c r="AO375" s="7">
        <v>1E-3</v>
      </c>
      <c r="AP375" s="7"/>
      <c r="AQ375" s="7"/>
      <c r="AR375" s="7"/>
      <c r="AS375" s="7"/>
      <c r="AT375" s="7"/>
      <c r="AU375" s="7"/>
      <c r="AV375" s="7"/>
      <c r="AW375" s="7"/>
      <c r="AX375" s="7"/>
      <c r="AY375" s="7"/>
      <c r="AZ375" s="7"/>
      <c r="BA375" s="7"/>
      <c r="BB375" s="7"/>
      <c r="BC375" s="7"/>
      <c r="BD375" s="7"/>
      <c r="BE375" s="7"/>
      <c r="BF375" s="7"/>
      <c r="BG375" s="7"/>
      <c r="BH375" s="7"/>
      <c r="BI375" s="7"/>
      <c r="BJ375" s="7"/>
      <c r="BK375" s="7"/>
      <c r="BL375" s="7"/>
      <c r="BM375" s="7"/>
      <c r="BN375" s="7"/>
      <c r="BO375" s="7"/>
      <c r="BP375" s="7"/>
      <c r="BQ375" s="7"/>
      <c r="BR375" s="7"/>
      <c r="BS375" s="7"/>
      <c r="BT375" s="7"/>
      <c r="BU375" s="7"/>
      <c r="BV375" s="11">
        <v>1E-3</v>
      </c>
      <c r="BW375" s="10">
        <v>44380</v>
      </c>
      <c r="BX375" s="7">
        <v>7</v>
      </c>
      <c r="BY375" s="7">
        <v>3</v>
      </c>
      <c r="BZ375" s="7">
        <v>2021</v>
      </c>
      <c r="CA375" s="5">
        <f t="shared" si="111"/>
        <v>44262</v>
      </c>
      <c r="CB375">
        <v>66</v>
      </c>
      <c r="CC375" s="7">
        <v>5</v>
      </c>
      <c r="CD375" s="7"/>
      <c r="CE375" s="7">
        <v>0.108519</v>
      </c>
      <c r="CF375" s="7">
        <v>2.1594679999999999</v>
      </c>
      <c r="CG375" s="7">
        <v>2.1618629999999999</v>
      </c>
      <c r="CH375" s="7">
        <v>3.5353539999999999</v>
      </c>
      <c r="CI375" s="7">
        <v>0.21680199999999999</v>
      </c>
      <c r="CJ375" s="1">
        <f t="shared" si="121"/>
        <v>0.27100271002710047</v>
      </c>
      <c r="CK375" s="7" t="s">
        <v>142</v>
      </c>
      <c r="CL375" s="7">
        <v>3</v>
      </c>
      <c r="CM375" s="7"/>
      <c r="CN375" s="7"/>
      <c r="CO375" s="7"/>
      <c r="CP375" s="7"/>
    </row>
    <row r="376" spans="1:94" x14ac:dyDescent="0.2">
      <c r="A376" s="7" t="s">
        <v>563</v>
      </c>
      <c r="B376" s="7" t="s">
        <v>102</v>
      </c>
      <c r="C376" t="str">
        <f t="shared" si="107"/>
        <v>S</v>
      </c>
      <c r="D376" t="str">
        <f t="shared" si="108"/>
        <v>IMM</v>
      </c>
      <c r="E376" t="str">
        <f t="shared" si="109"/>
        <v>N</v>
      </c>
      <c r="F376" s="7">
        <v>52</v>
      </c>
      <c r="G376" s="7">
        <v>49</v>
      </c>
      <c r="H376" s="7">
        <v>1.69</v>
      </c>
      <c r="I376" s="7">
        <v>2.5999999999999999E-2</v>
      </c>
      <c r="J376" s="7">
        <v>2E-3</v>
      </c>
      <c r="K376" s="7" t="s">
        <v>316</v>
      </c>
      <c r="L376" t="str">
        <f t="shared" si="110"/>
        <v>M</v>
      </c>
      <c r="M376">
        <v>10</v>
      </c>
      <c r="N376" s="7">
        <v>5.7000000000000002E-2</v>
      </c>
      <c r="O376" s="7">
        <v>5.1999999999999998E-2</v>
      </c>
      <c r="P376" s="7" t="s">
        <v>36</v>
      </c>
      <c r="Q376" t="str">
        <f t="shared" si="99"/>
        <v>MT</v>
      </c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  <c r="AO376" s="7"/>
      <c r="AP376" s="7"/>
      <c r="AQ376" s="7"/>
      <c r="AR376" s="7"/>
      <c r="AS376" s="7"/>
      <c r="AT376" s="7"/>
      <c r="AU376" s="7"/>
      <c r="AV376" s="7"/>
      <c r="AW376" s="7"/>
      <c r="AX376" s="7"/>
      <c r="AY376" s="7"/>
      <c r="AZ376" s="7"/>
      <c r="BA376" s="7"/>
      <c r="BB376" s="7"/>
      <c r="BC376" s="7"/>
      <c r="BD376" s="7"/>
      <c r="BE376" s="7"/>
      <c r="BF376" s="7"/>
      <c r="BG376" s="7"/>
      <c r="BH376" s="7"/>
      <c r="BI376" s="7"/>
      <c r="BJ376" s="7"/>
      <c r="BK376" s="7"/>
      <c r="BL376" s="7"/>
      <c r="BM376" s="7"/>
      <c r="BN376" s="7"/>
      <c r="BO376" s="7"/>
      <c r="BP376" s="7"/>
      <c r="BQ376" s="7"/>
      <c r="BR376" s="7"/>
      <c r="BS376" s="7"/>
      <c r="BT376" s="7"/>
      <c r="BU376" s="7"/>
      <c r="BV376" s="11">
        <v>0</v>
      </c>
      <c r="BW376" s="10">
        <v>44380</v>
      </c>
      <c r="BX376" s="7">
        <v>7</v>
      </c>
      <c r="BY376" s="7">
        <v>3</v>
      </c>
      <c r="BZ376" s="7">
        <v>2021</v>
      </c>
      <c r="CA376" s="5">
        <f t="shared" si="111"/>
        <v>44262</v>
      </c>
      <c r="CB376">
        <v>66</v>
      </c>
      <c r="CC376" s="7">
        <v>5</v>
      </c>
      <c r="CD376" s="7"/>
      <c r="CE376" s="7">
        <v>0.118483</v>
      </c>
      <c r="CF376" s="7">
        <v>1.5625</v>
      </c>
      <c r="CG376" s="7">
        <v>1.5643800000000001</v>
      </c>
      <c r="CH376" s="7">
        <v>3.1746029999999998</v>
      </c>
      <c r="CI376" s="7">
        <v>0.29585800000000001</v>
      </c>
      <c r="CJ376" s="1">
        <f t="shared" si="121"/>
        <v>0.29585798816568071</v>
      </c>
      <c r="CK376" s="7" t="s">
        <v>142</v>
      </c>
      <c r="CL376" s="7">
        <v>3</v>
      </c>
      <c r="CM376" s="7"/>
      <c r="CN376" s="7"/>
      <c r="CO376" s="7"/>
      <c r="CP376" s="7"/>
    </row>
    <row r="377" spans="1:94" x14ac:dyDescent="0.2">
      <c r="A377" s="7" t="s">
        <v>564</v>
      </c>
      <c r="B377" s="7" t="s">
        <v>102</v>
      </c>
      <c r="C377" t="str">
        <f t="shared" si="107"/>
        <v>S</v>
      </c>
      <c r="D377" t="str">
        <f t="shared" si="108"/>
        <v>IMM</v>
      </c>
      <c r="E377" t="str">
        <f t="shared" si="109"/>
        <v>N</v>
      </c>
      <c r="F377" s="7">
        <v>46</v>
      </c>
      <c r="G377" s="7">
        <v>44</v>
      </c>
      <c r="H377" s="7">
        <v>1.3580000000000001</v>
      </c>
      <c r="I377" s="7">
        <v>2.1999999999999999E-2</v>
      </c>
      <c r="J377" s="7" t="s">
        <v>437</v>
      </c>
      <c r="K377" s="7" t="s">
        <v>316</v>
      </c>
      <c r="L377" t="str">
        <f t="shared" si="110"/>
        <v>M</v>
      </c>
      <c r="M377">
        <v>10</v>
      </c>
      <c r="N377" s="7">
        <v>4.8000000000000001E-2</v>
      </c>
      <c r="O377" s="7">
        <v>4.5999999999999999E-2</v>
      </c>
      <c r="P377" s="7" t="s">
        <v>36</v>
      </c>
      <c r="Q377" t="str">
        <f t="shared" si="99"/>
        <v>MT</v>
      </c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  <c r="AO377" s="7"/>
      <c r="AP377" s="7"/>
      <c r="AQ377" s="7"/>
      <c r="AR377" s="7"/>
      <c r="AS377" s="7"/>
      <c r="AT377" s="7"/>
      <c r="AU377" s="7"/>
      <c r="AV377" s="7"/>
      <c r="AW377" s="7"/>
      <c r="AX377" s="7"/>
      <c r="AY377" s="7"/>
      <c r="AZ377" s="7"/>
      <c r="BA377" s="7"/>
      <c r="BB377" s="7"/>
      <c r="BC377" s="7"/>
      <c r="BD377" s="7"/>
      <c r="BE377" s="7"/>
      <c r="BF377" s="7"/>
      <c r="BG377" s="7"/>
      <c r="BH377" s="7"/>
      <c r="BI377" s="7"/>
      <c r="BJ377" s="7"/>
      <c r="BK377" s="7"/>
      <c r="BL377" s="7"/>
      <c r="BM377" s="7"/>
      <c r="BN377" s="7"/>
      <c r="BO377" s="7"/>
      <c r="BP377" s="7"/>
      <c r="BQ377" s="7"/>
      <c r="BR377" s="7"/>
      <c r="BS377" s="7"/>
      <c r="BT377" s="7"/>
      <c r="BU377" s="7"/>
      <c r="BV377" s="11">
        <v>0</v>
      </c>
      <c r="BW377" s="10">
        <v>44380</v>
      </c>
      <c r="BX377" s="7">
        <v>7</v>
      </c>
      <c r="BY377" s="7">
        <v>3</v>
      </c>
      <c r="BZ377" s="7">
        <v>2021</v>
      </c>
      <c r="CA377" s="5">
        <f t="shared" si="111"/>
        <v>44262</v>
      </c>
      <c r="CB377">
        <v>66</v>
      </c>
      <c r="CC377" s="7">
        <v>5</v>
      </c>
      <c r="CD377" s="7"/>
      <c r="CE377" s="7"/>
      <c r="CF377" s="7">
        <v>1.6467069999999999</v>
      </c>
      <c r="CG377" s="7"/>
      <c r="CH377" s="7">
        <v>3.5060980000000002</v>
      </c>
      <c r="CI377" s="7">
        <v>0.14727499999999999</v>
      </c>
      <c r="CJ377" s="1">
        <f t="shared" si="121"/>
        <v>0.14727540500736389</v>
      </c>
      <c r="CK377" s="7" t="s">
        <v>142</v>
      </c>
      <c r="CL377" s="7">
        <v>2</v>
      </c>
      <c r="CM377" s="7"/>
      <c r="CN377" s="7"/>
      <c r="CO377" s="7"/>
      <c r="CP377" s="7"/>
    </row>
    <row r="378" spans="1:94" x14ac:dyDescent="0.2">
      <c r="A378" s="7" t="s">
        <v>565</v>
      </c>
      <c r="B378" s="7" t="s">
        <v>102</v>
      </c>
      <c r="C378" t="str">
        <f t="shared" si="107"/>
        <v>I</v>
      </c>
      <c r="D378" t="str">
        <f t="shared" si="108"/>
        <v>IMM</v>
      </c>
      <c r="E378" t="str">
        <f t="shared" si="109"/>
        <v>G</v>
      </c>
      <c r="F378" s="7">
        <v>61</v>
      </c>
      <c r="G378" s="7">
        <v>58</v>
      </c>
      <c r="H378" s="7">
        <v>3.0960000000000001</v>
      </c>
      <c r="I378" s="7">
        <v>0.05</v>
      </c>
      <c r="J378" s="7">
        <v>4.0000000000000001E-3</v>
      </c>
      <c r="K378" s="7" t="s">
        <v>316</v>
      </c>
      <c r="L378" t="str">
        <f t="shared" si="110"/>
        <v>M</v>
      </c>
      <c r="M378">
        <v>10</v>
      </c>
      <c r="N378" s="7">
        <v>0.11600000000000001</v>
      </c>
      <c r="O378" s="7">
        <v>0.105</v>
      </c>
      <c r="P378" s="7" t="s">
        <v>561</v>
      </c>
      <c r="Q378" t="str">
        <f t="shared" si="99"/>
        <v>F</v>
      </c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>
        <v>1</v>
      </c>
      <c r="AO378" s="7">
        <v>1E-3</v>
      </c>
      <c r="AP378" s="7"/>
      <c r="AQ378" s="7"/>
      <c r="AR378" s="7"/>
      <c r="AS378" s="7"/>
      <c r="AT378" s="7"/>
      <c r="AU378" s="7"/>
      <c r="AV378" s="7"/>
      <c r="AW378" s="7"/>
      <c r="AX378" s="7"/>
      <c r="AY378" s="7"/>
      <c r="AZ378" s="7"/>
      <c r="BA378" s="7"/>
      <c r="BB378" s="7"/>
      <c r="BC378" s="7"/>
      <c r="BD378" s="7"/>
      <c r="BE378" s="7"/>
      <c r="BF378" s="7"/>
      <c r="BG378" s="7"/>
      <c r="BH378" s="7"/>
      <c r="BI378" s="7"/>
      <c r="BJ378" s="7"/>
      <c r="BK378" s="7"/>
      <c r="BL378" s="7"/>
      <c r="BM378" s="7"/>
      <c r="BN378" s="7"/>
      <c r="BO378" s="7"/>
      <c r="BP378" s="7"/>
      <c r="BQ378" s="7"/>
      <c r="BR378" s="7"/>
      <c r="BS378" s="7"/>
      <c r="BT378" s="7"/>
      <c r="BU378" s="7"/>
      <c r="BV378" s="11">
        <v>1E-3</v>
      </c>
      <c r="BW378" s="10">
        <v>44411</v>
      </c>
      <c r="BX378" s="7">
        <v>8</v>
      </c>
      <c r="BY378" s="7">
        <v>3</v>
      </c>
      <c r="BZ378" s="7">
        <v>2021</v>
      </c>
      <c r="CA378" s="5">
        <f t="shared" si="111"/>
        <v>44263</v>
      </c>
      <c r="CB378">
        <v>67</v>
      </c>
      <c r="CC378" s="7">
        <v>5</v>
      </c>
      <c r="CD378" s="7"/>
      <c r="CE378" s="7">
        <v>0.12936600000000001</v>
      </c>
      <c r="CF378" s="7">
        <v>1.641497</v>
      </c>
      <c r="CG378" s="7">
        <v>1.6436550000000001</v>
      </c>
      <c r="CH378" s="7">
        <v>3.510532</v>
      </c>
      <c r="CI378" s="7">
        <v>0.35529699999999997</v>
      </c>
      <c r="CJ378" s="1">
        <f t="shared" si="121"/>
        <v>0.38759689922480656</v>
      </c>
      <c r="CK378" s="7" t="s">
        <v>142</v>
      </c>
      <c r="CL378" s="7">
        <v>3</v>
      </c>
      <c r="CM378" s="7"/>
      <c r="CN378" s="7"/>
      <c r="CO378" s="7"/>
      <c r="CP378" s="7"/>
    </row>
    <row r="379" spans="1:94" x14ac:dyDescent="0.2">
      <c r="A379" s="7" t="s">
        <v>566</v>
      </c>
      <c r="B379" s="7" t="s">
        <v>102</v>
      </c>
      <c r="C379" t="str">
        <f t="shared" si="107"/>
        <v>S</v>
      </c>
      <c r="D379" t="str">
        <f t="shared" si="108"/>
        <v>IMM</v>
      </c>
      <c r="E379" t="str">
        <f t="shared" si="109"/>
        <v>G</v>
      </c>
      <c r="F379" s="7">
        <v>60</v>
      </c>
      <c r="G379" s="7">
        <v>57</v>
      </c>
      <c r="H379" s="7">
        <v>2.93</v>
      </c>
      <c r="I379" s="7">
        <v>5.7000000000000002E-2</v>
      </c>
      <c r="J379" s="7">
        <v>3.4000000000000002E-2</v>
      </c>
      <c r="K379" s="7" t="s">
        <v>24</v>
      </c>
      <c r="L379" t="str">
        <f t="shared" si="110"/>
        <v>F</v>
      </c>
      <c r="M379">
        <v>22</v>
      </c>
      <c r="N379" s="7">
        <v>0.11</v>
      </c>
      <c r="O379" s="7">
        <v>9.0999999999999998E-2</v>
      </c>
      <c r="P379" s="7" t="s">
        <v>567</v>
      </c>
      <c r="Q379" t="str">
        <f t="shared" si="99"/>
        <v>F</v>
      </c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>
        <v>1</v>
      </c>
      <c r="AO379" s="7">
        <v>3.0000000000000001E-3</v>
      </c>
      <c r="AP379" s="7"/>
      <c r="AQ379" s="7"/>
      <c r="AR379" s="7"/>
      <c r="AS379" s="7"/>
      <c r="AT379" s="7"/>
      <c r="AU379" s="7"/>
      <c r="AV379" s="7"/>
      <c r="AW379" s="7"/>
      <c r="AX379" s="7"/>
      <c r="AY379" s="7"/>
      <c r="AZ379" s="7"/>
      <c r="BA379" s="7"/>
      <c r="BB379" s="7"/>
      <c r="BC379" s="7"/>
      <c r="BD379" s="7"/>
      <c r="BE379" s="7"/>
      <c r="BF379" s="7"/>
      <c r="BG379" s="7"/>
      <c r="BH379" s="7"/>
      <c r="BI379" s="7"/>
      <c r="BJ379" s="7"/>
      <c r="BK379" s="7"/>
      <c r="BL379" s="7"/>
      <c r="BM379" s="7"/>
      <c r="BN379" s="7"/>
      <c r="BO379" s="7"/>
      <c r="BP379" s="7"/>
      <c r="BQ379" s="7"/>
      <c r="BR379" s="7"/>
      <c r="BS379" s="7"/>
      <c r="BT379" s="7"/>
      <c r="BU379" s="7"/>
      <c r="BV379" s="11">
        <v>3.0000000000000001E-3</v>
      </c>
      <c r="BW379" s="10">
        <v>44411</v>
      </c>
      <c r="BX379" s="7">
        <v>8</v>
      </c>
      <c r="BY379" s="7">
        <v>3</v>
      </c>
      <c r="BZ379" s="7">
        <v>2021</v>
      </c>
      <c r="CA379" s="5">
        <f t="shared" si="111"/>
        <v>44263</v>
      </c>
      <c r="CB379">
        <v>67</v>
      </c>
      <c r="CC379" s="7">
        <v>5</v>
      </c>
      <c r="CD379" s="7"/>
      <c r="CE379" s="7">
        <v>1.1740330000000001</v>
      </c>
      <c r="CF379" s="7">
        <v>1.983989</v>
      </c>
      <c r="CG379" s="7">
        <v>2.007749</v>
      </c>
      <c r="CH379" s="7">
        <v>3.2053539999999998</v>
      </c>
      <c r="CI379" s="7">
        <v>0.64846400000000004</v>
      </c>
      <c r="CJ379" s="1">
        <f t="shared" si="121"/>
        <v>0.75085324232081918</v>
      </c>
      <c r="CK379" s="7" t="s">
        <v>142</v>
      </c>
      <c r="CL379" s="7">
        <v>3</v>
      </c>
      <c r="CM379" s="7"/>
      <c r="CN379" s="7"/>
      <c r="CO379" s="7"/>
      <c r="CP379" s="7"/>
    </row>
    <row r="380" spans="1:94" x14ac:dyDescent="0.2">
      <c r="A380" s="7" t="s">
        <v>568</v>
      </c>
      <c r="B380" s="7" t="s">
        <v>102</v>
      </c>
      <c r="C380" t="str">
        <f t="shared" si="107"/>
        <v>I</v>
      </c>
      <c r="D380" t="str">
        <f t="shared" si="108"/>
        <v>IMM</v>
      </c>
      <c r="E380" t="str">
        <f t="shared" si="109"/>
        <v>G</v>
      </c>
      <c r="F380" s="7">
        <v>61</v>
      </c>
      <c r="G380" s="7">
        <v>58</v>
      </c>
      <c r="H380" s="7">
        <v>3.0139999999999998</v>
      </c>
      <c r="I380" s="7">
        <v>7.0999999999999994E-2</v>
      </c>
      <c r="J380" s="7">
        <v>4.0000000000000001E-3</v>
      </c>
      <c r="K380" s="7" t="s">
        <v>359</v>
      </c>
      <c r="L380" t="str">
        <f t="shared" si="110"/>
        <v>M</v>
      </c>
      <c r="M380">
        <v>20</v>
      </c>
      <c r="N380" s="7">
        <v>0.122</v>
      </c>
      <c r="O380" s="7">
        <v>0.115</v>
      </c>
      <c r="P380" s="7" t="s">
        <v>36</v>
      </c>
      <c r="Q380" t="str">
        <f t="shared" ref="Q380:Q418" si="122">IF(P380="MT","MT","F")</f>
        <v>MT</v>
      </c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  <c r="AO380" s="7"/>
      <c r="AP380" s="7"/>
      <c r="AQ380" s="7"/>
      <c r="AR380" s="7"/>
      <c r="AS380" s="7"/>
      <c r="AT380" s="7"/>
      <c r="AU380" s="7"/>
      <c r="AV380" s="7"/>
      <c r="AW380" s="7"/>
      <c r="AX380" s="7"/>
      <c r="AY380" s="7"/>
      <c r="AZ380" s="7"/>
      <c r="BA380" s="7"/>
      <c r="BB380" s="7"/>
      <c r="BC380" s="7"/>
      <c r="BD380" s="7"/>
      <c r="BE380" s="7"/>
      <c r="BF380" s="7"/>
      <c r="BG380" s="7"/>
      <c r="BH380" s="7"/>
      <c r="BI380" s="7"/>
      <c r="BJ380" s="7"/>
      <c r="BK380" s="7"/>
      <c r="BL380" s="7"/>
      <c r="BM380" s="7"/>
      <c r="BN380" s="7"/>
      <c r="BO380" s="7"/>
      <c r="BP380" s="7"/>
      <c r="BQ380" s="7"/>
      <c r="BR380" s="7"/>
      <c r="BS380" s="7"/>
      <c r="BT380" s="7"/>
      <c r="BU380" s="7"/>
      <c r="BV380" s="11">
        <v>0</v>
      </c>
      <c r="BW380" s="10">
        <v>44411</v>
      </c>
      <c r="BX380" s="7">
        <v>8</v>
      </c>
      <c r="BY380" s="7">
        <v>3</v>
      </c>
      <c r="BZ380" s="7">
        <v>2021</v>
      </c>
      <c r="CA380" s="5">
        <f t="shared" si="111"/>
        <v>44263</v>
      </c>
      <c r="CB380">
        <v>67</v>
      </c>
      <c r="CC380" s="7">
        <v>5</v>
      </c>
      <c r="CD380" s="7"/>
      <c r="CE380" s="7">
        <v>0.13289000000000001</v>
      </c>
      <c r="CF380" s="7">
        <v>2.4125040000000002</v>
      </c>
      <c r="CG380" s="7">
        <v>2.415788</v>
      </c>
      <c r="CH380" s="7">
        <v>3.966885</v>
      </c>
      <c r="CI380" s="7">
        <v>0.23225000000000001</v>
      </c>
      <c r="CJ380" s="1">
        <f t="shared" si="121"/>
        <v>0.23224950232249481</v>
      </c>
      <c r="CK380" s="7" t="s">
        <v>142</v>
      </c>
      <c r="CL380" s="7">
        <v>2</v>
      </c>
      <c r="CM380" s="7"/>
      <c r="CN380" s="7"/>
      <c r="CO380" s="7"/>
      <c r="CP380" s="7"/>
    </row>
    <row r="381" spans="1:94" x14ac:dyDescent="0.2">
      <c r="A381" s="7" t="s">
        <v>569</v>
      </c>
      <c r="B381" s="7" t="s">
        <v>102</v>
      </c>
      <c r="C381" t="str">
        <f t="shared" si="107"/>
        <v>S</v>
      </c>
      <c r="D381" t="str">
        <f t="shared" si="108"/>
        <v>IMM</v>
      </c>
      <c r="E381" t="str">
        <f t="shared" si="109"/>
        <v>N</v>
      </c>
      <c r="F381" s="7">
        <v>56</v>
      </c>
      <c r="G381" s="7">
        <v>54</v>
      </c>
      <c r="H381" s="7">
        <v>2.5499999999999998</v>
      </c>
      <c r="I381" s="7">
        <v>4.2000000000000003E-2</v>
      </c>
      <c r="J381" s="7">
        <v>3.0000000000000001E-3</v>
      </c>
      <c r="K381" s="7" t="s">
        <v>316</v>
      </c>
      <c r="L381" t="str">
        <f t="shared" si="110"/>
        <v>M</v>
      </c>
      <c r="M381">
        <v>10</v>
      </c>
      <c r="N381" s="7">
        <v>0.107</v>
      </c>
      <c r="O381" s="7">
        <v>0.1</v>
      </c>
      <c r="P381" s="7" t="s">
        <v>36</v>
      </c>
      <c r="Q381" t="str">
        <f t="shared" si="122"/>
        <v>MT</v>
      </c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  <c r="AO381" s="7"/>
      <c r="AP381" s="7"/>
      <c r="AQ381" s="7"/>
      <c r="AR381" s="7"/>
      <c r="AS381" s="7"/>
      <c r="AT381" s="7"/>
      <c r="AU381" s="7"/>
      <c r="AV381" s="7"/>
      <c r="AW381" s="7"/>
      <c r="AX381" s="7"/>
      <c r="AY381" s="7"/>
      <c r="AZ381" s="7"/>
      <c r="BA381" s="7"/>
      <c r="BB381" s="7"/>
      <c r="BC381" s="7"/>
      <c r="BD381" s="7"/>
      <c r="BE381" s="7"/>
      <c r="BF381" s="7"/>
      <c r="BG381" s="7"/>
      <c r="BH381" s="7"/>
      <c r="BI381" s="7"/>
      <c r="BJ381" s="7"/>
      <c r="BK381" s="7"/>
      <c r="BL381" s="7"/>
      <c r="BM381" s="7"/>
      <c r="BN381" s="7"/>
      <c r="BO381" s="7"/>
      <c r="BP381" s="7"/>
      <c r="BQ381" s="7"/>
      <c r="BR381" s="7"/>
      <c r="BS381" s="7"/>
      <c r="BT381" s="7"/>
      <c r="BU381" s="7"/>
      <c r="BV381" s="11">
        <v>0</v>
      </c>
      <c r="BW381" s="10">
        <v>44411</v>
      </c>
      <c r="BX381" s="7">
        <v>8</v>
      </c>
      <c r="BY381" s="7">
        <v>3</v>
      </c>
      <c r="BZ381" s="7">
        <v>2021</v>
      </c>
      <c r="CA381" s="5">
        <f t="shared" si="111"/>
        <v>44263</v>
      </c>
      <c r="CB381">
        <v>67</v>
      </c>
      <c r="CC381" s="7">
        <v>5</v>
      </c>
      <c r="CD381" s="7"/>
      <c r="CE381" s="7">
        <v>0.117786</v>
      </c>
      <c r="CF381" s="7">
        <v>1.674641</v>
      </c>
      <c r="CG381" s="7">
        <v>1.676647</v>
      </c>
      <c r="CH381" s="7">
        <v>4.0816330000000001</v>
      </c>
      <c r="CI381" s="7">
        <v>0.27450999999999998</v>
      </c>
      <c r="CJ381" s="1">
        <f t="shared" si="121"/>
        <v>0.27450980392156832</v>
      </c>
      <c r="CK381" s="7" t="s">
        <v>142</v>
      </c>
      <c r="CL381" s="7">
        <v>3</v>
      </c>
      <c r="CM381" s="7"/>
      <c r="CN381" s="7"/>
      <c r="CO381" s="7"/>
      <c r="CP381" s="7"/>
    </row>
    <row r="382" spans="1:94" x14ac:dyDescent="0.2">
      <c r="A382" s="7" t="s">
        <v>570</v>
      </c>
      <c r="B382" s="7" t="s">
        <v>102</v>
      </c>
      <c r="C382" t="str">
        <f t="shared" si="107"/>
        <v>S</v>
      </c>
      <c r="D382" t="str">
        <f t="shared" si="108"/>
        <v>IMM</v>
      </c>
      <c r="E382" t="str">
        <f t="shared" si="109"/>
        <v>N</v>
      </c>
      <c r="F382" s="7">
        <v>58</v>
      </c>
      <c r="G382" s="7">
        <v>55</v>
      </c>
      <c r="H382" s="7">
        <v>2.5089999999999999</v>
      </c>
      <c r="I382" s="7">
        <v>4.1000000000000002E-2</v>
      </c>
      <c r="J382" s="7">
        <v>2E-3</v>
      </c>
      <c r="K382" s="7" t="s">
        <v>316</v>
      </c>
      <c r="L382" t="str">
        <f t="shared" si="110"/>
        <v>M</v>
      </c>
      <c r="M382">
        <v>10</v>
      </c>
      <c r="N382" s="7">
        <v>0.11</v>
      </c>
      <c r="O382" s="7">
        <v>8.5999999999999993E-2</v>
      </c>
      <c r="P382" s="7" t="s">
        <v>571</v>
      </c>
      <c r="Q382" t="str">
        <f t="shared" si="122"/>
        <v>F</v>
      </c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  <c r="AO382" s="7"/>
      <c r="AP382" s="7"/>
      <c r="AQ382" s="7"/>
      <c r="AR382" s="7">
        <v>1</v>
      </c>
      <c r="AS382" s="7">
        <v>1.2E-2</v>
      </c>
      <c r="AT382" s="7"/>
      <c r="AU382" s="7"/>
      <c r="AV382" s="7"/>
      <c r="AW382" s="7"/>
      <c r="AX382" s="7"/>
      <c r="AY382" s="7"/>
      <c r="AZ382" s="7"/>
      <c r="BA382" s="7"/>
      <c r="BB382" s="7"/>
      <c r="BC382" s="7"/>
      <c r="BD382" s="7"/>
      <c r="BE382" s="7"/>
      <c r="BF382" s="7"/>
      <c r="BG382" s="7"/>
      <c r="BH382" s="7"/>
      <c r="BI382" s="7"/>
      <c r="BJ382" s="7"/>
      <c r="BK382" s="7"/>
      <c r="BL382" s="7"/>
      <c r="BM382" s="7"/>
      <c r="BN382" s="7"/>
      <c r="BO382" s="7"/>
      <c r="BP382" s="7"/>
      <c r="BQ382" s="7"/>
      <c r="BR382" s="7"/>
      <c r="BS382" s="7"/>
      <c r="BT382" s="7"/>
      <c r="BU382" s="7"/>
      <c r="BV382" s="11">
        <v>1.2E-2</v>
      </c>
      <c r="BW382" s="10">
        <v>44411</v>
      </c>
      <c r="BX382" s="7">
        <v>8</v>
      </c>
      <c r="BY382" s="7">
        <v>3</v>
      </c>
      <c r="BZ382" s="7">
        <v>2021</v>
      </c>
      <c r="CA382" s="5">
        <f t="shared" si="111"/>
        <v>44263</v>
      </c>
      <c r="CB382">
        <v>67</v>
      </c>
      <c r="CC382" s="7">
        <v>5</v>
      </c>
      <c r="CD382" s="7"/>
      <c r="CE382" s="7">
        <v>7.9777000000000001E-2</v>
      </c>
      <c r="CF382" s="7">
        <v>1.6612640000000001</v>
      </c>
      <c r="CG382" s="7">
        <v>1.662612</v>
      </c>
      <c r="CH382" s="7">
        <v>3.5493190000000001</v>
      </c>
      <c r="CI382" s="7">
        <v>0.95655599999999996</v>
      </c>
      <c r="CJ382" s="1">
        <f t="shared" si="121"/>
        <v>1.4348345954563575</v>
      </c>
      <c r="CK382" s="7" t="s">
        <v>142</v>
      </c>
      <c r="CL382" s="7">
        <v>3</v>
      </c>
      <c r="CM382" s="7"/>
      <c r="CN382" s="7"/>
      <c r="CO382" s="7"/>
      <c r="CP382" s="7"/>
    </row>
    <row r="383" spans="1:94" x14ac:dyDescent="0.2">
      <c r="A383" s="7" t="s">
        <v>572</v>
      </c>
      <c r="B383" s="7" t="s">
        <v>102</v>
      </c>
      <c r="C383" t="str">
        <f t="shared" si="107"/>
        <v>S</v>
      </c>
      <c r="D383" t="str">
        <f t="shared" si="108"/>
        <v>IMM</v>
      </c>
      <c r="E383" t="str">
        <f t="shared" si="109"/>
        <v>N</v>
      </c>
      <c r="F383" s="7">
        <v>52</v>
      </c>
      <c r="G383" s="7">
        <v>49</v>
      </c>
      <c r="H383" s="7">
        <v>1.915</v>
      </c>
      <c r="I383" s="7">
        <v>3.4000000000000002E-2</v>
      </c>
      <c r="J383" s="7">
        <v>1.7999999999999999E-2</v>
      </c>
      <c r="K383" s="7" t="s">
        <v>336</v>
      </c>
      <c r="L383" t="str">
        <f t="shared" si="110"/>
        <v>F</v>
      </c>
      <c r="M383">
        <v>20</v>
      </c>
      <c r="N383" s="7">
        <v>7.0000000000000007E-2</v>
      </c>
      <c r="O383" s="7">
        <v>6.6000000000000003E-2</v>
      </c>
      <c r="P383" s="7" t="s">
        <v>496</v>
      </c>
      <c r="Q383" t="str">
        <f t="shared" si="122"/>
        <v>F</v>
      </c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>
        <v>1</v>
      </c>
      <c r="AO383" s="7">
        <v>0</v>
      </c>
      <c r="AP383" s="7"/>
      <c r="AQ383" s="7"/>
      <c r="AR383" s="7"/>
      <c r="AS383" s="7"/>
      <c r="AT383" s="7"/>
      <c r="AU383" s="7"/>
      <c r="AV383" s="7"/>
      <c r="AW383" s="7"/>
      <c r="AX383" s="7"/>
      <c r="AY383" s="7"/>
      <c r="AZ383" s="7"/>
      <c r="BA383" s="7"/>
      <c r="BB383" s="7"/>
      <c r="BC383" s="7"/>
      <c r="BD383" s="7"/>
      <c r="BE383" s="7"/>
      <c r="BF383" s="7"/>
      <c r="BG383" s="7"/>
      <c r="BH383" s="7"/>
      <c r="BI383" s="7"/>
      <c r="BJ383" s="7"/>
      <c r="BK383" s="7"/>
      <c r="BL383" s="7"/>
      <c r="BM383" s="7"/>
      <c r="BN383" s="7"/>
      <c r="BO383" s="7"/>
      <c r="BP383" s="7"/>
      <c r="BQ383" s="7"/>
      <c r="BR383" s="7"/>
      <c r="BS383" s="7"/>
      <c r="BT383" s="7"/>
      <c r="BU383" s="7"/>
      <c r="BV383" s="11">
        <v>0</v>
      </c>
      <c r="BW383" s="10">
        <v>44411</v>
      </c>
      <c r="BX383" s="7">
        <v>8</v>
      </c>
      <c r="BY383" s="7">
        <v>3</v>
      </c>
      <c r="BZ383" s="7">
        <v>2021</v>
      </c>
      <c r="CA383" s="5">
        <f t="shared" si="111"/>
        <v>44263</v>
      </c>
      <c r="CB383">
        <v>67</v>
      </c>
      <c r="CC383" s="7">
        <v>5</v>
      </c>
      <c r="CD383" s="7"/>
      <c r="CE383" s="7">
        <v>0.94886700000000002</v>
      </c>
      <c r="CF383" s="7">
        <v>1.8075490000000001</v>
      </c>
      <c r="CG383" s="7">
        <v>1.825013</v>
      </c>
      <c r="CH383" s="7">
        <v>3.5694970000000001</v>
      </c>
      <c r="CI383" s="7">
        <v>0.20887700000000001</v>
      </c>
      <c r="CJ383" s="1">
        <f t="shared" si="121"/>
        <v>0.20887728459530042</v>
      </c>
      <c r="CK383" s="7" t="s">
        <v>142</v>
      </c>
      <c r="CL383" s="7">
        <v>2</v>
      </c>
      <c r="CM383" s="7"/>
      <c r="CN383" s="7"/>
      <c r="CO383" s="7"/>
      <c r="CP383" s="7"/>
    </row>
    <row r="384" spans="1:94" x14ac:dyDescent="0.2">
      <c r="A384" s="7" t="s">
        <v>573</v>
      </c>
      <c r="B384" s="7" t="s">
        <v>102</v>
      </c>
      <c r="C384" t="str">
        <f t="shared" si="107"/>
        <v>S</v>
      </c>
      <c r="D384" t="str">
        <f t="shared" si="108"/>
        <v>IMM</v>
      </c>
      <c r="E384" t="str">
        <f t="shared" si="109"/>
        <v>N</v>
      </c>
      <c r="F384" s="7">
        <v>49</v>
      </c>
      <c r="G384" s="7">
        <v>46</v>
      </c>
      <c r="H384" s="7">
        <v>1.673</v>
      </c>
      <c r="I384" s="7">
        <v>4.9000000000000002E-2</v>
      </c>
      <c r="J384" s="7">
        <v>1E-3</v>
      </c>
      <c r="K384" s="7" t="s">
        <v>316</v>
      </c>
      <c r="L384" t="str">
        <f t="shared" si="110"/>
        <v>M</v>
      </c>
      <c r="M384">
        <v>10</v>
      </c>
      <c r="N384" s="7">
        <v>7.0000000000000007E-2</v>
      </c>
      <c r="O384" s="7">
        <v>5.8000000000000003E-2</v>
      </c>
      <c r="P384" s="7" t="s">
        <v>36</v>
      </c>
      <c r="Q384" t="str">
        <f t="shared" si="122"/>
        <v>MT</v>
      </c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  <c r="AO384" s="7"/>
      <c r="AP384" s="7"/>
      <c r="AQ384" s="7"/>
      <c r="AR384" s="7"/>
      <c r="AS384" s="7"/>
      <c r="AT384" s="7"/>
      <c r="AU384" s="7"/>
      <c r="AV384" s="7"/>
      <c r="AW384" s="7"/>
      <c r="AX384" s="7"/>
      <c r="AY384" s="7"/>
      <c r="AZ384" s="7"/>
      <c r="BA384" s="7"/>
      <c r="BB384" s="7"/>
      <c r="BC384" s="7"/>
      <c r="BD384" s="7"/>
      <c r="BE384" s="7"/>
      <c r="BF384" s="7"/>
      <c r="BG384" s="7"/>
      <c r="BH384" s="7"/>
      <c r="BI384" s="7"/>
      <c r="BJ384" s="7"/>
      <c r="BK384" s="7"/>
      <c r="BL384" s="7"/>
      <c r="BM384" s="7"/>
      <c r="BN384" s="7"/>
      <c r="BO384" s="7"/>
      <c r="BP384" s="7"/>
      <c r="BQ384" s="7"/>
      <c r="BR384" s="7"/>
      <c r="BS384" s="7"/>
      <c r="BT384" s="7"/>
      <c r="BU384" s="7"/>
      <c r="BV384" s="11">
        <v>0</v>
      </c>
      <c r="BW384" s="10">
        <v>44411</v>
      </c>
      <c r="BX384" s="7">
        <v>8</v>
      </c>
      <c r="BY384" s="7">
        <v>3</v>
      </c>
      <c r="BZ384" s="7">
        <v>2021</v>
      </c>
      <c r="CA384" s="5">
        <f t="shared" si="111"/>
        <v>44263</v>
      </c>
      <c r="CB384">
        <v>67</v>
      </c>
      <c r="CC384" s="7">
        <v>5</v>
      </c>
      <c r="CD384" s="7"/>
      <c r="CE384" s="7">
        <v>5.9809000000000001E-2</v>
      </c>
      <c r="CF384" s="7">
        <v>3.0172409999999998</v>
      </c>
      <c r="CG384" s="7">
        <v>3.0190999999999999</v>
      </c>
      <c r="CH384" s="7">
        <v>3.5913309999999998</v>
      </c>
      <c r="CI384" s="7">
        <v>0.71727399999999997</v>
      </c>
      <c r="CJ384" s="1">
        <f t="shared" si="121"/>
        <v>0.71727435744172163</v>
      </c>
      <c r="CK384" s="7" t="s">
        <v>142</v>
      </c>
      <c r="CL384" s="7">
        <v>2</v>
      </c>
      <c r="CM384" s="7"/>
      <c r="CN384" s="7"/>
      <c r="CO384" s="7"/>
      <c r="CP384" s="7"/>
    </row>
    <row r="385" spans="1:94" x14ac:dyDescent="0.2">
      <c r="A385" s="7" t="s">
        <v>751</v>
      </c>
      <c r="B385" s="7" t="s">
        <v>102</v>
      </c>
      <c r="C385" t="str">
        <f t="shared" si="107"/>
        <v>I</v>
      </c>
      <c r="D385" t="str">
        <f t="shared" si="108"/>
        <v>S</v>
      </c>
      <c r="E385" t="str">
        <f t="shared" si="109"/>
        <v>G</v>
      </c>
      <c r="F385" s="7">
        <v>72</v>
      </c>
      <c r="G385" s="7">
        <v>68</v>
      </c>
      <c r="H385" s="7">
        <v>4.9589999999999996</v>
      </c>
      <c r="I385" s="7">
        <v>7.6999999999999999E-2</v>
      </c>
      <c r="J385" s="7">
        <v>5.6000000000000001E-2</v>
      </c>
      <c r="K385" s="7" t="s">
        <v>24</v>
      </c>
      <c r="L385" t="str">
        <f t="shared" si="110"/>
        <v>F</v>
      </c>
      <c r="M385">
        <v>22</v>
      </c>
      <c r="N385" s="7">
        <v>0.156</v>
      </c>
      <c r="O385" s="7">
        <v>0.152</v>
      </c>
      <c r="P385" s="7" t="s">
        <v>36</v>
      </c>
      <c r="Q385" t="str">
        <f t="shared" si="122"/>
        <v>MT</v>
      </c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  <c r="AO385" s="7"/>
      <c r="AP385" s="7"/>
      <c r="AQ385" s="7"/>
      <c r="AR385" s="7"/>
      <c r="AS385" s="7"/>
      <c r="AT385" s="7"/>
      <c r="AU385" s="7"/>
      <c r="AV385" s="7"/>
      <c r="AW385" s="7"/>
      <c r="AX385" s="7"/>
      <c r="AY385" s="7"/>
      <c r="AZ385" s="7"/>
      <c r="BA385" s="7"/>
      <c r="BB385" s="7"/>
      <c r="BC385" s="7"/>
      <c r="BD385" s="7"/>
      <c r="BE385" s="7"/>
      <c r="BF385" s="7"/>
      <c r="BG385" s="7"/>
      <c r="BH385" s="7"/>
      <c r="BI385" s="7"/>
      <c r="BJ385" s="7"/>
      <c r="BK385" s="7"/>
      <c r="BL385" s="7"/>
      <c r="BM385" s="7"/>
      <c r="BN385" s="7"/>
      <c r="BO385" s="7"/>
      <c r="BP385" s="7"/>
      <c r="BQ385" s="7"/>
      <c r="BR385" s="7"/>
      <c r="BS385" s="7"/>
      <c r="BT385" s="7"/>
      <c r="BU385" s="7"/>
      <c r="BV385" s="7">
        <v>0</v>
      </c>
      <c r="BW385" t="s">
        <v>732</v>
      </c>
      <c r="BX385" t="str">
        <f>LEFT(BW385,2)</f>
        <v>18</v>
      </c>
      <c r="BY385" t="str">
        <f>MID(BW385,4,1)</f>
        <v>3</v>
      </c>
      <c r="BZ385" t="str">
        <f>20&amp;RIGHT(BW385,2)</f>
        <v>2021</v>
      </c>
      <c r="CA385" s="5">
        <f t="shared" si="111"/>
        <v>44273</v>
      </c>
      <c r="CB385">
        <v>77</v>
      </c>
      <c r="CC385" s="7">
        <v>6</v>
      </c>
      <c r="CE385">
        <f t="shared" ref="CE385:CE448" si="123">J385/(H385-J385)*100</f>
        <v>1.142157862533143</v>
      </c>
      <c r="CF385">
        <f t="shared" ref="CF385:CF448" si="124">I385/(H385-I385)*100</f>
        <v>1.5772224498156493</v>
      </c>
      <c r="CG385">
        <f t="shared" ref="CG385:CG416" si="125">I385/(H385-I385-J385)</f>
        <v>1.5955242436800663E-2</v>
      </c>
      <c r="CH385">
        <f t="shared" ref="CH385:CH416" si="126">O385/(H385-O385)*100</f>
        <v>3.1620553359683798</v>
      </c>
      <c r="CI385">
        <f t="shared" ref="CI385:CI416" si="127">(N385-O385)/H385*100</f>
        <v>8.066142367412793E-2</v>
      </c>
      <c r="CJ385" s="1">
        <f t="shared" si="121"/>
        <v>8.066142367412793E-2</v>
      </c>
      <c r="CK385" s="7" t="s">
        <v>142</v>
      </c>
      <c r="CL385" s="7">
        <v>2</v>
      </c>
      <c r="CM385" s="7"/>
      <c r="CN385" s="7"/>
      <c r="CO385" s="7"/>
      <c r="CP385" s="7"/>
    </row>
    <row r="386" spans="1:94" x14ac:dyDescent="0.2">
      <c r="A386" s="7" t="s">
        <v>752</v>
      </c>
      <c r="B386" s="7" t="s">
        <v>102</v>
      </c>
      <c r="C386" t="str">
        <f t="shared" ref="C386:C449" si="128">IF(F386&gt;=150,"B",IF(F386&lt;=60,"S","I"))</f>
        <v>I</v>
      </c>
      <c r="D386" t="str">
        <f t="shared" ref="D386:D449" si="129">IF(F386&gt;=110,"B",IF(F386&gt;=85,"I",IF(F386&gt;=65,"S","IMM")))</f>
        <v>S</v>
      </c>
      <c r="E386" t="str">
        <f t="shared" ref="E386:E449" si="130">IF(AND(F386&gt;=60,F386&lt;=110),"G","N")</f>
        <v>G</v>
      </c>
      <c r="F386" s="7">
        <v>67</v>
      </c>
      <c r="G386" s="7">
        <v>62</v>
      </c>
      <c r="H386" s="7">
        <v>4.4169999999999998</v>
      </c>
      <c r="I386" s="7">
        <v>8.5999999999999993E-2</v>
      </c>
      <c r="J386" s="7">
        <v>4.0000000000000001E-3</v>
      </c>
      <c r="K386" s="7" t="s">
        <v>359</v>
      </c>
      <c r="L386" t="str">
        <f t="shared" ref="L386:L449" si="131">LEFT(K386,1)</f>
        <v>M</v>
      </c>
      <c r="M386">
        <v>20</v>
      </c>
      <c r="N386" s="7">
        <v>0.189</v>
      </c>
      <c r="O386" s="7">
        <v>0.16900000000000001</v>
      </c>
      <c r="P386" s="7" t="s">
        <v>764</v>
      </c>
      <c r="Q386" t="str">
        <f t="shared" si="122"/>
        <v>F</v>
      </c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  <c r="AO386" s="7">
        <v>0.01</v>
      </c>
      <c r="AP386" s="7"/>
      <c r="AQ386" s="7"/>
      <c r="AR386" s="7"/>
      <c r="AS386" s="7"/>
      <c r="AT386" s="7"/>
      <c r="AU386" s="7"/>
      <c r="AV386" s="7"/>
      <c r="AW386" s="7"/>
      <c r="AX386" s="7"/>
      <c r="AY386" s="7"/>
      <c r="AZ386" s="7"/>
      <c r="BA386" s="7"/>
      <c r="BB386" s="7"/>
      <c r="BC386" s="7"/>
      <c r="BD386" s="7"/>
      <c r="BE386" s="7"/>
      <c r="BF386" s="7"/>
      <c r="BG386" s="7"/>
      <c r="BH386" s="7"/>
      <c r="BI386" s="7"/>
      <c r="BJ386" s="7"/>
      <c r="BK386" s="7"/>
      <c r="BL386" s="7"/>
      <c r="BM386" s="7"/>
      <c r="BN386" s="7"/>
      <c r="BO386" s="7"/>
      <c r="BP386" s="7"/>
      <c r="BQ386" s="7"/>
      <c r="BR386" s="7"/>
      <c r="BS386" s="7"/>
      <c r="BT386" s="7"/>
      <c r="BU386" s="7"/>
      <c r="BV386" s="7">
        <v>0.01</v>
      </c>
      <c r="BW386" t="s">
        <v>732</v>
      </c>
      <c r="BX386" t="str">
        <f t="shared" ref="BX386:BX393" si="132">LEFT(BW386,2)</f>
        <v>18</v>
      </c>
      <c r="BY386" t="str">
        <f t="shared" ref="BY386:BY391" si="133">MID(BW386,4,1)</f>
        <v>3</v>
      </c>
      <c r="BZ386" t="str">
        <f t="shared" ref="BZ386:BZ393" si="134">20&amp;RIGHT(BW386,2)</f>
        <v>2021</v>
      </c>
      <c r="CA386" s="5">
        <f t="shared" si="111"/>
        <v>44273</v>
      </c>
      <c r="CB386">
        <v>77</v>
      </c>
      <c r="CC386" s="7">
        <v>6</v>
      </c>
      <c r="CE386">
        <f t="shared" si="123"/>
        <v>9.0641287106276905E-2</v>
      </c>
      <c r="CF386">
        <f t="shared" si="124"/>
        <v>1.9856845993996768</v>
      </c>
      <c r="CG386">
        <f t="shared" si="125"/>
        <v>1.9875202218627222E-2</v>
      </c>
      <c r="CH386">
        <f t="shared" si="126"/>
        <v>3.9783427495291903</v>
      </c>
      <c r="CI386">
        <f t="shared" si="127"/>
        <v>0.45279601539506431</v>
      </c>
      <c r="CJ386" s="1">
        <f t="shared" si="121"/>
        <v>0.67919402309259669</v>
      </c>
      <c r="CK386" s="7" t="s">
        <v>142</v>
      </c>
      <c r="CL386" s="7">
        <v>3</v>
      </c>
      <c r="CM386" s="7"/>
      <c r="CN386" s="7"/>
      <c r="CO386" s="7"/>
      <c r="CP386" s="7"/>
    </row>
    <row r="387" spans="1:94" ht="32" x14ac:dyDescent="0.2">
      <c r="A387" s="7" t="s">
        <v>753</v>
      </c>
      <c r="B387" s="7" t="s">
        <v>102</v>
      </c>
      <c r="C387" t="str">
        <f t="shared" si="128"/>
        <v>I</v>
      </c>
      <c r="D387" t="str">
        <f t="shared" si="129"/>
        <v>S</v>
      </c>
      <c r="E387" t="str">
        <f t="shared" si="130"/>
        <v>G</v>
      </c>
      <c r="F387" s="7">
        <v>67</v>
      </c>
      <c r="G387" s="7">
        <v>64</v>
      </c>
      <c r="H387" s="7">
        <v>4.29</v>
      </c>
      <c r="I387" s="7">
        <v>7.8E-2</v>
      </c>
      <c r="J387" s="7">
        <v>4.9000000000000002E-2</v>
      </c>
      <c r="K387" s="7" t="s">
        <v>24</v>
      </c>
      <c r="L387" t="str">
        <f t="shared" si="131"/>
        <v>F</v>
      </c>
      <c r="M387">
        <v>22</v>
      </c>
      <c r="N387" s="7">
        <v>0.21299999999999999</v>
      </c>
      <c r="O387" s="7">
        <v>0.19</v>
      </c>
      <c r="P387" s="7" t="s">
        <v>1502</v>
      </c>
      <c r="Q387" t="str">
        <f t="shared" si="122"/>
        <v>F</v>
      </c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  <c r="AO387" s="7"/>
      <c r="AP387" s="7"/>
      <c r="AQ387" s="7"/>
      <c r="AR387" s="7"/>
      <c r="AS387" s="7"/>
      <c r="AT387" s="7"/>
      <c r="AU387" s="7"/>
      <c r="AV387" s="7"/>
      <c r="AW387" s="7"/>
      <c r="AX387" s="7"/>
      <c r="AY387" s="7"/>
      <c r="AZ387" s="7"/>
      <c r="BA387" s="7"/>
      <c r="BB387" s="7"/>
      <c r="BC387" s="7"/>
      <c r="BD387" s="7">
        <v>1</v>
      </c>
      <c r="BE387" s="7">
        <v>1.2E-2</v>
      </c>
      <c r="BF387" s="7"/>
      <c r="BG387" s="7"/>
      <c r="BH387" s="7"/>
      <c r="BI387" s="7"/>
      <c r="BJ387" s="7"/>
      <c r="BK387" s="7"/>
      <c r="BL387" s="7"/>
      <c r="BM387" s="7"/>
      <c r="BN387" s="7"/>
      <c r="BO387" s="7"/>
      <c r="BP387" s="7"/>
      <c r="BQ387" s="7"/>
      <c r="BR387" s="7"/>
      <c r="BS387" s="7"/>
      <c r="BT387" s="7"/>
      <c r="BU387" s="7"/>
      <c r="BV387" s="7">
        <v>1.2E-2</v>
      </c>
      <c r="BW387" t="s">
        <v>732</v>
      </c>
      <c r="BX387" t="str">
        <f t="shared" si="132"/>
        <v>18</v>
      </c>
      <c r="BY387" t="str">
        <f t="shared" si="133"/>
        <v>3</v>
      </c>
      <c r="BZ387" t="str">
        <f t="shared" si="134"/>
        <v>2021</v>
      </c>
      <c r="CA387" s="5">
        <f t="shared" ref="CA387:CA450" si="135">DATE(BZ387,BY387,BX387)</f>
        <v>44273</v>
      </c>
      <c r="CB387">
        <v>77</v>
      </c>
      <c r="CC387" s="7">
        <v>6</v>
      </c>
      <c r="CE387">
        <f t="shared" si="123"/>
        <v>1.1553878802169302</v>
      </c>
      <c r="CF387">
        <f t="shared" si="124"/>
        <v>1.8518518518518521</v>
      </c>
      <c r="CG387">
        <f t="shared" si="125"/>
        <v>1.8736488109536396E-2</v>
      </c>
      <c r="CH387">
        <f t="shared" si="126"/>
        <v>4.6341463414634152</v>
      </c>
      <c r="CI387">
        <f t="shared" si="127"/>
        <v>0.53613053613053596</v>
      </c>
      <c r="CJ387" s="1">
        <f t="shared" si="121"/>
        <v>0.81585081585081565</v>
      </c>
      <c r="CK387" s="7" t="s">
        <v>142</v>
      </c>
      <c r="CL387" s="7">
        <v>2</v>
      </c>
      <c r="CM387" s="7"/>
      <c r="CN387" s="7"/>
      <c r="CO387" s="7"/>
      <c r="CP387" s="7"/>
    </row>
    <row r="388" spans="1:94" ht="48" x14ac:dyDescent="0.2">
      <c r="A388" s="7" t="s">
        <v>754</v>
      </c>
      <c r="B388" s="7" t="s">
        <v>102</v>
      </c>
      <c r="C388" t="str">
        <f t="shared" si="128"/>
        <v>I</v>
      </c>
      <c r="D388" t="str">
        <f t="shared" si="129"/>
        <v>IMM</v>
      </c>
      <c r="E388" t="str">
        <f t="shared" si="130"/>
        <v>G</v>
      </c>
      <c r="F388" s="7">
        <v>63</v>
      </c>
      <c r="G388" s="7">
        <v>59</v>
      </c>
      <c r="H388" s="7">
        <v>3.3570000000000002</v>
      </c>
      <c r="I388" s="7">
        <v>5.5E-2</v>
      </c>
      <c r="J388" s="7">
        <v>0.04</v>
      </c>
      <c r="K388" s="7" t="s">
        <v>24</v>
      </c>
      <c r="L388" t="str">
        <f t="shared" si="131"/>
        <v>F</v>
      </c>
      <c r="M388">
        <v>22</v>
      </c>
      <c r="N388" s="7">
        <v>0.182</v>
      </c>
      <c r="O388" s="7">
        <v>0.115</v>
      </c>
      <c r="P388" s="7" t="s">
        <v>1503</v>
      </c>
      <c r="Q388" t="str">
        <f t="shared" si="122"/>
        <v>F</v>
      </c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  <c r="AO388" s="7"/>
      <c r="AP388" s="7"/>
      <c r="AQ388" s="7"/>
      <c r="AR388" s="7"/>
      <c r="AS388" s="7"/>
      <c r="AT388" s="7"/>
      <c r="AU388" s="7"/>
      <c r="AV388" s="7">
        <v>9</v>
      </c>
      <c r="AW388" s="7">
        <v>2.5999999999999999E-2</v>
      </c>
      <c r="AX388" s="7"/>
      <c r="AY388" s="7"/>
      <c r="AZ388" s="7"/>
      <c r="BA388" s="7"/>
      <c r="BB388" s="7"/>
      <c r="BC388" s="7"/>
      <c r="BD388" s="7">
        <v>3</v>
      </c>
      <c r="BE388" s="7">
        <v>1.2999999999999999E-2</v>
      </c>
      <c r="BF388" s="7"/>
      <c r="BG388" s="7"/>
      <c r="BH388" s="7"/>
      <c r="BI388" s="7"/>
      <c r="BJ388" s="7"/>
      <c r="BK388" s="7"/>
      <c r="BL388" s="7"/>
      <c r="BM388" s="7"/>
      <c r="BN388" s="7"/>
      <c r="BO388" s="7"/>
      <c r="BP388" s="7"/>
      <c r="BQ388" s="7"/>
      <c r="BR388" s="7"/>
      <c r="BS388" s="7"/>
      <c r="BT388" s="7"/>
      <c r="BU388" s="7"/>
      <c r="BV388" s="7">
        <v>4.1000000000000002E-2</v>
      </c>
      <c r="BW388" t="s">
        <v>732</v>
      </c>
      <c r="BX388" t="str">
        <f t="shared" si="132"/>
        <v>18</v>
      </c>
      <c r="BY388" t="str">
        <f t="shared" si="133"/>
        <v>3</v>
      </c>
      <c r="BZ388" t="str">
        <f t="shared" si="134"/>
        <v>2021</v>
      </c>
      <c r="CA388" s="5">
        <f t="shared" si="135"/>
        <v>44273</v>
      </c>
      <c r="CB388">
        <v>77</v>
      </c>
      <c r="CC388" s="7">
        <v>6</v>
      </c>
      <c r="CE388">
        <f t="shared" si="123"/>
        <v>1.2059089538739824</v>
      </c>
      <c r="CF388">
        <f t="shared" si="124"/>
        <v>1.6656571774682012</v>
      </c>
      <c r="CG388">
        <f t="shared" si="125"/>
        <v>1.6860821581851624E-2</v>
      </c>
      <c r="CH388">
        <f t="shared" si="126"/>
        <v>3.5471930906847624</v>
      </c>
      <c r="CI388">
        <f t="shared" si="127"/>
        <v>1.9958296097706281</v>
      </c>
      <c r="CJ388" s="1">
        <f t="shared" si="121"/>
        <v>3.2171581769436992</v>
      </c>
      <c r="CK388" s="7" t="s">
        <v>142</v>
      </c>
      <c r="CL388" s="7">
        <v>2</v>
      </c>
      <c r="CM388" s="7"/>
      <c r="CN388" s="7"/>
      <c r="CO388" s="7"/>
      <c r="CP388" s="7"/>
    </row>
    <row r="389" spans="1:94" x14ac:dyDescent="0.2">
      <c r="A389" s="7" t="s">
        <v>755</v>
      </c>
      <c r="B389" s="7" t="s">
        <v>102</v>
      </c>
      <c r="C389" t="str">
        <f t="shared" si="128"/>
        <v>I</v>
      </c>
      <c r="D389" t="str">
        <f t="shared" si="129"/>
        <v>IMM</v>
      </c>
      <c r="E389" t="str">
        <f t="shared" si="130"/>
        <v>G</v>
      </c>
      <c r="F389" s="7">
        <v>64</v>
      </c>
      <c r="G389" s="7">
        <v>59</v>
      </c>
      <c r="H389" s="7">
        <v>3.5649999999999999</v>
      </c>
      <c r="I389" s="7">
        <v>8.6999999999999994E-2</v>
      </c>
      <c r="J389" s="7">
        <v>3.5999999999999997E-2</v>
      </c>
      <c r="K389" s="7" t="s">
        <v>24</v>
      </c>
      <c r="L389" t="str">
        <f t="shared" si="131"/>
        <v>F</v>
      </c>
      <c r="M389">
        <v>22</v>
      </c>
      <c r="N389" s="7">
        <v>0.121</v>
      </c>
      <c r="O389" s="7">
        <v>0.11899999999999999</v>
      </c>
      <c r="P389" s="7" t="s">
        <v>36</v>
      </c>
      <c r="Q389" t="str">
        <f t="shared" si="122"/>
        <v>MT</v>
      </c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  <c r="AO389" s="7"/>
      <c r="AP389" s="7"/>
      <c r="AQ389" s="7"/>
      <c r="AR389" s="7"/>
      <c r="AS389" s="7"/>
      <c r="AT389" s="7"/>
      <c r="AU389" s="7"/>
      <c r="AV389" s="7"/>
      <c r="AW389" s="7"/>
      <c r="AX389" s="7"/>
      <c r="AY389" s="7"/>
      <c r="AZ389" s="7"/>
      <c r="BA389" s="7"/>
      <c r="BB389" s="7"/>
      <c r="BC389" s="7"/>
      <c r="BD389" s="7"/>
      <c r="BE389" s="7"/>
      <c r="BF389" s="7"/>
      <c r="BG389" s="7"/>
      <c r="BH389" s="7"/>
      <c r="BI389" s="7"/>
      <c r="BJ389" s="7"/>
      <c r="BK389" s="7"/>
      <c r="BL389" s="7"/>
      <c r="BM389" s="7"/>
      <c r="BN389" s="7"/>
      <c r="BO389" s="7"/>
      <c r="BP389" s="7"/>
      <c r="BQ389" s="7"/>
      <c r="BR389" s="7"/>
      <c r="BS389" s="7"/>
      <c r="BT389" s="7"/>
      <c r="BU389" s="7"/>
      <c r="BV389" s="7">
        <v>0</v>
      </c>
      <c r="BW389" t="s">
        <v>732</v>
      </c>
      <c r="BX389" t="str">
        <f t="shared" si="132"/>
        <v>18</v>
      </c>
      <c r="BY389" t="str">
        <f t="shared" si="133"/>
        <v>3</v>
      </c>
      <c r="BZ389" t="str">
        <f t="shared" si="134"/>
        <v>2021</v>
      </c>
      <c r="CA389" s="5">
        <f t="shared" si="135"/>
        <v>44273</v>
      </c>
      <c r="CB389">
        <v>77</v>
      </c>
      <c r="CC389" s="7">
        <v>6</v>
      </c>
      <c r="CE389">
        <f t="shared" si="123"/>
        <v>1.0201190138849532</v>
      </c>
      <c r="CF389">
        <f t="shared" si="124"/>
        <v>2.5014376078205869</v>
      </c>
      <c r="CG389">
        <f t="shared" si="125"/>
        <v>2.52760023242301E-2</v>
      </c>
      <c r="CH389">
        <f t="shared" si="126"/>
        <v>3.453279164248404</v>
      </c>
      <c r="CI389">
        <f t="shared" si="127"/>
        <v>5.6100981767180973E-2</v>
      </c>
      <c r="CJ389" s="1">
        <f t="shared" si="121"/>
        <v>5.6100981767180973E-2</v>
      </c>
      <c r="CK389" s="7" t="s">
        <v>142</v>
      </c>
      <c r="CL389" s="7">
        <v>3</v>
      </c>
      <c r="CM389" s="7"/>
      <c r="CN389" s="7"/>
      <c r="CO389" s="7"/>
      <c r="CP389" s="7"/>
    </row>
    <row r="390" spans="1:94" x14ac:dyDescent="0.2">
      <c r="A390" s="7" t="s">
        <v>756</v>
      </c>
      <c r="B390" s="7" t="s">
        <v>102</v>
      </c>
      <c r="C390" t="str">
        <f t="shared" si="128"/>
        <v>S</v>
      </c>
      <c r="D390" t="str">
        <f t="shared" si="129"/>
        <v>IMM</v>
      </c>
      <c r="E390" t="str">
        <f t="shared" si="130"/>
        <v>G</v>
      </c>
      <c r="F390" s="7">
        <v>60</v>
      </c>
      <c r="G390" s="7">
        <v>57</v>
      </c>
      <c r="H390" s="7">
        <v>2.99</v>
      </c>
      <c r="I390" s="7">
        <v>5.6000000000000001E-2</v>
      </c>
      <c r="J390" s="7">
        <v>4.4999999999999998E-2</v>
      </c>
      <c r="K390" s="7" t="s">
        <v>24</v>
      </c>
      <c r="L390" t="str">
        <f t="shared" si="131"/>
        <v>F</v>
      </c>
      <c r="M390">
        <v>22</v>
      </c>
      <c r="N390" s="7">
        <v>0.11899999999999999</v>
      </c>
      <c r="O390" s="7">
        <v>0.114</v>
      </c>
      <c r="P390" s="7" t="s">
        <v>36</v>
      </c>
      <c r="Q390" t="str">
        <f t="shared" si="122"/>
        <v>MT</v>
      </c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  <c r="AO390" s="7"/>
      <c r="AP390" s="7"/>
      <c r="AQ390" s="7"/>
      <c r="AR390" s="7"/>
      <c r="AS390" s="7"/>
      <c r="AT390" s="7"/>
      <c r="AU390" s="7"/>
      <c r="AV390" s="7"/>
      <c r="AW390" s="7"/>
      <c r="AX390" s="7"/>
      <c r="AY390" s="7"/>
      <c r="AZ390" s="7"/>
      <c r="BA390" s="7"/>
      <c r="BB390" s="7"/>
      <c r="BC390" s="7"/>
      <c r="BD390" s="7"/>
      <c r="BE390" s="7"/>
      <c r="BF390" s="7"/>
      <c r="BG390" s="7"/>
      <c r="BH390" s="7"/>
      <c r="BI390" s="7"/>
      <c r="BJ390" s="7"/>
      <c r="BK390" s="7"/>
      <c r="BL390" s="7"/>
      <c r="BM390" s="7"/>
      <c r="BN390" s="7"/>
      <c r="BO390" s="7"/>
      <c r="BP390" s="7"/>
      <c r="BQ390" s="7"/>
      <c r="BR390" s="7"/>
      <c r="BS390" s="7"/>
      <c r="BT390" s="7"/>
      <c r="BU390" s="7"/>
      <c r="BV390" s="7">
        <v>0</v>
      </c>
      <c r="BW390" t="s">
        <v>732</v>
      </c>
      <c r="BX390" t="str">
        <f t="shared" si="132"/>
        <v>18</v>
      </c>
      <c r="BY390" t="str">
        <f t="shared" si="133"/>
        <v>3</v>
      </c>
      <c r="BZ390" t="str">
        <f t="shared" si="134"/>
        <v>2021</v>
      </c>
      <c r="CA390" s="5">
        <f t="shared" si="135"/>
        <v>44273</v>
      </c>
      <c r="CB390">
        <v>77</v>
      </c>
      <c r="CC390" s="7">
        <v>6</v>
      </c>
      <c r="CE390">
        <f t="shared" si="123"/>
        <v>1.5280135823429539</v>
      </c>
      <c r="CF390">
        <f t="shared" si="124"/>
        <v>1.9086571233810496</v>
      </c>
      <c r="CG390">
        <f t="shared" si="125"/>
        <v>1.9383869851159568E-2</v>
      </c>
      <c r="CH390">
        <f t="shared" si="126"/>
        <v>3.9638386648122386</v>
      </c>
      <c r="CI390">
        <f t="shared" si="127"/>
        <v>0.16722408026755819</v>
      </c>
      <c r="CJ390" s="1">
        <f t="shared" si="121"/>
        <v>0.16722408026755819</v>
      </c>
      <c r="CK390" s="7" t="s">
        <v>142</v>
      </c>
      <c r="CL390" s="7">
        <v>2</v>
      </c>
      <c r="CM390" s="7"/>
      <c r="CN390" s="7"/>
      <c r="CO390" s="7"/>
      <c r="CP390" s="7"/>
    </row>
    <row r="391" spans="1:94" ht="32" x14ac:dyDescent="0.2">
      <c r="A391" s="7" t="s">
        <v>757</v>
      </c>
      <c r="B391" s="7" t="s">
        <v>102</v>
      </c>
      <c r="C391" t="str">
        <f t="shared" si="128"/>
        <v>S</v>
      </c>
      <c r="D391" t="str">
        <f t="shared" si="129"/>
        <v>IMM</v>
      </c>
      <c r="E391" t="str">
        <f t="shared" si="130"/>
        <v>N</v>
      </c>
      <c r="F391" s="7">
        <v>57</v>
      </c>
      <c r="G391" s="7">
        <v>53</v>
      </c>
      <c r="H391" s="7">
        <v>2.4159999999999999</v>
      </c>
      <c r="I391" s="7">
        <v>3.5999999999999997E-2</v>
      </c>
      <c r="J391" s="7">
        <v>3.1E-2</v>
      </c>
      <c r="K391" s="7" t="s">
        <v>24</v>
      </c>
      <c r="L391" t="str">
        <f t="shared" si="131"/>
        <v>F</v>
      </c>
      <c r="M391">
        <v>22</v>
      </c>
      <c r="N391" s="7">
        <v>0.105</v>
      </c>
      <c r="O391" s="7">
        <v>8.5000000000000006E-2</v>
      </c>
      <c r="P391" s="7" t="s">
        <v>765</v>
      </c>
      <c r="Q391" t="str">
        <f t="shared" si="122"/>
        <v>F</v>
      </c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  <c r="AO391" s="7"/>
      <c r="AP391" s="7"/>
      <c r="AQ391" s="7"/>
      <c r="AR391" s="7"/>
      <c r="AS391" s="7"/>
      <c r="AT391" s="7"/>
      <c r="AU391" s="7"/>
      <c r="AV391" s="7">
        <v>2</v>
      </c>
      <c r="AW391" s="7">
        <v>2E-3</v>
      </c>
      <c r="AX391" s="7"/>
      <c r="AY391" s="7"/>
      <c r="AZ391" s="7"/>
      <c r="BA391" s="7"/>
      <c r="BB391" s="7"/>
      <c r="BC391" s="7"/>
      <c r="BD391" s="7">
        <v>1</v>
      </c>
      <c r="BE391" s="7">
        <v>8.0000000000000002E-3</v>
      </c>
      <c r="BF391" s="7"/>
      <c r="BG391" s="7"/>
      <c r="BH391" s="7"/>
      <c r="BI391" s="7"/>
      <c r="BJ391" s="7"/>
      <c r="BK391" s="7"/>
      <c r="BL391" s="7"/>
      <c r="BM391" s="7"/>
      <c r="BN391" s="7"/>
      <c r="BO391" s="7"/>
      <c r="BP391" s="7"/>
      <c r="BQ391" s="7"/>
      <c r="BR391" s="7"/>
      <c r="BS391" s="7"/>
      <c r="BT391" s="7"/>
      <c r="BU391" s="7"/>
      <c r="BV391" s="7">
        <v>0.01</v>
      </c>
      <c r="BW391" t="s">
        <v>732</v>
      </c>
      <c r="BX391" t="str">
        <f t="shared" si="132"/>
        <v>18</v>
      </c>
      <c r="BY391" t="str">
        <f t="shared" si="133"/>
        <v>3</v>
      </c>
      <c r="BZ391" t="str">
        <f t="shared" si="134"/>
        <v>2021</v>
      </c>
      <c r="CA391" s="5">
        <f t="shared" si="135"/>
        <v>44273</v>
      </c>
      <c r="CB391">
        <v>77</v>
      </c>
      <c r="CC391" s="7">
        <v>6</v>
      </c>
      <c r="CE391">
        <f t="shared" si="123"/>
        <v>1.2997903563941302</v>
      </c>
      <c r="CF391">
        <f t="shared" si="124"/>
        <v>1.5126050420168067</v>
      </c>
      <c r="CG391">
        <f t="shared" si="125"/>
        <v>1.5325670498084292E-2</v>
      </c>
      <c r="CH391">
        <f t="shared" si="126"/>
        <v>3.6465036465036467</v>
      </c>
      <c r="CI391">
        <f t="shared" si="127"/>
        <v>0.82781456953642341</v>
      </c>
      <c r="CJ391" s="1">
        <f t="shared" si="121"/>
        <v>1.2417218543046356</v>
      </c>
      <c r="CK391" s="7" t="s">
        <v>142</v>
      </c>
      <c r="CL391" s="7">
        <v>2</v>
      </c>
      <c r="CM391" s="7"/>
      <c r="CN391" s="7"/>
      <c r="CO391" s="7"/>
      <c r="CP391" s="7"/>
    </row>
    <row r="392" spans="1:94" x14ac:dyDescent="0.2">
      <c r="A392" s="7" t="s">
        <v>758</v>
      </c>
      <c r="B392" s="7" t="s">
        <v>102</v>
      </c>
      <c r="C392" t="str">
        <f t="shared" si="128"/>
        <v>S</v>
      </c>
      <c r="D392" t="str">
        <f t="shared" si="129"/>
        <v>IMM</v>
      </c>
      <c r="E392" t="str">
        <f t="shared" si="130"/>
        <v>N</v>
      </c>
      <c r="F392" s="7">
        <v>57</v>
      </c>
      <c r="G392" s="7">
        <v>54</v>
      </c>
      <c r="H392" s="7">
        <v>2.496</v>
      </c>
      <c r="I392" s="7">
        <v>5.3999999999999999E-2</v>
      </c>
      <c r="J392" s="7">
        <v>4.0000000000000001E-3</v>
      </c>
      <c r="K392" s="7" t="s">
        <v>359</v>
      </c>
      <c r="L392" t="str">
        <f t="shared" si="131"/>
        <v>M</v>
      </c>
      <c r="M392">
        <v>20</v>
      </c>
      <c r="N392" s="7">
        <v>0.13400000000000001</v>
      </c>
      <c r="O392" s="7">
        <v>0.12</v>
      </c>
      <c r="P392" s="7" t="s">
        <v>766</v>
      </c>
      <c r="Q392" t="str">
        <f t="shared" si="122"/>
        <v>F</v>
      </c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  <c r="AO392" s="7"/>
      <c r="AP392" s="7"/>
      <c r="AQ392" s="7"/>
      <c r="AR392" s="7">
        <v>1</v>
      </c>
      <c r="AS392" s="7">
        <v>3.0000000000000001E-3</v>
      </c>
      <c r="AT392" s="7"/>
      <c r="AU392" s="7"/>
      <c r="AV392" s="7"/>
      <c r="AW392" s="7"/>
      <c r="AX392" s="7"/>
      <c r="AY392" s="7"/>
      <c r="AZ392" s="7"/>
      <c r="BA392" s="7"/>
      <c r="BB392" s="7"/>
      <c r="BC392" s="7"/>
      <c r="BD392" s="7"/>
      <c r="BE392" s="7"/>
      <c r="BF392" s="7"/>
      <c r="BG392" s="7"/>
      <c r="BH392" s="7"/>
      <c r="BI392" s="7"/>
      <c r="BJ392" s="7"/>
      <c r="BK392" s="7"/>
      <c r="BL392" s="7"/>
      <c r="BM392" s="7"/>
      <c r="BN392" s="7"/>
      <c r="BO392" s="7"/>
      <c r="BP392" s="7"/>
      <c r="BQ392" s="7"/>
      <c r="BR392" s="7"/>
      <c r="BS392" s="7"/>
      <c r="BT392" s="7"/>
      <c r="BU392" s="7"/>
      <c r="BV392" s="7">
        <v>3.0000000000000001E-3</v>
      </c>
      <c r="BW392" t="s">
        <v>767</v>
      </c>
      <c r="BX392" t="str">
        <f t="shared" si="132"/>
        <v>19</v>
      </c>
      <c r="BY392" t="str">
        <f>MID(BW392,4,2)</f>
        <v>03</v>
      </c>
      <c r="BZ392" t="str">
        <f t="shared" si="134"/>
        <v>2021</v>
      </c>
      <c r="CA392" s="5">
        <f t="shared" si="135"/>
        <v>44274</v>
      </c>
      <c r="CB392">
        <v>78</v>
      </c>
      <c r="CC392" s="7">
        <v>6</v>
      </c>
      <c r="CE392">
        <f t="shared" si="123"/>
        <v>0.16051364365971107</v>
      </c>
      <c r="CF392">
        <f t="shared" si="124"/>
        <v>2.2113022113022112</v>
      </c>
      <c r="CG392">
        <f t="shared" si="125"/>
        <v>2.2149302707136997E-2</v>
      </c>
      <c r="CH392">
        <f t="shared" si="126"/>
        <v>5.0505050505050502</v>
      </c>
      <c r="CI392">
        <f t="shared" si="127"/>
        <v>0.56089743589743646</v>
      </c>
      <c r="CJ392" s="1">
        <f t="shared" si="121"/>
        <v>0.68108974358974406</v>
      </c>
      <c r="CK392" s="7" t="s">
        <v>142</v>
      </c>
      <c r="CL392" s="7">
        <v>3</v>
      </c>
      <c r="CM392" s="7"/>
      <c r="CN392" s="7"/>
      <c r="CO392" s="7"/>
      <c r="CP392" s="7"/>
    </row>
    <row r="393" spans="1:94" x14ac:dyDescent="0.2">
      <c r="A393" s="7" t="s">
        <v>759</v>
      </c>
      <c r="B393" s="7" t="s">
        <v>102</v>
      </c>
      <c r="C393" t="str">
        <f t="shared" si="128"/>
        <v>S</v>
      </c>
      <c r="D393" t="str">
        <f t="shared" si="129"/>
        <v>IMM</v>
      </c>
      <c r="E393" t="str">
        <f t="shared" si="130"/>
        <v>N</v>
      </c>
      <c r="F393" s="7">
        <v>52</v>
      </c>
      <c r="G393" s="7">
        <v>50</v>
      </c>
      <c r="H393" s="7">
        <v>1.9970000000000001</v>
      </c>
      <c r="I393" s="7">
        <v>3.7999999999999999E-2</v>
      </c>
      <c r="J393" s="7">
        <v>2.3E-2</v>
      </c>
      <c r="K393" s="7" t="s">
        <v>24</v>
      </c>
      <c r="L393" t="str">
        <f t="shared" si="131"/>
        <v>F</v>
      </c>
      <c r="M393">
        <v>22</v>
      </c>
      <c r="N393" s="7">
        <v>8.8999999999999996E-2</v>
      </c>
      <c r="O393" s="7">
        <v>8.2000000000000003E-2</v>
      </c>
      <c r="P393" s="7" t="s">
        <v>561</v>
      </c>
      <c r="Q393" t="str">
        <f t="shared" si="122"/>
        <v>F</v>
      </c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  <c r="AO393" s="7">
        <v>1E-3</v>
      </c>
      <c r="AP393" s="7"/>
      <c r="AQ393" s="7"/>
      <c r="AR393" s="7"/>
      <c r="AS393" s="7"/>
      <c r="AT393" s="7"/>
      <c r="AU393" s="7"/>
      <c r="AV393" s="7"/>
      <c r="AW393" s="7"/>
      <c r="AX393" s="7"/>
      <c r="AY393" s="7"/>
      <c r="AZ393" s="7"/>
      <c r="BA393" s="7"/>
      <c r="BB393" s="7"/>
      <c r="BC393" s="7"/>
      <c r="BD393" s="7"/>
      <c r="BE393" s="7"/>
      <c r="BF393" s="7"/>
      <c r="BG393" s="7"/>
      <c r="BH393" s="7"/>
      <c r="BI393" s="7"/>
      <c r="BJ393" s="7"/>
      <c r="BK393" s="7"/>
      <c r="BL393" s="7"/>
      <c r="BM393" s="7"/>
      <c r="BN393" s="7"/>
      <c r="BO393" s="7"/>
      <c r="BP393" s="7"/>
      <c r="BQ393" s="7"/>
      <c r="BR393" s="7"/>
      <c r="BS393" s="7"/>
      <c r="BT393" s="7"/>
      <c r="BU393" s="7"/>
      <c r="BV393" s="7">
        <v>1E-3</v>
      </c>
      <c r="BW393" t="s">
        <v>767</v>
      </c>
      <c r="BX393" t="str">
        <f t="shared" si="132"/>
        <v>19</v>
      </c>
      <c r="BY393" t="str">
        <f>MID(BW393,4,2)</f>
        <v>03</v>
      </c>
      <c r="BZ393" t="str">
        <f t="shared" si="134"/>
        <v>2021</v>
      </c>
      <c r="CA393" s="5">
        <f t="shared" si="135"/>
        <v>44274</v>
      </c>
      <c r="CB393">
        <v>78</v>
      </c>
      <c r="CC393" s="7">
        <v>6</v>
      </c>
      <c r="CE393">
        <f t="shared" si="123"/>
        <v>1.1651469098277607</v>
      </c>
      <c r="CF393">
        <f t="shared" si="124"/>
        <v>1.9397651863195506</v>
      </c>
      <c r="CG393">
        <f t="shared" si="125"/>
        <v>1.9628099173553716E-2</v>
      </c>
      <c r="CH393">
        <f t="shared" si="126"/>
        <v>4.2819843342036554</v>
      </c>
      <c r="CI393">
        <f t="shared" si="127"/>
        <v>0.35052578868302414</v>
      </c>
      <c r="CJ393" s="1">
        <f t="shared" si="121"/>
        <v>0.40060090135202764</v>
      </c>
      <c r="CK393" s="7" t="s">
        <v>142</v>
      </c>
      <c r="CL393" s="7">
        <v>3</v>
      </c>
      <c r="CM393" s="7"/>
      <c r="CN393" s="7"/>
      <c r="CO393" s="7"/>
      <c r="CP393" s="7"/>
    </row>
    <row r="394" spans="1:94" ht="32" x14ac:dyDescent="0.2">
      <c r="A394" s="7" t="s">
        <v>800</v>
      </c>
      <c r="B394" s="7" t="s">
        <v>102</v>
      </c>
      <c r="C394" t="str">
        <f t="shared" si="128"/>
        <v>I</v>
      </c>
      <c r="D394" t="str">
        <f t="shared" si="129"/>
        <v>S</v>
      </c>
      <c r="E394" t="str">
        <f t="shared" si="130"/>
        <v>G</v>
      </c>
      <c r="F394" s="7">
        <v>83</v>
      </c>
      <c r="G394" s="7">
        <v>78</v>
      </c>
      <c r="H394" s="7">
        <v>8.9789999999999992</v>
      </c>
      <c r="I394" s="7">
        <v>0.152</v>
      </c>
      <c r="J394" s="7">
        <v>0.02</v>
      </c>
      <c r="K394" s="7" t="s">
        <v>38</v>
      </c>
      <c r="L394" t="str">
        <f t="shared" si="131"/>
        <v>M</v>
      </c>
      <c r="M394" s="7">
        <v>22</v>
      </c>
      <c r="N394" s="7">
        <v>0.51300000000000001</v>
      </c>
      <c r="O394" s="7">
        <v>0.45400000000000001</v>
      </c>
      <c r="P394" s="7" t="s">
        <v>823</v>
      </c>
      <c r="Q394" t="str">
        <f t="shared" si="122"/>
        <v>F</v>
      </c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  <c r="AO394" s="7"/>
      <c r="AP394" s="7"/>
      <c r="AQ394" s="7"/>
      <c r="AR394" s="7">
        <v>2</v>
      </c>
      <c r="AS394" s="7">
        <v>2.5999999999999999E-2</v>
      </c>
      <c r="AT394" s="7"/>
      <c r="AU394" s="7"/>
      <c r="AV394" s="7"/>
      <c r="AW394" s="7"/>
      <c r="AX394" s="7"/>
      <c r="AY394" s="7"/>
      <c r="AZ394" s="7"/>
      <c r="BA394" s="7"/>
      <c r="BB394" s="7"/>
      <c r="BC394" s="7"/>
      <c r="BD394" s="7">
        <v>2</v>
      </c>
      <c r="BE394" s="7">
        <v>1.4E-2</v>
      </c>
      <c r="BF394" s="7"/>
      <c r="BG394" s="7"/>
      <c r="BH394" s="7"/>
      <c r="BI394" s="7"/>
      <c r="BJ394" s="7"/>
      <c r="BK394" s="7"/>
      <c r="BL394" s="7"/>
      <c r="BM394" s="7"/>
      <c r="BN394" s="7"/>
      <c r="BO394" s="7"/>
      <c r="BP394" s="7"/>
      <c r="BQ394" s="7"/>
      <c r="BR394" s="7"/>
      <c r="BS394" s="7"/>
      <c r="BT394" s="7"/>
      <c r="BU394" s="7"/>
      <c r="BV394" s="7">
        <v>0.04</v>
      </c>
      <c r="BW394" s="5">
        <v>44381</v>
      </c>
      <c r="BX394" s="7">
        <v>7</v>
      </c>
      <c r="BY394" s="7">
        <v>4</v>
      </c>
      <c r="BZ394" s="7">
        <v>2021</v>
      </c>
      <c r="CA394" s="5">
        <f t="shared" si="135"/>
        <v>44293</v>
      </c>
      <c r="CB394">
        <v>97</v>
      </c>
      <c r="CC394" s="7">
        <v>7</v>
      </c>
      <c r="CE394">
        <f t="shared" si="123"/>
        <v>0.22323920080366114</v>
      </c>
      <c r="CF394">
        <f t="shared" si="124"/>
        <v>1.7219893508553303</v>
      </c>
      <c r="CG394">
        <f t="shared" si="125"/>
        <v>1.7258998523901441E-2</v>
      </c>
      <c r="CH394">
        <f t="shared" si="126"/>
        <v>5.3255131964809399</v>
      </c>
      <c r="CI394">
        <f t="shared" si="127"/>
        <v>0.65708876266844862</v>
      </c>
      <c r="CJ394" s="1">
        <f t="shared" si="121"/>
        <v>1.1025726695623124</v>
      </c>
      <c r="CK394" s="7" t="s">
        <v>142</v>
      </c>
      <c r="CL394" s="7">
        <v>3</v>
      </c>
      <c r="CM394" s="7"/>
      <c r="CN394" s="7"/>
      <c r="CO394" s="7"/>
      <c r="CP394" s="7"/>
    </row>
    <row r="395" spans="1:94" ht="32" x14ac:dyDescent="0.2">
      <c r="A395" s="7" t="s">
        <v>811</v>
      </c>
      <c r="B395" s="7" t="s">
        <v>102</v>
      </c>
      <c r="C395" t="str">
        <f t="shared" si="128"/>
        <v>I</v>
      </c>
      <c r="D395" t="str">
        <f t="shared" si="129"/>
        <v>S</v>
      </c>
      <c r="E395" t="str">
        <f t="shared" si="130"/>
        <v>G</v>
      </c>
      <c r="F395" s="7">
        <v>68</v>
      </c>
      <c r="G395" s="7">
        <v>64</v>
      </c>
      <c r="H395" s="7">
        <v>4.4859999999999998</v>
      </c>
      <c r="I395" s="7">
        <v>7.9000000000000001E-2</v>
      </c>
      <c r="J395" s="7">
        <v>8.9999999999999993E-3</v>
      </c>
      <c r="K395" s="7" t="s">
        <v>38</v>
      </c>
      <c r="L395" t="str">
        <f t="shared" si="131"/>
        <v>M</v>
      </c>
      <c r="M395" s="7">
        <v>22</v>
      </c>
      <c r="N395" s="7">
        <v>0.23599999999999999</v>
      </c>
      <c r="O395" s="7">
        <v>0.17499999999999999</v>
      </c>
      <c r="P395" s="7" t="s">
        <v>832</v>
      </c>
      <c r="Q395" t="str">
        <f t="shared" si="122"/>
        <v>F</v>
      </c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>
        <v>2</v>
      </c>
      <c r="AG395" s="7">
        <v>5.0000000000000001E-3</v>
      </c>
      <c r="AH395" s="7"/>
      <c r="AI395" s="7"/>
      <c r="AJ395" s="7"/>
      <c r="AK395" s="7"/>
      <c r="AL395" s="7"/>
      <c r="AM395" s="7"/>
      <c r="AN395" s="7"/>
      <c r="AO395" s="7"/>
      <c r="AP395" s="7"/>
      <c r="AQ395" s="7"/>
      <c r="AR395" s="7">
        <v>3</v>
      </c>
      <c r="AS395" s="7">
        <v>4.1000000000000002E-2</v>
      </c>
      <c r="AT395" s="7"/>
      <c r="AU395" s="7"/>
      <c r="AV395" s="7"/>
      <c r="AW395" s="7"/>
      <c r="AX395" s="7"/>
      <c r="AY395" s="7"/>
      <c r="AZ395" s="7"/>
      <c r="BA395" s="7"/>
      <c r="BB395" s="7"/>
      <c r="BC395" s="7"/>
      <c r="BD395" s="7"/>
      <c r="BE395" s="7"/>
      <c r="BF395" s="7"/>
      <c r="BG395" s="7"/>
      <c r="BH395" s="7"/>
      <c r="BI395" s="7"/>
      <c r="BJ395" s="7"/>
      <c r="BK395" s="7"/>
      <c r="BL395" s="7"/>
      <c r="BM395" s="7"/>
      <c r="BN395" s="7"/>
      <c r="BO395" s="7"/>
      <c r="BP395" s="7"/>
      <c r="BQ395" s="7"/>
      <c r="BR395" s="7"/>
      <c r="BS395" s="7"/>
      <c r="BT395" s="7"/>
      <c r="BU395" s="7"/>
      <c r="BV395" s="7">
        <v>4.5999999999999999E-2</v>
      </c>
      <c r="BW395" s="5">
        <v>44443</v>
      </c>
      <c r="BX395" s="7">
        <v>9</v>
      </c>
      <c r="BY395" s="7">
        <v>4</v>
      </c>
      <c r="BZ395" s="7">
        <v>2021</v>
      </c>
      <c r="CA395" s="5">
        <f t="shared" si="135"/>
        <v>44295</v>
      </c>
      <c r="CB395">
        <v>99</v>
      </c>
      <c r="CC395" s="7">
        <v>7</v>
      </c>
      <c r="CE395">
        <f t="shared" si="123"/>
        <v>0.20102747375474647</v>
      </c>
      <c r="CF395">
        <f t="shared" si="124"/>
        <v>1.7926026775584298</v>
      </c>
      <c r="CG395">
        <f t="shared" si="125"/>
        <v>1.7962710322874036E-2</v>
      </c>
      <c r="CH395">
        <f t="shared" si="126"/>
        <v>4.0593829737879839</v>
      </c>
      <c r="CI395">
        <f t="shared" si="127"/>
        <v>1.3597860008916629</v>
      </c>
      <c r="CJ395" s="1">
        <f t="shared" si="121"/>
        <v>2.3851983950066877</v>
      </c>
      <c r="CK395" s="7" t="s">
        <v>142</v>
      </c>
      <c r="CL395" s="7">
        <v>3</v>
      </c>
      <c r="CM395" s="7"/>
      <c r="CN395" s="7"/>
      <c r="CO395" s="7"/>
      <c r="CP395" s="7"/>
    </row>
    <row r="396" spans="1:94" x14ac:dyDescent="0.2">
      <c r="A396" s="7" t="s">
        <v>812</v>
      </c>
      <c r="B396" s="7" t="s">
        <v>102</v>
      </c>
      <c r="C396" t="str">
        <f t="shared" si="128"/>
        <v>I</v>
      </c>
      <c r="D396" t="str">
        <f t="shared" si="129"/>
        <v>S</v>
      </c>
      <c r="E396" t="str">
        <f t="shared" si="130"/>
        <v>G</v>
      </c>
      <c r="F396" s="7">
        <v>66</v>
      </c>
      <c r="G396" s="7">
        <v>62</v>
      </c>
      <c r="H396" s="7">
        <v>4.0510000000000002</v>
      </c>
      <c r="I396" s="7">
        <v>7.0999999999999994E-2</v>
      </c>
      <c r="J396" s="7">
        <v>5.0999999999999997E-2</v>
      </c>
      <c r="K396" s="7" t="s">
        <v>24</v>
      </c>
      <c r="L396" t="str">
        <f t="shared" si="131"/>
        <v>F</v>
      </c>
      <c r="M396" s="7">
        <v>22</v>
      </c>
      <c r="N396" s="7">
        <v>0.19500000000000001</v>
      </c>
      <c r="O396" s="7">
        <v>0.182</v>
      </c>
      <c r="P396" s="7" t="s">
        <v>833</v>
      </c>
      <c r="Q396" t="str">
        <f t="shared" si="122"/>
        <v>F</v>
      </c>
      <c r="R396" s="7"/>
      <c r="S396" s="7"/>
      <c r="T396" s="7">
        <v>1</v>
      </c>
      <c r="U396" s="7">
        <v>7.0000000000000001E-3</v>
      </c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  <c r="AO396" s="7"/>
      <c r="AP396" s="7"/>
      <c r="AQ396" s="7"/>
      <c r="AR396" s="7"/>
      <c r="AS396" s="7"/>
      <c r="AT396" s="7"/>
      <c r="AU396" s="7"/>
      <c r="AV396" s="7"/>
      <c r="AW396" s="7"/>
      <c r="AX396" s="7"/>
      <c r="AY396" s="7"/>
      <c r="AZ396" s="7"/>
      <c r="BA396" s="7"/>
      <c r="BB396" s="7"/>
      <c r="BC396" s="7"/>
      <c r="BD396" s="7"/>
      <c r="BE396" s="7"/>
      <c r="BF396" s="7"/>
      <c r="BG396" s="7"/>
      <c r="BH396" s="7"/>
      <c r="BI396" s="7"/>
      <c r="BJ396" s="7"/>
      <c r="BK396" s="7"/>
      <c r="BL396" s="7"/>
      <c r="BM396" s="7"/>
      <c r="BN396" s="7"/>
      <c r="BO396" s="7"/>
      <c r="BP396" s="7"/>
      <c r="BQ396" s="7"/>
      <c r="BR396" s="7"/>
      <c r="BS396" s="7"/>
      <c r="BT396" s="7"/>
      <c r="BU396" s="7"/>
      <c r="BV396" s="7">
        <v>7.0000000000000001E-3</v>
      </c>
      <c r="BW396" s="5">
        <v>44443</v>
      </c>
      <c r="BX396" s="7">
        <v>9</v>
      </c>
      <c r="BY396" s="7">
        <v>4</v>
      </c>
      <c r="BZ396" s="7">
        <v>2021</v>
      </c>
      <c r="CA396" s="5">
        <f t="shared" si="135"/>
        <v>44295</v>
      </c>
      <c r="CB396">
        <v>99</v>
      </c>
      <c r="CC396" s="7">
        <v>7</v>
      </c>
      <c r="CE396">
        <f t="shared" si="123"/>
        <v>1.2749999999999999</v>
      </c>
      <c r="CF396">
        <f t="shared" si="124"/>
        <v>1.7839195979899496</v>
      </c>
      <c r="CG396">
        <f t="shared" si="125"/>
        <v>1.8070755917536267E-2</v>
      </c>
      <c r="CH396">
        <f t="shared" si="126"/>
        <v>4.7040578960971819</v>
      </c>
      <c r="CI396">
        <f t="shared" si="127"/>
        <v>0.32090841767464851</v>
      </c>
      <c r="CJ396" s="1">
        <f t="shared" si="121"/>
        <v>0.49370525796099751</v>
      </c>
      <c r="CK396" s="7" t="s">
        <v>142</v>
      </c>
      <c r="CL396" s="7">
        <v>2</v>
      </c>
      <c r="CM396" s="7"/>
      <c r="CN396" s="7"/>
      <c r="CO396" s="7"/>
      <c r="CP396" s="7"/>
    </row>
    <row r="397" spans="1:94" ht="32" x14ac:dyDescent="0.2">
      <c r="A397" s="7" t="s">
        <v>813</v>
      </c>
      <c r="B397" s="7" t="s">
        <v>102</v>
      </c>
      <c r="C397" t="str">
        <f t="shared" si="128"/>
        <v>I</v>
      </c>
      <c r="D397" t="str">
        <f t="shared" si="129"/>
        <v>IMM</v>
      </c>
      <c r="E397" t="str">
        <f t="shared" si="130"/>
        <v>G</v>
      </c>
      <c r="F397" s="7">
        <v>64</v>
      </c>
      <c r="G397" s="7">
        <v>61</v>
      </c>
      <c r="H397" s="7">
        <v>3.6869999999999998</v>
      </c>
      <c r="I397" s="7">
        <v>5.5E-2</v>
      </c>
      <c r="J397" s="7">
        <v>0.04</v>
      </c>
      <c r="K397" s="7" t="s">
        <v>786</v>
      </c>
      <c r="L397" t="str">
        <f t="shared" si="131"/>
        <v>F</v>
      </c>
      <c r="M397" s="7">
        <v>23</v>
      </c>
      <c r="N397" s="7">
        <v>0.185</v>
      </c>
      <c r="O397" s="7">
        <v>0.13400000000000001</v>
      </c>
      <c r="P397" s="7" t="s">
        <v>834</v>
      </c>
      <c r="Q397" t="str">
        <f t="shared" si="122"/>
        <v>F</v>
      </c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  <c r="AO397" s="7"/>
      <c r="AP397" s="7"/>
      <c r="AQ397" s="7"/>
      <c r="AR397" s="7"/>
      <c r="AS397" s="7"/>
      <c r="AT397" s="7"/>
      <c r="AU397" s="7"/>
      <c r="AV397" s="7">
        <v>2</v>
      </c>
      <c r="AW397" s="7">
        <v>1.4999999999999999E-2</v>
      </c>
      <c r="AX397" s="7"/>
      <c r="AY397" s="7"/>
      <c r="AZ397" s="7">
        <v>2</v>
      </c>
      <c r="BA397" s="7">
        <v>8.9999999999999993E-3</v>
      </c>
      <c r="BB397" s="7"/>
      <c r="BC397" s="7"/>
      <c r="BD397" s="7"/>
      <c r="BE397" s="7"/>
      <c r="BF397" s="7"/>
      <c r="BG397" s="7"/>
      <c r="BH397" s="7"/>
      <c r="BI397" s="7"/>
      <c r="BJ397" s="7"/>
      <c r="BK397" s="7"/>
      <c r="BL397" s="7"/>
      <c r="BM397" s="7"/>
      <c r="BN397" s="7"/>
      <c r="BO397" s="7"/>
      <c r="BP397" s="7"/>
      <c r="BQ397" s="7"/>
      <c r="BR397" s="7"/>
      <c r="BS397" s="7"/>
      <c r="BT397" s="7"/>
      <c r="BU397" s="7"/>
      <c r="BV397" s="7">
        <v>2.4E-2</v>
      </c>
      <c r="BW397" s="5">
        <v>44443</v>
      </c>
      <c r="BX397" s="7">
        <v>9</v>
      </c>
      <c r="BY397" s="7">
        <v>4</v>
      </c>
      <c r="BZ397" s="7">
        <v>2021</v>
      </c>
      <c r="CA397" s="5">
        <f t="shared" si="135"/>
        <v>44295</v>
      </c>
      <c r="CB397">
        <v>99</v>
      </c>
      <c r="CC397" s="7">
        <v>7</v>
      </c>
      <c r="CE397">
        <f t="shared" si="123"/>
        <v>1.0967918837400603</v>
      </c>
      <c r="CF397">
        <f t="shared" si="124"/>
        <v>1.5143171806167401</v>
      </c>
      <c r="CG397">
        <f t="shared" si="125"/>
        <v>1.5311804008908688E-2</v>
      </c>
      <c r="CH397">
        <f t="shared" si="126"/>
        <v>3.7714607374050102</v>
      </c>
      <c r="CI397">
        <f t="shared" si="127"/>
        <v>1.3832384052074855</v>
      </c>
      <c r="CJ397" s="1">
        <f t="shared" si="121"/>
        <v>2.0341741253051255</v>
      </c>
      <c r="CK397" s="7" t="s">
        <v>142</v>
      </c>
      <c r="CL397" s="7">
        <v>1</v>
      </c>
      <c r="CM397" s="7"/>
      <c r="CN397" s="7"/>
      <c r="CO397" s="7"/>
      <c r="CP397" s="7"/>
    </row>
    <row r="398" spans="1:94" x14ac:dyDescent="0.2">
      <c r="A398" s="7" t="s">
        <v>814</v>
      </c>
      <c r="B398" s="7" t="s">
        <v>102</v>
      </c>
      <c r="C398" t="str">
        <f t="shared" si="128"/>
        <v>I</v>
      </c>
      <c r="D398" t="str">
        <f t="shared" si="129"/>
        <v>S</v>
      </c>
      <c r="E398" t="str">
        <f t="shared" si="130"/>
        <v>G</v>
      </c>
      <c r="F398" s="7">
        <v>65</v>
      </c>
      <c r="G398" s="7">
        <v>61</v>
      </c>
      <c r="H398" s="7">
        <v>3.4689999999999999</v>
      </c>
      <c r="I398" s="7">
        <v>6.3E-2</v>
      </c>
      <c r="J398" s="7">
        <v>4.1000000000000002E-2</v>
      </c>
      <c r="K398" s="7" t="s">
        <v>24</v>
      </c>
      <c r="L398" t="str">
        <f t="shared" si="131"/>
        <v>F</v>
      </c>
      <c r="M398" s="7">
        <v>22</v>
      </c>
      <c r="N398" s="7">
        <v>0.16600000000000001</v>
      </c>
      <c r="O398" s="7">
        <v>0.158</v>
      </c>
      <c r="P398" s="7" t="s">
        <v>36</v>
      </c>
      <c r="Q398" t="str">
        <f t="shared" si="122"/>
        <v>MT</v>
      </c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  <c r="AO398" s="7"/>
      <c r="AP398" s="7"/>
      <c r="AQ398" s="7"/>
      <c r="AR398" s="7"/>
      <c r="AS398" s="7"/>
      <c r="AT398" s="7"/>
      <c r="AU398" s="7"/>
      <c r="AV398" s="7"/>
      <c r="AW398" s="7"/>
      <c r="AX398" s="7"/>
      <c r="AY398" s="7"/>
      <c r="AZ398" s="7"/>
      <c r="BA398" s="7"/>
      <c r="BB398" s="7"/>
      <c r="BC398" s="7"/>
      <c r="BD398" s="7"/>
      <c r="BE398" s="7"/>
      <c r="BF398" s="7"/>
      <c r="BG398" s="7"/>
      <c r="BH398" s="7"/>
      <c r="BI398" s="7"/>
      <c r="BJ398" s="7"/>
      <c r="BK398" s="7"/>
      <c r="BL398" s="7"/>
      <c r="BM398" s="7"/>
      <c r="BN398" s="7"/>
      <c r="BO398" s="7"/>
      <c r="BP398" s="7"/>
      <c r="BQ398" s="7"/>
      <c r="BR398" s="7"/>
      <c r="BS398" s="7"/>
      <c r="BT398" s="7"/>
      <c r="BU398" s="7"/>
      <c r="BW398" s="5">
        <v>44443</v>
      </c>
      <c r="BX398" s="7">
        <v>9</v>
      </c>
      <c r="BY398" s="7">
        <v>4</v>
      </c>
      <c r="BZ398" s="7">
        <v>2021</v>
      </c>
      <c r="CA398" s="5">
        <f t="shared" si="135"/>
        <v>44295</v>
      </c>
      <c r="CB398">
        <v>99</v>
      </c>
      <c r="CC398" s="7">
        <v>7</v>
      </c>
      <c r="CE398">
        <f t="shared" si="123"/>
        <v>1.1960326721120189</v>
      </c>
      <c r="CF398">
        <f t="shared" si="124"/>
        <v>1.8496770405167353</v>
      </c>
      <c r="CG398">
        <f t="shared" si="125"/>
        <v>1.8722139673105501E-2</v>
      </c>
      <c r="CH398">
        <f t="shared" si="126"/>
        <v>4.7719722138326794</v>
      </c>
      <c r="CI398">
        <f t="shared" si="127"/>
        <v>0.23061400980109564</v>
      </c>
      <c r="CJ398" s="1">
        <f t="shared" si="121"/>
        <v>0.23061400980109564</v>
      </c>
      <c r="CK398" s="7" t="s">
        <v>142</v>
      </c>
      <c r="CL398" s="7">
        <v>2</v>
      </c>
      <c r="CM398" s="7"/>
      <c r="CN398" s="7"/>
      <c r="CO398" s="7"/>
      <c r="CP398" s="7"/>
    </row>
    <row r="399" spans="1:94" x14ac:dyDescent="0.2">
      <c r="A399" s="7" t="s">
        <v>815</v>
      </c>
      <c r="B399" s="7" t="s">
        <v>102</v>
      </c>
      <c r="C399" t="str">
        <f t="shared" si="128"/>
        <v>S</v>
      </c>
      <c r="D399" t="str">
        <f t="shared" si="129"/>
        <v>IMM</v>
      </c>
      <c r="E399" t="str">
        <f t="shared" si="130"/>
        <v>G</v>
      </c>
      <c r="F399" s="7">
        <v>60</v>
      </c>
      <c r="G399" s="7">
        <v>57</v>
      </c>
      <c r="H399" s="7">
        <v>3.1869999999999998</v>
      </c>
      <c r="I399" s="7">
        <v>5.0999999999999997E-2</v>
      </c>
      <c r="J399" s="7">
        <v>3.4000000000000002E-2</v>
      </c>
      <c r="K399" s="7" t="s">
        <v>24</v>
      </c>
      <c r="L399" t="str">
        <f t="shared" si="131"/>
        <v>F</v>
      </c>
      <c r="M399" s="7">
        <v>22</v>
      </c>
      <c r="N399" s="7">
        <v>0.192</v>
      </c>
      <c r="O399" s="7">
        <v>0.14000000000000001</v>
      </c>
      <c r="P399" s="7" t="s">
        <v>835</v>
      </c>
      <c r="Q399" t="str">
        <f t="shared" si="122"/>
        <v>F</v>
      </c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>
        <v>100</v>
      </c>
      <c r="AO399" s="7">
        <v>1.2E-2</v>
      </c>
      <c r="AP399" s="7"/>
      <c r="AQ399" s="7"/>
      <c r="AR399" s="7"/>
      <c r="AS399" s="7"/>
      <c r="AT399" s="7"/>
      <c r="AU399" s="7"/>
      <c r="AV399" s="7"/>
      <c r="AW399" s="7"/>
      <c r="AX399" s="7"/>
      <c r="AY399" s="7"/>
      <c r="AZ399" s="7"/>
      <c r="BA399" s="7"/>
      <c r="BB399" s="7"/>
      <c r="BC399" s="7"/>
      <c r="BD399" s="7"/>
      <c r="BE399" s="7"/>
      <c r="BF399" s="7"/>
      <c r="BG399" s="7"/>
      <c r="BH399" s="7"/>
      <c r="BI399" s="7"/>
      <c r="BJ399" s="7"/>
      <c r="BK399" s="7"/>
      <c r="BL399" s="7"/>
      <c r="BM399" s="7"/>
      <c r="BN399" s="7"/>
      <c r="BO399" s="7"/>
      <c r="BP399" s="7"/>
      <c r="BQ399" s="7"/>
      <c r="BR399" s="7"/>
      <c r="BS399" s="7"/>
      <c r="BT399" s="7"/>
      <c r="BU399" s="7"/>
      <c r="BV399" s="7">
        <v>1.2E-2</v>
      </c>
      <c r="BW399" s="5">
        <v>44443</v>
      </c>
      <c r="BX399" s="7">
        <v>9</v>
      </c>
      <c r="BY399" s="7">
        <v>4</v>
      </c>
      <c r="BZ399" s="7">
        <v>2021</v>
      </c>
      <c r="CA399" s="5">
        <f t="shared" si="135"/>
        <v>44295</v>
      </c>
      <c r="CB399">
        <v>99</v>
      </c>
      <c r="CC399" s="7">
        <v>7</v>
      </c>
      <c r="CE399">
        <f t="shared" si="123"/>
        <v>1.0783380907072628</v>
      </c>
      <c r="CF399">
        <f t="shared" si="124"/>
        <v>1.6262755102040818</v>
      </c>
      <c r="CG399">
        <f t="shared" si="125"/>
        <v>1.6441005802707929E-2</v>
      </c>
      <c r="CH399">
        <f t="shared" si="126"/>
        <v>4.5946832950443062</v>
      </c>
      <c r="CI399">
        <f t="shared" si="127"/>
        <v>1.631628490743646</v>
      </c>
      <c r="CJ399" s="1">
        <f t="shared" si="121"/>
        <v>2.008158142453718</v>
      </c>
      <c r="CK399" s="7" t="s">
        <v>142</v>
      </c>
      <c r="CL399" s="7">
        <v>3</v>
      </c>
      <c r="CM399" s="7"/>
      <c r="CN399" s="7"/>
      <c r="CO399" s="7"/>
      <c r="CP399" s="7"/>
    </row>
    <row r="400" spans="1:94" x14ac:dyDescent="0.2">
      <c r="A400" s="7" t="s">
        <v>816</v>
      </c>
      <c r="B400" s="7" t="s">
        <v>102</v>
      </c>
      <c r="C400" t="str">
        <f t="shared" si="128"/>
        <v>I</v>
      </c>
      <c r="D400" t="str">
        <f t="shared" si="129"/>
        <v>IMM</v>
      </c>
      <c r="E400" t="str">
        <f t="shared" si="130"/>
        <v>G</v>
      </c>
      <c r="F400" s="7">
        <v>63</v>
      </c>
      <c r="G400" s="7">
        <v>59</v>
      </c>
      <c r="H400" s="7">
        <v>3.6</v>
      </c>
      <c r="I400" s="7">
        <v>6.7000000000000004E-2</v>
      </c>
      <c r="J400" s="7">
        <v>4.0000000000000001E-3</v>
      </c>
      <c r="K400" s="7" t="s">
        <v>316</v>
      </c>
      <c r="L400" t="str">
        <f t="shared" si="131"/>
        <v>M</v>
      </c>
      <c r="M400" s="7">
        <v>10</v>
      </c>
      <c r="N400" s="7">
        <v>0.221</v>
      </c>
      <c r="O400" s="7">
        <v>0.20499999999999999</v>
      </c>
      <c r="P400" s="7" t="s">
        <v>836</v>
      </c>
      <c r="Q400" t="str">
        <f t="shared" si="122"/>
        <v>F</v>
      </c>
      <c r="R400" s="7"/>
      <c r="S400" s="7"/>
      <c r="T400" s="7"/>
      <c r="U400" s="7">
        <v>8.9999999999999993E-3</v>
      </c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  <c r="AO400" s="7"/>
      <c r="AP400" s="7"/>
      <c r="AQ400" s="7"/>
      <c r="AR400" s="7"/>
      <c r="AS400" s="7"/>
      <c r="AT400" s="7"/>
      <c r="AU400" s="7"/>
      <c r="AV400" s="7"/>
      <c r="AW400" s="7"/>
      <c r="AX400" s="7"/>
      <c r="AY400" s="7"/>
      <c r="AZ400" s="7"/>
      <c r="BA400" s="7"/>
      <c r="BB400" s="7"/>
      <c r="BC400" s="7"/>
      <c r="BD400" s="7"/>
      <c r="BE400" s="7"/>
      <c r="BF400" s="7"/>
      <c r="BG400" s="7"/>
      <c r="BH400" s="7"/>
      <c r="BI400" s="7"/>
      <c r="BJ400" s="7"/>
      <c r="BK400" s="7"/>
      <c r="BL400" s="7"/>
      <c r="BM400" s="7"/>
      <c r="BN400" s="7"/>
      <c r="BO400" s="7"/>
      <c r="BP400" s="7"/>
      <c r="BQ400" s="7"/>
      <c r="BR400" s="7"/>
      <c r="BS400" s="7"/>
      <c r="BT400" s="7"/>
      <c r="BU400" s="7"/>
      <c r="BV400" s="7">
        <v>8.9999999999999993E-3</v>
      </c>
      <c r="BW400" s="5">
        <v>44443</v>
      </c>
      <c r="BX400" s="7">
        <v>9</v>
      </c>
      <c r="BY400" s="7">
        <v>4</v>
      </c>
      <c r="BZ400" s="7">
        <v>2021</v>
      </c>
      <c r="CA400" s="5">
        <f t="shared" si="135"/>
        <v>44295</v>
      </c>
      <c r="CB400">
        <v>99</v>
      </c>
      <c r="CC400" s="7">
        <v>7</v>
      </c>
      <c r="CE400">
        <f t="shared" si="123"/>
        <v>0.11123470522803114</v>
      </c>
      <c r="CF400">
        <f t="shared" si="124"/>
        <v>1.8964053212567227</v>
      </c>
      <c r="CG400">
        <f t="shared" si="125"/>
        <v>1.8985548313969966E-2</v>
      </c>
      <c r="CH400">
        <f t="shared" si="126"/>
        <v>6.0382916053019136</v>
      </c>
      <c r="CI400">
        <f t="shared" si="127"/>
        <v>0.44444444444444481</v>
      </c>
      <c r="CJ400" s="1">
        <f t="shared" si="121"/>
        <v>0.69444444444444486</v>
      </c>
      <c r="CK400" s="7" t="s">
        <v>142</v>
      </c>
      <c r="CL400" s="7">
        <v>3</v>
      </c>
      <c r="CM400" s="7"/>
      <c r="CN400" s="7"/>
      <c r="CO400" s="7"/>
      <c r="CP400" s="7"/>
    </row>
    <row r="401" spans="1:94" x14ac:dyDescent="0.2">
      <c r="A401" s="7" t="s">
        <v>817</v>
      </c>
      <c r="B401" s="7" t="s">
        <v>102</v>
      </c>
      <c r="C401" t="str">
        <f t="shared" si="128"/>
        <v>S</v>
      </c>
      <c r="D401" t="str">
        <f t="shared" si="129"/>
        <v>IMM</v>
      </c>
      <c r="E401" t="str">
        <f t="shared" si="130"/>
        <v>G</v>
      </c>
      <c r="F401" s="7">
        <v>60</v>
      </c>
      <c r="G401" s="7">
        <v>56</v>
      </c>
      <c r="H401" s="7">
        <v>2.952</v>
      </c>
      <c r="I401" s="7">
        <v>3.7999999999999999E-2</v>
      </c>
      <c r="J401" s="7">
        <v>4.0000000000000001E-3</v>
      </c>
      <c r="K401" s="7" t="s">
        <v>359</v>
      </c>
      <c r="L401" t="str">
        <f t="shared" si="131"/>
        <v>M</v>
      </c>
      <c r="M401" s="7">
        <v>20</v>
      </c>
      <c r="N401" s="7">
        <v>0.20100000000000001</v>
      </c>
      <c r="O401" s="7">
        <v>0.16</v>
      </c>
      <c r="P401" s="7" t="s">
        <v>837</v>
      </c>
      <c r="Q401" t="str">
        <f t="shared" si="122"/>
        <v>F</v>
      </c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>
        <v>200</v>
      </c>
      <c r="AO401" s="7">
        <v>2.7E-2</v>
      </c>
      <c r="AP401" s="7"/>
      <c r="AQ401" s="7"/>
      <c r="AR401" s="7"/>
      <c r="AS401" s="7"/>
      <c r="AT401" s="7"/>
      <c r="AU401" s="7"/>
      <c r="AV401" s="7"/>
      <c r="AW401" s="7"/>
      <c r="AX401" s="7"/>
      <c r="AY401" s="7"/>
      <c r="AZ401" s="7"/>
      <c r="BA401" s="7"/>
      <c r="BB401" s="7"/>
      <c r="BC401" s="7"/>
      <c r="BD401" s="7"/>
      <c r="BE401" s="7"/>
      <c r="BF401" s="7"/>
      <c r="BG401" s="7"/>
      <c r="BH401" s="7"/>
      <c r="BI401" s="7"/>
      <c r="BJ401" s="7"/>
      <c r="BK401" s="7"/>
      <c r="BL401" s="7"/>
      <c r="BM401" s="7"/>
      <c r="BN401" s="7"/>
      <c r="BO401" s="7"/>
      <c r="BP401" s="7"/>
      <c r="BQ401" s="7"/>
      <c r="BR401" s="7"/>
      <c r="BS401" s="7"/>
      <c r="BT401" s="7"/>
      <c r="BU401" s="7"/>
      <c r="BV401" s="7">
        <v>2.7E-2</v>
      </c>
      <c r="BW401" s="5">
        <v>44443</v>
      </c>
      <c r="BX401" s="7">
        <v>9</v>
      </c>
      <c r="BY401" s="7">
        <v>4</v>
      </c>
      <c r="BZ401" s="7">
        <v>2021</v>
      </c>
      <c r="CA401" s="5">
        <f t="shared" si="135"/>
        <v>44295</v>
      </c>
      <c r="CB401">
        <v>99</v>
      </c>
      <c r="CC401" s="7">
        <v>7</v>
      </c>
      <c r="CE401">
        <f t="shared" si="123"/>
        <v>0.135685210312076</v>
      </c>
      <c r="CF401">
        <f t="shared" si="124"/>
        <v>1.3040494166094714</v>
      </c>
      <c r="CG401">
        <f t="shared" si="125"/>
        <v>1.3058419243986253E-2</v>
      </c>
      <c r="CH401">
        <f t="shared" si="126"/>
        <v>5.7306590257879657</v>
      </c>
      <c r="CI401">
        <f t="shared" si="127"/>
        <v>1.3888888888888891</v>
      </c>
      <c r="CJ401" s="1">
        <f t="shared" ref="CJ401:CJ432" si="136">(N401-O401+(BV401))/(H401)*100</f>
        <v>2.3035230352303522</v>
      </c>
      <c r="CK401" s="7" t="s">
        <v>142</v>
      </c>
      <c r="CL401" s="7">
        <v>3</v>
      </c>
      <c r="CM401" s="7"/>
      <c r="CN401" s="7"/>
      <c r="CO401" s="7"/>
      <c r="CP401" s="7"/>
    </row>
    <row r="402" spans="1:94" x14ac:dyDescent="0.2">
      <c r="A402" s="7" t="s">
        <v>818</v>
      </c>
      <c r="B402" s="7" t="s">
        <v>102</v>
      </c>
      <c r="C402" t="str">
        <f t="shared" si="128"/>
        <v>S</v>
      </c>
      <c r="D402" t="str">
        <f t="shared" si="129"/>
        <v>IMM</v>
      </c>
      <c r="E402" t="str">
        <f t="shared" si="130"/>
        <v>G</v>
      </c>
      <c r="F402" s="7">
        <v>60</v>
      </c>
      <c r="G402" s="7">
        <v>56</v>
      </c>
      <c r="H402" s="7">
        <v>2.8969999999999998</v>
      </c>
      <c r="I402" s="7">
        <v>0.05</v>
      </c>
      <c r="J402" s="7">
        <v>5.0000000000000001E-3</v>
      </c>
      <c r="K402" s="7" t="s">
        <v>359</v>
      </c>
      <c r="L402" t="str">
        <f t="shared" si="131"/>
        <v>M</v>
      </c>
      <c r="M402" s="7">
        <v>20</v>
      </c>
      <c r="N402" s="7">
        <v>0.14299999999999999</v>
      </c>
      <c r="O402" s="7">
        <v>0.115</v>
      </c>
      <c r="P402" s="7" t="s">
        <v>838</v>
      </c>
      <c r="Q402" t="str">
        <f t="shared" si="122"/>
        <v>F</v>
      </c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  <c r="AO402" s="7"/>
      <c r="AP402" s="7"/>
      <c r="AQ402" s="7"/>
      <c r="AR402" s="7"/>
      <c r="AS402" s="7"/>
      <c r="AT402" s="7"/>
      <c r="AU402" s="7"/>
      <c r="AV402" s="7">
        <v>3</v>
      </c>
      <c r="AW402" s="7">
        <v>1.7000000000000001E-2</v>
      </c>
      <c r="AX402" s="7"/>
      <c r="AY402" s="7"/>
      <c r="AZ402" s="7"/>
      <c r="BA402" s="7"/>
      <c r="BB402" s="7"/>
      <c r="BC402" s="7"/>
      <c r="BD402" s="7"/>
      <c r="BE402" s="7"/>
      <c r="BF402" s="7"/>
      <c r="BG402" s="7"/>
      <c r="BH402" s="7"/>
      <c r="BI402" s="7"/>
      <c r="BJ402" s="7"/>
      <c r="BK402" s="7"/>
      <c r="BL402" s="7"/>
      <c r="BM402" s="7"/>
      <c r="BN402" s="7"/>
      <c r="BO402" s="7"/>
      <c r="BP402" s="7"/>
      <c r="BQ402" s="7"/>
      <c r="BR402" s="7"/>
      <c r="BS402" s="7"/>
      <c r="BT402" s="7"/>
      <c r="BU402" s="7"/>
      <c r="BV402" s="7">
        <v>1.7000000000000001E-2</v>
      </c>
      <c r="BW402" s="5">
        <v>44443</v>
      </c>
      <c r="BX402" s="7">
        <v>9</v>
      </c>
      <c r="BY402" s="7">
        <v>4</v>
      </c>
      <c r="BZ402" s="7">
        <v>2021</v>
      </c>
      <c r="CA402" s="5">
        <f t="shared" si="135"/>
        <v>44295</v>
      </c>
      <c r="CB402">
        <v>99</v>
      </c>
      <c r="CC402" s="7">
        <v>7</v>
      </c>
      <c r="CE402">
        <f t="shared" si="123"/>
        <v>0.17289073305670818</v>
      </c>
      <c r="CF402">
        <f t="shared" si="124"/>
        <v>1.7562346329469618</v>
      </c>
      <c r="CG402">
        <f t="shared" si="125"/>
        <v>1.7593244194229415E-2</v>
      </c>
      <c r="CH402">
        <f t="shared" si="126"/>
        <v>4.1337167505391816</v>
      </c>
      <c r="CI402">
        <f t="shared" si="127"/>
        <v>0.96651708664135272</v>
      </c>
      <c r="CJ402" s="1">
        <f t="shared" si="136"/>
        <v>1.5533310321021743</v>
      </c>
      <c r="CK402" s="7" t="s">
        <v>142</v>
      </c>
      <c r="CL402" s="7">
        <v>2</v>
      </c>
      <c r="CM402" s="7"/>
      <c r="CN402" s="7"/>
      <c r="CO402" s="7"/>
      <c r="CP402" s="7"/>
    </row>
    <row r="403" spans="1:94" ht="64" x14ac:dyDescent="0.2">
      <c r="A403" s="7" t="s">
        <v>863</v>
      </c>
      <c r="B403" s="7" t="s">
        <v>102</v>
      </c>
      <c r="C403" t="str">
        <f t="shared" si="128"/>
        <v>B</v>
      </c>
      <c r="D403" t="str">
        <f t="shared" si="129"/>
        <v>B</v>
      </c>
      <c r="E403" t="str">
        <f t="shared" si="130"/>
        <v>N</v>
      </c>
      <c r="F403" s="7">
        <v>171</v>
      </c>
      <c r="G403" s="7">
        <v>163</v>
      </c>
      <c r="H403" s="7">
        <v>112.40300000000001</v>
      </c>
      <c r="I403" s="7">
        <v>1.68</v>
      </c>
      <c r="J403" s="7">
        <v>0.53800000000000003</v>
      </c>
      <c r="K403" s="7" t="s">
        <v>868</v>
      </c>
      <c r="L403" t="str">
        <f t="shared" si="131"/>
        <v>M</v>
      </c>
      <c r="M403" s="7">
        <v>30</v>
      </c>
      <c r="N403" s="7">
        <v>7.4850000000000003</v>
      </c>
      <c r="O403" s="7">
        <v>5.968</v>
      </c>
      <c r="P403" s="7" t="s">
        <v>884</v>
      </c>
      <c r="Q403" t="str">
        <f t="shared" si="122"/>
        <v>F</v>
      </c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>
        <v>5</v>
      </c>
      <c r="AK403" s="7">
        <v>0.115</v>
      </c>
      <c r="AL403" s="7"/>
      <c r="AM403" s="7"/>
      <c r="AN403" s="7"/>
      <c r="AO403" s="7"/>
      <c r="AP403" s="7">
        <v>1</v>
      </c>
      <c r="AQ403" s="7">
        <v>0.28299999999999997</v>
      </c>
      <c r="AR403" s="7"/>
      <c r="AS403" s="7"/>
      <c r="AT403" s="7"/>
      <c r="AU403" s="7"/>
      <c r="AV403" s="7">
        <v>8</v>
      </c>
      <c r="AW403" s="7">
        <v>0.11</v>
      </c>
      <c r="AX403" s="7"/>
      <c r="AY403" s="7"/>
      <c r="AZ403" s="7"/>
      <c r="BA403" s="7"/>
      <c r="BB403" s="7">
        <v>11</v>
      </c>
      <c r="BC403" s="7">
        <v>0.66700000000000004</v>
      </c>
      <c r="BD403" s="7">
        <v>4</v>
      </c>
      <c r="BE403" s="7">
        <v>6.4000000000000001E-2</v>
      </c>
      <c r="BF403" s="7"/>
      <c r="BG403" s="7"/>
      <c r="BH403" s="7"/>
      <c r="BI403" s="7"/>
      <c r="BJ403" s="7"/>
      <c r="BK403" s="7"/>
      <c r="BL403" s="7"/>
      <c r="BM403" s="7"/>
      <c r="BN403" s="7"/>
      <c r="BO403" s="7"/>
      <c r="BP403" s="7"/>
      <c r="BQ403" s="7"/>
      <c r="BR403" s="7"/>
      <c r="BS403" s="7"/>
      <c r="BT403" s="7">
        <v>1</v>
      </c>
      <c r="BU403" s="7">
        <v>3.4000000000000002E-2</v>
      </c>
      <c r="BV403">
        <f>0.667+0.064+0.283+0.11+0.115+0.034</f>
        <v>1.2730000000000001</v>
      </c>
      <c r="BW403" t="s">
        <v>877</v>
      </c>
      <c r="BX403" t="str">
        <f t="shared" ref="BX403:BX419" si="137">LEFT(BW403,2)</f>
        <v>19</v>
      </c>
      <c r="BY403" t="str">
        <f t="shared" ref="BY403:BY419" si="138">MID(BW403,4,1)</f>
        <v>4</v>
      </c>
      <c r="BZ403" t="str">
        <f t="shared" ref="BZ403:BZ419" si="139">20&amp;RIGHT(BW403,2)</f>
        <v>2021</v>
      </c>
      <c r="CA403" s="5">
        <f t="shared" si="135"/>
        <v>44305</v>
      </c>
      <c r="CB403">
        <v>109</v>
      </c>
      <c r="CC403" s="7">
        <v>8</v>
      </c>
      <c r="CE403">
        <f t="shared" si="123"/>
        <v>0.48093684351673893</v>
      </c>
      <c r="CF403">
        <f t="shared" si="124"/>
        <v>1.5172999286507771</v>
      </c>
      <c r="CG403">
        <f t="shared" si="125"/>
        <v>1.5247084448881426E-2</v>
      </c>
      <c r="CH403">
        <f t="shared" si="126"/>
        <v>5.607178089914032</v>
      </c>
      <c r="CI403">
        <f t="shared" si="127"/>
        <v>1.3496081065451992</v>
      </c>
      <c r="CJ403" s="1">
        <f t="shared" si="136"/>
        <v>2.48214015640152</v>
      </c>
      <c r="CK403" s="7" t="s">
        <v>105</v>
      </c>
      <c r="CL403" s="7">
        <v>2</v>
      </c>
      <c r="CM403" s="7"/>
      <c r="CN403" s="7"/>
      <c r="CO403" s="7"/>
      <c r="CP403" s="7"/>
    </row>
    <row r="404" spans="1:94" ht="32" x14ac:dyDescent="0.2">
      <c r="A404" s="7" t="s">
        <v>864</v>
      </c>
      <c r="B404" s="7" t="s">
        <v>102</v>
      </c>
      <c r="C404" t="str">
        <f t="shared" si="128"/>
        <v>B</v>
      </c>
      <c r="D404" t="str">
        <f t="shared" si="129"/>
        <v>B</v>
      </c>
      <c r="E404" t="str">
        <f t="shared" si="130"/>
        <v>N</v>
      </c>
      <c r="F404" s="7">
        <v>185</v>
      </c>
      <c r="G404" s="7">
        <v>175</v>
      </c>
      <c r="H404" s="7">
        <v>125.44799999999999</v>
      </c>
      <c r="I404" s="7">
        <v>1.93</v>
      </c>
      <c r="J404" s="7">
        <v>0.68400000000000005</v>
      </c>
      <c r="K404" s="7" t="s">
        <v>868</v>
      </c>
      <c r="L404" t="str">
        <f t="shared" si="131"/>
        <v>M</v>
      </c>
      <c r="M404" s="7">
        <v>30</v>
      </c>
      <c r="N404" s="7">
        <v>5.9409999999999998</v>
      </c>
      <c r="O404" s="7">
        <v>5.5730000000000004</v>
      </c>
      <c r="P404" s="7" t="s">
        <v>885</v>
      </c>
      <c r="Q404" t="str">
        <f t="shared" si="122"/>
        <v>F</v>
      </c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>
        <v>1</v>
      </c>
      <c r="AI404" s="7">
        <v>1.6E-2</v>
      </c>
      <c r="AJ404" s="7"/>
      <c r="AK404" s="7"/>
      <c r="AL404" s="7"/>
      <c r="AM404" s="7"/>
      <c r="AN404" s="7"/>
      <c r="AO404" s="7"/>
      <c r="AP404" s="7"/>
      <c r="AQ404" s="7"/>
      <c r="AR404" s="7"/>
      <c r="AS404" s="7"/>
      <c r="AT404" s="7"/>
      <c r="AU404" s="7"/>
      <c r="AV404" s="7">
        <v>35</v>
      </c>
      <c r="AW404" s="7">
        <v>0.193</v>
      </c>
      <c r="AX404" s="7"/>
      <c r="AY404" s="7"/>
      <c r="AZ404" s="7"/>
      <c r="BA404" s="7"/>
      <c r="BB404" s="7"/>
      <c r="BC404" s="7"/>
      <c r="BD404" s="7"/>
      <c r="BE404" s="7"/>
      <c r="BF404" s="7"/>
      <c r="BG404" s="7"/>
      <c r="BH404" s="7"/>
      <c r="BI404" s="7"/>
      <c r="BJ404" s="7"/>
      <c r="BK404" s="7"/>
      <c r="BL404" s="7"/>
      <c r="BM404" s="7"/>
      <c r="BN404" s="7"/>
      <c r="BO404" s="7"/>
      <c r="BP404" s="7"/>
      <c r="BQ404" s="7"/>
      <c r="BR404" s="7"/>
      <c r="BS404" s="7"/>
      <c r="BT404" s="7"/>
      <c r="BU404" s="7"/>
      <c r="BV404">
        <f>0.193+0.016</f>
        <v>0.20900000000000002</v>
      </c>
      <c r="BW404" t="s">
        <v>877</v>
      </c>
      <c r="BX404" t="str">
        <f t="shared" si="137"/>
        <v>19</v>
      </c>
      <c r="BY404" t="str">
        <f t="shared" si="138"/>
        <v>4</v>
      </c>
      <c r="BZ404" t="str">
        <f t="shared" si="139"/>
        <v>2021</v>
      </c>
      <c r="CA404" s="5">
        <f t="shared" si="135"/>
        <v>44305</v>
      </c>
      <c r="CB404">
        <v>109</v>
      </c>
      <c r="CC404" s="7">
        <v>8</v>
      </c>
      <c r="CE404">
        <f t="shared" si="123"/>
        <v>0.54823506780802156</v>
      </c>
      <c r="CF404">
        <f t="shared" si="124"/>
        <v>1.5625252999562818</v>
      </c>
      <c r="CG404">
        <f t="shared" si="125"/>
        <v>1.5712262077275021E-2</v>
      </c>
      <c r="CH404">
        <f t="shared" si="126"/>
        <v>4.6490093847758081</v>
      </c>
      <c r="CI404">
        <f t="shared" si="127"/>
        <v>0.29334863847968834</v>
      </c>
      <c r="CJ404" s="1">
        <f t="shared" si="136"/>
        <v>0.45995153370320735</v>
      </c>
      <c r="CK404" s="7" t="s">
        <v>105</v>
      </c>
      <c r="CL404" s="7">
        <v>2</v>
      </c>
      <c r="CM404" s="7"/>
      <c r="CN404" s="7"/>
      <c r="CO404" s="7"/>
      <c r="CP404" s="7"/>
    </row>
    <row r="405" spans="1:94" x14ac:dyDescent="0.2">
      <c r="A405" s="7" t="s">
        <v>865</v>
      </c>
      <c r="B405" s="7" t="s">
        <v>102</v>
      </c>
      <c r="C405" t="str">
        <f t="shared" si="128"/>
        <v>B</v>
      </c>
      <c r="D405" t="str">
        <f t="shared" si="129"/>
        <v>B</v>
      </c>
      <c r="E405" t="str">
        <f t="shared" si="130"/>
        <v>N</v>
      </c>
      <c r="F405" s="7">
        <v>185</v>
      </c>
      <c r="G405" s="7">
        <v>177</v>
      </c>
      <c r="H405" s="7">
        <v>136.023</v>
      </c>
      <c r="I405" s="7">
        <v>1.9159999999999999</v>
      </c>
      <c r="J405" s="7">
        <v>0.70499999999999996</v>
      </c>
      <c r="K405" s="7" t="s">
        <v>868</v>
      </c>
      <c r="L405" t="str">
        <f t="shared" si="131"/>
        <v>M</v>
      </c>
      <c r="M405" s="7">
        <v>30</v>
      </c>
      <c r="N405" s="7">
        <v>6.274</v>
      </c>
      <c r="O405" s="7">
        <v>5.8769999999999998</v>
      </c>
      <c r="P405" s="7" t="s">
        <v>886</v>
      </c>
      <c r="Q405" t="str">
        <f t="shared" si="122"/>
        <v>F</v>
      </c>
      <c r="R405" s="7"/>
      <c r="S405" s="7"/>
      <c r="T405" s="7"/>
      <c r="U405" s="7">
        <v>0.25800000000000001</v>
      </c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  <c r="AO405" s="7"/>
      <c r="AP405" s="7"/>
      <c r="AQ405" s="7"/>
      <c r="AR405" s="7"/>
      <c r="AS405" s="7"/>
      <c r="AT405" s="7"/>
      <c r="AU405" s="7"/>
      <c r="AV405" s="7"/>
      <c r="AW405" s="7"/>
      <c r="AX405" s="7"/>
      <c r="AY405" s="7"/>
      <c r="AZ405" s="7"/>
      <c r="BA405" s="7"/>
      <c r="BB405" s="7"/>
      <c r="BC405" s="7"/>
      <c r="BD405" s="7"/>
      <c r="BE405" s="7"/>
      <c r="BF405" s="7"/>
      <c r="BG405" s="7"/>
      <c r="BH405" s="7"/>
      <c r="BI405" s="7"/>
      <c r="BJ405" s="7"/>
      <c r="BK405" s="7"/>
      <c r="BL405" s="7"/>
      <c r="BM405" s="7"/>
      <c r="BN405" s="7"/>
      <c r="BO405" s="7"/>
      <c r="BP405" s="7"/>
      <c r="BQ405" s="7"/>
      <c r="BR405" s="7"/>
      <c r="BS405" s="7"/>
      <c r="BT405" s="7"/>
      <c r="BU405" s="7"/>
      <c r="BV405" s="7">
        <v>0.25800000000000001</v>
      </c>
      <c r="BW405" t="s">
        <v>877</v>
      </c>
      <c r="BX405" t="str">
        <f t="shared" si="137"/>
        <v>19</v>
      </c>
      <c r="BY405" t="str">
        <f t="shared" si="138"/>
        <v>4</v>
      </c>
      <c r="BZ405" t="str">
        <f t="shared" si="139"/>
        <v>2021</v>
      </c>
      <c r="CA405" s="5">
        <f t="shared" si="135"/>
        <v>44305</v>
      </c>
      <c r="CB405">
        <v>109</v>
      </c>
      <c r="CC405" s="7">
        <v>8</v>
      </c>
      <c r="CE405">
        <f t="shared" si="123"/>
        <v>0.52099498958010027</v>
      </c>
      <c r="CF405">
        <f t="shared" si="124"/>
        <v>1.4287099107429142</v>
      </c>
      <c r="CG405">
        <f t="shared" si="125"/>
        <v>1.436260325932145E-2</v>
      </c>
      <c r="CH405">
        <f t="shared" si="126"/>
        <v>4.5156977548291923</v>
      </c>
      <c r="CI405">
        <f t="shared" si="127"/>
        <v>0.29186240562257876</v>
      </c>
      <c r="CJ405" s="1">
        <f t="shared" si="136"/>
        <v>0.48153621078788161</v>
      </c>
      <c r="CK405" s="7" t="s">
        <v>105</v>
      </c>
      <c r="CL405" s="7">
        <v>3</v>
      </c>
      <c r="CM405" s="7"/>
      <c r="CN405" s="7"/>
      <c r="CO405" s="7"/>
      <c r="CP405" s="7"/>
    </row>
    <row r="406" spans="1:94" x14ac:dyDescent="0.2">
      <c r="A406" s="7" t="s">
        <v>866</v>
      </c>
      <c r="B406" s="7" t="s">
        <v>102</v>
      </c>
      <c r="C406" t="str">
        <f t="shared" si="128"/>
        <v>B</v>
      </c>
      <c r="D406" t="str">
        <f t="shared" si="129"/>
        <v>B</v>
      </c>
      <c r="E406" t="str">
        <f t="shared" si="130"/>
        <v>N</v>
      </c>
      <c r="F406" s="7">
        <v>161</v>
      </c>
      <c r="G406" s="7">
        <v>153</v>
      </c>
      <c r="H406" s="7">
        <v>90.927999999999997</v>
      </c>
      <c r="I406" s="7">
        <v>1.2290000000000001</v>
      </c>
      <c r="J406" s="7">
        <v>0.39</v>
      </c>
      <c r="K406" s="7" t="s">
        <v>868</v>
      </c>
      <c r="L406" t="str">
        <f t="shared" si="131"/>
        <v>M</v>
      </c>
      <c r="M406" s="7">
        <v>30</v>
      </c>
      <c r="N406" s="7">
        <v>5.5810000000000004</v>
      </c>
      <c r="O406" s="7">
        <v>4.4390000000000001</v>
      </c>
      <c r="P406" s="7" t="s">
        <v>887</v>
      </c>
      <c r="Q406" t="str">
        <f t="shared" si="122"/>
        <v>F</v>
      </c>
      <c r="R406" s="7"/>
      <c r="S406" s="7"/>
      <c r="T406" s="7"/>
      <c r="U406" s="7">
        <v>1.0049999999999999</v>
      </c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  <c r="AO406" s="7"/>
      <c r="AP406" s="7"/>
      <c r="AQ406" s="7"/>
      <c r="AR406" s="7"/>
      <c r="AS406" s="7"/>
      <c r="AT406" s="7"/>
      <c r="AU406" s="7"/>
      <c r="AV406" s="7"/>
      <c r="AW406" s="7"/>
      <c r="AX406" s="7"/>
      <c r="AY406" s="7"/>
      <c r="AZ406" s="7"/>
      <c r="BA406" s="7"/>
      <c r="BB406" s="7"/>
      <c r="BC406" s="7"/>
      <c r="BD406" s="7"/>
      <c r="BE406" s="7"/>
      <c r="BF406" s="7"/>
      <c r="BG406" s="7"/>
      <c r="BH406" s="7"/>
      <c r="BI406" s="7"/>
      <c r="BJ406" s="7"/>
      <c r="BK406" s="7"/>
      <c r="BL406" s="7"/>
      <c r="BM406" s="7"/>
      <c r="BN406" s="7"/>
      <c r="BO406" s="7"/>
      <c r="BP406" s="7"/>
      <c r="BQ406" s="7"/>
      <c r="BR406" s="7"/>
      <c r="BS406" s="7"/>
      <c r="BT406" s="7"/>
      <c r="BU406" s="7"/>
      <c r="BV406" s="7">
        <v>1.0049999999999999</v>
      </c>
      <c r="BW406" t="s">
        <v>877</v>
      </c>
      <c r="BX406" t="str">
        <f t="shared" si="137"/>
        <v>19</v>
      </c>
      <c r="BY406" t="str">
        <f t="shared" si="138"/>
        <v>4</v>
      </c>
      <c r="BZ406" t="str">
        <f t="shared" si="139"/>
        <v>2021</v>
      </c>
      <c r="CA406" s="5">
        <f t="shared" si="135"/>
        <v>44305</v>
      </c>
      <c r="CB406">
        <v>109</v>
      </c>
      <c r="CC406" s="7">
        <v>8</v>
      </c>
      <c r="CE406">
        <f t="shared" si="123"/>
        <v>0.43075835560759018</v>
      </c>
      <c r="CF406">
        <f t="shared" si="124"/>
        <v>1.3701379056622707</v>
      </c>
      <c r="CG406">
        <f t="shared" si="125"/>
        <v>1.3761211076151341E-2</v>
      </c>
      <c r="CH406">
        <f t="shared" si="126"/>
        <v>5.1324445883291512</v>
      </c>
      <c r="CI406">
        <f t="shared" si="127"/>
        <v>1.2559387647369351</v>
      </c>
      <c r="CJ406" s="1">
        <f t="shared" si="136"/>
        <v>2.361208868555341</v>
      </c>
      <c r="CK406" s="7" t="s">
        <v>105</v>
      </c>
      <c r="CL406" s="7">
        <v>2</v>
      </c>
      <c r="CM406" s="7"/>
      <c r="CN406" s="7"/>
      <c r="CO406" s="7"/>
      <c r="CP406" s="7"/>
    </row>
    <row r="407" spans="1:94" ht="64" x14ac:dyDescent="0.2">
      <c r="A407" s="7" t="s">
        <v>888</v>
      </c>
      <c r="B407" s="7" t="s">
        <v>102</v>
      </c>
      <c r="C407" t="str">
        <f t="shared" si="128"/>
        <v>B</v>
      </c>
      <c r="D407" t="str">
        <f t="shared" si="129"/>
        <v>B</v>
      </c>
      <c r="E407" t="str">
        <f t="shared" si="130"/>
        <v>N</v>
      </c>
      <c r="F407" s="7">
        <v>181</v>
      </c>
      <c r="G407" s="7">
        <v>174</v>
      </c>
      <c r="H407" s="7">
        <v>128.78700000000001</v>
      </c>
      <c r="I407" s="7">
        <v>2.1259999999999999</v>
      </c>
      <c r="J407" s="7">
        <v>0.77700000000000002</v>
      </c>
      <c r="K407" s="7" t="s">
        <v>868</v>
      </c>
      <c r="L407" t="str">
        <f t="shared" si="131"/>
        <v>M</v>
      </c>
      <c r="M407" s="7">
        <v>30</v>
      </c>
      <c r="N407" s="7">
        <v>7.1820000000000004</v>
      </c>
      <c r="O407" s="7">
        <v>6.0019999999999998</v>
      </c>
      <c r="P407" s="7" t="s">
        <v>911</v>
      </c>
      <c r="Q407" t="str">
        <f t="shared" si="122"/>
        <v>F</v>
      </c>
      <c r="R407" s="7"/>
      <c r="S407" s="7"/>
      <c r="T407" s="7"/>
      <c r="U407" s="7">
        <v>0.13700000000000001</v>
      </c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>
        <v>4</v>
      </c>
      <c r="AI407" s="7">
        <v>6.6000000000000003E-2</v>
      </c>
      <c r="AJ407" s="7">
        <v>2</v>
      </c>
      <c r="AK407" s="7">
        <v>3.7999999999999999E-2</v>
      </c>
      <c r="AL407" s="7"/>
      <c r="AM407" s="7"/>
      <c r="AN407" s="7"/>
      <c r="AO407" s="7"/>
      <c r="AP407" s="7">
        <v>6</v>
      </c>
      <c r="AQ407" s="7">
        <v>0.51</v>
      </c>
      <c r="AR407" s="7"/>
      <c r="AS407" s="7"/>
      <c r="AT407" s="7"/>
      <c r="AU407" s="7"/>
      <c r="AV407" s="7"/>
      <c r="AW407" s="7"/>
      <c r="AX407" s="7"/>
      <c r="AY407" s="7"/>
      <c r="AZ407" s="7"/>
      <c r="BA407" s="7"/>
      <c r="BB407" s="7">
        <v>3</v>
      </c>
      <c r="BC407" s="7">
        <v>0.12</v>
      </c>
      <c r="BD407" s="7">
        <v>1</v>
      </c>
      <c r="BE407" s="7">
        <v>2.1999999999999999E-2</v>
      </c>
      <c r="BF407" s="7"/>
      <c r="BG407" s="7"/>
      <c r="BH407" s="7"/>
      <c r="BI407" s="7"/>
      <c r="BJ407" s="7"/>
      <c r="BK407" s="7"/>
      <c r="BL407" s="7"/>
      <c r="BM407" s="7"/>
      <c r="BN407" s="7"/>
      <c r="BO407" s="7"/>
      <c r="BP407" s="7"/>
      <c r="BQ407" s="7"/>
      <c r="BR407" s="7"/>
      <c r="BS407" s="7"/>
      <c r="BT407" s="7"/>
      <c r="BU407" s="7"/>
      <c r="BV407">
        <f>0.066+0.12+0.51+0.038+0.137+0.022</f>
        <v>0.89300000000000002</v>
      </c>
      <c r="BW407" t="s">
        <v>877</v>
      </c>
      <c r="BX407" t="str">
        <f t="shared" si="137"/>
        <v>19</v>
      </c>
      <c r="BY407" t="str">
        <f t="shared" si="138"/>
        <v>4</v>
      </c>
      <c r="BZ407" t="str">
        <f t="shared" si="139"/>
        <v>2021</v>
      </c>
      <c r="CA407" s="5">
        <f t="shared" si="135"/>
        <v>44305</v>
      </c>
      <c r="CB407">
        <v>109</v>
      </c>
      <c r="CC407" s="7">
        <v>8</v>
      </c>
      <c r="CE407">
        <f t="shared" si="123"/>
        <v>0.60698382938832895</v>
      </c>
      <c r="CF407">
        <f t="shared" si="124"/>
        <v>1.6784961432485135</v>
      </c>
      <c r="CG407">
        <f t="shared" si="125"/>
        <v>1.6888564074862569E-2</v>
      </c>
      <c r="CH407">
        <f t="shared" si="126"/>
        <v>4.8882192450217854</v>
      </c>
      <c r="CI407">
        <f t="shared" si="127"/>
        <v>0.91624154611878572</v>
      </c>
      <c r="CJ407" s="1">
        <f t="shared" si="136"/>
        <v>1.6096345128002052</v>
      </c>
      <c r="CK407" s="7" t="s">
        <v>105</v>
      </c>
      <c r="CL407" s="7">
        <v>3</v>
      </c>
      <c r="CM407" s="7"/>
      <c r="CN407" s="7"/>
      <c r="CO407" s="7"/>
      <c r="CP407" s="7"/>
    </row>
    <row r="408" spans="1:94" ht="48" x14ac:dyDescent="0.2">
      <c r="A408" s="7" t="s">
        <v>889</v>
      </c>
      <c r="B408" s="7" t="s">
        <v>102</v>
      </c>
      <c r="C408" t="str">
        <f t="shared" si="128"/>
        <v>B</v>
      </c>
      <c r="D408" t="str">
        <f t="shared" si="129"/>
        <v>B</v>
      </c>
      <c r="E408" t="str">
        <f t="shared" si="130"/>
        <v>N</v>
      </c>
      <c r="F408" s="7">
        <v>163</v>
      </c>
      <c r="G408" s="7">
        <v>156</v>
      </c>
      <c r="H408" s="7">
        <v>95.649000000000001</v>
      </c>
      <c r="I408" s="7">
        <v>1.4710000000000001</v>
      </c>
      <c r="J408" s="7">
        <v>0.46</v>
      </c>
      <c r="K408" s="7" t="s">
        <v>868</v>
      </c>
      <c r="L408" t="str">
        <f t="shared" si="131"/>
        <v>M</v>
      </c>
      <c r="M408" s="7">
        <v>30</v>
      </c>
      <c r="N408" s="7">
        <v>5.859</v>
      </c>
      <c r="O408" s="7">
        <v>4.601</v>
      </c>
      <c r="P408" s="7" t="s">
        <v>912</v>
      </c>
      <c r="Q408" t="str">
        <f t="shared" si="122"/>
        <v>F</v>
      </c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>
        <v>3</v>
      </c>
      <c r="AM408" s="7">
        <v>0.05</v>
      </c>
      <c r="AN408" s="7"/>
      <c r="AO408" s="7"/>
      <c r="AP408" s="7">
        <v>2</v>
      </c>
      <c r="AQ408" s="7">
        <v>0.153</v>
      </c>
      <c r="AR408" s="7"/>
      <c r="AS408" s="7"/>
      <c r="AT408" s="7"/>
      <c r="AU408" s="7"/>
      <c r="AV408" s="7"/>
      <c r="AW408" s="7"/>
      <c r="AX408" s="7"/>
      <c r="AY408" s="7"/>
      <c r="AZ408" s="7"/>
      <c r="BA408" s="7"/>
      <c r="BB408" s="7">
        <v>12</v>
      </c>
      <c r="BC408" s="7">
        <v>0.81699999999999995</v>
      </c>
      <c r="BD408" s="7">
        <v>1</v>
      </c>
      <c r="BE408" s="7">
        <v>1.7000000000000001E-2</v>
      </c>
      <c r="BF408" s="7"/>
      <c r="BG408" s="7"/>
      <c r="BH408" s="7"/>
      <c r="BI408" s="7"/>
      <c r="BJ408" s="7"/>
      <c r="BK408" s="7"/>
      <c r="BL408" s="7"/>
      <c r="BM408" s="7"/>
      <c r="BN408" s="7"/>
      <c r="BO408" s="7"/>
      <c r="BP408" s="7"/>
      <c r="BQ408" s="7"/>
      <c r="BR408" s="7"/>
      <c r="BS408" s="7"/>
      <c r="BT408" s="7"/>
      <c r="BU408" s="7"/>
      <c r="BV408">
        <f>0.817+0.05+0.017+0.153</f>
        <v>1.0369999999999999</v>
      </c>
      <c r="BW408" t="s">
        <v>877</v>
      </c>
      <c r="BX408" t="str">
        <f t="shared" si="137"/>
        <v>19</v>
      </c>
      <c r="BY408" t="str">
        <f t="shared" si="138"/>
        <v>4</v>
      </c>
      <c r="BZ408" t="str">
        <f t="shared" si="139"/>
        <v>2021</v>
      </c>
      <c r="CA408" s="5">
        <f t="shared" si="135"/>
        <v>44305</v>
      </c>
      <c r="CB408">
        <v>109</v>
      </c>
      <c r="CC408" s="7">
        <v>8</v>
      </c>
      <c r="CE408">
        <f t="shared" si="123"/>
        <v>0.48324911491874056</v>
      </c>
      <c r="CF408">
        <f t="shared" si="124"/>
        <v>1.5619359085986113</v>
      </c>
      <c r="CG408">
        <f t="shared" si="125"/>
        <v>1.569602424294159E-2</v>
      </c>
      <c r="CH408">
        <f t="shared" si="126"/>
        <v>5.0533784377471225</v>
      </c>
      <c r="CI408">
        <f t="shared" si="127"/>
        <v>1.3152254597538917</v>
      </c>
      <c r="CJ408" s="1">
        <f t="shared" si="136"/>
        <v>2.3993977981996673</v>
      </c>
      <c r="CK408" s="7" t="s">
        <v>105</v>
      </c>
      <c r="CL408" s="7">
        <v>3</v>
      </c>
      <c r="CM408" s="7"/>
      <c r="CN408" s="7"/>
      <c r="CO408" s="7"/>
      <c r="CP408" s="7"/>
    </row>
    <row r="409" spans="1:94" ht="32" x14ac:dyDescent="0.2">
      <c r="A409" s="7" t="s">
        <v>890</v>
      </c>
      <c r="B409" s="7" t="s">
        <v>102</v>
      </c>
      <c r="C409" t="str">
        <f t="shared" si="128"/>
        <v>I</v>
      </c>
      <c r="D409" t="str">
        <f t="shared" si="129"/>
        <v>B</v>
      </c>
      <c r="E409" t="str">
        <f t="shared" si="130"/>
        <v>N</v>
      </c>
      <c r="F409" s="7">
        <v>148</v>
      </c>
      <c r="G409" s="7">
        <v>141</v>
      </c>
      <c r="H409" s="7">
        <v>65.072999999999993</v>
      </c>
      <c r="I409" s="7">
        <v>0.99099999999999999</v>
      </c>
      <c r="J409" s="7">
        <v>1</v>
      </c>
      <c r="K409" s="7" t="s">
        <v>867</v>
      </c>
      <c r="L409" t="str">
        <f t="shared" si="131"/>
        <v>F</v>
      </c>
      <c r="M409" s="7">
        <v>30</v>
      </c>
      <c r="N409" s="7">
        <v>4.431</v>
      </c>
      <c r="O409" s="7">
        <v>3.5</v>
      </c>
      <c r="P409" s="7" t="s">
        <v>913</v>
      </c>
      <c r="Q409" t="str">
        <f t="shared" si="122"/>
        <v>F</v>
      </c>
      <c r="R409" s="7"/>
      <c r="S409" s="7"/>
      <c r="T409" s="7"/>
      <c r="U409" s="7">
        <v>0.48099999999999998</v>
      </c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  <c r="AO409" s="7"/>
      <c r="AP409" s="7">
        <v>2</v>
      </c>
      <c r="AQ409" s="7">
        <v>0.29199999999999998</v>
      </c>
      <c r="AR409" s="7"/>
      <c r="AS409" s="7"/>
      <c r="AT409" s="7"/>
      <c r="AU409" s="7"/>
      <c r="AV409" s="7"/>
      <c r="AW409" s="7"/>
      <c r="AX409" s="7"/>
      <c r="AY409" s="7"/>
      <c r="AZ409" s="7"/>
      <c r="BA409" s="7"/>
      <c r="BB409" s="7"/>
      <c r="BC409" s="7"/>
      <c r="BD409" s="7"/>
      <c r="BE409" s="7"/>
      <c r="BF409" s="7"/>
      <c r="BG409" s="7"/>
      <c r="BH409" s="7"/>
      <c r="BI409" s="7"/>
      <c r="BJ409" s="7"/>
      <c r="BK409" s="7"/>
      <c r="BL409" s="7"/>
      <c r="BM409" s="7"/>
      <c r="BN409" s="7"/>
      <c r="BO409" s="7"/>
      <c r="BP409" s="7"/>
      <c r="BQ409" s="7"/>
      <c r="BR409" s="7"/>
      <c r="BS409" s="7"/>
      <c r="BT409" s="7"/>
      <c r="BU409" s="7"/>
      <c r="BV409">
        <f>0.481+0.292</f>
        <v>0.77299999999999991</v>
      </c>
      <c r="BW409" t="s">
        <v>877</v>
      </c>
      <c r="BX409" t="str">
        <f t="shared" si="137"/>
        <v>19</v>
      </c>
      <c r="BY409" t="str">
        <f t="shared" si="138"/>
        <v>4</v>
      </c>
      <c r="BZ409" t="str">
        <f t="shared" si="139"/>
        <v>2021</v>
      </c>
      <c r="CA409" s="5">
        <f t="shared" si="135"/>
        <v>44305</v>
      </c>
      <c r="CB409">
        <v>109</v>
      </c>
      <c r="CC409" s="7">
        <v>8</v>
      </c>
      <c r="CE409">
        <f t="shared" si="123"/>
        <v>1.5607198039735928</v>
      </c>
      <c r="CF409">
        <f t="shared" si="124"/>
        <v>1.5464561031178805</v>
      </c>
      <c r="CG409">
        <f t="shared" si="125"/>
        <v>1.5709711169588792E-2</v>
      </c>
      <c r="CH409">
        <f t="shared" si="126"/>
        <v>5.684309681191432</v>
      </c>
      <c r="CI409">
        <f t="shared" si="127"/>
        <v>1.4307009051373074</v>
      </c>
      <c r="CJ409" s="1">
        <f t="shared" si="136"/>
        <v>2.618597575031119</v>
      </c>
      <c r="CK409" s="7" t="s">
        <v>105</v>
      </c>
      <c r="CL409" s="7">
        <v>3</v>
      </c>
      <c r="CM409" s="7"/>
      <c r="CN409" s="7"/>
      <c r="CO409" s="7"/>
      <c r="CP409" s="7"/>
    </row>
    <row r="410" spans="1:94" ht="32" x14ac:dyDescent="0.2">
      <c r="A410" s="7" t="s">
        <v>891</v>
      </c>
      <c r="B410" s="7" t="s">
        <v>102</v>
      </c>
      <c r="C410" t="str">
        <f t="shared" si="128"/>
        <v>B</v>
      </c>
      <c r="D410" t="str">
        <f t="shared" si="129"/>
        <v>B</v>
      </c>
      <c r="E410" t="str">
        <f t="shared" si="130"/>
        <v>N</v>
      </c>
      <c r="F410" s="7">
        <v>162</v>
      </c>
      <c r="G410" s="7">
        <v>155</v>
      </c>
      <c r="H410" s="7">
        <v>93.001000000000005</v>
      </c>
      <c r="I410" s="7">
        <v>2.395</v>
      </c>
      <c r="J410" s="7">
        <v>1.7330000000000001</v>
      </c>
      <c r="K410" s="7" t="s">
        <v>867</v>
      </c>
      <c r="L410" t="str">
        <f t="shared" si="131"/>
        <v>F</v>
      </c>
      <c r="M410" s="7">
        <v>30</v>
      </c>
      <c r="N410" s="7">
        <v>6.9939999999999998</v>
      </c>
      <c r="O410" s="7">
        <v>5.5919999999999996</v>
      </c>
      <c r="P410" s="7" t="s">
        <v>914</v>
      </c>
      <c r="Q410" t="str">
        <f t="shared" si="122"/>
        <v>F</v>
      </c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  <c r="AO410" s="7"/>
      <c r="AP410" s="7">
        <v>4</v>
      </c>
      <c r="AQ410" s="7">
        <v>0.81200000000000006</v>
      </c>
      <c r="AR410" s="7"/>
      <c r="AS410" s="7"/>
      <c r="AT410" s="7"/>
      <c r="AU410" s="7"/>
      <c r="AV410" s="7"/>
      <c r="AW410" s="7"/>
      <c r="AX410" s="7"/>
      <c r="AY410" s="7"/>
      <c r="AZ410" s="7"/>
      <c r="BA410" s="7"/>
      <c r="BB410" s="7"/>
      <c r="BC410" s="7"/>
      <c r="BD410" s="7">
        <v>43</v>
      </c>
      <c r="BE410" s="7">
        <v>0.42199999999999999</v>
      </c>
      <c r="BF410" s="7"/>
      <c r="BG410" s="7"/>
      <c r="BH410" s="7"/>
      <c r="BI410" s="7"/>
      <c r="BJ410" s="7"/>
      <c r="BK410" s="7"/>
      <c r="BL410" s="7"/>
      <c r="BM410" s="7"/>
      <c r="BN410" s="7"/>
      <c r="BO410" s="7"/>
      <c r="BP410" s="7"/>
      <c r="BQ410" s="7"/>
      <c r="BR410" s="7"/>
      <c r="BS410" s="7"/>
      <c r="BT410" s="7"/>
      <c r="BU410" s="7"/>
      <c r="BV410" s="7">
        <v>1.2330000000000001</v>
      </c>
      <c r="BW410" t="s">
        <v>877</v>
      </c>
      <c r="BX410" t="str">
        <f t="shared" si="137"/>
        <v>19</v>
      </c>
      <c r="BY410" t="str">
        <f t="shared" si="138"/>
        <v>4</v>
      </c>
      <c r="BZ410" t="str">
        <f t="shared" si="139"/>
        <v>2021</v>
      </c>
      <c r="CA410" s="5">
        <f t="shared" si="135"/>
        <v>44305</v>
      </c>
      <c r="CB410">
        <v>109</v>
      </c>
      <c r="CC410" s="7">
        <v>8</v>
      </c>
      <c r="CE410">
        <f t="shared" si="123"/>
        <v>1.8988035236884779</v>
      </c>
      <c r="CF410">
        <f t="shared" si="124"/>
        <v>2.643312804891508</v>
      </c>
      <c r="CG410">
        <f t="shared" si="125"/>
        <v>2.6948567056361325E-2</v>
      </c>
      <c r="CH410">
        <f t="shared" si="126"/>
        <v>6.3975105538331283</v>
      </c>
      <c r="CI410">
        <f t="shared" si="127"/>
        <v>1.5075106719282589</v>
      </c>
      <c r="CJ410" s="1">
        <f t="shared" si="136"/>
        <v>2.8333028677111001</v>
      </c>
      <c r="CK410" s="7" t="s">
        <v>105</v>
      </c>
      <c r="CL410" s="7">
        <v>3</v>
      </c>
      <c r="CM410" s="7"/>
      <c r="CN410" s="7"/>
      <c r="CO410" s="7"/>
      <c r="CP410" s="7"/>
    </row>
    <row r="411" spans="1:94" x14ac:dyDescent="0.2">
      <c r="A411" s="7" t="s">
        <v>1111</v>
      </c>
      <c r="B411" s="7" t="s">
        <v>102</v>
      </c>
      <c r="C411" t="str">
        <f t="shared" si="128"/>
        <v>I</v>
      </c>
      <c r="D411" t="str">
        <f t="shared" si="129"/>
        <v>B</v>
      </c>
      <c r="E411" t="str">
        <f t="shared" si="130"/>
        <v>N</v>
      </c>
      <c r="F411" s="7">
        <v>134</v>
      </c>
      <c r="G411" s="7">
        <v>128</v>
      </c>
      <c r="H411" s="7">
        <v>49.01</v>
      </c>
      <c r="I411" s="7">
        <v>1.339</v>
      </c>
      <c r="J411" s="7">
        <v>7.282</v>
      </c>
      <c r="K411" s="7" t="s">
        <v>867</v>
      </c>
      <c r="L411" t="str">
        <f t="shared" si="131"/>
        <v>F</v>
      </c>
      <c r="M411" s="7">
        <v>30</v>
      </c>
      <c r="N411" s="7">
        <v>1.9339999999999999</v>
      </c>
      <c r="O411" s="7">
        <v>1.7589999999999999</v>
      </c>
      <c r="P411" s="7" t="s">
        <v>1135</v>
      </c>
      <c r="Q411" t="str">
        <f t="shared" si="122"/>
        <v>F</v>
      </c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  <c r="AO411" s="7"/>
      <c r="AP411" s="7"/>
      <c r="AQ411" s="7"/>
      <c r="AR411" s="7"/>
      <c r="AS411" s="7"/>
      <c r="AT411" s="7"/>
      <c r="AU411" s="7"/>
      <c r="AV411" s="7">
        <v>23</v>
      </c>
      <c r="AW411" s="7">
        <v>0.11899999999999999</v>
      </c>
      <c r="AX411" s="7"/>
      <c r="AY411" s="7"/>
      <c r="AZ411" s="7"/>
      <c r="BA411" s="7"/>
      <c r="BB411" s="7"/>
      <c r="BC411" s="7"/>
      <c r="BD411" s="7"/>
      <c r="BE411" s="7"/>
      <c r="BF411" s="7"/>
      <c r="BG411" s="7"/>
      <c r="BH411" s="7"/>
      <c r="BI411" s="7"/>
      <c r="BJ411" s="7"/>
      <c r="BK411" s="7"/>
      <c r="BL411" s="7"/>
      <c r="BM411" s="7"/>
      <c r="BN411" s="7"/>
      <c r="BO411" s="7"/>
      <c r="BP411" s="7"/>
      <c r="BQ411" s="7"/>
      <c r="BR411" s="7"/>
      <c r="BS411" s="7"/>
      <c r="BT411" s="7"/>
      <c r="BU411" s="7"/>
      <c r="BV411" s="7">
        <v>0.11899999999999999</v>
      </c>
      <c r="BW411" t="s">
        <v>1153</v>
      </c>
      <c r="BX411" t="str">
        <f t="shared" si="137"/>
        <v>19</v>
      </c>
      <c r="BY411" t="str">
        <f t="shared" si="138"/>
        <v>5</v>
      </c>
      <c r="BZ411" t="str">
        <f t="shared" si="139"/>
        <v>2021</v>
      </c>
      <c r="CA411" s="5">
        <f t="shared" si="135"/>
        <v>44335</v>
      </c>
      <c r="CB411">
        <v>139</v>
      </c>
      <c r="CC411" s="7">
        <v>10</v>
      </c>
      <c r="CE411">
        <f t="shared" si="123"/>
        <v>17.451111963190186</v>
      </c>
      <c r="CF411">
        <f t="shared" si="124"/>
        <v>2.8088355604035997</v>
      </c>
      <c r="CG411">
        <f t="shared" si="125"/>
        <v>3.3152591052019113E-2</v>
      </c>
      <c r="CH411">
        <f t="shared" si="126"/>
        <v>3.7226725360309834</v>
      </c>
      <c r="CI411">
        <f t="shared" si="127"/>
        <v>0.35706998571720067</v>
      </c>
      <c r="CJ411" s="1">
        <f t="shared" si="136"/>
        <v>0.599877576004897</v>
      </c>
      <c r="CK411" s="7" t="s">
        <v>105</v>
      </c>
      <c r="CL411" s="7">
        <v>2</v>
      </c>
      <c r="CM411" s="7"/>
      <c r="CN411" s="7"/>
      <c r="CO411" s="7"/>
      <c r="CP411" s="7"/>
    </row>
    <row r="412" spans="1:94" ht="32" x14ac:dyDescent="0.2">
      <c r="A412" s="7" t="s">
        <v>1112</v>
      </c>
      <c r="B412" s="7" t="s">
        <v>102</v>
      </c>
      <c r="C412" t="str">
        <f t="shared" si="128"/>
        <v>I</v>
      </c>
      <c r="D412" t="str">
        <f t="shared" si="129"/>
        <v>B</v>
      </c>
      <c r="E412" t="str">
        <f t="shared" si="130"/>
        <v>N</v>
      </c>
      <c r="F412" s="7">
        <v>132</v>
      </c>
      <c r="G412" s="7">
        <v>128</v>
      </c>
      <c r="H412" s="7">
        <v>50.62</v>
      </c>
      <c r="I412" s="7">
        <v>1.341</v>
      </c>
      <c r="J412" s="7">
        <v>3.702</v>
      </c>
      <c r="K412" s="7" t="s">
        <v>867</v>
      </c>
      <c r="L412" t="str">
        <f t="shared" si="131"/>
        <v>F</v>
      </c>
      <c r="M412" s="7">
        <v>30</v>
      </c>
      <c r="N412" s="7">
        <v>4.1379999999999999</v>
      </c>
      <c r="O412" s="7">
        <v>2.7250000000000001</v>
      </c>
      <c r="P412" s="7" t="s">
        <v>1136</v>
      </c>
      <c r="Q412" t="str">
        <f t="shared" si="122"/>
        <v>F</v>
      </c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  <c r="AO412" s="7"/>
      <c r="AP412" s="7">
        <v>5</v>
      </c>
      <c r="AQ412" s="7">
        <v>0.66400000000000003</v>
      </c>
      <c r="AR412" s="7"/>
      <c r="AS412" s="7"/>
      <c r="AT412" s="7"/>
      <c r="AU412" s="7"/>
      <c r="AV412" s="7">
        <v>45</v>
      </c>
      <c r="AW412" s="7">
        <v>0.434</v>
      </c>
      <c r="AX412" s="7"/>
      <c r="AY412" s="7"/>
      <c r="AZ412" s="7"/>
      <c r="BA412" s="7"/>
      <c r="BB412" s="7"/>
      <c r="BC412" s="7"/>
      <c r="BD412" s="7">
        <v>1</v>
      </c>
      <c r="BE412" s="7">
        <v>1.6E-2</v>
      </c>
      <c r="BF412" s="7"/>
      <c r="BG412" s="7"/>
      <c r="BH412" s="7"/>
      <c r="BI412" s="7"/>
      <c r="BJ412" s="7"/>
      <c r="BK412" s="7"/>
      <c r="BL412" s="7"/>
      <c r="BM412" s="7"/>
      <c r="BN412" s="7"/>
      <c r="BO412" s="7"/>
      <c r="BP412" s="7"/>
      <c r="BQ412" s="7"/>
      <c r="BR412" s="7"/>
      <c r="BS412" s="7"/>
      <c r="BT412" s="7"/>
      <c r="BU412" s="7"/>
      <c r="BV412">
        <f>0.434+0.016+0.664</f>
        <v>1.1140000000000001</v>
      </c>
      <c r="BW412" t="s">
        <v>1153</v>
      </c>
      <c r="BX412" t="str">
        <f t="shared" si="137"/>
        <v>19</v>
      </c>
      <c r="BY412" t="str">
        <f t="shared" si="138"/>
        <v>5</v>
      </c>
      <c r="BZ412" t="str">
        <f t="shared" si="139"/>
        <v>2021</v>
      </c>
      <c r="CA412" s="5">
        <f t="shared" si="135"/>
        <v>44335</v>
      </c>
      <c r="CB412">
        <v>139</v>
      </c>
      <c r="CC412" s="7">
        <v>10</v>
      </c>
      <c r="CE412">
        <f t="shared" si="123"/>
        <v>7.8903619080097185</v>
      </c>
      <c r="CF412">
        <f t="shared" si="124"/>
        <v>2.721240284908379</v>
      </c>
      <c r="CG412">
        <f t="shared" si="125"/>
        <v>2.9422735151501855E-2</v>
      </c>
      <c r="CH412">
        <f t="shared" si="126"/>
        <v>5.6895291784111084</v>
      </c>
      <c r="CI412">
        <f t="shared" si="127"/>
        <v>2.7913868036349267</v>
      </c>
      <c r="CJ412" s="1">
        <f t="shared" si="136"/>
        <v>4.992097984986172</v>
      </c>
      <c r="CK412" s="7" t="s">
        <v>105</v>
      </c>
      <c r="CL412" s="7">
        <v>2</v>
      </c>
      <c r="CM412" s="7"/>
      <c r="CN412" s="7"/>
      <c r="CO412" s="7"/>
      <c r="CP412" s="7"/>
    </row>
    <row r="413" spans="1:94" x14ac:dyDescent="0.2">
      <c r="A413" s="7" t="s">
        <v>1113</v>
      </c>
      <c r="B413" s="7" t="s">
        <v>102</v>
      </c>
      <c r="C413" t="str">
        <f t="shared" si="128"/>
        <v>I</v>
      </c>
      <c r="D413" t="str">
        <f t="shared" si="129"/>
        <v>B</v>
      </c>
      <c r="E413" t="str">
        <f t="shared" si="130"/>
        <v>N</v>
      </c>
      <c r="F413" s="7">
        <v>111</v>
      </c>
      <c r="G413" s="7">
        <v>107</v>
      </c>
      <c r="H413" s="7">
        <v>25.954999999999998</v>
      </c>
      <c r="I413" s="7">
        <v>0.33300000000000002</v>
      </c>
      <c r="J413" s="7">
        <v>0.23400000000000001</v>
      </c>
      <c r="K413" s="7" t="s">
        <v>868</v>
      </c>
      <c r="L413" t="str">
        <f t="shared" si="131"/>
        <v>M</v>
      </c>
      <c r="M413" s="7">
        <v>30</v>
      </c>
      <c r="N413" s="7">
        <v>1.8149999999999999</v>
      </c>
      <c r="O413" s="7">
        <v>1.4339999999999999</v>
      </c>
      <c r="P413" s="7" t="s">
        <v>1137</v>
      </c>
      <c r="Q413" t="str">
        <f t="shared" si="122"/>
        <v>F</v>
      </c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  <c r="AO413" s="7"/>
      <c r="AP413" s="7">
        <v>2</v>
      </c>
      <c r="AQ413" s="7">
        <v>0.27600000000000002</v>
      </c>
      <c r="AR413" s="7"/>
      <c r="AS413" s="7"/>
      <c r="AT413" s="7"/>
      <c r="AU413" s="7"/>
      <c r="AV413" s="7">
        <v>5</v>
      </c>
      <c r="AW413" s="7">
        <v>3.5000000000000003E-2</v>
      </c>
      <c r="AX413" s="7"/>
      <c r="AY413" s="7"/>
      <c r="AZ413" s="7"/>
      <c r="BA413" s="7"/>
      <c r="BB413" s="7"/>
      <c r="BC413" s="7"/>
      <c r="BD413" s="7"/>
      <c r="BE413" s="7"/>
      <c r="BF413" s="7"/>
      <c r="BG413" s="7"/>
      <c r="BH413" s="7"/>
      <c r="BI413" s="7"/>
      <c r="BJ413" s="7"/>
      <c r="BK413" s="7"/>
      <c r="BL413" s="7"/>
      <c r="BM413" s="7"/>
      <c r="BN413" s="7"/>
      <c r="BO413" s="7"/>
      <c r="BP413" s="7"/>
      <c r="BQ413" s="7"/>
      <c r="BR413" s="7"/>
      <c r="BS413" s="7"/>
      <c r="BT413" s="7"/>
      <c r="BU413" s="7"/>
      <c r="BV413">
        <f>0.276+0.035</f>
        <v>0.31100000000000005</v>
      </c>
      <c r="BW413" t="s">
        <v>1153</v>
      </c>
      <c r="BX413" t="str">
        <f t="shared" si="137"/>
        <v>19</v>
      </c>
      <c r="BY413" t="str">
        <f t="shared" si="138"/>
        <v>5</v>
      </c>
      <c r="BZ413" t="str">
        <f t="shared" si="139"/>
        <v>2021</v>
      </c>
      <c r="CA413" s="5">
        <f t="shared" si="135"/>
        <v>44335</v>
      </c>
      <c r="CB413">
        <v>139</v>
      </c>
      <c r="CC413" s="7">
        <v>10</v>
      </c>
      <c r="CE413">
        <f t="shared" si="123"/>
        <v>0.90976245091559449</v>
      </c>
      <c r="CF413">
        <f t="shared" si="124"/>
        <v>1.2996643509484038</v>
      </c>
      <c r="CG413">
        <f t="shared" si="125"/>
        <v>1.3116432960453759E-2</v>
      </c>
      <c r="CH413">
        <f t="shared" si="126"/>
        <v>5.8480486113943151</v>
      </c>
      <c r="CI413">
        <f t="shared" si="127"/>
        <v>1.4679252552494704</v>
      </c>
      <c r="CJ413" s="1">
        <f t="shared" si="136"/>
        <v>2.6661529570410329</v>
      </c>
      <c r="CK413" s="7" t="s">
        <v>105</v>
      </c>
      <c r="CL413" s="7">
        <v>2</v>
      </c>
      <c r="CM413" s="7"/>
      <c r="CN413" s="7"/>
      <c r="CO413" s="7"/>
      <c r="CP413" s="7"/>
    </row>
    <row r="414" spans="1:94" ht="32" x14ac:dyDescent="0.2">
      <c r="A414" s="7" t="s">
        <v>1114</v>
      </c>
      <c r="B414" s="7" t="s">
        <v>102</v>
      </c>
      <c r="C414" t="str">
        <f t="shared" si="128"/>
        <v>I</v>
      </c>
      <c r="D414" t="str">
        <f t="shared" si="129"/>
        <v>B</v>
      </c>
      <c r="E414" t="str">
        <f t="shared" si="130"/>
        <v>N</v>
      </c>
      <c r="F414" s="7">
        <v>118</v>
      </c>
      <c r="G414" s="7">
        <v>113</v>
      </c>
      <c r="H414" s="7">
        <v>33.094000000000001</v>
      </c>
      <c r="I414" s="7">
        <v>0.93200000000000005</v>
      </c>
      <c r="J414" s="7">
        <v>2.3879999999999999</v>
      </c>
      <c r="K414" s="7" t="s">
        <v>867</v>
      </c>
      <c r="L414" t="str">
        <f t="shared" si="131"/>
        <v>F</v>
      </c>
      <c r="M414" s="7">
        <v>30</v>
      </c>
      <c r="N414" s="7">
        <v>2.121</v>
      </c>
      <c r="O414" s="7">
        <v>1.3480000000000001</v>
      </c>
      <c r="P414" s="7" t="s">
        <v>1138</v>
      </c>
      <c r="Q414" t="str">
        <f t="shared" si="122"/>
        <v>F</v>
      </c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>
        <v>20</v>
      </c>
      <c r="AI414" s="7">
        <v>9.9000000000000005E-2</v>
      </c>
      <c r="AJ414" s="7"/>
      <c r="AK414" s="7"/>
      <c r="AL414" s="7"/>
      <c r="AM414" s="7"/>
      <c r="AN414" s="7"/>
      <c r="AO414" s="7"/>
      <c r="AP414" s="7"/>
      <c r="AQ414" s="7"/>
      <c r="AR414" s="7">
        <v>1</v>
      </c>
      <c r="AS414" s="7">
        <v>0.01</v>
      </c>
      <c r="AT414" s="7"/>
      <c r="AU414" s="7"/>
      <c r="AV414" s="7">
        <v>30</v>
      </c>
      <c r="AW414" s="7">
        <v>0.49399999999999999</v>
      </c>
      <c r="AX414" s="7"/>
      <c r="AY414" s="7"/>
      <c r="AZ414" s="7"/>
      <c r="BA414" s="7"/>
      <c r="BB414" s="7"/>
      <c r="BC414" s="7"/>
      <c r="BD414" s="7"/>
      <c r="BE414" s="7"/>
      <c r="BF414" s="7"/>
      <c r="BG414" s="7"/>
      <c r="BH414" s="7"/>
      <c r="BI414" s="7"/>
      <c r="BJ414" s="7"/>
      <c r="BK414" s="7"/>
      <c r="BL414" s="7"/>
      <c r="BM414" s="7"/>
      <c r="BN414" s="7"/>
      <c r="BO414" s="7"/>
      <c r="BP414" s="7"/>
      <c r="BQ414" s="7"/>
      <c r="BR414" s="7"/>
      <c r="BS414" s="7"/>
      <c r="BT414" s="7"/>
      <c r="BU414" s="7"/>
      <c r="BV414">
        <f>0.099+0.01+0.494</f>
        <v>0.60299999999999998</v>
      </c>
      <c r="BW414" t="s">
        <v>1153</v>
      </c>
      <c r="BX414" t="str">
        <f t="shared" si="137"/>
        <v>19</v>
      </c>
      <c r="BY414" t="str">
        <f t="shared" si="138"/>
        <v>5</v>
      </c>
      <c r="BZ414" t="str">
        <f t="shared" si="139"/>
        <v>2021</v>
      </c>
      <c r="CA414" s="5">
        <f t="shared" si="135"/>
        <v>44335</v>
      </c>
      <c r="CB414">
        <v>139</v>
      </c>
      <c r="CC414" s="7">
        <v>10</v>
      </c>
      <c r="CE414">
        <f t="shared" si="123"/>
        <v>7.7769816973881314</v>
      </c>
      <c r="CF414">
        <f t="shared" si="124"/>
        <v>2.8978297369566572</v>
      </c>
      <c r="CG414">
        <f t="shared" si="125"/>
        <v>3.130247867266743E-2</v>
      </c>
      <c r="CH414">
        <f t="shared" si="126"/>
        <v>4.2462042462042469</v>
      </c>
      <c r="CI414">
        <f t="shared" si="127"/>
        <v>2.3357708345923727</v>
      </c>
      <c r="CJ414" s="1">
        <f t="shared" si="136"/>
        <v>4.157853387320964</v>
      </c>
      <c r="CK414" s="7" t="s">
        <v>105</v>
      </c>
      <c r="CL414" s="7">
        <v>2</v>
      </c>
      <c r="CM414" s="7"/>
      <c r="CN414" s="7"/>
      <c r="CO414" s="7"/>
      <c r="CP414" s="7"/>
    </row>
    <row r="415" spans="1:94" ht="48" x14ac:dyDescent="0.2">
      <c r="A415" s="7" t="s">
        <v>1115</v>
      </c>
      <c r="B415" s="7" t="s">
        <v>102</v>
      </c>
      <c r="C415" t="str">
        <f t="shared" si="128"/>
        <v>I</v>
      </c>
      <c r="D415" t="str">
        <f t="shared" si="129"/>
        <v>B</v>
      </c>
      <c r="E415" t="str">
        <f t="shared" si="130"/>
        <v>N</v>
      </c>
      <c r="F415" s="7">
        <v>126</v>
      </c>
      <c r="G415" s="7">
        <v>121</v>
      </c>
      <c r="H415" s="7">
        <v>37.726999999999997</v>
      </c>
      <c r="I415" s="7">
        <v>0.624</v>
      </c>
      <c r="J415" s="7">
        <v>0.48</v>
      </c>
      <c r="K415" s="7" t="s">
        <v>868</v>
      </c>
      <c r="L415" t="str">
        <f t="shared" si="131"/>
        <v>M</v>
      </c>
      <c r="M415" s="7">
        <v>30</v>
      </c>
      <c r="N415" s="7">
        <v>2.46</v>
      </c>
      <c r="O415" s="7">
        <v>2.2549999999999999</v>
      </c>
      <c r="P415" s="7" t="s">
        <v>1139</v>
      </c>
      <c r="Q415" t="str">
        <f t="shared" si="122"/>
        <v>F</v>
      </c>
      <c r="R415" s="7"/>
      <c r="S415" s="7"/>
      <c r="T415" s="7">
        <v>10</v>
      </c>
      <c r="U415" s="7">
        <v>4.9000000000000002E-2</v>
      </c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>
        <v>1</v>
      </c>
      <c r="AG415" s="7">
        <v>3.0000000000000001E-3</v>
      </c>
      <c r="AH415" s="7">
        <v>5</v>
      </c>
      <c r="AI415" s="7">
        <v>2.5999999999999999E-2</v>
      </c>
      <c r="AJ415" s="7"/>
      <c r="AK415" s="7"/>
      <c r="AL415" s="7"/>
      <c r="AM415" s="7"/>
      <c r="AN415" s="7"/>
      <c r="AO415" s="7"/>
      <c r="AP415" s="7">
        <v>3</v>
      </c>
      <c r="AQ415" s="7">
        <v>2.4E-2</v>
      </c>
      <c r="AR415" s="7"/>
      <c r="AS415" s="7"/>
      <c r="AT415" s="7"/>
      <c r="AU415" s="7"/>
      <c r="AV415" s="7"/>
      <c r="AW415" s="7"/>
      <c r="AX415" s="7"/>
      <c r="AY415" s="7"/>
      <c r="AZ415" s="7"/>
      <c r="BA415" s="7"/>
      <c r="BB415" s="7"/>
      <c r="BC415" s="7"/>
      <c r="BD415" s="7"/>
      <c r="BE415" s="7"/>
      <c r="BF415" s="7"/>
      <c r="BG415" s="7"/>
      <c r="BH415" s="7"/>
      <c r="BI415" s="7"/>
      <c r="BJ415" s="7"/>
      <c r="BK415" s="7"/>
      <c r="BL415" s="7"/>
      <c r="BM415" s="7"/>
      <c r="BN415" s="7"/>
      <c r="BO415" s="7"/>
      <c r="BP415" s="7"/>
      <c r="BQ415" s="7"/>
      <c r="BR415" s="7"/>
      <c r="BS415" s="7"/>
      <c r="BT415" s="7"/>
      <c r="BU415" s="7"/>
      <c r="BV415">
        <f>0.024+0.003+0.026+0.049</f>
        <v>0.10200000000000001</v>
      </c>
      <c r="BW415" t="s">
        <v>1153</v>
      </c>
      <c r="BX415" t="str">
        <f t="shared" si="137"/>
        <v>19</v>
      </c>
      <c r="BY415" t="str">
        <f t="shared" si="138"/>
        <v>5</v>
      </c>
      <c r="BZ415" t="str">
        <f t="shared" si="139"/>
        <v>2021</v>
      </c>
      <c r="CA415" s="5">
        <f t="shared" si="135"/>
        <v>44335</v>
      </c>
      <c r="CB415">
        <v>139</v>
      </c>
      <c r="CC415" s="7">
        <v>10</v>
      </c>
      <c r="CE415">
        <f t="shared" si="123"/>
        <v>1.288694391494617</v>
      </c>
      <c r="CF415">
        <f t="shared" si="124"/>
        <v>1.6818047058189365</v>
      </c>
      <c r="CG415">
        <f t="shared" si="125"/>
        <v>1.7038473090680722E-2</v>
      </c>
      <c r="CH415">
        <f t="shared" si="126"/>
        <v>6.3571267478574649</v>
      </c>
      <c r="CI415">
        <f t="shared" si="127"/>
        <v>0.54337742200546058</v>
      </c>
      <c r="CJ415" s="1">
        <f t="shared" si="136"/>
        <v>0.81374082222281152</v>
      </c>
      <c r="CK415" s="7" t="s">
        <v>105</v>
      </c>
      <c r="CL415" s="7">
        <v>2</v>
      </c>
      <c r="CM415" s="7"/>
      <c r="CN415" s="7"/>
      <c r="CO415" s="7"/>
      <c r="CP415" s="7"/>
    </row>
    <row r="416" spans="1:94" x14ac:dyDescent="0.2">
      <c r="A416" s="7" t="s">
        <v>1125</v>
      </c>
      <c r="B416" s="7" t="s">
        <v>102</v>
      </c>
      <c r="C416" t="str">
        <f t="shared" si="128"/>
        <v>B</v>
      </c>
      <c r="D416" t="str">
        <f t="shared" si="129"/>
        <v>B</v>
      </c>
      <c r="E416" t="str">
        <f t="shared" si="130"/>
        <v>N</v>
      </c>
      <c r="F416" s="7">
        <v>150</v>
      </c>
      <c r="G416" s="7">
        <v>142</v>
      </c>
      <c r="H416" s="7">
        <v>70.671999999999997</v>
      </c>
      <c r="I416" s="7">
        <v>1.359</v>
      </c>
      <c r="J416" s="7">
        <v>6.1660000000000004</v>
      </c>
      <c r="K416" s="7" t="s">
        <v>867</v>
      </c>
      <c r="L416" t="str">
        <f t="shared" si="131"/>
        <v>F</v>
      </c>
      <c r="M416" s="7">
        <v>30</v>
      </c>
      <c r="N416" s="7">
        <v>2.6</v>
      </c>
      <c r="O416" s="7">
        <v>2.395</v>
      </c>
      <c r="P416" s="7" t="s">
        <v>1149</v>
      </c>
      <c r="Q416" t="str">
        <f t="shared" si="122"/>
        <v>F</v>
      </c>
      <c r="R416" s="7"/>
      <c r="S416" s="7"/>
      <c r="T416" s="7">
        <v>4</v>
      </c>
      <c r="U416" s="7">
        <v>0.12</v>
      </c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  <c r="AO416" s="7"/>
      <c r="AP416" s="7"/>
      <c r="AQ416" s="7"/>
      <c r="AR416" s="7"/>
      <c r="AS416" s="7"/>
      <c r="AT416" s="7"/>
      <c r="AU416" s="7"/>
      <c r="AV416" s="7"/>
      <c r="AW416" s="7"/>
      <c r="AX416" s="7"/>
      <c r="AY416" s="7"/>
      <c r="AZ416" s="7"/>
      <c r="BA416" s="7"/>
      <c r="BB416" s="7"/>
      <c r="BC416" s="7"/>
      <c r="BD416" s="7"/>
      <c r="BE416" s="7"/>
      <c r="BF416" s="7"/>
      <c r="BG416" s="7"/>
      <c r="BH416" s="7"/>
      <c r="BI416" s="7"/>
      <c r="BJ416" s="7"/>
      <c r="BK416" s="7"/>
      <c r="BL416" s="7"/>
      <c r="BM416" s="7"/>
      <c r="BN416" s="7"/>
      <c r="BO416" s="7"/>
      <c r="BP416" s="7"/>
      <c r="BQ416" s="7"/>
      <c r="BR416" s="7"/>
      <c r="BS416" s="7"/>
      <c r="BT416" s="7"/>
      <c r="BU416" s="7"/>
      <c r="BV416" s="7">
        <v>0.12</v>
      </c>
      <c r="BW416" t="s">
        <v>1154</v>
      </c>
      <c r="BX416" t="str">
        <f t="shared" si="137"/>
        <v>20</v>
      </c>
      <c r="BY416" t="str">
        <f t="shared" si="138"/>
        <v>5</v>
      </c>
      <c r="BZ416" t="str">
        <f t="shared" si="139"/>
        <v>2021</v>
      </c>
      <c r="CA416" s="5">
        <f t="shared" si="135"/>
        <v>44336</v>
      </c>
      <c r="CB416">
        <v>140</v>
      </c>
      <c r="CC416" s="7">
        <v>10</v>
      </c>
      <c r="CE416">
        <f t="shared" si="123"/>
        <v>9.5588007317148804</v>
      </c>
      <c r="CF416">
        <f t="shared" si="124"/>
        <v>1.9606711583685599</v>
      </c>
      <c r="CG416">
        <f t="shared" si="125"/>
        <v>2.1521212409140573E-2</v>
      </c>
      <c r="CH416">
        <f t="shared" si="126"/>
        <v>3.5077698199979497</v>
      </c>
      <c r="CI416">
        <f t="shared" si="127"/>
        <v>0.29007244736246335</v>
      </c>
      <c r="CJ416" s="1">
        <f t="shared" si="136"/>
        <v>0.45987095313561255</v>
      </c>
      <c r="CK416" s="7" t="s">
        <v>142</v>
      </c>
      <c r="CL416" s="7">
        <v>2</v>
      </c>
      <c r="CM416" s="7"/>
      <c r="CN416" s="7"/>
      <c r="CO416" s="7"/>
      <c r="CP416" s="7"/>
    </row>
    <row r="417" spans="1:94" x14ac:dyDescent="0.2">
      <c r="A417" s="7" t="s">
        <v>1126</v>
      </c>
      <c r="B417" s="7" t="s">
        <v>102</v>
      </c>
      <c r="C417" t="str">
        <f t="shared" si="128"/>
        <v>I</v>
      </c>
      <c r="D417" t="str">
        <f t="shared" si="129"/>
        <v>B</v>
      </c>
      <c r="E417" t="str">
        <f t="shared" si="130"/>
        <v>N</v>
      </c>
      <c r="F417" s="7">
        <v>128</v>
      </c>
      <c r="G417" s="7">
        <v>121</v>
      </c>
      <c r="H417" s="7">
        <v>42.750999999999998</v>
      </c>
      <c r="I417" s="7">
        <v>0.95899999999999996</v>
      </c>
      <c r="J417" s="7">
        <v>4.5019999999999998</v>
      </c>
      <c r="K417" s="7" t="s">
        <v>867</v>
      </c>
      <c r="L417" t="str">
        <f t="shared" si="131"/>
        <v>F</v>
      </c>
      <c r="M417" s="7">
        <v>30</v>
      </c>
      <c r="N417" s="7">
        <v>1.492</v>
      </c>
      <c r="O417" s="7">
        <v>1.347</v>
      </c>
      <c r="P417" s="7" t="s">
        <v>1150</v>
      </c>
      <c r="Q417" t="str">
        <f t="shared" si="122"/>
        <v>F</v>
      </c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  <c r="AO417" s="7"/>
      <c r="AP417" s="7">
        <v>1</v>
      </c>
      <c r="AQ417" s="7">
        <v>4.2000000000000003E-2</v>
      </c>
      <c r="AR417" s="7"/>
      <c r="AS417" s="7"/>
      <c r="AT417" s="7"/>
      <c r="AU417" s="7"/>
      <c r="AV417" s="7"/>
      <c r="AW417" s="7"/>
      <c r="AX417" s="7"/>
      <c r="AY417" s="7"/>
      <c r="AZ417" s="7"/>
      <c r="BA417" s="7"/>
      <c r="BB417" s="7">
        <v>1</v>
      </c>
      <c r="BC417" s="7">
        <v>1.9E-2</v>
      </c>
      <c r="BD417" s="7"/>
      <c r="BE417" s="7"/>
      <c r="BF417" s="7"/>
      <c r="BG417" s="7"/>
      <c r="BH417" s="7"/>
      <c r="BI417" s="7"/>
      <c r="BJ417" s="7"/>
      <c r="BK417" s="7"/>
      <c r="BL417" s="7"/>
      <c r="BM417" s="7"/>
      <c r="BN417" s="7"/>
      <c r="BO417" s="7"/>
      <c r="BP417" s="7"/>
      <c r="BQ417" s="7"/>
      <c r="BR417" s="7"/>
      <c r="BS417" s="7"/>
      <c r="BT417" s="7"/>
      <c r="BU417" s="7"/>
      <c r="BV417" s="7">
        <v>6.0999999999999999E-2</v>
      </c>
      <c r="BW417" t="s">
        <v>1154</v>
      </c>
      <c r="BX417" t="str">
        <f t="shared" si="137"/>
        <v>20</v>
      </c>
      <c r="BY417" t="str">
        <f t="shared" si="138"/>
        <v>5</v>
      </c>
      <c r="BZ417" t="str">
        <f t="shared" si="139"/>
        <v>2021</v>
      </c>
      <c r="CA417" s="5">
        <f t="shared" si="135"/>
        <v>44336</v>
      </c>
      <c r="CB417">
        <v>140</v>
      </c>
      <c r="CC417" s="7">
        <v>10</v>
      </c>
      <c r="CE417">
        <f t="shared" si="123"/>
        <v>11.770242359277368</v>
      </c>
      <c r="CF417">
        <f t="shared" si="124"/>
        <v>2.2946975497702913</v>
      </c>
      <c r="CG417">
        <f t="shared" ref="CG417:CG438" si="140">I417/(H417-I417-J417)</f>
        <v>2.5717350496111561E-2</v>
      </c>
      <c r="CH417">
        <f t="shared" ref="CH417:CH438" si="141">O417/(H417-O417)*100</f>
        <v>3.2533088590474351</v>
      </c>
      <c r="CI417">
        <f t="shared" ref="CI417:CI451" si="142">(N417-O417)/H417*100</f>
        <v>0.339173352670113</v>
      </c>
      <c r="CJ417" s="1">
        <f t="shared" si="136"/>
        <v>0.4818600734485744</v>
      </c>
      <c r="CK417" s="7" t="s">
        <v>142</v>
      </c>
      <c r="CL417" s="7">
        <v>2</v>
      </c>
      <c r="CM417" s="7"/>
      <c r="CN417" s="7"/>
      <c r="CO417" s="7"/>
      <c r="CP417" s="7"/>
    </row>
    <row r="418" spans="1:94" x14ac:dyDescent="0.2">
      <c r="A418" s="7" t="s">
        <v>1127</v>
      </c>
      <c r="B418" s="7" t="s">
        <v>102</v>
      </c>
      <c r="C418" t="str">
        <f t="shared" si="128"/>
        <v>I</v>
      </c>
      <c r="D418" t="str">
        <f t="shared" si="129"/>
        <v>B</v>
      </c>
      <c r="E418" t="str">
        <f t="shared" si="130"/>
        <v>N</v>
      </c>
      <c r="F418" s="7">
        <v>116</v>
      </c>
      <c r="G418" s="7">
        <v>110</v>
      </c>
      <c r="H418" s="7">
        <v>29.872</v>
      </c>
      <c r="I418" s="7">
        <v>0.35799999999999998</v>
      </c>
      <c r="J418" s="7">
        <v>0.28799999999999998</v>
      </c>
      <c r="K418" s="7" t="s">
        <v>868</v>
      </c>
      <c r="L418" t="str">
        <f t="shared" si="131"/>
        <v>M</v>
      </c>
      <c r="M418" s="7">
        <v>30</v>
      </c>
      <c r="N418" s="7">
        <v>1.123</v>
      </c>
      <c r="O418" s="7">
        <v>1.087</v>
      </c>
      <c r="P418" s="7" t="s">
        <v>521</v>
      </c>
      <c r="Q418" t="str">
        <f t="shared" si="122"/>
        <v>F</v>
      </c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  <c r="AO418" s="7"/>
      <c r="AP418" s="7"/>
      <c r="AQ418" s="7"/>
      <c r="AR418" s="7"/>
      <c r="AS418" s="7"/>
      <c r="AT418" s="7"/>
      <c r="AU418" s="7"/>
      <c r="AV418" s="7">
        <v>1</v>
      </c>
      <c r="AW418" s="7">
        <v>4.0000000000000001E-3</v>
      </c>
      <c r="AX418" s="7"/>
      <c r="AY418" s="7"/>
      <c r="AZ418" s="7"/>
      <c r="BA418" s="7"/>
      <c r="BB418" s="7"/>
      <c r="BC418" s="7"/>
      <c r="BD418" s="7"/>
      <c r="BE418" s="7"/>
      <c r="BF418" s="7"/>
      <c r="BG418" s="7"/>
      <c r="BH418" s="7"/>
      <c r="BI418" s="7"/>
      <c r="BJ418" s="7"/>
      <c r="BK418" s="7"/>
      <c r="BL418" s="7"/>
      <c r="BM418" s="7"/>
      <c r="BN418" s="7"/>
      <c r="BO418" s="7"/>
      <c r="BP418" s="7"/>
      <c r="BQ418" s="7"/>
      <c r="BR418" s="7"/>
      <c r="BS418" s="7"/>
      <c r="BT418" s="7"/>
      <c r="BU418" s="7"/>
      <c r="BV418" s="7">
        <v>4.0000000000000001E-3</v>
      </c>
      <c r="BW418" t="s">
        <v>1154</v>
      </c>
      <c r="BX418" t="str">
        <f t="shared" si="137"/>
        <v>20</v>
      </c>
      <c r="BY418" t="str">
        <f t="shared" si="138"/>
        <v>5</v>
      </c>
      <c r="BZ418" t="str">
        <f t="shared" si="139"/>
        <v>2021</v>
      </c>
      <c r="CA418" s="5">
        <f t="shared" si="135"/>
        <v>44336</v>
      </c>
      <c r="CB418">
        <v>140</v>
      </c>
      <c r="CC418" s="7">
        <v>10</v>
      </c>
      <c r="CE418">
        <f t="shared" si="123"/>
        <v>0.97349918875067587</v>
      </c>
      <c r="CF418">
        <f t="shared" si="124"/>
        <v>1.2129836687673647</v>
      </c>
      <c r="CG418">
        <f t="shared" si="140"/>
        <v>1.2249367001984535E-2</v>
      </c>
      <c r="CH418">
        <f t="shared" si="141"/>
        <v>3.7762723640785132</v>
      </c>
      <c r="CI418">
        <f t="shared" si="142"/>
        <v>0.12051419389394762</v>
      </c>
      <c r="CJ418" s="1">
        <f t="shared" si="136"/>
        <v>0.13390465988216402</v>
      </c>
      <c r="CK418" s="7" t="s">
        <v>142</v>
      </c>
      <c r="CL418" s="7">
        <v>2</v>
      </c>
      <c r="CM418" s="7"/>
      <c r="CN418" s="7"/>
      <c r="CO418" s="7"/>
      <c r="CP418" s="7"/>
    </row>
    <row r="419" spans="1:94" x14ac:dyDescent="0.2">
      <c r="A419" s="7" t="s">
        <v>1128</v>
      </c>
      <c r="B419" s="7" t="s">
        <v>102</v>
      </c>
      <c r="C419" t="str">
        <f t="shared" si="128"/>
        <v>I</v>
      </c>
      <c r="D419" t="str">
        <f t="shared" si="129"/>
        <v>B</v>
      </c>
      <c r="E419" t="str">
        <f t="shared" si="130"/>
        <v>N</v>
      </c>
      <c r="F419" s="7">
        <v>120</v>
      </c>
      <c r="G419" s="7">
        <v>114</v>
      </c>
      <c r="H419" s="7">
        <v>36.953000000000003</v>
      </c>
      <c r="I419" s="7">
        <v>0.81499999999999995</v>
      </c>
      <c r="J419" s="7">
        <v>3.5049999999999999</v>
      </c>
      <c r="K419" s="7" t="s">
        <v>867</v>
      </c>
      <c r="L419" t="str">
        <f t="shared" si="131"/>
        <v>F</v>
      </c>
      <c r="M419" s="7">
        <v>30</v>
      </c>
      <c r="N419" s="7">
        <v>1.163</v>
      </c>
      <c r="O419" s="7">
        <v>1.093</v>
      </c>
      <c r="P419" s="7" t="s">
        <v>1151</v>
      </c>
      <c r="Q419" t="s">
        <v>36</v>
      </c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  <c r="AO419" s="7"/>
      <c r="AP419" s="7"/>
      <c r="AQ419" s="7"/>
      <c r="AR419" s="7"/>
      <c r="AS419" s="7"/>
      <c r="AT419" s="7"/>
      <c r="AU419" s="7"/>
      <c r="AV419" s="7"/>
      <c r="AW419" s="7"/>
      <c r="AX419" s="7"/>
      <c r="AY419" s="7"/>
      <c r="AZ419" s="7"/>
      <c r="BA419" s="7"/>
      <c r="BB419" s="7"/>
      <c r="BC419" s="7"/>
      <c r="BD419" s="7"/>
      <c r="BE419" s="7"/>
      <c r="BF419" s="7"/>
      <c r="BG419" s="7"/>
      <c r="BH419" s="7"/>
      <c r="BI419" s="7"/>
      <c r="BJ419" s="7"/>
      <c r="BK419" s="7"/>
      <c r="BL419" s="7"/>
      <c r="BM419" s="7"/>
      <c r="BN419" s="7"/>
      <c r="BO419" s="7"/>
      <c r="BP419" s="7"/>
      <c r="BQ419" s="7"/>
      <c r="BR419" s="7"/>
      <c r="BS419" s="7"/>
      <c r="BT419" s="7"/>
      <c r="BU419" s="7"/>
      <c r="BW419" t="s">
        <v>1154</v>
      </c>
      <c r="BX419" t="str">
        <f t="shared" si="137"/>
        <v>20</v>
      </c>
      <c r="BY419" t="str">
        <f t="shared" si="138"/>
        <v>5</v>
      </c>
      <c r="BZ419" t="str">
        <f t="shared" si="139"/>
        <v>2021</v>
      </c>
      <c r="CA419" s="5">
        <f t="shared" si="135"/>
        <v>44336</v>
      </c>
      <c r="CB419">
        <v>140</v>
      </c>
      <c r="CC419" s="7">
        <v>10</v>
      </c>
      <c r="CE419">
        <f t="shared" si="123"/>
        <v>10.478952403731165</v>
      </c>
      <c r="CF419">
        <f t="shared" si="124"/>
        <v>2.2552437877026947</v>
      </c>
      <c r="CG419">
        <f t="shared" si="140"/>
        <v>2.4974718842889095E-2</v>
      </c>
      <c r="CH419">
        <f t="shared" si="141"/>
        <v>3.0479643056330175</v>
      </c>
      <c r="CI419">
        <f t="shared" si="142"/>
        <v>0.18942981625307839</v>
      </c>
      <c r="CJ419" s="1">
        <f t="shared" si="136"/>
        <v>0.18942981625307839</v>
      </c>
      <c r="CK419" s="7" t="s">
        <v>142</v>
      </c>
      <c r="CL419" s="7">
        <v>2</v>
      </c>
      <c r="CM419" s="7"/>
      <c r="CN419" s="7"/>
      <c r="CO419" s="7"/>
      <c r="CP419" s="7"/>
    </row>
    <row r="420" spans="1:94" x14ac:dyDescent="0.2">
      <c r="A420" s="7" t="s">
        <v>1171</v>
      </c>
      <c r="B420" s="7" t="s">
        <v>102</v>
      </c>
      <c r="C420" t="str">
        <f t="shared" si="128"/>
        <v>I</v>
      </c>
      <c r="D420" t="str">
        <f t="shared" si="129"/>
        <v>B</v>
      </c>
      <c r="E420" t="str">
        <f t="shared" si="130"/>
        <v>N</v>
      </c>
      <c r="F420" s="7">
        <v>133</v>
      </c>
      <c r="G420" s="7">
        <v>125</v>
      </c>
      <c r="H420" s="7">
        <v>50.41</v>
      </c>
      <c r="I420" s="7">
        <v>0.752</v>
      </c>
      <c r="J420" s="7">
        <v>1.272</v>
      </c>
      <c r="K420" s="7" t="s">
        <v>867</v>
      </c>
      <c r="L420" t="str">
        <f t="shared" si="131"/>
        <v>F</v>
      </c>
      <c r="M420" s="7">
        <v>30</v>
      </c>
      <c r="N420" s="7">
        <v>2.0649999999999999</v>
      </c>
      <c r="O420" s="7">
        <v>1.923</v>
      </c>
      <c r="P420" s="7" t="s">
        <v>1190</v>
      </c>
      <c r="Q420" t="str">
        <f t="shared" ref="Q420:Q451" si="143">IF(P420="MT","MT","F")</f>
        <v>F</v>
      </c>
      <c r="R420" s="7"/>
      <c r="S420" s="7"/>
      <c r="T420" s="7">
        <v>5</v>
      </c>
      <c r="U420" s="7">
        <v>0.11</v>
      </c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  <c r="AO420" s="7"/>
      <c r="AP420" s="7"/>
      <c r="AQ420" s="7"/>
      <c r="AR420" s="7"/>
      <c r="AS420" s="7"/>
      <c r="AT420" s="7"/>
      <c r="AU420" s="7"/>
      <c r="AV420" s="7"/>
      <c r="AW420" s="7"/>
      <c r="AX420" s="7"/>
      <c r="AY420" s="7"/>
      <c r="AZ420" s="7"/>
      <c r="BA420" s="7"/>
      <c r="BB420" s="7"/>
      <c r="BC420" s="7"/>
      <c r="BD420" s="7"/>
      <c r="BE420" s="7"/>
      <c r="BF420" s="7"/>
      <c r="BG420" s="7"/>
      <c r="BH420" s="7"/>
      <c r="BI420" s="7"/>
      <c r="BJ420" s="7"/>
      <c r="BK420" s="7"/>
      <c r="BL420" s="7"/>
      <c r="BM420" s="7"/>
      <c r="BN420" s="7"/>
      <c r="BO420" s="7"/>
      <c r="BP420" s="7"/>
      <c r="BQ420" s="7"/>
      <c r="BR420" s="7"/>
      <c r="BS420" s="7"/>
      <c r="BT420" s="7"/>
      <c r="BU420" s="7"/>
      <c r="BV420" s="7">
        <v>0.11</v>
      </c>
      <c r="BW420" s="5">
        <v>44383</v>
      </c>
      <c r="BX420" s="7">
        <v>7</v>
      </c>
      <c r="BY420" s="7">
        <v>6</v>
      </c>
      <c r="BZ420" s="7">
        <v>2021</v>
      </c>
      <c r="CA420" s="5">
        <f t="shared" si="135"/>
        <v>44354</v>
      </c>
      <c r="CB420">
        <v>158</v>
      </c>
      <c r="CC420" s="7">
        <v>11</v>
      </c>
      <c r="CE420">
        <f t="shared" si="123"/>
        <v>2.5886279457853392</v>
      </c>
      <c r="CF420">
        <f t="shared" si="124"/>
        <v>1.5143582101574773</v>
      </c>
      <c r="CG420">
        <f t="shared" si="140"/>
        <v>1.554168561154053E-2</v>
      </c>
      <c r="CH420">
        <f t="shared" si="141"/>
        <v>3.9660115082393226</v>
      </c>
      <c r="CI420">
        <f t="shared" si="142"/>
        <v>0.28169014084507027</v>
      </c>
      <c r="CJ420" s="1">
        <f t="shared" si="136"/>
        <v>0.4999008133306882</v>
      </c>
      <c r="CK420" s="7" t="s">
        <v>142</v>
      </c>
      <c r="CL420" s="7">
        <v>3</v>
      </c>
      <c r="CM420" s="7"/>
      <c r="CN420" s="7"/>
      <c r="CO420" s="7"/>
      <c r="CP420" s="7"/>
    </row>
    <row r="421" spans="1:94" x14ac:dyDescent="0.2">
      <c r="A421" s="7" t="s">
        <v>1172</v>
      </c>
      <c r="B421" s="7" t="s">
        <v>102</v>
      </c>
      <c r="C421" t="str">
        <f t="shared" si="128"/>
        <v>I</v>
      </c>
      <c r="D421" t="str">
        <f t="shared" si="129"/>
        <v>I</v>
      </c>
      <c r="E421" t="str">
        <f t="shared" si="130"/>
        <v>G</v>
      </c>
      <c r="F421" s="7">
        <v>92</v>
      </c>
      <c r="G421" s="7">
        <v>88</v>
      </c>
      <c r="H421" s="7">
        <v>15.297000000000001</v>
      </c>
      <c r="I421" s="7">
        <v>0.23100000000000001</v>
      </c>
      <c r="J421" s="7">
        <v>1.4530000000000001</v>
      </c>
      <c r="K421" s="7" t="s">
        <v>867</v>
      </c>
      <c r="L421" t="str">
        <f t="shared" si="131"/>
        <v>F</v>
      </c>
      <c r="M421" s="7">
        <v>30</v>
      </c>
      <c r="N421" s="7">
        <v>0.54400000000000004</v>
      </c>
      <c r="O421" s="7">
        <v>0.51</v>
      </c>
      <c r="P421" s="7" t="s">
        <v>1191</v>
      </c>
      <c r="Q421" t="str">
        <f t="shared" si="143"/>
        <v>F</v>
      </c>
      <c r="R421" s="7"/>
      <c r="S421" s="7"/>
      <c r="T421" s="7">
        <v>1</v>
      </c>
      <c r="U421" s="7">
        <v>1.2999999999999999E-2</v>
      </c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  <c r="AO421" s="7"/>
      <c r="AP421" s="7"/>
      <c r="AQ421" s="7"/>
      <c r="AR421" s="7"/>
      <c r="AS421" s="7"/>
      <c r="AT421" s="7"/>
      <c r="AU421" s="7"/>
      <c r="AV421" s="7"/>
      <c r="AW421" s="7"/>
      <c r="AX421" s="7"/>
      <c r="AY421" s="7"/>
      <c r="AZ421" s="7"/>
      <c r="BA421" s="7"/>
      <c r="BB421" s="7"/>
      <c r="BC421" s="7"/>
      <c r="BD421" s="7"/>
      <c r="BE421" s="7"/>
      <c r="BF421" s="7"/>
      <c r="BG421" s="7"/>
      <c r="BH421" s="7"/>
      <c r="BI421" s="7"/>
      <c r="BJ421" s="7"/>
      <c r="BK421" s="7"/>
      <c r="BL421" s="7"/>
      <c r="BM421" s="7"/>
      <c r="BN421" s="7"/>
      <c r="BO421" s="7"/>
      <c r="BP421" s="7"/>
      <c r="BQ421" s="7"/>
      <c r="BR421" s="7"/>
      <c r="BS421" s="7"/>
      <c r="BT421" s="7"/>
      <c r="BU421" s="7"/>
      <c r="BV421" s="7">
        <v>1.2999999999999999E-2</v>
      </c>
      <c r="BW421" s="5">
        <v>44383</v>
      </c>
      <c r="BX421" s="7">
        <v>7</v>
      </c>
      <c r="BY421" s="7">
        <v>6</v>
      </c>
      <c r="BZ421" s="7">
        <v>2021</v>
      </c>
      <c r="CA421" s="5">
        <f t="shared" si="135"/>
        <v>44354</v>
      </c>
      <c r="CB421">
        <v>158</v>
      </c>
      <c r="CC421" s="7">
        <v>11</v>
      </c>
      <c r="CE421">
        <f t="shared" si="123"/>
        <v>10.495521525570643</v>
      </c>
      <c r="CF421">
        <f t="shared" si="124"/>
        <v>1.5332536837913182</v>
      </c>
      <c r="CG421">
        <f t="shared" si="140"/>
        <v>1.6969073679570998E-2</v>
      </c>
      <c r="CH421">
        <f t="shared" si="141"/>
        <v>3.4489754514100226</v>
      </c>
      <c r="CI421">
        <f t="shared" si="142"/>
        <v>0.22226580375236993</v>
      </c>
      <c r="CJ421" s="1">
        <f t="shared" si="136"/>
        <v>0.30724978754004073</v>
      </c>
      <c r="CK421" s="7" t="s">
        <v>142</v>
      </c>
      <c r="CL421" s="7">
        <v>2</v>
      </c>
      <c r="CM421" s="7"/>
      <c r="CN421" s="7"/>
      <c r="CO421" s="7"/>
      <c r="CP421" s="7"/>
    </row>
    <row r="422" spans="1:94" x14ac:dyDescent="0.2">
      <c r="A422" s="7" t="s">
        <v>1173</v>
      </c>
      <c r="B422" s="7" t="s">
        <v>102</v>
      </c>
      <c r="C422" t="str">
        <f t="shared" si="128"/>
        <v>I</v>
      </c>
      <c r="D422" t="str">
        <f t="shared" si="129"/>
        <v>I</v>
      </c>
      <c r="E422" t="str">
        <f t="shared" si="130"/>
        <v>G</v>
      </c>
      <c r="F422" s="7">
        <v>108</v>
      </c>
      <c r="G422" s="7">
        <v>103</v>
      </c>
      <c r="H422" s="7">
        <v>23.236999999999998</v>
      </c>
      <c r="I422" s="7">
        <v>0.252</v>
      </c>
      <c r="J422" s="7">
        <v>9.0999999999999998E-2</v>
      </c>
      <c r="K422" s="7" t="s">
        <v>1181</v>
      </c>
      <c r="L422" t="str">
        <f t="shared" si="131"/>
        <v>M</v>
      </c>
      <c r="M422" s="7">
        <v>40</v>
      </c>
      <c r="N422" s="7">
        <v>1.2929999999999999</v>
      </c>
      <c r="O422" s="7">
        <v>1.2769999999999999</v>
      </c>
      <c r="P422" s="7" t="s">
        <v>36</v>
      </c>
      <c r="Q422" t="str">
        <f t="shared" si="143"/>
        <v>MT</v>
      </c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  <c r="AO422" s="7"/>
      <c r="AP422" s="7"/>
      <c r="AQ422" s="7"/>
      <c r="AR422" s="7"/>
      <c r="AS422" s="7"/>
      <c r="AT422" s="7"/>
      <c r="AU422" s="7"/>
      <c r="AV422" s="7"/>
      <c r="AW422" s="7"/>
      <c r="AX422" s="7"/>
      <c r="AY422" s="7"/>
      <c r="AZ422" s="7"/>
      <c r="BA422" s="7"/>
      <c r="BB422" s="7"/>
      <c r="BC422" s="7"/>
      <c r="BD422" s="7"/>
      <c r="BE422" s="7"/>
      <c r="BF422" s="7"/>
      <c r="BG422" s="7"/>
      <c r="BH422" s="7"/>
      <c r="BI422" s="7"/>
      <c r="BJ422" s="7"/>
      <c r="BK422" s="7"/>
      <c r="BL422" s="7"/>
      <c r="BM422" s="7"/>
      <c r="BN422" s="7"/>
      <c r="BO422" s="7"/>
      <c r="BP422" s="7"/>
      <c r="BQ422" s="7"/>
      <c r="BR422" s="7"/>
      <c r="BS422" s="7"/>
      <c r="BT422" s="7"/>
      <c r="BU422" s="7"/>
      <c r="BW422" s="5">
        <v>44383</v>
      </c>
      <c r="BX422" s="7">
        <v>7</v>
      </c>
      <c r="BY422" s="7">
        <v>6</v>
      </c>
      <c r="BZ422" s="7">
        <v>2021</v>
      </c>
      <c r="CA422" s="5">
        <f t="shared" si="135"/>
        <v>44354</v>
      </c>
      <c r="CB422">
        <v>158</v>
      </c>
      <c r="CC422" s="7">
        <v>11</v>
      </c>
      <c r="CE422">
        <f t="shared" si="123"/>
        <v>0.39315648492180078</v>
      </c>
      <c r="CF422">
        <f t="shared" si="124"/>
        <v>1.0963671959973897</v>
      </c>
      <c r="CG422">
        <f t="shared" si="140"/>
        <v>1.1007250808071984E-2</v>
      </c>
      <c r="CH422">
        <f t="shared" si="141"/>
        <v>5.8151183970856106</v>
      </c>
      <c r="CI422">
        <f t="shared" si="142"/>
        <v>6.8855704264750253E-2</v>
      </c>
      <c r="CJ422" s="1">
        <f t="shared" si="136"/>
        <v>6.8855704264750253E-2</v>
      </c>
      <c r="CK422" s="7" t="s">
        <v>142</v>
      </c>
      <c r="CL422" s="7">
        <v>2</v>
      </c>
      <c r="CM422" s="7"/>
      <c r="CN422" s="7"/>
      <c r="CO422" s="7"/>
      <c r="CP422" s="7"/>
    </row>
    <row r="423" spans="1:94" x14ac:dyDescent="0.2">
      <c r="A423" s="7" t="s">
        <v>1174</v>
      </c>
      <c r="B423" s="7" t="s">
        <v>102</v>
      </c>
      <c r="C423" t="str">
        <f t="shared" si="128"/>
        <v>I</v>
      </c>
      <c r="D423" t="str">
        <f t="shared" si="129"/>
        <v>I</v>
      </c>
      <c r="E423" t="str">
        <f t="shared" si="130"/>
        <v>G</v>
      </c>
      <c r="F423" s="7">
        <v>107</v>
      </c>
      <c r="G423" s="7">
        <v>102</v>
      </c>
      <c r="H423" s="7">
        <v>22.614999999999998</v>
      </c>
      <c r="I423" s="7">
        <v>0.20699999999999999</v>
      </c>
      <c r="J423" s="7">
        <v>6.4000000000000001E-2</v>
      </c>
      <c r="K423" s="7" t="s">
        <v>1181</v>
      </c>
      <c r="L423" t="str">
        <f t="shared" si="131"/>
        <v>M</v>
      </c>
      <c r="M423" s="7">
        <v>40</v>
      </c>
      <c r="N423" s="7">
        <v>1.0760000000000001</v>
      </c>
      <c r="O423" s="7">
        <v>1.046</v>
      </c>
      <c r="P423" s="7" t="s">
        <v>36</v>
      </c>
      <c r="Q423" t="str">
        <f t="shared" si="143"/>
        <v>MT</v>
      </c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  <c r="AO423" s="7"/>
      <c r="AP423" s="7"/>
      <c r="AQ423" s="7"/>
      <c r="AR423" s="7"/>
      <c r="AS423" s="7"/>
      <c r="AT423" s="7"/>
      <c r="AU423" s="7"/>
      <c r="AV423" s="7"/>
      <c r="AW423" s="7"/>
      <c r="AX423" s="7"/>
      <c r="AY423" s="7"/>
      <c r="AZ423" s="7"/>
      <c r="BA423" s="7"/>
      <c r="BB423" s="7"/>
      <c r="BC423" s="7"/>
      <c r="BD423" s="7"/>
      <c r="BE423" s="7"/>
      <c r="BF423" s="7"/>
      <c r="BG423" s="7"/>
      <c r="BH423" s="7"/>
      <c r="BI423" s="7"/>
      <c r="BJ423" s="7"/>
      <c r="BK423" s="7"/>
      <c r="BL423" s="7"/>
      <c r="BM423" s="7"/>
      <c r="BN423" s="7"/>
      <c r="BO423" s="7"/>
      <c r="BP423" s="7"/>
      <c r="BQ423" s="7"/>
      <c r="BR423" s="7"/>
      <c r="BS423" s="7"/>
      <c r="BT423" s="7"/>
      <c r="BU423" s="7"/>
      <c r="BW423" s="5">
        <v>44383</v>
      </c>
      <c r="BX423" s="7">
        <v>7</v>
      </c>
      <c r="BY423" s="7">
        <v>6</v>
      </c>
      <c r="BZ423" s="7">
        <v>2021</v>
      </c>
      <c r="CA423" s="5">
        <f t="shared" si="135"/>
        <v>44354</v>
      </c>
      <c r="CB423">
        <v>158</v>
      </c>
      <c r="CC423" s="7">
        <v>11</v>
      </c>
      <c r="CE423">
        <f t="shared" si="123"/>
        <v>0.28380116181100618</v>
      </c>
      <c r="CF423">
        <f t="shared" si="124"/>
        <v>0.92377722242056415</v>
      </c>
      <c r="CG423">
        <f t="shared" si="140"/>
        <v>9.2642320085929118E-3</v>
      </c>
      <c r="CH423">
        <f t="shared" si="141"/>
        <v>4.849552598636933</v>
      </c>
      <c r="CI423">
        <f t="shared" si="142"/>
        <v>0.13265531726730059</v>
      </c>
      <c r="CJ423" s="1">
        <f t="shared" si="136"/>
        <v>0.13265531726730059</v>
      </c>
      <c r="CK423" s="7" t="s">
        <v>142</v>
      </c>
      <c r="CL423" s="7">
        <v>3</v>
      </c>
      <c r="CM423" s="7"/>
      <c r="CN423" s="7"/>
      <c r="CO423" s="7"/>
      <c r="CP423" s="7"/>
    </row>
    <row r="424" spans="1:94" x14ac:dyDescent="0.2">
      <c r="A424" s="7" t="s">
        <v>1175</v>
      </c>
      <c r="B424" s="7" t="s">
        <v>102</v>
      </c>
      <c r="C424" t="str">
        <f t="shared" si="128"/>
        <v>I</v>
      </c>
      <c r="D424" t="str">
        <f t="shared" si="129"/>
        <v>I</v>
      </c>
      <c r="E424" t="str">
        <f t="shared" si="130"/>
        <v>G</v>
      </c>
      <c r="F424" s="7">
        <v>90</v>
      </c>
      <c r="G424" s="7">
        <v>84</v>
      </c>
      <c r="H424" s="7">
        <v>11.906000000000001</v>
      </c>
      <c r="I424" s="7">
        <v>0.11600000000000001</v>
      </c>
      <c r="J424" s="7">
        <v>3.4000000000000002E-2</v>
      </c>
      <c r="K424" s="7" t="s">
        <v>1181</v>
      </c>
      <c r="L424" t="str">
        <f t="shared" si="131"/>
        <v>M</v>
      </c>
      <c r="M424" s="7">
        <v>40</v>
      </c>
      <c r="N424" s="7">
        <v>0.58499999999999996</v>
      </c>
      <c r="O424" s="7">
        <v>0.55600000000000005</v>
      </c>
      <c r="P424" s="7" t="s">
        <v>36</v>
      </c>
      <c r="Q424" t="str">
        <f t="shared" si="143"/>
        <v>MT</v>
      </c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  <c r="AO424" s="7"/>
      <c r="AP424" s="7"/>
      <c r="AQ424" s="7"/>
      <c r="AR424" s="7"/>
      <c r="AS424" s="7"/>
      <c r="AT424" s="7"/>
      <c r="AU424" s="7"/>
      <c r="AV424" s="7"/>
      <c r="AW424" s="7"/>
      <c r="AX424" s="7"/>
      <c r="AY424" s="7"/>
      <c r="AZ424" s="7"/>
      <c r="BA424" s="7"/>
      <c r="BB424" s="7"/>
      <c r="BC424" s="7"/>
      <c r="BD424" s="7"/>
      <c r="BE424" s="7"/>
      <c r="BF424" s="7"/>
      <c r="BG424" s="7"/>
      <c r="BH424" s="7"/>
      <c r="BI424" s="7"/>
      <c r="BJ424" s="7"/>
      <c r="BK424" s="7"/>
      <c r="BL424" s="7"/>
      <c r="BM424" s="7"/>
      <c r="BN424" s="7"/>
      <c r="BO424" s="7"/>
      <c r="BP424" s="7"/>
      <c r="BQ424" s="7"/>
      <c r="BR424" s="7"/>
      <c r="BS424" s="7"/>
      <c r="BT424" s="7"/>
      <c r="BU424" s="7"/>
      <c r="BW424" s="5">
        <v>44383</v>
      </c>
      <c r="BX424" s="7">
        <v>7</v>
      </c>
      <c r="BY424" s="7">
        <v>6</v>
      </c>
      <c r="BZ424" s="7">
        <v>2021</v>
      </c>
      <c r="CA424" s="5">
        <f t="shared" si="135"/>
        <v>44354</v>
      </c>
      <c r="CB424">
        <v>158</v>
      </c>
      <c r="CC424" s="7">
        <v>11</v>
      </c>
      <c r="CE424">
        <f t="shared" si="123"/>
        <v>0.28638814016172509</v>
      </c>
      <c r="CF424">
        <f t="shared" si="124"/>
        <v>0.98388464800678532</v>
      </c>
      <c r="CG424">
        <f t="shared" si="140"/>
        <v>9.8673018033344686E-3</v>
      </c>
      <c r="CH424">
        <f t="shared" si="141"/>
        <v>4.8986784140969162</v>
      </c>
      <c r="CI424">
        <f t="shared" si="142"/>
        <v>0.24357466823450288</v>
      </c>
      <c r="CJ424" s="1">
        <f t="shared" si="136"/>
        <v>0.24357466823450288</v>
      </c>
      <c r="CK424" s="7" t="s">
        <v>142</v>
      </c>
      <c r="CL424" s="7">
        <v>1</v>
      </c>
      <c r="CM424" s="7"/>
      <c r="CN424" s="7"/>
      <c r="CO424" s="7"/>
      <c r="CP424" s="7"/>
    </row>
    <row r="425" spans="1:94" x14ac:dyDescent="0.2">
      <c r="A425" s="7" t="s">
        <v>1176</v>
      </c>
      <c r="B425" s="7" t="s">
        <v>102</v>
      </c>
      <c r="C425" t="str">
        <f t="shared" si="128"/>
        <v>I</v>
      </c>
      <c r="D425" t="str">
        <f t="shared" si="129"/>
        <v>S</v>
      </c>
      <c r="E425" t="str">
        <f t="shared" si="130"/>
        <v>G</v>
      </c>
      <c r="F425" s="7">
        <v>83</v>
      </c>
      <c r="G425" s="7">
        <v>77</v>
      </c>
      <c r="H425" s="7">
        <v>9.9369999999999994</v>
      </c>
      <c r="I425" s="7">
        <v>0.13</v>
      </c>
      <c r="J425" s="7">
        <v>0.26300000000000001</v>
      </c>
      <c r="K425" s="7" t="s">
        <v>867</v>
      </c>
      <c r="L425" t="str">
        <f t="shared" si="131"/>
        <v>F</v>
      </c>
      <c r="M425" s="7">
        <v>30</v>
      </c>
      <c r="N425" s="7">
        <v>0.4</v>
      </c>
      <c r="O425" s="7">
        <v>0.38800000000000001</v>
      </c>
      <c r="P425" s="7" t="s">
        <v>36</v>
      </c>
      <c r="Q425" t="str">
        <f t="shared" si="143"/>
        <v>MT</v>
      </c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  <c r="AO425" s="7"/>
      <c r="AP425" s="7"/>
      <c r="AQ425" s="7"/>
      <c r="AR425" s="7"/>
      <c r="AS425" s="7"/>
      <c r="AT425" s="7"/>
      <c r="AU425" s="7"/>
      <c r="AV425" s="7"/>
      <c r="AW425" s="7"/>
      <c r="AX425" s="7"/>
      <c r="AY425" s="7"/>
      <c r="AZ425" s="7"/>
      <c r="BA425" s="7"/>
      <c r="BB425" s="7"/>
      <c r="BC425" s="7"/>
      <c r="BD425" s="7"/>
      <c r="BE425" s="7"/>
      <c r="BF425" s="7"/>
      <c r="BG425" s="7"/>
      <c r="BH425" s="7"/>
      <c r="BI425" s="7"/>
      <c r="BJ425" s="7"/>
      <c r="BK425" s="7"/>
      <c r="BL425" s="7"/>
      <c r="BM425" s="7"/>
      <c r="BN425" s="7"/>
      <c r="BO425" s="7"/>
      <c r="BP425" s="7"/>
      <c r="BQ425" s="7"/>
      <c r="BR425" s="7"/>
      <c r="BS425" s="7"/>
      <c r="BT425" s="7"/>
      <c r="BU425" s="7"/>
      <c r="BW425" s="5">
        <v>44383</v>
      </c>
      <c r="BX425" s="7">
        <v>7</v>
      </c>
      <c r="BY425" s="7">
        <v>6</v>
      </c>
      <c r="BZ425" s="7">
        <v>2021</v>
      </c>
      <c r="CA425" s="5">
        <f t="shared" si="135"/>
        <v>44354</v>
      </c>
      <c r="CB425">
        <v>158</v>
      </c>
      <c r="CC425" s="7">
        <v>11</v>
      </c>
      <c r="CE425">
        <f t="shared" si="123"/>
        <v>2.7186272482943976</v>
      </c>
      <c r="CF425">
        <f t="shared" si="124"/>
        <v>1.3255837666972572</v>
      </c>
      <c r="CG425">
        <f t="shared" si="140"/>
        <v>1.3621123218776197E-2</v>
      </c>
      <c r="CH425">
        <f t="shared" si="141"/>
        <v>4.0632526966174467</v>
      </c>
      <c r="CI425">
        <f t="shared" si="142"/>
        <v>0.12076079299587411</v>
      </c>
      <c r="CJ425" s="1">
        <f t="shared" si="136"/>
        <v>0.12076079299587411</v>
      </c>
      <c r="CK425" s="7" t="s">
        <v>142</v>
      </c>
      <c r="CL425" s="7">
        <v>3</v>
      </c>
      <c r="CM425" s="7"/>
      <c r="CN425" s="7"/>
      <c r="CO425" s="7"/>
      <c r="CP425" s="7"/>
    </row>
    <row r="426" spans="1:94" x14ac:dyDescent="0.2">
      <c r="A426" s="7" t="s">
        <v>1271</v>
      </c>
      <c r="B426" s="7" t="s">
        <v>102</v>
      </c>
      <c r="C426" t="str">
        <f t="shared" si="128"/>
        <v>S</v>
      </c>
      <c r="D426" t="str">
        <f t="shared" si="129"/>
        <v>IMM</v>
      </c>
      <c r="E426" t="str">
        <f t="shared" si="130"/>
        <v>N</v>
      </c>
      <c r="F426" s="7">
        <v>53</v>
      </c>
      <c r="G426" s="7">
        <v>51</v>
      </c>
      <c r="H426" s="7">
        <v>2.3279999999999998</v>
      </c>
      <c r="I426" s="7">
        <v>2.5000000000000001E-2</v>
      </c>
      <c r="J426" s="7">
        <v>0</v>
      </c>
      <c r="K426" s="7" t="s">
        <v>316</v>
      </c>
      <c r="L426" t="str">
        <f t="shared" si="131"/>
        <v>M</v>
      </c>
      <c r="M426" s="7">
        <v>10</v>
      </c>
      <c r="N426" s="7">
        <v>0.124</v>
      </c>
      <c r="O426" s="7">
        <v>9.6000000000000002E-2</v>
      </c>
      <c r="P426" s="7" t="s">
        <v>1283</v>
      </c>
      <c r="Q426" t="str">
        <f t="shared" si="143"/>
        <v>F</v>
      </c>
      <c r="R426" s="7"/>
      <c r="S426" s="7"/>
      <c r="T426" s="7">
        <v>5</v>
      </c>
      <c r="U426" s="7">
        <v>1.9E-2</v>
      </c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  <c r="AO426" s="7"/>
      <c r="AP426" s="7"/>
      <c r="AQ426" s="7"/>
      <c r="AR426" s="7"/>
      <c r="AS426" s="7"/>
      <c r="AT426" s="7"/>
      <c r="AU426" s="7"/>
      <c r="AV426" s="7"/>
      <c r="AW426" s="7"/>
      <c r="AX426" s="7"/>
      <c r="AY426" s="7"/>
      <c r="AZ426" s="7"/>
      <c r="BA426" s="7"/>
      <c r="BB426" s="7"/>
      <c r="BC426" s="7"/>
      <c r="BD426" s="7"/>
      <c r="BE426" s="7"/>
      <c r="BF426" s="7"/>
      <c r="BG426" s="7"/>
      <c r="BH426" s="7"/>
      <c r="BI426" s="7"/>
      <c r="BJ426" s="7"/>
      <c r="BK426" s="7"/>
      <c r="BL426" s="7"/>
      <c r="BM426" s="7"/>
      <c r="BN426" s="7"/>
      <c r="BO426" s="7"/>
      <c r="BP426" s="7"/>
      <c r="BQ426" s="7"/>
      <c r="BR426" s="7"/>
      <c r="BS426" s="7"/>
      <c r="BT426" s="7"/>
      <c r="BU426" s="7"/>
      <c r="BV426" s="7">
        <v>1.9E-2</v>
      </c>
      <c r="BW426" t="s">
        <v>1235</v>
      </c>
      <c r="BX426" t="str">
        <f t="shared" ref="BX426:BX434" si="144">LEFT(BW426,2)</f>
        <v>23</v>
      </c>
      <c r="BY426" t="str">
        <f t="shared" ref="BY426:BY434" si="145">MID(BW426,4,1)</f>
        <v>6</v>
      </c>
      <c r="BZ426" t="str">
        <f t="shared" ref="BZ426:BZ434" si="146">20&amp;RIGHT(BW426,2)</f>
        <v>2021</v>
      </c>
      <c r="CA426" s="5">
        <f t="shared" si="135"/>
        <v>44370</v>
      </c>
      <c r="CB426">
        <v>174</v>
      </c>
      <c r="CC426" s="7">
        <v>12</v>
      </c>
      <c r="CE426">
        <f t="shared" si="123"/>
        <v>0</v>
      </c>
      <c r="CF426">
        <f t="shared" si="124"/>
        <v>1.0855405992184108</v>
      </c>
      <c r="CG426">
        <f t="shared" si="140"/>
        <v>1.0855405992184109E-2</v>
      </c>
      <c r="CH426">
        <f t="shared" si="141"/>
        <v>4.3010752688172049</v>
      </c>
      <c r="CI426">
        <f t="shared" si="142"/>
        <v>1.2027491408934707</v>
      </c>
      <c r="CJ426" s="1">
        <f t="shared" si="136"/>
        <v>2.0189003436426116</v>
      </c>
      <c r="CK426" s="7" t="s">
        <v>142</v>
      </c>
      <c r="CL426" s="7">
        <v>2</v>
      </c>
      <c r="CM426" s="7"/>
      <c r="CN426" s="7"/>
      <c r="CO426" s="7"/>
      <c r="CP426" s="7"/>
    </row>
    <row r="427" spans="1:94" x14ac:dyDescent="0.2">
      <c r="A427" s="7" t="s">
        <v>1272</v>
      </c>
      <c r="B427" s="7" t="s">
        <v>102</v>
      </c>
      <c r="C427" t="str">
        <f t="shared" si="128"/>
        <v>S</v>
      </c>
      <c r="D427" t="str">
        <f t="shared" si="129"/>
        <v>IMM</v>
      </c>
      <c r="E427" t="str">
        <f t="shared" si="130"/>
        <v>N</v>
      </c>
      <c r="F427" s="7">
        <v>59</v>
      </c>
      <c r="G427" s="7">
        <v>55</v>
      </c>
      <c r="H427" s="7">
        <v>3.202</v>
      </c>
      <c r="I427" s="7">
        <v>3.1E-2</v>
      </c>
      <c r="J427" s="7">
        <v>3.1E-2</v>
      </c>
      <c r="K427" s="7" t="s">
        <v>336</v>
      </c>
      <c r="L427" t="str">
        <f t="shared" si="131"/>
        <v>F</v>
      </c>
      <c r="M427" s="7">
        <v>20</v>
      </c>
      <c r="N427" s="7">
        <v>0.13600000000000001</v>
      </c>
      <c r="O427" s="7">
        <v>0.106</v>
      </c>
      <c r="P427" s="7" t="s">
        <v>1284</v>
      </c>
      <c r="Q427" t="str">
        <f t="shared" si="143"/>
        <v>F</v>
      </c>
      <c r="R427" s="7"/>
      <c r="S427" s="7"/>
      <c r="T427" s="7">
        <v>4</v>
      </c>
      <c r="U427" s="7">
        <v>1.0999999999999999E-2</v>
      </c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  <c r="AO427" s="7"/>
      <c r="AP427" s="7"/>
      <c r="AQ427" s="7"/>
      <c r="AR427" s="7"/>
      <c r="AS427" s="7"/>
      <c r="AT427" s="7"/>
      <c r="AU427" s="7"/>
      <c r="AV427" s="7"/>
      <c r="AW427" s="7"/>
      <c r="AX427" s="7"/>
      <c r="AY427" s="7"/>
      <c r="AZ427" s="7"/>
      <c r="BA427" s="7"/>
      <c r="BB427" s="7"/>
      <c r="BC427" s="7"/>
      <c r="BD427" s="7"/>
      <c r="BE427" s="7"/>
      <c r="BF427" s="7"/>
      <c r="BG427" s="7"/>
      <c r="BH427" s="7"/>
      <c r="BI427" s="7"/>
      <c r="BJ427" s="7"/>
      <c r="BK427" s="7"/>
      <c r="BL427" s="7"/>
      <c r="BM427" s="7"/>
      <c r="BN427" s="7"/>
      <c r="BO427" s="7"/>
      <c r="BP427" s="7"/>
      <c r="BQ427" s="7"/>
      <c r="BR427" s="7"/>
      <c r="BS427" s="7"/>
      <c r="BT427" s="7"/>
      <c r="BU427" s="7"/>
      <c r="BV427" s="7">
        <v>1.0999999999999999E-2</v>
      </c>
      <c r="BW427" t="s">
        <v>1235</v>
      </c>
      <c r="BX427" t="str">
        <f t="shared" si="144"/>
        <v>23</v>
      </c>
      <c r="BY427" t="str">
        <f t="shared" si="145"/>
        <v>6</v>
      </c>
      <c r="BZ427" t="str">
        <f t="shared" si="146"/>
        <v>2021</v>
      </c>
      <c r="CA427" s="5">
        <f t="shared" si="135"/>
        <v>44370</v>
      </c>
      <c r="CB427">
        <v>174</v>
      </c>
      <c r="CC427" s="7">
        <v>12</v>
      </c>
      <c r="CE427">
        <f t="shared" si="123"/>
        <v>0.9776095868811101</v>
      </c>
      <c r="CF427">
        <f t="shared" si="124"/>
        <v>0.9776095868811101</v>
      </c>
      <c r="CG427">
        <f t="shared" si="140"/>
        <v>9.8726114649681541E-3</v>
      </c>
      <c r="CH427">
        <f t="shared" si="141"/>
        <v>3.4237726098191215</v>
      </c>
      <c r="CI427">
        <f t="shared" si="142"/>
        <v>0.93691442848219897</v>
      </c>
      <c r="CJ427" s="1">
        <f t="shared" si="136"/>
        <v>1.2804497189256718</v>
      </c>
      <c r="CK427" s="7" t="s">
        <v>142</v>
      </c>
      <c r="CL427" s="7">
        <v>2</v>
      </c>
      <c r="CM427" s="7"/>
      <c r="CN427" s="7"/>
      <c r="CO427" s="7"/>
      <c r="CP427" s="7"/>
    </row>
    <row r="428" spans="1:94" x14ac:dyDescent="0.2">
      <c r="A428" s="7" t="s">
        <v>1273</v>
      </c>
      <c r="B428" s="7" t="s">
        <v>102</v>
      </c>
      <c r="C428" t="str">
        <f t="shared" si="128"/>
        <v>I</v>
      </c>
      <c r="D428" t="str">
        <f t="shared" si="129"/>
        <v>S</v>
      </c>
      <c r="E428" t="str">
        <f t="shared" si="130"/>
        <v>G</v>
      </c>
      <c r="F428" s="7">
        <v>69</v>
      </c>
      <c r="G428" s="7">
        <v>65</v>
      </c>
      <c r="H428" s="7">
        <v>5.3310000000000004</v>
      </c>
      <c r="I428" s="7">
        <v>4.8000000000000001E-2</v>
      </c>
      <c r="J428" s="7">
        <v>6.0000000000000001E-3</v>
      </c>
      <c r="K428" s="7" t="s">
        <v>316</v>
      </c>
      <c r="L428" t="str">
        <f t="shared" si="131"/>
        <v>M</v>
      </c>
      <c r="M428" s="7">
        <v>10</v>
      </c>
      <c r="N428" s="7">
        <v>0.34599999999999997</v>
      </c>
      <c r="O428" s="7">
        <v>0.27300000000000002</v>
      </c>
      <c r="P428" s="7" t="s">
        <v>1285</v>
      </c>
      <c r="Q428" t="str">
        <f t="shared" si="143"/>
        <v>F</v>
      </c>
      <c r="R428" s="7"/>
      <c r="S428" s="7"/>
      <c r="T428" s="7">
        <v>1</v>
      </c>
      <c r="U428" s="7">
        <v>5.7000000000000002E-2</v>
      </c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  <c r="AO428" s="7"/>
      <c r="AP428" s="7"/>
      <c r="AQ428" s="7"/>
      <c r="AR428" s="7"/>
      <c r="AS428" s="7"/>
      <c r="AT428" s="7"/>
      <c r="AU428" s="7"/>
      <c r="AV428" s="7"/>
      <c r="AW428" s="7"/>
      <c r="AX428" s="7"/>
      <c r="AY428" s="7"/>
      <c r="AZ428" s="7"/>
      <c r="BA428" s="7"/>
      <c r="BB428" s="7"/>
      <c r="BC428" s="7"/>
      <c r="BD428" s="7"/>
      <c r="BE428" s="7"/>
      <c r="BF428" s="7"/>
      <c r="BG428" s="7"/>
      <c r="BH428" s="7"/>
      <c r="BI428" s="7"/>
      <c r="BJ428" s="7"/>
      <c r="BK428" s="7"/>
      <c r="BL428" s="7"/>
      <c r="BM428" s="7"/>
      <c r="BN428" s="7"/>
      <c r="BO428" s="7"/>
      <c r="BP428" s="7"/>
      <c r="BQ428" s="7"/>
      <c r="BR428" s="7"/>
      <c r="BS428" s="7"/>
      <c r="BT428" s="7"/>
      <c r="BU428" s="7"/>
      <c r="BV428" s="7">
        <v>5.7000000000000002E-2</v>
      </c>
      <c r="BW428" t="s">
        <v>1235</v>
      </c>
      <c r="BX428" t="str">
        <f t="shared" si="144"/>
        <v>23</v>
      </c>
      <c r="BY428" t="str">
        <f t="shared" si="145"/>
        <v>6</v>
      </c>
      <c r="BZ428" t="str">
        <f t="shared" si="146"/>
        <v>2021</v>
      </c>
      <c r="CA428" s="5">
        <f t="shared" si="135"/>
        <v>44370</v>
      </c>
      <c r="CB428">
        <v>174</v>
      </c>
      <c r="CC428" s="7">
        <v>12</v>
      </c>
      <c r="CD428" t="s">
        <v>1286</v>
      </c>
      <c r="CE428">
        <f t="shared" si="123"/>
        <v>0.11267605633802817</v>
      </c>
      <c r="CF428">
        <f t="shared" si="124"/>
        <v>0.90857467348097676</v>
      </c>
      <c r="CG428">
        <f t="shared" si="140"/>
        <v>9.0960773166571911E-3</v>
      </c>
      <c r="CH428">
        <f t="shared" si="141"/>
        <v>5.3973902728351124</v>
      </c>
      <c r="CI428">
        <f t="shared" si="142"/>
        <v>1.3693490902269734</v>
      </c>
      <c r="CJ428" s="1">
        <f t="shared" si="136"/>
        <v>2.4385668730069394</v>
      </c>
      <c r="CK428" s="7" t="s">
        <v>142</v>
      </c>
      <c r="CL428" s="7">
        <v>2</v>
      </c>
      <c r="CM428" s="7"/>
      <c r="CN428" s="7"/>
      <c r="CO428" s="7"/>
      <c r="CP428" s="7"/>
    </row>
    <row r="429" spans="1:94" x14ac:dyDescent="0.2">
      <c r="A429" s="7" t="s">
        <v>1274</v>
      </c>
      <c r="B429" s="7" t="s">
        <v>102</v>
      </c>
      <c r="C429" t="str">
        <f t="shared" si="128"/>
        <v>S</v>
      </c>
      <c r="D429" t="str">
        <f t="shared" si="129"/>
        <v>IMM</v>
      </c>
      <c r="E429" t="str">
        <f t="shared" si="130"/>
        <v>N</v>
      </c>
      <c r="F429" s="7">
        <v>57</v>
      </c>
      <c r="G429" s="7">
        <v>54</v>
      </c>
      <c r="H429" s="7">
        <v>3.036</v>
      </c>
      <c r="I429" s="7">
        <v>2.9000000000000001E-2</v>
      </c>
      <c r="J429" s="7">
        <v>3.0000000000000001E-3</v>
      </c>
      <c r="K429" s="7" t="s">
        <v>316</v>
      </c>
      <c r="L429" t="str">
        <f t="shared" si="131"/>
        <v>M</v>
      </c>
      <c r="M429" s="7">
        <v>10</v>
      </c>
      <c r="N429" s="7">
        <v>0.129</v>
      </c>
      <c r="O429" s="7">
        <v>0.11799999999999999</v>
      </c>
      <c r="P429" s="7" t="s">
        <v>499</v>
      </c>
      <c r="Q429" t="str">
        <f t="shared" si="143"/>
        <v>F</v>
      </c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  <c r="AO429" s="7"/>
      <c r="AP429" s="7"/>
      <c r="AQ429" s="7"/>
      <c r="AR429" s="7"/>
      <c r="AS429" s="7"/>
      <c r="AT429" s="7"/>
      <c r="AU429" s="7"/>
      <c r="AV429" s="7">
        <v>2</v>
      </c>
      <c r="AW429" s="7">
        <v>3.0000000000000001E-3</v>
      </c>
      <c r="AX429" s="7"/>
      <c r="AY429" s="7"/>
      <c r="AZ429" s="7"/>
      <c r="BA429" s="7"/>
      <c r="BB429" s="7"/>
      <c r="BC429" s="7"/>
      <c r="BD429" s="7"/>
      <c r="BE429" s="7"/>
      <c r="BF429" s="7"/>
      <c r="BG429" s="7"/>
      <c r="BH429" s="7"/>
      <c r="BI429" s="7"/>
      <c r="BJ429" s="7"/>
      <c r="BK429" s="7"/>
      <c r="BL429" s="7"/>
      <c r="BM429" s="7"/>
      <c r="BN429" s="7"/>
      <c r="BO429" s="7"/>
      <c r="BP429" s="7"/>
      <c r="BQ429" s="7"/>
      <c r="BR429" s="7"/>
      <c r="BS429" s="7"/>
      <c r="BT429" s="7"/>
      <c r="BU429" s="7"/>
      <c r="BV429" s="7">
        <v>3.0000000000000001E-3</v>
      </c>
      <c r="BW429" t="s">
        <v>1235</v>
      </c>
      <c r="BX429" t="str">
        <f t="shared" si="144"/>
        <v>23</v>
      </c>
      <c r="BY429" t="str">
        <f t="shared" si="145"/>
        <v>6</v>
      </c>
      <c r="BZ429" t="str">
        <f t="shared" si="146"/>
        <v>2021</v>
      </c>
      <c r="CA429" s="5">
        <f t="shared" si="135"/>
        <v>44370</v>
      </c>
      <c r="CB429">
        <v>174</v>
      </c>
      <c r="CC429" s="7">
        <v>12</v>
      </c>
      <c r="CD429" t="s">
        <v>1287</v>
      </c>
      <c r="CE429">
        <f t="shared" si="123"/>
        <v>9.8911968348170121E-2</v>
      </c>
      <c r="CF429">
        <f t="shared" si="124"/>
        <v>0.96441636182241441</v>
      </c>
      <c r="CG429">
        <f t="shared" si="140"/>
        <v>9.6537949400798944E-3</v>
      </c>
      <c r="CH429">
        <f t="shared" si="141"/>
        <v>4.0438656614119255</v>
      </c>
      <c r="CI429">
        <f t="shared" si="142"/>
        <v>0.36231884057971048</v>
      </c>
      <c r="CJ429" s="1">
        <f t="shared" si="136"/>
        <v>0.46113306982872226</v>
      </c>
      <c r="CK429" s="7" t="s">
        <v>142</v>
      </c>
      <c r="CL429" s="7">
        <v>1</v>
      </c>
      <c r="CM429" s="7"/>
      <c r="CN429" s="7"/>
      <c r="CO429" s="7"/>
      <c r="CP429" s="7"/>
    </row>
    <row r="430" spans="1:94" x14ac:dyDescent="0.2">
      <c r="A430" s="7" t="s">
        <v>1288</v>
      </c>
      <c r="B430" s="7" t="s">
        <v>102</v>
      </c>
      <c r="C430" t="str">
        <f t="shared" si="128"/>
        <v>I</v>
      </c>
      <c r="D430" t="str">
        <f t="shared" si="129"/>
        <v>I</v>
      </c>
      <c r="E430" t="str">
        <f t="shared" si="130"/>
        <v>G</v>
      </c>
      <c r="F430" s="7">
        <v>87</v>
      </c>
      <c r="G430" s="7">
        <v>83</v>
      </c>
      <c r="H430" s="7">
        <v>10.853999999999999</v>
      </c>
      <c r="I430" s="7">
        <v>7.0000000000000007E-2</v>
      </c>
      <c r="J430" s="7">
        <v>6.0000000000000001E-3</v>
      </c>
      <c r="K430" s="7" t="s">
        <v>1181</v>
      </c>
      <c r="L430" t="str">
        <f t="shared" si="131"/>
        <v>M</v>
      </c>
      <c r="M430" s="7">
        <v>40</v>
      </c>
      <c r="N430" s="7">
        <v>0.46500000000000002</v>
      </c>
      <c r="O430" s="7">
        <v>0.45800000000000002</v>
      </c>
      <c r="P430" s="7" t="s">
        <v>36</v>
      </c>
      <c r="Q430" t="str">
        <f t="shared" si="143"/>
        <v>MT</v>
      </c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  <c r="AO430" s="7"/>
      <c r="AP430" s="7"/>
      <c r="AQ430" s="7"/>
      <c r="AR430" s="7"/>
      <c r="AS430" s="7"/>
      <c r="AT430" s="7"/>
      <c r="AU430" s="7"/>
      <c r="AV430" s="7"/>
      <c r="AW430" s="7"/>
      <c r="AX430" s="7"/>
      <c r="AY430" s="7"/>
      <c r="AZ430" s="7"/>
      <c r="BA430" s="7"/>
      <c r="BB430" s="7"/>
      <c r="BC430" s="7"/>
      <c r="BD430" s="7"/>
      <c r="BE430" s="7"/>
      <c r="BF430" s="7"/>
      <c r="BG430" s="7"/>
      <c r="BH430" s="7"/>
      <c r="BI430" s="7"/>
      <c r="BJ430" s="7"/>
      <c r="BK430" s="7"/>
      <c r="BL430" s="7"/>
      <c r="BM430" s="7"/>
      <c r="BN430" s="7"/>
      <c r="BO430" s="7"/>
      <c r="BP430" s="7"/>
      <c r="BQ430" s="7"/>
      <c r="BR430" s="7"/>
      <c r="BS430" s="7"/>
      <c r="BT430" s="7"/>
      <c r="BU430" s="7"/>
      <c r="BW430" t="s">
        <v>1235</v>
      </c>
      <c r="BX430" t="str">
        <f t="shared" si="144"/>
        <v>23</v>
      </c>
      <c r="BY430" t="str">
        <f t="shared" si="145"/>
        <v>6</v>
      </c>
      <c r="BZ430" t="str">
        <f t="shared" si="146"/>
        <v>2021</v>
      </c>
      <c r="CA430" s="5">
        <f t="shared" si="135"/>
        <v>44370</v>
      </c>
      <c r="CB430">
        <v>174</v>
      </c>
      <c r="CC430" s="7">
        <v>12</v>
      </c>
      <c r="CE430">
        <f t="shared" si="123"/>
        <v>5.5309734513274346E-2</v>
      </c>
      <c r="CF430">
        <f t="shared" si="124"/>
        <v>0.64910979228486654</v>
      </c>
      <c r="CG430">
        <f t="shared" si="140"/>
        <v>6.4947114492484703E-3</v>
      </c>
      <c r="CH430">
        <f t="shared" si="141"/>
        <v>4.4055405925355906</v>
      </c>
      <c r="CI430">
        <f t="shared" si="142"/>
        <v>6.4492353049567047E-2</v>
      </c>
      <c r="CJ430" s="1">
        <f t="shared" si="136"/>
        <v>6.4492353049567047E-2</v>
      </c>
      <c r="CK430" s="7" t="s">
        <v>142</v>
      </c>
      <c r="CL430" s="7">
        <v>2</v>
      </c>
      <c r="CM430" s="7"/>
      <c r="CN430" s="7"/>
      <c r="CO430" s="7"/>
      <c r="CP430" s="7"/>
    </row>
    <row r="431" spans="1:94" x14ac:dyDescent="0.2">
      <c r="A431" s="7" t="s">
        <v>1289</v>
      </c>
      <c r="B431" s="7" t="s">
        <v>102</v>
      </c>
      <c r="C431" t="str">
        <f t="shared" si="128"/>
        <v>I</v>
      </c>
      <c r="D431" t="str">
        <f t="shared" si="129"/>
        <v>I</v>
      </c>
      <c r="E431" t="str">
        <f t="shared" si="130"/>
        <v>G</v>
      </c>
      <c r="F431" s="7">
        <v>90</v>
      </c>
      <c r="G431" s="7">
        <v>85</v>
      </c>
      <c r="H431" s="7">
        <v>12.069000000000001</v>
      </c>
      <c r="I431" s="7">
        <v>0.107</v>
      </c>
      <c r="J431" s="7">
        <v>1.2E-2</v>
      </c>
      <c r="K431" s="7" t="s">
        <v>1181</v>
      </c>
      <c r="L431" t="str">
        <f t="shared" si="131"/>
        <v>M</v>
      </c>
      <c r="M431" s="7">
        <v>40</v>
      </c>
      <c r="N431" s="7">
        <v>0.56899999999999995</v>
      </c>
      <c r="O431" s="7">
        <v>0.53700000000000003</v>
      </c>
      <c r="P431" s="7" t="s">
        <v>36</v>
      </c>
      <c r="Q431" t="str">
        <f t="shared" si="143"/>
        <v>MT</v>
      </c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N431" s="7"/>
      <c r="AO431" s="7"/>
      <c r="AP431" s="7"/>
      <c r="AQ431" s="7"/>
      <c r="AR431" s="7"/>
      <c r="AS431" s="7"/>
      <c r="AT431" s="7"/>
      <c r="AU431" s="7"/>
      <c r="AV431" s="7"/>
      <c r="AW431" s="7"/>
      <c r="AX431" s="7"/>
      <c r="AY431" s="7"/>
      <c r="AZ431" s="7"/>
      <c r="BA431" s="7"/>
      <c r="BB431" s="7"/>
      <c r="BC431" s="7"/>
      <c r="BD431" s="7"/>
      <c r="BE431" s="7"/>
      <c r="BF431" s="7"/>
      <c r="BG431" s="7"/>
      <c r="BH431" s="7"/>
      <c r="BI431" s="7"/>
      <c r="BJ431" s="7"/>
      <c r="BK431" s="7"/>
      <c r="BL431" s="7"/>
      <c r="BM431" s="7"/>
      <c r="BN431" s="7"/>
      <c r="BO431" s="7"/>
      <c r="BP431" s="7"/>
      <c r="BQ431" s="7"/>
      <c r="BR431" s="7"/>
      <c r="BS431" s="7"/>
      <c r="BT431" s="7"/>
      <c r="BU431" s="7"/>
      <c r="BW431" t="s">
        <v>1300</v>
      </c>
      <c r="BX431" t="str">
        <f t="shared" si="144"/>
        <v>24</v>
      </c>
      <c r="BY431" t="str">
        <f t="shared" si="145"/>
        <v>6</v>
      </c>
      <c r="BZ431" t="str">
        <f t="shared" si="146"/>
        <v>2021</v>
      </c>
      <c r="CA431" s="5">
        <f t="shared" si="135"/>
        <v>44371</v>
      </c>
      <c r="CB431">
        <v>175</v>
      </c>
      <c r="CC431" s="7">
        <v>12</v>
      </c>
      <c r="CE431">
        <f t="shared" si="123"/>
        <v>9.9527245583478474E-2</v>
      </c>
      <c r="CF431">
        <f t="shared" si="124"/>
        <v>0.89449924761745514</v>
      </c>
      <c r="CG431">
        <f t="shared" si="140"/>
        <v>8.9539748953974888E-3</v>
      </c>
      <c r="CH431">
        <f t="shared" si="141"/>
        <v>4.6566077003121746</v>
      </c>
      <c r="CI431">
        <f t="shared" si="142"/>
        <v>0.26514209959400048</v>
      </c>
      <c r="CJ431" s="1">
        <f t="shared" si="136"/>
        <v>0.26514209959400048</v>
      </c>
      <c r="CK431" s="7" t="s">
        <v>142</v>
      </c>
      <c r="CL431" s="7">
        <v>1</v>
      </c>
      <c r="CM431" s="7"/>
      <c r="CN431" s="7"/>
      <c r="CO431" s="7"/>
      <c r="CP431" s="7"/>
    </row>
    <row r="432" spans="1:94" x14ac:dyDescent="0.2">
      <c r="A432" s="7" t="s">
        <v>1290</v>
      </c>
      <c r="B432" s="7" t="s">
        <v>102</v>
      </c>
      <c r="C432" t="str">
        <f t="shared" si="128"/>
        <v>I</v>
      </c>
      <c r="D432" t="str">
        <f t="shared" si="129"/>
        <v>S</v>
      </c>
      <c r="E432" t="str">
        <f t="shared" si="130"/>
        <v>G</v>
      </c>
      <c r="F432" s="7">
        <v>77</v>
      </c>
      <c r="G432" s="7">
        <v>73</v>
      </c>
      <c r="H432" s="7">
        <v>7.5419999999999998</v>
      </c>
      <c r="I432" s="7">
        <v>5.8999999999999997E-2</v>
      </c>
      <c r="J432" s="7">
        <v>5.8999999999999997E-2</v>
      </c>
      <c r="K432" s="7" t="s">
        <v>1295</v>
      </c>
      <c r="L432" t="str">
        <f t="shared" si="131"/>
        <v>F</v>
      </c>
      <c r="M432" t="s">
        <v>1297</v>
      </c>
      <c r="N432" s="7">
        <v>0.314</v>
      </c>
      <c r="O432" s="7">
        <v>0.30499999999999999</v>
      </c>
      <c r="P432" s="7" t="s">
        <v>36</v>
      </c>
      <c r="Q432" t="str">
        <f t="shared" si="143"/>
        <v>MT</v>
      </c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  <c r="AO432" s="7"/>
      <c r="AP432" s="7"/>
      <c r="AQ432" s="7"/>
      <c r="AR432" s="7"/>
      <c r="AS432" s="7"/>
      <c r="AT432" s="7"/>
      <c r="AU432" s="7"/>
      <c r="AV432" s="7"/>
      <c r="AW432" s="7"/>
      <c r="AX432" s="7"/>
      <c r="AY432" s="7"/>
      <c r="AZ432" s="7"/>
      <c r="BA432" s="7"/>
      <c r="BB432" s="7"/>
      <c r="BC432" s="7"/>
      <c r="BD432" s="7"/>
      <c r="BE432" s="7"/>
      <c r="BF432" s="7"/>
      <c r="BG432" s="7"/>
      <c r="BH432" s="7"/>
      <c r="BI432" s="7"/>
      <c r="BJ432" s="7"/>
      <c r="BK432" s="7"/>
      <c r="BL432" s="7"/>
      <c r="BM432" s="7"/>
      <c r="BN432" s="7"/>
      <c r="BO432" s="7"/>
      <c r="BP432" s="7"/>
      <c r="BQ432" s="7"/>
      <c r="BR432" s="7"/>
      <c r="BS432" s="7"/>
      <c r="BT432" s="7"/>
      <c r="BU432" s="7"/>
      <c r="BW432" t="s">
        <v>1300</v>
      </c>
      <c r="BX432" t="str">
        <f t="shared" si="144"/>
        <v>24</v>
      </c>
      <c r="BY432" t="str">
        <f t="shared" si="145"/>
        <v>6</v>
      </c>
      <c r="BZ432" t="str">
        <f t="shared" si="146"/>
        <v>2021</v>
      </c>
      <c r="CA432" s="5">
        <f t="shared" si="135"/>
        <v>44371</v>
      </c>
      <c r="CB432">
        <v>175</v>
      </c>
      <c r="CC432" s="7">
        <v>12</v>
      </c>
      <c r="CE432">
        <f t="shared" si="123"/>
        <v>0.78845382867833746</v>
      </c>
      <c r="CF432">
        <f t="shared" si="124"/>
        <v>0.78845382867833746</v>
      </c>
      <c r="CG432">
        <f t="shared" si="140"/>
        <v>7.9471982758620684E-3</v>
      </c>
      <c r="CH432">
        <f t="shared" si="141"/>
        <v>4.2144535028326651</v>
      </c>
      <c r="CI432">
        <f t="shared" si="142"/>
        <v>0.11933174224343687</v>
      </c>
      <c r="CJ432" s="1">
        <f t="shared" si="136"/>
        <v>0.11933174224343687</v>
      </c>
      <c r="CK432" s="7" t="s">
        <v>142</v>
      </c>
      <c r="CL432" s="7">
        <v>2</v>
      </c>
      <c r="CM432" s="7"/>
      <c r="CN432" s="7"/>
      <c r="CO432" s="7"/>
      <c r="CP432" s="7"/>
    </row>
    <row r="433" spans="1:94" x14ac:dyDescent="0.2">
      <c r="A433" s="7" t="s">
        <v>1291</v>
      </c>
      <c r="B433" s="7" t="s">
        <v>102</v>
      </c>
      <c r="C433" t="str">
        <f t="shared" si="128"/>
        <v>I</v>
      </c>
      <c r="D433" t="str">
        <f t="shared" si="129"/>
        <v>I</v>
      </c>
      <c r="E433" t="str">
        <f t="shared" si="130"/>
        <v>G</v>
      </c>
      <c r="F433" s="7">
        <v>87</v>
      </c>
      <c r="G433" s="7">
        <v>83</v>
      </c>
      <c r="H433" s="7">
        <v>10.185</v>
      </c>
      <c r="I433" s="7">
        <v>7.9000000000000001E-2</v>
      </c>
      <c r="J433" s="7">
        <v>7.0000000000000001E-3</v>
      </c>
      <c r="K433" s="7" t="s">
        <v>1181</v>
      </c>
      <c r="L433" t="str">
        <f t="shared" si="131"/>
        <v>M</v>
      </c>
      <c r="M433" s="7">
        <v>40</v>
      </c>
      <c r="N433" s="7">
        <v>0.44900000000000001</v>
      </c>
      <c r="O433" s="7">
        <v>0.435</v>
      </c>
      <c r="P433" s="7" t="s">
        <v>36</v>
      </c>
      <c r="Q433" t="str">
        <f t="shared" si="143"/>
        <v>MT</v>
      </c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  <c r="AO433" s="7"/>
      <c r="AP433" s="7"/>
      <c r="AQ433" s="7"/>
      <c r="AR433" s="7"/>
      <c r="AS433" s="7"/>
      <c r="AT433" s="7"/>
      <c r="AU433" s="7"/>
      <c r="AV433" s="7"/>
      <c r="AW433" s="7"/>
      <c r="AX433" s="7"/>
      <c r="AY433" s="7"/>
      <c r="AZ433" s="7"/>
      <c r="BA433" s="7"/>
      <c r="BB433" s="7"/>
      <c r="BC433" s="7"/>
      <c r="BD433" s="7"/>
      <c r="BE433" s="7"/>
      <c r="BF433" s="7"/>
      <c r="BG433" s="7"/>
      <c r="BH433" s="7"/>
      <c r="BI433" s="7"/>
      <c r="BJ433" s="7"/>
      <c r="BK433" s="7"/>
      <c r="BL433" s="7"/>
      <c r="BM433" s="7"/>
      <c r="BN433" s="7"/>
      <c r="BO433" s="7"/>
      <c r="BP433" s="7"/>
      <c r="BQ433" s="7"/>
      <c r="BR433" s="7"/>
      <c r="BS433" s="7"/>
      <c r="BT433" s="7"/>
      <c r="BU433" s="7"/>
      <c r="BW433" t="s">
        <v>1300</v>
      </c>
      <c r="BX433" t="str">
        <f t="shared" si="144"/>
        <v>24</v>
      </c>
      <c r="BY433" t="str">
        <f t="shared" si="145"/>
        <v>6</v>
      </c>
      <c r="BZ433" t="str">
        <f t="shared" si="146"/>
        <v>2021</v>
      </c>
      <c r="CA433" s="5">
        <f t="shared" si="135"/>
        <v>44371</v>
      </c>
      <c r="CB433">
        <v>175</v>
      </c>
      <c r="CC433" s="7">
        <v>12</v>
      </c>
      <c r="CE433">
        <f t="shared" si="123"/>
        <v>6.8775790921595595E-2</v>
      </c>
      <c r="CF433">
        <f t="shared" si="124"/>
        <v>0.78171383336631717</v>
      </c>
      <c r="CG433">
        <f t="shared" si="140"/>
        <v>7.8225566887810665E-3</v>
      </c>
      <c r="CH433">
        <f t="shared" si="141"/>
        <v>4.4615384615384617</v>
      </c>
      <c r="CI433">
        <f t="shared" si="142"/>
        <v>0.13745704467353964</v>
      </c>
      <c r="CJ433" s="1">
        <f t="shared" ref="CJ433:CJ438" si="147">(N433-O433+(BV433))/(H433)*100</f>
        <v>0.13745704467353964</v>
      </c>
      <c r="CK433" s="7" t="s">
        <v>142</v>
      </c>
      <c r="CL433" s="7">
        <v>1</v>
      </c>
      <c r="CM433" s="7"/>
      <c r="CN433" s="7"/>
      <c r="CO433" s="7"/>
      <c r="CP433" s="7"/>
    </row>
    <row r="434" spans="1:94" x14ac:dyDescent="0.2">
      <c r="A434" s="7" t="s">
        <v>1292</v>
      </c>
      <c r="B434" s="7" t="s">
        <v>102</v>
      </c>
      <c r="C434" t="str">
        <f t="shared" si="128"/>
        <v>I</v>
      </c>
      <c r="D434" t="str">
        <f t="shared" si="129"/>
        <v>S</v>
      </c>
      <c r="E434" t="str">
        <f t="shared" si="130"/>
        <v>G</v>
      </c>
      <c r="F434" s="7">
        <v>65</v>
      </c>
      <c r="G434" s="7">
        <v>62</v>
      </c>
      <c r="H434" s="7">
        <v>4.2809999999999997</v>
      </c>
      <c r="I434" s="7">
        <v>3.5999999999999997E-2</v>
      </c>
      <c r="J434" s="7">
        <v>3.0000000000000001E-3</v>
      </c>
      <c r="K434" s="7" t="s">
        <v>1296</v>
      </c>
      <c r="L434" t="str">
        <f t="shared" si="131"/>
        <v>M</v>
      </c>
      <c r="M434">
        <v>10</v>
      </c>
      <c r="N434" s="7">
        <v>0.17599999999999999</v>
      </c>
      <c r="O434" s="7">
        <v>0.15</v>
      </c>
      <c r="P434" s="7" t="s">
        <v>1298</v>
      </c>
      <c r="Q434" t="str">
        <f t="shared" si="143"/>
        <v>F</v>
      </c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  <c r="AO434" s="7"/>
      <c r="AP434" s="7"/>
      <c r="AQ434" s="7"/>
      <c r="AR434" s="7">
        <v>1</v>
      </c>
      <c r="AS434" s="7">
        <v>1.4999999999999999E-2</v>
      </c>
      <c r="AT434" s="7"/>
      <c r="AU434" s="7"/>
      <c r="AV434" s="7"/>
      <c r="AW434" s="7"/>
      <c r="AX434" s="7"/>
      <c r="AY434" s="7"/>
      <c r="AZ434" s="7"/>
      <c r="BA434" s="7"/>
      <c r="BB434" s="7"/>
      <c r="BC434" s="7"/>
      <c r="BD434" s="7"/>
      <c r="BE434" s="7"/>
      <c r="BF434" s="7"/>
      <c r="BG434" s="7"/>
      <c r="BH434" s="7"/>
      <c r="BI434" s="7"/>
      <c r="BJ434" s="7"/>
      <c r="BK434" s="7"/>
      <c r="BL434" s="7"/>
      <c r="BM434" s="7"/>
      <c r="BN434" s="7"/>
      <c r="BO434" s="7"/>
      <c r="BP434" s="7"/>
      <c r="BQ434" s="7"/>
      <c r="BR434" s="7"/>
      <c r="BS434" s="7"/>
      <c r="BT434" s="7"/>
      <c r="BU434" s="7"/>
      <c r="BV434" s="7">
        <v>1.4999999999999999E-2</v>
      </c>
      <c r="BW434" t="s">
        <v>1300</v>
      </c>
      <c r="BX434" t="str">
        <f t="shared" si="144"/>
        <v>24</v>
      </c>
      <c r="BY434" t="str">
        <f t="shared" si="145"/>
        <v>6</v>
      </c>
      <c r="BZ434" t="str">
        <f t="shared" si="146"/>
        <v>2021</v>
      </c>
      <c r="CA434" s="5">
        <f t="shared" si="135"/>
        <v>44371</v>
      </c>
      <c r="CB434">
        <v>175</v>
      </c>
      <c r="CC434" s="7">
        <v>12</v>
      </c>
      <c r="CE434">
        <f t="shared" si="123"/>
        <v>7.0126227208976169E-2</v>
      </c>
      <c r="CF434">
        <f t="shared" si="124"/>
        <v>0.84805653710247342</v>
      </c>
      <c r="CG434">
        <f t="shared" si="140"/>
        <v>8.4865629420084864E-3</v>
      </c>
      <c r="CH434">
        <f t="shared" si="141"/>
        <v>3.6310820624546118</v>
      </c>
      <c r="CI434">
        <f t="shared" si="142"/>
        <v>0.60733473487502909</v>
      </c>
      <c r="CJ434" s="1">
        <f t="shared" si="147"/>
        <v>0.95772015884139217</v>
      </c>
      <c r="CK434" s="7" t="s">
        <v>142</v>
      </c>
      <c r="CL434" s="7">
        <v>1</v>
      </c>
      <c r="CM434" s="7"/>
      <c r="CN434" s="7"/>
      <c r="CO434" s="7"/>
      <c r="CP434" s="7"/>
    </row>
    <row r="435" spans="1:94" x14ac:dyDescent="0.2">
      <c r="A435" s="7" t="s">
        <v>1333</v>
      </c>
      <c r="B435" s="7" t="s">
        <v>102</v>
      </c>
      <c r="C435" t="str">
        <f t="shared" si="128"/>
        <v>B</v>
      </c>
      <c r="D435" t="str">
        <f t="shared" si="129"/>
        <v>B</v>
      </c>
      <c r="E435" t="str">
        <f t="shared" si="130"/>
        <v>N</v>
      </c>
      <c r="F435" s="7">
        <v>190</v>
      </c>
      <c r="G435" s="7">
        <v>181</v>
      </c>
      <c r="H435" s="7">
        <v>145.26599999999999</v>
      </c>
      <c r="I435" s="7">
        <v>1.381</v>
      </c>
      <c r="J435" s="7">
        <v>10.717000000000001</v>
      </c>
      <c r="K435" s="7" t="s">
        <v>1210</v>
      </c>
      <c r="L435" t="str">
        <f t="shared" si="131"/>
        <v>F</v>
      </c>
      <c r="M435" s="7">
        <v>40</v>
      </c>
      <c r="N435" s="7">
        <v>4.29</v>
      </c>
      <c r="O435" s="7">
        <v>4.194</v>
      </c>
      <c r="P435" s="7" t="s">
        <v>1376</v>
      </c>
      <c r="Q435" t="str">
        <f t="shared" si="143"/>
        <v>F</v>
      </c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  <c r="AO435" s="7"/>
      <c r="AP435" s="7"/>
      <c r="AQ435" s="7"/>
      <c r="AR435" s="7"/>
      <c r="AS435" s="7"/>
      <c r="AT435" s="7"/>
      <c r="AU435" s="7"/>
      <c r="AV435" s="7"/>
      <c r="AW435" s="7"/>
      <c r="AX435" s="7"/>
      <c r="AY435" s="7"/>
      <c r="AZ435" s="7"/>
      <c r="BA435" s="7"/>
      <c r="BB435" s="7">
        <v>1</v>
      </c>
      <c r="BC435" s="7">
        <v>5.7000000000000002E-2</v>
      </c>
      <c r="BD435" s="7"/>
      <c r="BE435" s="7"/>
      <c r="BF435" s="7"/>
      <c r="BG435" s="7"/>
      <c r="BH435" s="7"/>
      <c r="BI435" s="7"/>
      <c r="BJ435" s="7"/>
      <c r="BK435" s="7"/>
      <c r="BL435" s="7"/>
      <c r="BM435" s="7"/>
      <c r="BN435" s="7"/>
      <c r="BO435" s="7"/>
      <c r="BP435" s="7"/>
      <c r="BQ435" s="7"/>
      <c r="BR435" s="7"/>
      <c r="BS435" s="7"/>
      <c r="BT435" s="7"/>
      <c r="BU435" s="7"/>
      <c r="BV435" s="7">
        <v>5.7000000000000002E-2</v>
      </c>
      <c r="BW435" s="5">
        <v>44415</v>
      </c>
      <c r="BX435" s="7">
        <v>8</v>
      </c>
      <c r="BY435" s="7">
        <v>7</v>
      </c>
      <c r="BZ435" s="7">
        <v>2021</v>
      </c>
      <c r="CA435" s="5">
        <f t="shared" si="135"/>
        <v>44385</v>
      </c>
      <c r="CB435">
        <v>189</v>
      </c>
      <c r="CC435" s="7">
        <v>13</v>
      </c>
      <c r="CD435" t="s">
        <v>1301</v>
      </c>
      <c r="CE435">
        <f t="shared" si="123"/>
        <v>7.9651279459527764</v>
      </c>
      <c r="CF435">
        <f t="shared" si="124"/>
        <v>0.95979428015429002</v>
      </c>
      <c r="CG435">
        <f t="shared" si="140"/>
        <v>1.0370359245464377E-2</v>
      </c>
      <c r="CH435">
        <f t="shared" si="141"/>
        <v>2.9729499829874104</v>
      </c>
      <c r="CI435">
        <f t="shared" si="142"/>
        <v>6.6085663541365552E-2</v>
      </c>
      <c r="CJ435" s="1">
        <f t="shared" si="147"/>
        <v>0.10532402626905132</v>
      </c>
      <c r="CK435" s="7" t="s">
        <v>142</v>
      </c>
      <c r="CL435" s="7">
        <v>3</v>
      </c>
      <c r="CM435" s="7"/>
      <c r="CN435" s="7"/>
      <c r="CO435" s="7"/>
      <c r="CP435" s="7"/>
    </row>
    <row r="436" spans="1:94" x14ac:dyDescent="0.2">
      <c r="A436" s="7" t="s">
        <v>1334</v>
      </c>
      <c r="B436" s="7" t="s">
        <v>102</v>
      </c>
      <c r="C436" t="str">
        <f t="shared" si="128"/>
        <v>B</v>
      </c>
      <c r="D436" t="str">
        <f t="shared" si="129"/>
        <v>B</v>
      </c>
      <c r="E436" t="str">
        <f t="shared" si="130"/>
        <v>N</v>
      </c>
      <c r="F436" s="7">
        <v>178</v>
      </c>
      <c r="G436" s="7">
        <v>170</v>
      </c>
      <c r="H436" s="7">
        <v>121.196</v>
      </c>
      <c r="I436" s="7">
        <v>0.86599999999999999</v>
      </c>
      <c r="J436" s="7">
        <v>0.53200000000000003</v>
      </c>
      <c r="K436" s="7" t="s">
        <v>1181</v>
      </c>
      <c r="L436" t="str">
        <f t="shared" si="131"/>
        <v>M</v>
      </c>
      <c r="M436" s="7">
        <v>40</v>
      </c>
      <c r="N436" s="7">
        <v>4.75</v>
      </c>
      <c r="O436" s="7">
        <v>4.5060000000000002</v>
      </c>
      <c r="P436" s="7" t="s">
        <v>1377</v>
      </c>
      <c r="Q436" t="str">
        <f t="shared" si="143"/>
        <v>F</v>
      </c>
      <c r="R436" s="7"/>
      <c r="S436" s="7"/>
      <c r="T436" s="7">
        <v>2</v>
      </c>
      <c r="U436" s="7">
        <v>0.104</v>
      </c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N436" s="7"/>
      <c r="AO436" s="7"/>
      <c r="AP436" s="7"/>
      <c r="AQ436" s="7"/>
      <c r="AR436" s="7"/>
      <c r="AS436" s="7"/>
      <c r="AT436" s="7"/>
      <c r="AU436" s="7"/>
      <c r="AV436" s="7"/>
      <c r="AW436" s="7"/>
      <c r="AX436" s="7"/>
      <c r="AY436" s="7"/>
      <c r="AZ436" s="7"/>
      <c r="BA436" s="7"/>
      <c r="BB436" s="7"/>
      <c r="BC436" s="7"/>
      <c r="BD436" s="7"/>
      <c r="BE436" s="7"/>
      <c r="BF436" s="7"/>
      <c r="BG436" s="7"/>
      <c r="BH436" s="7"/>
      <c r="BI436" s="7"/>
      <c r="BJ436" s="7"/>
      <c r="BK436" s="7"/>
      <c r="BL436" s="7"/>
      <c r="BM436" s="7"/>
      <c r="BN436" s="7"/>
      <c r="BO436" s="7"/>
      <c r="BP436" s="7"/>
      <c r="BQ436" s="7"/>
      <c r="BR436" s="7"/>
      <c r="BS436" s="7"/>
      <c r="BT436" s="7"/>
      <c r="BU436" s="7"/>
      <c r="BV436" s="7">
        <v>0.104</v>
      </c>
      <c r="BW436" s="5">
        <v>44415</v>
      </c>
      <c r="BX436" s="7">
        <v>8</v>
      </c>
      <c r="BY436" s="7">
        <v>7</v>
      </c>
      <c r="BZ436" s="7">
        <v>2021</v>
      </c>
      <c r="CA436" s="5">
        <f t="shared" si="135"/>
        <v>44385</v>
      </c>
      <c r="CB436">
        <v>189</v>
      </c>
      <c r="CC436" s="7">
        <v>13</v>
      </c>
      <c r="CE436">
        <f t="shared" si="123"/>
        <v>0.44089372140820793</v>
      </c>
      <c r="CF436">
        <f t="shared" si="124"/>
        <v>0.71968752597024843</v>
      </c>
      <c r="CG436">
        <f t="shared" si="140"/>
        <v>7.2288352059299817E-3</v>
      </c>
      <c r="CH436">
        <f t="shared" si="141"/>
        <v>3.861513411603394</v>
      </c>
      <c r="CI436">
        <f t="shared" si="142"/>
        <v>0.20132677646126917</v>
      </c>
      <c r="CJ436" s="1">
        <f t="shared" si="147"/>
        <v>0.28713818937918723</v>
      </c>
      <c r="CK436" s="7" t="s">
        <v>142</v>
      </c>
      <c r="CL436" s="7">
        <v>2</v>
      </c>
      <c r="CM436" s="7"/>
      <c r="CN436" s="7"/>
      <c r="CO436" s="7"/>
      <c r="CP436" s="7"/>
    </row>
    <row r="437" spans="1:94" x14ac:dyDescent="0.2">
      <c r="A437" s="7" t="s">
        <v>1335</v>
      </c>
      <c r="B437" s="7" t="s">
        <v>102</v>
      </c>
      <c r="C437" t="str">
        <f t="shared" si="128"/>
        <v>I</v>
      </c>
      <c r="D437" t="str">
        <f t="shared" si="129"/>
        <v>B</v>
      </c>
      <c r="E437" t="str">
        <f t="shared" si="130"/>
        <v>N</v>
      </c>
      <c r="F437" s="7">
        <v>141</v>
      </c>
      <c r="G437" s="7">
        <v>134</v>
      </c>
      <c r="H437" s="7">
        <v>60.462000000000003</v>
      </c>
      <c r="I437" s="7">
        <v>0.432</v>
      </c>
      <c r="J437" s="7">
        <v>0.432</v>
      </c>
      <c r="K437" s="7" t="s">
        <v>1210</v>
      </c>
      <c r="L437" t="str">
        <f t="shared" si="131"/>
        <v>F</v>
      </c>
      <c r="M437" s="7">
        <v>40</v>
      </c>
      <c r="N437" s="7">
        <v>2.9580000000000002</v>
      </c>
      <c r="O437" s="7">
        <v>2.6760000000000002</v>
      </c>
      <c r="P437" s="7" t="s">
        <v>1378</v>
      </c>
      <c r="Q437" t="str">
        <f t="shared" si="143"/>
        <v>F</v>
      </c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>
        <v>9</v>
      </c>
      <c r="AK437" s="7">
        <v>0.20200000000000001</v>
      </c>
      <c r="AL437" s="7"/>
      <c r="AM437" s="7"/>
      <c r="AN437" s="7"/>
      <c r="AO437" s="7"/>
      <c r="AP437" s="7"/>
      <c r="AQ437" s="7"/>
      <c r="AR437" s="7"/>
      <c r="AS437" s="7"/>
      <c r="AT437" s="7"/>
      <c r="AU437" s="7"/>
      <c r="AV437" s="7"/>
      <c r="AW437" s="7"/>
      <c r="AX437" s="7"/>
      <c r="AY437" s="7"/>
      <c r="AZ437" s="7"/>
      <c r="BA437" s="7"/>
      <c r="BB437" s="7"/>
      <c r="BC437" s="7"/>
      <c r="BD437" s="7"/>
      <c r="BE437" s="7"/>
      <c r="BF437" s="7"/>
      <c r="BG437" s="7"/>
      <c r="BH437" s="7"/>
      <c r="BI437" s="7"/>
      <c r="BJ437" s="7"/>
      <c r="BK437" s="7"/>
      <c r="BL437" s="7"/>
      <c r="BM437" s="7"/>
      <c r="BN437" s="7"/>
      <c r="BO437" s="7"/>
      <c r="BP437" s="7"/>
      <c r="BQ437" s="7"/>
      <c r="BR437" s="7"/>
      <c r="BS437" s="7"/>
      <c r="BT437" s="7">
        <v>1</v>
      </c>
      <c r="BU437" s="7">
        <v>1.4999999999999999E-2</v>
      </c>
      <c r="BV437" s="7">
        <v>0.217</v>
      </c>
      <c r="BW437" s="5">
        <v>44415</v>
      </c>
      <c r="BX437" s="7">
        <v>8</v>
      </c>
      <c r="BY437" s="7">
        <v>7</v>
      </c>
      <c r="BZ437" s="7">
        <v>2021</v>
      </c>
      <c r="CA437" s="5">
        <f t="shared" si="135"/>
        <v>44385</v>
      </c>
      <c r="CB437">
        <v>189</v>
      </c>
      <c r="CC437" s="7">
        <v>13</v>
      </c>
      <c r="CE437">
        <f t="shared" si="123"/>
        <v>0.71964017991004492</v>
      </c>
      <c r="CF437">
        <f t="shared" si="124"/>
        <v>0.71964017991004492</v>
      </c>
      <c r="CG437">
        <f t="shared" si="140"/>
        <v>7.2485653881002718E-3</v>
      </c>
      <c r="CH437">
        <f t="shared" si="141"/>
        <v>4.6308794517703245</v>
      </c>
      <c r="CI437">
        <f t="shared" si="142"/>
        <v>0.46640865336905823</v>
      </c>
      <c r="CJ437" s="1">
        <f t="shared" si="147"/>
        <v>0.82531176606794343</v>
      </c>
      <c r="CK437" s="7" t="s">
        <v>142</v>
      </c>
      <c r="CL437" s="7">
        <v>2</v>
      </c>
      <c r="CM437" s="7"/>
      <c r="CN437" s="7"/>
      <c r="CO437" s="7"/>
      <c r="CP437" s="7"/>
    </row>
    <row r="438" spans="1:94" x14ac:dyDescent="0.2">
      <c r="A438" s="7" t="s">
        <v>1336</v>
      </c>
      <c r="B438" s="7" t="s">
        <v>102</v>
      </c>
      <c r="C438" t="str">
        <f t="shared" si="128"/>
        <v>I</v>
      </c>
      <c r="D438" t="str">
        <f t="shared" si="129"/>
        <v>I</v>
      </c>
      <c r="E438" t="str">
        <f t="shared" si="130"/>
        <v>G</v>
      </c>
      <c r="F438" s="7">
        <v>104</v>
      </c>
      <c r="G438" s="7">
        <v>98</v>
      </c>
      <c r="H438" s="7">
        <v>21.353999999999999</v>
      </c>
      <c r="I438" s="7">
        <v>0.20499999999999999</v>
      </c>
      <c r="J438" s="7">
        <v>0.16800000000000001</v>
      </c>
      <c r="K438" s="7" t="s">
        <v>1210</v>
      </c>
      <c r="L438" t="str">
        <f t="shared" si="131"/>
        <v>F</v>
      </c>
      <c r="M438" s="7">
        <v>40</v>
      </c>
      <c r="N438" s="7">
        <v>0.98</v>
      </c>
      <c r="O438" s="7">
        <v>0.93300000000000005</v>
      </c>
      <c r="P438" s="7" t="s">
        <v>1379</v>
      </c>
      <c r="Q438" t="str">
        <f t="shared" si="143"/>
        <v>F</v>
      </c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  <c r="AO438" s="7"/>
      <c r="AP438" s="7"/>
      <c r="AQ438" s="7"/>
      <c r="AR438" s="7"/>
      <c r="AS438" s="7"/>
      <c r="AT438" s="7"/>
      <c r="AU438" s="7"/>
      <c r="AV438" s="7">
        <v>5</v>
      </c>
      <c r="AW438" s="7">
        <v>1.4999999999999999E-2</v>
      </c>
      <c r="AX438" s="7"/>
      <c r="AY438" s="7"/>
      <c r="AZ438" s="7"/>
      <c r="BA438" s="7"/>
      <c r="BB438" s="7"/>
      <c r="BC438" s="7"/>
      <c r="BD438" s="7"/>
      <c r="BE438" s="7"/>
      <c r="BF438" s="7"/>
      <c r="BG438" s="7"/>
      <c r="BH438" s="7"/>
      <c r="BI438" s="7"/>
      <c r="BJ438" s="7"/>
      <c r="BK438" s="7"/>
      <c r="BL438" s="7"/>
      <c r="BM438" s="7"/>
      <c r="BN438" s="7"/>
      <c r="BO438" s="7"/>
      <c r="BP438" s="7"/>
      <c r="BQ438" s="7"/>
      <c r="BR438" s="7"/>
      <c r="BS438" s="7"/>
      <c r="BT438" s="7"/>
      <c r="BU438" s="7"/>
      <c r="BV438" s="7">
        <v>1.4999999999999999E-2</v>
      </c>
      <c r="BW438" s="5">
        <v>44415</v>
      </c>
      <c r="BX438" s="7">
        <v>8</v>
      </c>
      <c r="BY438" s="7">
        <v>7</v>
      </c>
      <c r="BZ438" s="7">
        <v>2021</v>
      </c>
      <c r="CA438" s="5">
        <f t="shared" si="135"/>
        <v>44385</v>
      </c>
      <c r="CB438">
        <v>189</v>
      </c>
      <c r="CC438" s="7">
        <v>13</v>
      </c>
      <c r="CD438" t="s">
        <v>1301</v>
      </c>
      <c r="CE438">
        <f t="shared" si="123"/>
        <v>0.79297649391107339</v>
      </c>
      <c r="CF438">
        <f t="shared" si="124"/>
        <v>0.96931296988037252</v>
      </c>
      <c r="CG438">
        <f t="shared" si="140"/>
        <v>9.7707449597254654E-3</v>
      </c>
      <c r="CH438">
        <f t="shared" si="141"/>
        <v>4.5688262083149702</v>
      </c>
      <c r="CI438">
        <f t="shared" si="142"/>
        <v>0.2200992788236393</v>
      </c>
      <c r="CJ438" s="1">
        <f t="shared" si="147"/>
        <v>0.29034372951203491</v>
      </c>
      <c r="CK438" s="7" t="s">
        <v>142</v>
      </c>
      <c r="CL438" s="7">
        <v>2</v>
      </c>
      <c r="CM438" s="7"/>
      <c r="CN438" s="7"/>
      <c r="CO438" s="7"/>
      <c r="CP438" s="7"/>
    </row>
    <row r="439" spans="1:94" x14ac:dyDescent="0.2">
      <c r="A439" t="s">
        <v>111</v>
      </c>
      <c r="B439" t="s">
        <v>112</v>
      </c>
      <c r="C439" t="str">
        <f t="shared" si="128"/>
        <v>I</v>
      </c>
      <c r="D439" t="str">
        <f t="shared" si="129"/>
        <v>I</v>
      </c>
      <c r="E439" t="str">
        <f t="shared" si="130"/>
        <v>G</v>
      </c>
      <c r="F439">
        <v>105</v>
      </c>
      <c r="G439">
        <v>99</v>
      </c>
      <c r="H439">
        <v>15.598000000000001</v>
      </c>
      <c r="I439">
        <v>0.12</v>
      </c>
      <c r="J439">
        <v>0.02</v>
      </c>
      <c r="K439" t="s">
        <v>38</v>
      </c>
      <c r="L439" t="str">
        <f t="shared" si="131"/>
        <v>M</v>
      </c>
      <c r="M439">
        <v>22</v>
      </c>
      <c r="N439">
        <v>0.72</v>
      </c>
      <c r="O439">
        <v>0.70799999999999996</v>
      </c>
      <c r="P439" t="s">
        <v>36</v>
      </c>
      <c r="Q439" t="str">
        <f t="shared" si="143"/>
        <v>MT</v>
      </c>
      <c r="BV439" s="1"/>
      <c r="BW439" s="1" t="s">
        <v>103</v>
      </c>
      <c r="BX439" t="str">
        <f t="shared" ref="BX439" si="148">LEFT(BW439,2)</f>
        <v>21</v>
      </c>
      <c r="BY439" t="str">
        <f>MID(BW439,4,2)</f>
        <v>12</v>
      </c>
      <c r="BZ439" t="str">
        <f t="shared" ref="BZ439" si="149">20&amp;RIGHT(BW439,2)</f>
        <v>2020</v>
      </c>
      <c r="CA439" s="5">
        <f t="shared" si="135"/>
        <v>44186</v>
      </c>
      <c r="CB439">
        <v>356</v>
      </c>
      <c r="CC439">
        <v>1</v>
      </c>
      <c r="CD439" s="1" t="s">
        <v>27</v>
      </c>
      <c r="CE439">
        <f t="shared" si="123"/>
        <v>0.12838618564642446</v>
      </c>
      <c r="CF439">
        <f t="shared" si="124"/>
        <v>0.77529396562863406</v>
      </c>
      <c r="CG439">
        <f t="shared" ref="CG439:CG484" si="150">I439/(H439-I439-J439)*100</f>
        <v>0.77629706300944479</v>
      </c>
      <c r="CH439">
        <f t="shared" ref="CH439:CH484" si="151">O439/H439*100</f>
        <v>4.539043467111167</v>
      </c>
      <c r="CI439">
        <f t="shared" si="142"/>
        <v>7.6932940120528343E-2</v>
      </c>
      <c r="CJ439" s="1"/>
      <c r="CK439" s="6"/>
      <c r="CL439" s="6"/>
      <c r="CM439" s="6"/>
      <c r="CN439" s="6"/>
      <c r="CO439" s="6"/>
      <c r="CP439" s="6"/>
    </row>
    <row r="440" spans="1:94" x14ac:dyDescent="0.2">
      <c r="A440" t="s">
        <v>113</v>
      </c>
      <c r="B440" t="s">
        <v>112</v>
      </c>
      <c r="C440" t="str">
        <f t="shared" si="128"/>
        <v>I</v>
      </c>
      <c r="D440" t="str">
        <f t="shared" si="129"/>
        <v>I</v>
      </c>
      <c r="E440" t="str">
        <f t="shared" si="130"/>
        <v>G</v>
      </c>
      <c r="F440">
        <v>108</v>
      </c>
      <c r="G440">
        <v>97</v>
      </c>
      <c r="H440">
        <v>17.803000000000001</v>
      </c>
      <c r="I440">
        <v>0.21199999999999999</v>
      </c>
      <c r="J440">
        <v>2.1000000000000001E-2</v>
      </c>
      <c r="K440" t="s">
        <v>38</v>
      </c>
      <c r="L440" t="str">
        <f t="shared" si="131"/>
        <v>M</v>
      </c>
      <c r="M440">
        <v>22</v>
      </c>
      <c r="N440">
        <v>0.83799999999999997</v>
      </c>
      <c r="O440">
        <v>0.82499999999999996</v>
      </c>
      <c r="P440" t="s">
        <v>36</v>
      </c>
      <c r="Q440" t="str">
        <f t="shared" si="143"/>
        <v>MT</v>
      </c>
      <c r="BV440" s="1"/>
      <c r="BW440" s="1" t="s">
        <v>103</v>
      </c>
      <c r="BX440" t="str">
        <f t="shared" ref="BX440:BX472" si="152">LEFT(BW440,2)</f>
        <v>21</v>
      </c>
      <c r="BY440" t="str">
        <f t="shared" ref="BY440:BY472" si="153">MID(BW440,4,2)</f>
        <v>12</v>
      </c>
      <c r="BZ440" t="str">
        <f t="shared" ref="BZ440:BZ472" si="154">20&amp;RIGHT(BW440,2)</f>
        <v>2020</v>
      </c>
      <c r="CA440" s="5">
        <f t="shared" si="135"/>
        <v>44186</v>
      </c>
      <c r="CB440">
        <v>356</v>
      </c>
      <c r="CC440">
        <v>1</v>
      </c>
      <c r="CD440" s="1" t="s">
        <v>27</v>
      </c>
      <c r="CE440">
        <f t="shared" si="123"/>
        <v>0.11809695197390621</v>
      </c>
      <c r="CF440">
        <f t="shared" si="124"/>
        <v>1.2051617304303337</v>
      </c>
      <c r="CG440">
        <f t="shared" si="150"/>
        <v>1.2066021627774615</v>
      </c>
      <c r="CH440">
        <f t="shared" si="151"/>
        <v>4.6340504409369201</v>
      </c>
      <c r="CI440">
        <f t="shared" si="142"/>
        <v>7.3021400887490928E-2</v>
      </c>
      <c r="CJ440" s="1"/>
      <c r="CK440" s="6"/>
      <c r="CL440" s="6"/>
      <c r="CM440" s="6"/>
      <c r="CN440" s="6"/>
      <c r="CO440" s="6"/>
      <c r="CP440" s="6"/>
    </row>
    <row r="441" spans="1:94" x14ac:dyDescent="0.2">
      <c r="A441" t="s">
        <v>114</v>
      </c>
      <c r="B441" t="s">
        <v>112</v>
      </c>
      <c r="C441" t="str">
        <f t="shared" si="128"/>
        <v>I</v>
      </c>
      <c r="D441" t="str">
        <f t="shared" si="129"/>
        <v>B</v>
      </c>
      <c r="E441" t="str">
        <f t="shared" si="130"/>
        <v>N</v>
      </c>
      <c r="F441">
        <v>111</v>
      </c>
      <c r="G441">
        <v>105</v>
      </c>
      <c r="H441">
        <v>19.454999999999998</v>
      </c>
      <c r="I441">
        <v>0.26</v>
      </c>
      <c r="J441">
        <v>1.6E-2</v>
      </c>
      <c r="K441" t="s">
        <v>38</v>
      </c>
      <c r="L441" t="str">
        <f t="shared" si="131"/>
        <v>M</v>
      </c>
      <c r="M441">
        <v>22</v>
      </c>
      <c r="N441">
        <v>0.92200000000000004</v>
      </c>
      <c r="O441">
        <v>0.81799999999999995</v>
      </c>
      <c r="P441" t="s">
        <v>36</v>
      </c>
      <c r="Q441" t="str">
        <f t="shared" si="143"/>
        <v>MT</v>
      </c>
      <c r="BV441" s="1"/>
      <c r="BW441" s="1" t="s">
        <v>103</v>
      </c>
      <c r="BX441" t="str">
        <f t="shared" si="152"/>
        <v>21</v>
      </c>
      <c r="BY441" t="str">
        <f t="shared" si="153"/>
        <v>12</v>
      </c>
      <c r="BZ441" t="str">
        <f t="shared" si="154"/>
        <v>2020</v>
      </c>
      <c r="CA441" s="5">
        <f t="shared" si="135"/>
        <v>44186</v>
      </c>
      <c r="CB441">
        <v>356</v>
      </c>
      <c r="CC441">
        <v>1</v>
      </c>
      <c r="CD441" s="1" t="s">
        <v>27</v>
      </c>
      <c r="CE441">
        <f t="shared" si="123"/>
        <v>8.2308760738721135E-2</v>
      </c>
      <c r="CF441">
        <f t="shared" si="124"/>
        <v>1.3545194060953376</v>
      </c>
      <c r="CG441">
        <f t="shared" si="150"/>
        <v>1.3556494082068931</v>
      </c>
      <c r="CH441">
        <f t="shared" si="151"/>
        <v>4.2045746594705733</v>
      </c>
      <c r="CI441">
        <f t="shared" si="142"/>
        <v>0.53456694937034233</v>
      </c>
      <c r="CJ441" s="1"/>
      <c r="CK441" s="6"/>
      <c r="CL441" s="6"/>
      <c r="CM441" s="6"/>
      <c r="CN441" s="6"/>
      <c r="CO441" s="6"/>
      <c r="CP441" s="6"/>
    </row>
    <row r="442" spans="1:94" x14ac:dyDescent="0.2">
      <c r="A442" t="s">
        <v>115</v>
      </c>
      <c r="B442" t="s">
        <v>112</v>
      </c>
      <c r="C442" t="str">
        <f t="shared" si="128"/>
        <v>I</v>
      </c>
      <c r="D442" t="str">
        <f t="shared" si="129"/>
        <v>I</v>
      </c>
      <c r="E442" t="str">
        <f t="shared" si="130"/>
        <v>G</v>
      </c>
      <c r="F442">
        <v>99</v>
      </c>
      <c r="G442">
        <v>92</v>
      </c>
      <c r="H442">
        <v>14.106999999999999</v>
      </c>
      <c r="I442">
        <v>0.28799999999999998</v>
      </c>
      <c r="J442">
        <v>0.192</v>
      </c>
      <c r="K442" t="s">
        <v>24</v>
      </c>
      <c r="L442" t="str">
        <f t="shared" si="131"/>
        <v>F</v>
      </c>
      <c r="M442">
        <v>22</v>
      </c>
      <c r="N442">
        <v>0.65300000000000002</v>
      </c>
      <c r="O442">
        <v>0.56799999999999995</v>
      </c>
      <c r="P442" t="s">
        <v>116</v>
      </c>
      <c r="Q442" t="str">
        <f t="shared" si="143"/>
        <v>F</v>
      </c>
      <c r="BV442" s="1"/>
      <c r="BW442" s="1" t="s">
        <v>103</v>
      </c>
      <c r="BX442" t="str">
        <f t="shared" si="152"/>
        <v>21</v>
      </c>
      <c r="BY442" t="str">
        <f t="shared" si="153"/>
        <v>12</v>
      </c>
      <c r="BZ442" t="str">
        <f t="shared" si="154"/>
        <v>2020</v>
      </c>
      <c r="CA442" s="5">
        <f t="shared" si="135"/>
        <v>44186</v>
      </c>
      <c r="CB442">
        <v>356</v>
      </c>
      <c r="CC442">
        <v>1</v>
      </c>
      <c r="CD442" s="1" t="s">
        <v>27</v>
      </c>
      <c r="CE442">
        <f t="shared" si="123"/>
        <v>1.379805964786202</v>
      </c>
      <c r="CF442">
        <f t="shared" si="124"/>
        <v>2.0840871264201462</v>
      </c>
      <c r="CG442">
        <f t="shared" si="150"/>
        <v>2.1134512365157407</v>
      </c>
      <c r="CH442">
        <f t="shared" si="151"/>
        <v>4.0263698872899978</v>
      </c>
      <c r="CI442">
        <f t="shared" si="142"/>
        <v>0.60253774721769393</v>
      </c>
      <c r="CJ442" s="1"/>
      <c r="CK442" s="6"/>
      <c r="CL442" s="6"/>
      <c r="CM442" s="6"/>
      <c r="CN442" s="6"/>
      <c r="CO442" s="6"/>
      <c r="CP442" s="6"/>
    </row>
    <row r="443" spans="1:94" x14ac:dyDescent="0.2">
      <c r="A443" t="s">
        <v>117</v>
      </c>
      <c r="B443" t="s">
        <v>112</v>
      </c>
      <c r="C443" t="str">
        <f t="shared" si="128"/>
        <v>I</v>
      </c>
      <c r="D443" t="str">
        <f t="shared" si="129"/>
        <v>B</v>
      </c>
      <c r="E443" t="str">
        <f t="shared" si="130"/>
        <v>G</v>
      </c>
      <c r="F443">
        <v>110</v>
      </c>
      <c r="G443">
        <v>104</v>
      </c>
      <c r="H443">
        <v>19.393999999999998</v>
      </c>
      <c r="I443">
        <v>0.28199999999999997</v>
      </c>
      <c r="J443">
        <v>0.22</v>
      </c>
      <c r="K443" t="s">
        <v>24</v>
      </c>
      <c r="L443" t="str">
        <f t="shared" si="131"/>
        <v>F</v>
      </c>
      <c r="M443">
        <v>22</v>
      </c>
      <c r="N443">
        <v>1.034</v>
      </c>
      <c r="O443">
        <v>0.97599999999999998</v>
      </c>
      <c r="P443" t="s">
        <v>29</v>
      </c>
      <c r="Q443" t="str">
        <f t="shared" si="143"/>
        <v>F</v>
      </c>
      <c r="BV443" s="1"/>
      <c r="BW443" s="1" t="s">
        <v>103</v>
      </c>
      <c r="BX443" t="str">
        <f t="shared" si="152"/>
        <v>21</v>
      </c>
      <c r="BY443" t="str">
        <f t="shared" si="153"/>
        <v>12</v>
      </c>
      <c r="BZ443" t="str">
        <f t="shared" si="154"/>
        <v>2020</v>
      </c>
      <c r="CA443" s="5">
        <f t="shared" si="135"/>
        <v>44186</v>
      </c>
      <c r="CB443">
        <v>356</v>
      </c>
      <c r="CC443">
        <v>1</v>
      </c>
      <c r="CD443" s="1" t="s">
        <v>27</v>
      </c>
      <c r="CE443">
        <f t="shared" si="123"/>
        <v>1.147387086679879</v>
      </c>
      <c r="CF443">
        <f t="shared" si="124"/>
        <v>1.4755127668480537</v>
      </c>
      <c r="CG443">
        <f t="shared" si="150"/>
        <v>1.4926953207706963</v>
      </c>
      <c r="CH443">
        <f t="shared" si="151"/>
        <v>5.0324842734866451</v>
      </c>
      <c r="CI443">
        <f t="shared" si="142"/>
        <v>0.29906156543260831</v>
      </c>
      <c r="CJ443" s="1"/>
      <c r="CK443" s="6"/>
      <c r="CL443" s="6"/>
      <c r="CM443" s="6"/>
      <c r="CN443" s="6"/>
      <c r="CO443" s="6"/>
      <c r="CP443" s="6"/>
    </row>
    <row r="444" spans="1:94" x14ac:dyDescent="0.2">
      <c r="A444" t="s">
        <v>118</v>
      </c>
      <c r="B444" t="s">
        <v>112</v>
      </c>
      <c r="C444" t="str">
        <f t="shared" si="128"/>
        <v>I</v>
      </c>
      <c r="D444" t="str">
        <f t="shared" si="129"/>
        <v>S</v>
      </c>
      <c r="E444" t="str">
        <f t="shared" si="130"/>
        <v>G</v>
      </c>
      <c r="F444">
        <v>70</v>
      </c>
      <c r="G444">
        <v>66</v>
      </c>
      <c r="H444">
        <v>5.2169999999999996</v>
      </c>
      <c r="I444">
        <v>0.105</v>
      </c>
      <c r="J444">
        <v>7.0000000000000001E-3</v>
      </c>
      <c r="K444" t="s">
        <v>38</v>
      </c>
      <c r="L444" t="str">
        <f t="shared" si="131"/>
        <v>M</v>
      </c>
      <c r="M444">
        <v>22</v>
      </c>
      <c r="N444">
        <v>0.217</v>
      </c>
      <c r="O444">
        <v>0.21099999999999999</v>
      </c>
      <c r="P444" t="s">
        <v>36</v>
      </c>
      <c r="Q444" t="str">
        <f t="shared" si="143"/>
        <v>MT</v>
      </c>
      <c r="BV444" s="1"/>
      <c r="BW444" s="1" t="s">
        <v>103</v>
      </c>
      <c r="BX444" t="str">
        <f t="shared" si="152"/>
        <v>21</v>
      </c>
      <c r="BY444" t="str">
        <f t="shared" si="153"/>
        <v>12</v>
      </c>
      <c r="BZ444" t="str">
        <f t="shared" si="154"/>
        <v>2020</v>
      </c>
      <c r="CA444" s="5">
        <f t="shared" si="135"/>
        <v>44186</v>
      </c>
      <c r="CB444">
        <v>356</v>
      </c>
      <c r="CC444">
        <v>1</v>
      </c>
      <c r="CD444" s="1" t="s">
        <v>27</v>
      </c>
      <c r="CE444">
        <f t="shared" si="123"/>
        <v>0.1343570057581574</v>
      </c>
      <c r="CF444">
        <f t="shared" si="124"/>
        <v>2.0539906103286385</v>
      </c>
      <c r="CG444">
        <f t="shared" si="150"/>
        <v>2.0568070519098924</v>
      </c>
      <c r="CH444">
        <f t="shared" si="151"/>
        <v>4.0444700019168103</v>
      </c>
      <c r="CI444">
        <f t="shared" si="142"/>
        <v>0.11500862564692363</v>
      </c>
      <c r="CJ444" s="1"/>
      <c r="CK444" s="6"/>
      <c r="CL444" s="6"/>
      <c r="CM444" s="6"/>
      <c r="CN444" s="6"/>
      <c r="CO444" s="6"/>
      <c r="CP444" s="6"/>
    </row>
    <row r="445" spans="1:94" x14ac:dyDescent="0.2">
      <c r="A445" t="s">
        <v>119</v>
      </c>
      <c r="B445" t="s">
        <v>112</v>
      </c>
      <c r="C445" t="str">
        <f t="shared" si="128"/>
        <v>I</v>
      </c>
      <c r="D445" t="str">
        <f t="shared" si="129"/>
        <v>I</v>
      </c>
      <c r="E445" t="str">
        <f t="shared" si="130"/>
        <v>G</v>
      </c>
      <c r="F445">
        <v>105</v>
      </c>
      <c r="G445">
        <v>99</v>
      </c>
      <c r="H445">
        <v>16.170000000000002</v>
      </c>
      <c r="I445">
        <v>0.20699999999999999</v>
      </c>
      <c r="J445">
        <v>2.1000000000000001E-2</v>
      </c>
      <c r="K445" t="s">
        <v>38</v>
      </c>
      <c r="L445" t="str">
        <f t="shared" si="131"/>
        <v>M</v>
      </c>
      <c r="M445">
        <v>22</v>
      </c>
      <c r="N445">
        <v>0.80100000000000005</v>
      </c>
      <c r="O445">
        <v>0.749</v>
      </c>
      <c r="P445" t="s">
        <v>36</v>
      </c>
      <c r="Q445" t="str">
        <f t="shared" si="143"/>
        <v>MT</v>
      </c>
      <c r="BV445" s="1"/>
      <c r="BW445" s="1" t="s">
        <v>103</v>
      </c>
      <c r="BX445" t="str">
        <f t="shared" si="152"/>
        <v>21</v>
      </c>
      <c r="BY445" t="str">
        <f t="shared" si="153"/>
        <v>12</v>
      </c>
      <c r="BZ445" t="str">
        <f t="shared" si="154"/>
        <v>2020</v>
      </c>
      <c r="CA445" s="5">
        <f t="shared" si="135"/>
        <v>44186</v>
      </c>
      <c r="CB445">
        <v>356</v>
      </c>
      <c r="CC445">
        <v>1</v>
      </c>
      <c r="CD445" s="1" t="s">
        <v>27</v>
      </c>
      <c r="CE445">
        <f t="shared" si="123"/>
        <v>0.13003901170351106</v>
      </c>
      <c r="CF445">
        <f t="shared" si="124"/>
        <v>1.2967487314414583</v>
      </c>
      <c r="CG445">
        <f t="shared" si="150"/>
        <v>1.298456906285284</v>
      </c>
      <c r="CH445">
        <f t="shared" si="151"/>
        <v>4.6320346320346317</v>
      </c>
      <c r="CI445">
        <f t="shared" si="142"/>
        <v>0.32158317872603615</v>
      </c>
      <c r="CJ445" s="1"/>
      <c r="CK445" s="6"/>
      <c r="CL445" s="6"/>
      <c r="CM445" s="6"/>
      <c r="CN445" s="6"/>
      <c r="CO445" s="6"/>
      <c r="CP445" s="6"/>
    </row>
    <row r="446" spans="1:94" x14ac:dyDescent="0.2">
      <c r="A446" t="s">
        <v>120</v>
      </c>
      <c r="B446" t="s">
        <v>112</v>
      </c>
      <c r="C446" t="str">
        <f t="shared" si="128"/>
        <v>I</v>
      </c>
      <c r="D446" t="str">
        <f t="shared" si="129"/>
        <v>S</v>
      </c>
      <c r="E446" t="str">
        <f t="shared" si="130"/>
        <v>G</v>
      </c>
      <c r="F446">
        <v>72</v>
      </c>
      <c r="G446">
        <v>67</v>
      </c>
      <c r="H446">
        <v>6.2009999999999996</v>
      </c>
      <c r="I446">
        <v>0.112</v>
      </c>
      <c r="J446">
        <v>5.0000000000000001E-3</v>
      </c>
      <c r="K446" t="s">
        <v>38</v>
      </c>
      <c r="L446" t="str">
        <f t="shared" si="131"/>
        <v>M</v>
      </c>
      <c r="M446">
        <v>22</v>
      </c>
      <c r="N446">
        <v>0.26500000000000001</v>
      </c>
      <c r="O446">
        <v>0.25600000000000001</v>
      </c>
      <c r="P446" t="s">
        <v>36</v>
      </c>
      <c r="Q446" t="str">
        <f t="shared" si="143"/>
        <v>MT</v>
      </c>
      <c r="BV446" s="1"/>
      <c r="BW446" s="1" t="s">
        <v>103</v>
      </c>
      <c r="BX446" t="str">
        <f t="shared" si="152"/>
        <v>21</v>
      </c>
      <c r="BY446" t="str">
        <f t="shared" si="153"/>
        <v>12</v>
      </c>
      <c r="BZ446" t="str">
        <f t="shared" si="154"/>
        <v>2020</v>
      </c>
      <c r="CA446" s="5">
        <f t="shared" si="135"/>
        <v>44186</v>
      </c>
      <c r="CB446">
        <v>356</v>
      </c>
      <c r="CC446">
        <v>1</v>
      </c>
      <c r="CD446" s="1" t="s">
        <v>39</v>
      </c>
      <c r="CE446">
        <f t="shared" si="123"/>
        <v>8.0697224015493868E-2</v>
      </c>
      <c r="CF446">
        <f t="shared" si="124"/>
        <v>1.8393824930202005</v>
      </c>
      <c r="CG446">
        <f t="shared" si="150"/>
        <v>1.8408941485864565</v>
      </c>
      <c r="CH446">
        <f t="shared" si="151"/>
        <v>4.1283663925173357</v>
      </c>
      <c r="CI446">
        <f t="shared" si="142"/>
        <v>0.14513788098693772</v>
      </c>
      <c r="CJ446" s="1"/>
      <c r="CK446" s="6"/>
      <c r="CL446" s="6"/>
      <c r="CM446" s="6"/>
      <c r="CN446" s="6"/>
      <c r="CO446" s="6"/>
      <c r="CP446" s="6"/>
    </row>
    <row r="447" spans="1:94" x14ac:dyDescent="0.2">
      <c r="A447" t="s">
        <v>121</v>
      </c>
      <c r="B447" t="s">
        <v>112</v>
      </c>
      <c r="C447" t="str">
        <f t="shared" si="128"/>
        <v>I</v>
      </c>
      <c r="D447" t="str">
        <f t="shared" si="129"/>
        <v>S</v>
      </c>
      <c r="E447" t="str">
        <f t="shared" si="130"/>
        <v>G</v>
      </c>
      <c r="F447">
        <v>65</v>
      </c>
      <c r="G447">
        <v>60</v>
      </c>
      <c r="H447">
        <v>3.8079999999999998</v>
      </c>
      <c r="I447">
        <v>0.08</v>
      </c>
      <c r="J447">
        <v>6.0000000000000001E-3</v>
      </c>
      <c r="K447" t="s">
        <v>38</v>
      </c>
      <c r="L447" t="str">
        <f t="shared" si="131"/>
        <v>M</v>
      </c>
      <c r="M447">
        <v>22</v>
      </c>
      <c r="N447">
        <v>0.189</v>
      </c>
      <c r="O447">
        <v>0.17100000000000001</v>
      </c>
      <c r="P447" t="s">
        <v>29</v>
      </c>
      <c r="Q447" t="str">
        <f t="shared" si="143"/>
        <v>F</v>
      </c>
      <c r="BV447" s="1"/>
      <c r="BW447" s="1" t="s">
        <v>103</v>
      </c>
      <c r="BX447" t="str">
        <f t="shared" si="152"/>
        <v>21</v>
      </c>
      <c r="BY447" t="str">
        <f t="shared" si="153"/>
        <v>12</v>
      </c>
      <c r="BZ447" t="str">
        <f t="shared" si="154"/>
        <v>2020</v>
      </c>
      <c r="CA447" s="5">
        <f t="shared" si="135"/>
        <v>44186</v>
      </c>
      <c r="CB447">
        <v>356</v>
      </c>
      <c r="CC447">
        <v>1</v>
      </c>
      <c r="CD447" s="1" t="s">
        <v>27</v>
      </c>
      <c r="CE447">
        <f t="shared" si="123"/>
        <v>0.15781167806417673</v>
      </c>
      <c r="CF447">
        <f t="shared" si="124"/>
        <v>2.1459227467811162</v>
      </c>
      <c r="CG447">
        <f t="shared" si="150"/>
        <v>2.1493820526598602</v>
      </c>
      <c r="CH447">
        <f t="shared" si="151"/>
        <v>4.4905462184873954</v>
      </c>
      <c r="CI447">
        <f t="shared" si="142"/>
        <v>0.47268907563025181</v>
      </c>
      <c r="CJ447" s="1"/>
      <c r="CK447" s="6"/>
      <c r="CL447" s="6"/>
      <c r="CM447" s="6"/>
      <c r="CN447" s="6"/>
      <c r="CO447" s="6"/>
      <c r="CP447" s="6"/>
    </row>
    <row r="448" spans="1:94" x14ac:dyDescent="0.2">
      <c r="A448" t="s">
        <v>122</v>
      </c>
      <c r="B448" t="s">
        <v>112</v>
      </c>
      <c r="C448" t="str">
        <f t="shared" si="128"/>
        <v>I</v>
      </c>
      <c r="D448" t="str">
        <f t="shared" si="129"/>
        <v>I</v>
      </c>
      <c r="E448" t="str">
        <f t="shared" si="130"/>
        <v>G</v>
      </c>
      <c r="F448">
        <v>87</v>
      </c>
      <c r="G448">
        <v>81</v>
      </c>
      <c r="H448">
        <v>8.49</v>
      </c>
      <c r="I448">
        <v>0.14000000000000001</v>
      </c>
      <c r="J448">
        <v>6.0000000000000001E-3</v>
      </c>
      <c r="K448" t="s">
        <v>38</v>
      </c>
      <c r="L448" t="str">
        <f t="shared" si="131"/>
        <v>M</v>
      </c>
      <c r="M448">
        <v>22</v>
      </c>
      <c r="N448">
        <v>0.50800000000000001</v>
      </c>
      <c r="O448">
        <v>0.44500000000000001</v>
      </c>
      <c r="P448" t="s">
        <v>29</v>
      </c>
      <c r="Q448" t="str">
        <f t="shared" si="143"/>
        <v>F</v>
      </c>
      <c r="BV448" s="1"/>
      <c r="BW448" s="1" t="s">
        <v>103</v>
      </c>
      <c r="BX448" t="str">
        <f t="shared" si="152"/>
        <v>21</v>
      </c>
      <c r="BY448" t="str">
        <f t="shared" si="153"/>
        <v>12</v>
      </c>
      <c r="BZ448" t="str">
        <f t="shared" si="154"/>
        <v>2020</v>
      </c>
      <c r="CA448" s="5">
        <f t="shared" si="135"/>
        <v>44186</v>
      </c>
      <c r="CB448">
        <v>356</v>
      </c>
      <c r="CC448">
        <v>1</v>
      </c>
      <c r="CD448" s="1" t="s">
        <v>123</v>
      </c>
      <c r="CE448">
        <f t="shared" si="123"/>
        <v>7.0721357850070721E-2</v>
      </c>
      <c r="CF448">
        <f t="shared" si="124"/>
        <v>1.6766467065868267</v>
      </c>
      <c r="CG448">
        <f t="shared" si="150"/>
        <v>1.6778523489932891</v>
      </c>
      <c r="CH448">
        <f t="shared" si="151"/>
        <v>5.2414605418138986</v>
      </c>
      <c r="CI448">
        <f t="shared" si="142"/>
        <v>0.74204946996466437</v>
      </c>
      <c r="CJ448" s="1"/>
      <c r="CK448" s="6"/>
      <c r="CL448" s="6"/>
      <c r="CM448" s="6"/>
      <c r="CN448" s="6"/>
      <c r="CO448" s="6"/>
      <c r="CP448" s="6"/>
    </row>
    <row r="449" spans="1:99" x14ac:dyDescent="0.2">
      <c r="A449" t="s">
        <v>124</v>
      </c>
      <c r="B449" t="s">
        <v>112</v>
      </c>
      <c r="C449" t="str">
        <f t="shared" si="128"/>
        <v>I</v>
      </c>
      <c r="D449" t="str">
        <f t="shared" si="129"/>
        <v>S</v>
      </c>
      <c r="E449" t="str">
        <f t="shared" si="130"/>
        <v>G</v>
      </c>
      <c r="F449">
        <v>66</v>
      </c>
      <c r="G449">
        <v>61</v>
      </c>
      <c r="H449">
        <v>4.3369999999999997</v>
      </c>
      <c r="I449">
        <v>7.3999999999999996E-2</v>
      </c>
      <c r="J449">
        <v>6.9000000000000006E-2</v>
      </c>
      <c r="K449" t="s">
        <v>24</v>
      </c>
      <c r="L449" t="str">
        <f t="shared" si="131"/>
        <v>F</v>
      </c>
      <c r="M449">
        <v>22</v>
      </c>
      <c r="N449">
        <v>0.248</v>
      </c>
      <c r="O449">
        <v>0.20899999999999999</v>
      </c>
      <c r="P449" t="s">
        <v>29</v>
      </c>
      <c r="Q449" t="str">
        <f t="shared" si="143"/>
        <v>F</v>
      </c>
      <c r="BV449" s="1"/>
      <c r="BW449" s="1" t="s">
        <v>103</v>
      </c>
      <c r="BX449" t="str">
        <f t="shared" si="152"/>
        <v>21</v>
      </c>
      <c r="BY449" t="str">
        <f t="shared" si="153"/>
        <v>12</v>
      </c>
      <c r="BZ449" t="str">
        <f t="shared" si="154"/>
        <v>2020</v>
      </c>
      <c r="CA449" s="5">
        <f t="shared" si="135"/>
        <v>44186</v>
      </c>
      <c r="CB449">
        <v>356</v>
      </c>
      <c r="CC449">
        <v>1</v>
      </c>
      <c r="CD449" s="1" t="s">
        <v>27</v>
      </c>
      <c r="CE449">
        <f t="shared" ref="CE449:CE512" si="155">J449/(H449-J449)*100</f>
        <v>1.6166822867853796</v>
      </c>
      <c r="CF449">
        <f t="shared" ref="CF449:CF512" si="156">I449/(H449-I449)*100</f>
        <v>1.7358667604973024</v>
      </c>
      <c r="CG449">
        <f t="shared" si="150"/>
        <v>1.764425369575584</v>
      </c>
      <c r="CH449">
        <f t="shared" si="151"/>
        <v>4.8189993082776112</v>
      </c>
      <c r="CI449">
        <f t="shared" si="142"/>
        <v>0.89923910537237739</v>
      </c>
      <c r="CJ449" s="1"/>
      <c r="CK449" s="6"/>
      <c r="CL449" s="6"/>
      <c r="CM449" s="6"/>
      <c r="CN449" s="6"/>
      <c r="CO449" s="6"/>
      <c r="CP449" s="6"/>
    </row>
    <row r="450" spans="1:99" x14ac:dyDescent="0.2">
      <c r="A450" t="s">
        <v>125</v>
      </c>
      <c r="B450" t="s">
        <v>112</v>
      </c>
      <c r="C450" t="str">
        <f t="shared" ref="C450:C513" si="157">IF(F450&gt;=150,"B",IF(F450&lt;=60,"S","I"))</f>
        <v>I</v>
      </c>
      <c r="D450" t="str">
        <f t="shared" ref="D450:D513" si="158">IF(F450&gt;=110,"B",IF(F450&gt;=85,"I",IF(F450&gt;=65,"S","IMM")))</f>
        <v>I</v>
      </c>
      <c r="E450" t="str">
        <f t="shared" ref="E450:E513" si="159">IF(AND(F450&gt;=60,F450&lt;=110),"G","N")</f>
        <v>G</v>
      </c>
      <c r="F450">
        <v>103</v>
      </c>
      <c r="G450">
        <v>96</v>
      </c>
      <c r="H450">
        <v>15.851000000000001</v>
      </c>
      <c r="I450">
        <v>0.23</v>
      </c>
      <c r="J450">
        <v>1.7000000000000001E-2</v>
      </c>
      <c r="K450" t="s">
        <v>38</v>
      </c>
      <c r="L450" t="str">
        <f t="shared" ref="L450:L513" si="160">LEFT(K450,1)</f>
        <v>M</v>
      </c>
      <c r="M450">
        <v>22</v>
      </c>
      <c r="N450">
        <v>0.57399999999999995</v>
      </c>
      <c r="O450">
        <v>0.56799999999999995</v>
      </c>
      <c r="P450" t="s">
        <v>36</v>
      </c>
      <c r="Q450" t="str">
        <f t="shared" si="143"/>
        <v>MT</v>
      </c>
      <c r="BV450" s="1"/>
      <c r="BW450" s="1" t="s">
        <v>103</v>
      </c>
      <c r="BX450" t="str">
        <f t="shared" si="152"/>
        <v>21</v>
      </c>
      <c r="BY450" t="str">
        <f t="shared" si="153"/>
        <v>12</v>
      </c>
      <c r="BZ450" t="str">
        <f t="shared" si="154"/>
        <v>2020</v>
      </c>
      <c r="CA450" s="5">
        <f t="shared" si="135"/>
        <v>44186</v>
      </c>
      <c r="CB450">
        <v>356</v>
      </c>
      <c r="CC450">
        <v>1</v>
      </c>
      <c r="CD450" s="1" t="s">
        <v>27</v>
      </c>
      <c r="CE450">
        <f t="shared" si="155"/>
        <v>0.10736390046734874</v>
      </c>
      <c r="CF450">
        <f t="shared" si="156"/>
        <v>1.4723769284936943</v>
      </c>
      <c r="CG450">
        <f t="shared" si="150"/>
        <v>1.4739810305049985</v>
      </c>
      <c r="CH450">
        <f t="shared" si="151"/>
        <v>3.5833701343763797</v>
      </c>
      <c r="CI450">
        <f t="shared" si="142"/>
        <v>3.7852501419468831E-2</v>
      </c>
      <c r="CJ450" s="1"/>
      <c r="CK450" s="6"/>
      <c r="CL450" s="6"/>
      <c r="CM450" s="6"/>
      <c r="CN450" s="6"/>
      <c r="CO450" s="6"/>
      <c r="CP450" s="6"/>
    </row>
    <row r="451" spans="1:99" x14ac:dyDescent="0.2">
      <c r="A451" t="s">
        <v>126</v>
      </c>
      <c r="B451" t="s">
        <v>112</v>
      </c>
      <c r="C451" t="str">
        <f t="shared" si="157"/>
        <v>I</v>
      </c>
      <c r="D451" t="str">
        <f t="shared" si="158"/>
        <v>I</v>
      </c>
      <c r="E451" t="str">
        <f t="shared" si="159"/>
        <v>G</v>
      </c>
      <c r="F451">
        <v>95</v>
      </c>
      <c r="G451">
        <v>89</v>
      </c>
      <c r="H451">
        <v>12.118</v>
      </c>
      <c r="I451">
        <v>0.23499999999999999</v>
      </c>
      <c r="J451">
        <v>0.17299999999999999</v>
      </c>
      <c r="K451" t="s">
        <v>24</v>
      </c>
      <c r="L451" t="str">
        <f t="shared" si="160"/>
        <v>F</v>
      </c>
      <c r="M451">
        <v>22</v>
      </c>
      <c r="N451">
        <v>0.56499999999999995</v>
      </c>
      <c r="O451">
        <v>0.53600000000000003</v>
      </c>
      <c r="P451" t="s">
        <v>36</v>
      </c>
      <c r="Q451" t="str">
        <f t="shared" si="143"/>
        <v>MT</v>
      </c>
      <c r="BV451" s="1"/>
      <c r="BW451" s="1" t="s">
        <v>103</v>
      </c>
      <c r="BX451" t="str">
        <f t="shared" si="152"/>
        <v>21</v>
      </c>
      <c r="BY451" t="str">
        <f t="shared" si="153"/>
        <v>12</v>
      </c>
      <c r="BZ451" t="str">
        <f t="shared" si="154"/>
        <v>2020</v>
      </c>
      <c r="CA451" s="5">
        <f t="shared" ref="CA451:CA514" si="161">DATE(BZ451,BY451,BX451)</f>
        <v>44186</v>
      </c>
      <c r="CB451">
        <v>356</v>
      </c>
      <c r="CC451">
        <v>1</v>
      </c>
      <c r="CD451" s="1" t="s">
        <v>27</v>
      </c>
      <c r="CE451">
        <f t="shared" si="155"/>
        <v>1.4483047300125573</v>
      </c>
      <c r="CF451">
        <f t="shared" si="156"/>
        <v>1.9776150803669106</v>
      </c>
      <c r="CG451">
        <f t="shared" si="150"/>
        <v>2.0068317677198975</v>
      </c>
      <c r="CH451">
        <f t="shared" si="151"/>
        <v>4.4231721406172637</v>
      </c>
      <c r="CI451">
        <f t="shared" si="142"/>
        <v>0.23931341805578407</v>
      </c>
      <c r="CJ451" s="1"/>
      <c r="CK451" s="6"/>
      <c r="CL451" s="6"/>
      <c r="CM451" s="6"/>
      <c r="CN451" s="6"/>
      <c r="CO451" s="6"/>
      <c r="CP451" s="6"/>
    </row>
    <row r="452" spans="1:99" x14ac:dyDescent="0.2">
      <c r="A452" t="s">
        <v>127</v>
      </c>
      <c r="B452" t="s">
        <v>112</v>
      </c>
      <c r="C452" t="str">
        <f t="shared" si="157"/>
        <v>I</v>
      </c>
      <c r="D452" t="str">
        <f t="shared" si="158"/>
        <v>S</v>
      </c>
      <c r="E452" t="str">
        <f t="shared" si="159"/>
        <v>G</v>
      </c>
      <c r="F452">
        <v>65</v>
      </c>
      <c r="G452">
        <v>62</v>
      </c>
      <c r="H452">
        <v>4.0730000000000004</v>
      </c>
      <c r="I452">
        <v>9.1999999999999998E-2</v>
      </c>
      <c r="J452">
        <v>6.7000000000000004E-2</v>
      </c>
      <c r="K452" t="s">
        <v>24</v>
      </c>
      <c r="L452" t="str">
        <f t="shared" si="160"/>
        <v>F</v>
      </c>
      <c r="M452">
        <v>22</v>
      </c>
      <c r="O452">
        <v>0.189</v>
      </c>
      <c r="P452" t="s">
        <v>36</v>
      </c>
      <c r="Q452" t="str">
        <f t="shared" ref="Q452:Q481" si="162">IF(P452="MT","MT","F")</f>
        <v>MT</v>
      </c>
      <c r="BV452" s="1"/>
      <c r="BW452" s="1" t="s">
        <v>103</v>
      </c>
      <c r="BX452" t="str">
        <f t="shared" si="152"/>
        <v>21</v>
      </c>
      <c r="BY452" t="str">
        <f t="shared" si="153"/>
        <v>12</v>
      </c>
      <c r="BZ452" t="str">
        <f t="shared" si="154"/>
        <v>2020</v>
      </c>
      <c r="CA452" s="5">
        <f t="shared" si="161"/>
        <v>44186</v>
      </c>
      <c r="CB452">
        <v>356</v>
      </c>
      <c r="CC452">
        <v>1</v>
      </c>
      <c r="CD452" s="1" t="s">
        <v>27</v>
      </c>
      <c r="CE452">
        <f t="shared" si="155"/>
        <v>1.6724912631053419</v>
      </c>
      <c r="CF452">
        <f t="shared" si="156"/>
        <v>2.3109771414217528</v>
      </c>
      <c r="CG452">
        <f t="shared" si="150"/>
        <v>2.350536535513541</v>
      </c>
      <c r="CH452">
        <f t="shared" si="151"/>
        <v>4.6403142646697759</v>
      </c>
      <c r="CJ452" s="1"/>
      <c r="CK452" s="6"/>
      <c r="CL452" s="6"/>
      <c r="CM452" s="6"/>
      <c r="CN452" s="6"/>
      <c r="CO452" s="6"/>
      <c r="CP452" s="6"/>
    </row>
    <row r="453" spans="1:99" x14ac:dyDescent="0.2">
      <c r="A453" t="s">
        <v>128</v>
      </c>
      <c r="B453" t="s">
        <v>112</v>
      </c>
      <c r="C453" t="str">
        <f t="shared" si="157"/>
        <v>I</v>
      </c>
      <c r="D453" t="str">
        <f t="shared" si="158"/>
        <v>IMM</v>
      </c>
      <c r="E453" t="str">
        <f t="shared" si="159"/>
        <v>G</v>
      </c>
      <c r="F453">
        <v>63</v>
      </c>
      <c r="G453">
        <v>59</v>
      </c>
      <c r="H453">
        <v>3.351</v>
      </c>
      <c r="I453">
        <v>8.5000000000000006E-2</v>
      </c>
      <c r="J453">
        <v>4.0000000000000001E-3</v>
      </c>
      <c r="K453" t="s">
        <v>38</v>
      </c>
      <c r="L453" t="str">
        <f t="shared" si="160"/>
        <v>M</v>
      </c>
      <c r="M453">
        <v>22</v>
      </c>
      <c r="N453">
        <v>0.17399999999999999</v>
      </c>
      <c r="O453">
        <v>0.14499999999999999</v>
      </c>
      <c r="P453" t="s">
        <v>29</v>
      </c>
      <c r="Q453" t="str">
        <f t="shared" si="162"/>
        <v>F</v>
      </c>
      <c r="BV453" s="1"/>
      <c r="BW453" s="1" t="s">
        <v>103</v>
      </c>
      <c r="BX453" t="str">
        <f t="shared" si="152"/>
        <v>21</v>
      </c>
      <c r="BY453" t="str">
        <f t="shared" si="153"/>
        <v>12</v>
      </c>
      <c r="BZ453" t="str">
        <f t="shared" si="154"/>
        <v>2020</v>
      </c>
      <c r="CA453" s="5">
        <f t="shared" si="161"/>
        <v>44186</v>
      </c>
      <c r="CB453">
        <v>356</v>
      </c>
      <c r="CC453">
        <v>1</v>
      </c>
      <c r="CD453" s="1" t="s">
        <v>123</v>
      </c>
      <c r="CE453">
        <f t="shared" si="155"/>
        <v>0.11951000896325066</v>
      </c>
      <c r="CF453">
        <f t="shared" si="156"/>
        <v>2.6025719534598899</v>
      </c>
      <c r="CG453">
        <f t="shared" si="150"/>
        <v>2.6057633353770693</v>
      </c>
      <c r="CH453">
        <f t="shared" si="151"/>
        <v>4.3270665472993128</v>
      </c>
      <c r="CI453">
        <f t="shared" ref="CI453:CI484" si="163">(N453-O453)/H453*100</f>
        <v>0.86541330945986272</v>
      </c>
      <c r="CJ453" s="1"/>
      <c r="CK453" s="6"/>
      <c r="CL453" s="6"/>
      <c r="CM453" s="6"/>
      <c r="CN453" s="6"/>
      <c r="CO453" s="6"/>
      <c r="CP453" s="6"/>
    </row>
    <row r="454" spans="1:99" x14ac:dyDescent="0.2">
      <c r="A454" t="s">
        <v>129</v>
      </c>
      <c r="B454" t="s">
        <v>112</v>
      </c>
      <c r="C454" t="str">
        <f t="shared" si="157"/>
        <v>I</v>
      </c>
      <c r="D454" t="str">
        <f t="shared" si="158"/>
        <v>S</v>
      </c>
      <c r="E454" t="str">
        <f t="shared" si="159"/>
        <v>G</v>
      </c>
      <c r="F454">
        <v>65</v>
      </c>
      <c r="G454">
        <v>61</v>
      </c>
      <c r="H454">
        <v>3.67</v>
      </c>
      <c r="I454">
        <v>8.7999999999999995E-2</v>
      </c>
      <c r="J454">
        <v>5.0000000000000001E-3</v>
      </c>
      <c r="K454" t="s">
        <v>38</v>
      </c>
      <c r="L454" t="str">
        <f t="shared" si="160"/>
        <v>M</v>
      </c>
      <c r="M454">
        <v>22</v>
      </c>
      <c r="N454">
        <v>0.17100000000000001</v>
      </c>
      <c r="O454">
        <v>0.16300000000000001</v>
      </c>
      <c r="P454" t="s">
        <v>36</v>
      </c>
      <c r="Q454" t="str">
        <f t="shared" si="162"/>
        <v>MT</v>
      </c>
      <c r="BV454" s="1"/>
      <c r="BW454" s="1" t="s">
        <v>103</v>
      </c>
      <c r="BX454" t="str">
        <f t="shared" si="152"/>
        <v>21</v>
      </c>
      <c r="BY454" t="str">
        <f t="shared" si="153"/>
        <v>12</v>
      </c>
      <c r="BZ454" t="str">
        <f t="shared" si="154"/>
        <v>2020</v>
      </c>
      <c r="CA454" s="5">
        <f t="shared" si="161"/>
        <v>44186</v>
      </c>
      <c r="CB454">
        <v>356</v>
      </c>
      <c r="CC454">
        <v>1</v>
      </c>
      <c r="CD454" s="1" t="s">
        <v>27</v>
      </c>
      <c r="CE454">
        <f t="shared" si="155"/>
        <v>0.13642564802182811</v>
      </c>
      <c r="CF454">
        <f t="shared" si="156"/>
        <v>2.4567280848687885</v>
      </c>
      <c r="CG454">
        <f t="shared" si="150"/>
        <v>2.460162147050601</v>
      </c>
      <c r="CH454">
        <f t="shared" si="151"/>
        <v>4.4414168937329705</v>
      </c>
      <c r="CI454">
        <f t="shared" si="163"/>
        <v>0.21798365122615823</v>
      </c>
      <c r="CJ454" s="1"/>
      <c r="CK454" s="6"/>
      <c r="CL454" s="6"/>
      <c r="CM454" s="6"/>
      <c r="CN454" s="6"/>
      <c r="CO454" s="6"/>
      <c r="CP454" s="6"/>
    </row>
    <row r="455" spans="1:99" ht="17" x14ac:dyDescent="0.2">
      <c r="A455" t="s">
        <v>210</v>
      </c>
      <c r="B455" t="s">
        <v>112</v>
      </c>
      <c r="C455" t="str">
        <f t="shared" si="157"/>
        <v>I</v>
      </c>
      <c r="D455" t="str">
        <f t="shared" si="158"/>
        <v>B</v>
      </c>
      <c r="E455" t="str">
        <f t="shared" si="159"/>
        <v>N</v>
      </c>
      <c r="F455">
        <v>112</v>
      </c>
      <c r="G455">
        <v>106</v>
      </c>
      <c r="H455">
        <v>23.34</v>
      </c>
      <c r="I455">
        <v>0.46300000000000002</v>
      </c>
      <c r="J455">
        <v>0.34699999999999998</v>
      </c>
      <c r="K455" t="s">
        <v>24</v>
      </c>
      <c r="L455" t="str">
        <f t="shared" si="160"/>
        <v>F</v>
      </c>
      <c r="M455">
        <v>22</v>
      </c>
      <c r="N455">
        <v>1.61</v>
      </c>
      <c r="O455">
        <v>1.3540000000000001</v>
      </c>
      <c r="P455" t="s">
        <v>211</v>
      </c>
      <c r="Q455" t="str">
        <f t="shared" si="162"/>
        <v>F</v>
      </c>
      <c r="BV455" s="1"/>
      <c r="BW455" t="s">
        <v>212</v>
      </c>
      <c r="BX455" t="str">
        <f t="shared" si="152"/>
        <v>20</v>
      </c>
      <c r="BY455" t="str">
        <f t="shared" si="153"/>
        <v>01</v>
      </c>
      <c r="BZ455" t="str">
        <f t="shared" si="154"/>
        <v>2021</v>
      </c>
      <c r="CA455" s="5">
        <f t="shared" si="161"/>
        <v>44216</v>
      </c>
      <c r="CB455">
        <v>20</v>
      </c>
      <c r="CC455">
        <v>2</v>
      </c>
      <c r="CD455" t="s">
        <v>149</v>
      </c>
      <c r="CE455">
        <f t="shared" si="155"/>
        <v>1.5091549602052798</v>
      </c>
      <c r="CF455">
        <f t="shared" si="156"/>
        <v>2.0238667657472571</v>
      </c>
      <c r="CG455">
        <f t="shared" si="150"/>
        <v>2.0550377274744789</v>
      </c>
      <c r="CH455">
        <f t="shared" si="151"/>
        <v>5.8011996572407885</v>
      </c>
      <c r="CI455">
        <f t="shared" si="163"/>
        <v>1.0968294772922023</v>
      </c>
      <c r="CJ455" s="1"/>
      <c r="CK455" s="6" t="s">
        <v>105</v>
      </c>
      <c r="CL455" s="6"/>
      <c r="CM455" s="6"/>
      <c r="CN455" s="6"/>
      <c r="CO455" s="6"/>
      <c r="CP455" s="6"/>
    </row>
    <row r="456" spans="1:99" ht="17" x14ac:dyDescent="0.2">
      <c r="A456" t="s">
        <v>213</v>
      </c>
      <c r="B456" t="s">
        <v>112</v>
      </c>
      <c r="C456" t="str">
        <f t="shared" si="157"/>
        <v>I</v>
      </c>
      <c r="D456" t="str">
        <f t="shared" si="158"/>
        <v>B</v>
      </c>
      <c r="E456" t="str">
        <f t="shared" si="159"/>
        <v>N</v>
      </c>
      <c r="F456">
        <v>125</v>
      </c>
      <c r="G456">
        <v>119</v>
      </c>
      <c r="H456">
        <v>30.734000000000002</v>
      </c>
      <c r="I456">
        <v>0.68899999999999995</v>
      </c>
      <c r="J456">
        <v>4.2000000000000003E-2</v>
      </c>
      <c r="K456" t="s">
        <v>38</v>
      </c>
      <c r="L456" t="str">
        <f t="shared" si="160"/>
        <v>M</v>
      </c>
      <c r="M456">
        <v>22</v>
      </c>
      <c r="N456">
        <v>2.444</v>
      </c>
      <c r="O456">
        <v>1.903</v>
      </c>
      <c r="P456" t="s">
        <v>214</v>
      </c>
      <c r="Q456" t="str">
        <f t="shared" si="162"/>
        <v>F</v>
      </c>
      <c r="BV456" s="1"/>
      <c r="BW456" t="s">
        <v>212</v>
      </c>
      <c r="BX456" t="str">
        <f t="shared" si="152"/>
        <v>20</v>
      </c>
      <c r="BY456" t="str">
        <f t="shared" si="153"/>
        <v>01</v>
      </c>
      <c r="BZ456" t="str">
        <f t="shared" si="154"/>
        <v>2021</v>
      </c>
      <c r="CA456" s="5">
        <f t="shared" si="161"/>
        <v>44216</v>
      </c>
      <c r="CB456">
        <v>20</v>
      </c>
      <c r="CC456">
        <v>2</v>
      </c>
      <c r="CD456" t="s">
        <v>144</v>
      </c>
      <c r="CE456">
        <f t="shared" si="155"/>
        <v>0.13684347712759026</v>
      </c>
      <c r="CF456">
        <f t="shared" si="156"/>
        <v>2.2932268264270257</v>
      </c>
      <c r="CG456">
        <f t="shared" si="150"/>
        <v>2.29643702296437</v>
      </c>
      <c r="CH456">
        <f t="shared" si="151"/>
        <v>6.191839656406585</v>
      </c>
      <c r="CI456">
        <f t="shared" si="163"/>
        <v>1.7602655040020823</v>
      </c>
      <c r="CJ456" s="1"/>
      <c r="CK456" s="6" t="s">
        <v>105</v>
      </c>
      <c r="CL456" s="6"/>
      <c r="CM456" s="6"/>
      <c r="CN456" s="6"/>
      <c r="CO456" s="6"/>
      <c r="CP456" s="6"/>
    </row>
    <row r="457" spans="1:99" ht="17" x14ac:dyDescent="0.2">
      <c r="A457" t="s">
        <v>215</v>
      </c>
      <c r="B457" t="s">
        <v>112</v>
      </c>
      <c r="C457" t="str">
        <f t="shared" si="157"/>
        <v>I</v>
      </c>
      <c r="D457" t="str">
        <f t="shared" si="158"/>
        <v>B</v>
      </c>
      <c r="E457" t="str">
        <f t="shared" si="159"/>
        <v>N</v>
      </c>
      <c r="F457">
        <v>114</v>
      </c>
      <c r="G457">
        <v>109</v>
      </c>
      <c r="H457">
        <v>20.716000000000001</v>
      </c>
      <c r="I457">
        <v>0.25700000000000001</v>
      </c>
      <c r="J457">
        <v>1.2E-2</v>
      </c>
      <c r="K457" t="s">
        <v>38</v>
      </c>
      <c r="L457" t="str">
        <f t="shared" si="160"/>
        <v>M</v>
      </c>
      <c r="M457">
        <v>22</v>
      </c>
      <c r="N457">
        <v>0.73899999999999999</v>
      </c>
      <c r="O457">
        <v>0.72199999999999998</v>
      </c>
      <c r="P457" t="s">
        <v>36</v>
      </c>
      <c r="Q457" t="str">
        <f t="shared" si="162"/>
        <v>MT</v>
      </c>
      <c r="BV457" s="1"/>
      <c r="BW457" t="s">
        <v>212</v>
      </c>
      <c r="BX457" t="str">
        <f t="shared" si="152"/>
        <v>20</v>
      </c>
      <c r="BY457" t="str">
        <f t="shared" si="153"/>
        <v>01</v>
      </c>
      <c r="BZ457" t="str">
        <f t="shared" si="154"/>
        <v>2021</v>
      </c>
      <c r="CA457" s="5">
        <f t="shared" si="161"/>
        <v>44216</v>
      </c>
      <c r="CB457">
        <v>20</v>
      </c>
      <c r="CC457">
        <v>2</v>
      </c>
      <c r="CD457" t="s">
        <v>149</v>
      </c>
      <c r="CE457">
        <f t="shared" si="155"/>
        <v>5.7959814528593508E-2</v>
      </c>
      <c r="CF457">
        <f t="shared" si="156"/>
        <v>1.25617087834205</v>
      </c>
      <c r="CG457">
        <f t="shared" si="150"/>
        <v>1.2569081038783196</v>
      </c>
      <c r="CH457">
        <f t="shared" si="151"/>
        <v>3.485228808650318</v>
      </c>
      <c r="CI457">
        <f t="shared" si="163"/>
        <v>8.2062174164896778E-2</v>
      </c>
      <c r="CJ457" s="1"/>
      <c r="CK457" s="6" t="s">
        <v>105</v>
      </c>
      <c r="CL457" s="6"/>
      <c r="CM457" s="6"/>
      <c r="CN457" s="6"/>
      <c r="CO457" s="6"/>
      <c r="CP457" s="6"/>
    </row>
    <row r="458" spans="1:99" ht="17" x14ac:dyDescent="0.2">
      <c r="A458" t="s">
        <v>216</v>
      </c>
      <c r="B458" t="s">
        <v>112</v>
      </c>
      <c r="C458" t="str">
        <f t="shared" si="157"/>
        <v>I</v>
      </c>
      <c r="D458" t="str">
        <f t="shared" si="158"/>
        <v>I</v>
      </c>
      <c r="E458" t="str">
        <f t="shared" si="159"/>
        <v>G</v>
      </c>
      <c r="F458">
        <v>107</v>
      </c>
      <c r="G458">
        <v>102</v>
      </c>
      <c r="H458">
        <v>18.945</v>
      </c>
      <c r="I458">
        <v>0.371</v>
      </c>
      <c r="J458">
        <v>3.3000000000000002E-2</v>
      </c>
      <c r="K458" t="s">
        <v>38</v>
      </c>
      <c r="L458" t="str">
        <f t="shared" si="160"/>
        <v>M</v>
      </c>
      <c r="M458">
        <v>22</v>
      </c>
      <c r="N458">
        <v>0.80200000000000005</v>
      </c>
      <c r="O458">
        <v>0.77200000000000002</v>
      </c>
      <c r="P458" t="s">
        <v>36</v>
      </c>
      <c r="Q458" t="str">
        <f t="shared" si="162"/>
        <v>MT</v>
      </c>
      <c r="BV458" s="1"/>
      <c r="BW458" t="s">
        <v>212</v>
      </c>
      <c r="BX458" t="str">
        <f t="shared" si="152"/>
        <v>20</v>
      </c>
      <c r="BY458" t="str">
        <f t="shared" si="153"/>
        <v>01</v>
      </c>
      <c r="BZ458" t="str">
        <f t="shared" si="154"/>
        <v>2021</v>
      </c>
      <c r="CA458" s="5">
        <f t="shared" si="161"/>
        <v>44216</v>
      </c>
      <c r="CB458">
        <v>20</v>
      </c>
      <c r="CC458">
        <v>2</v>
      </c>
      <c r="CD458" t="s">
        <v>149</v>
      </c>
      <c r="CE458">
        <f t="shared" si="155"/>
        <v>0.17449238578680207</v>
      </c>
      <c r="CF458">
        <f t="shared" si="156"/>
        <v>1.9974157424356624</v>
      </c>
      <c r="CG458">
        <f t="shared" si="150"/>
        <v>2.0009708214227926</v>
      </c>
      <c r="CH458">
        <f t="shared" si="151"/>
        <v>4.0749538136711534</v>
      </c>
      <c r="CI458">
        <f t="shared" si="163"/>
        <v>0.15835312747426777</v>
      </c>
      <c r="CJ458" s="1"/>
      <c r="CK458" s="6" t="s">
        <v>105</v>
      </c>
      <c r="CL458" s="6"/>
      <c r="CM458" s="6"/>
      <c r="CN458" s="6"/>
      <c r="CO458" s="6"/>
      <c r="CP458" s="6"/>
    </row>
    <row r="459" spans="1:99" ht="17" x14ac:dyDescent="0.2">
      <c r="A459" t="s">
        <v>217</v>
      </c>
      <c r="B459" t="s">
        <v>112</v>
      </c>
      <c r="C459" t="str">
        <f t="shared" si="157"/>
        <v>I</v>
      </c>
      <c r="D459" t="str">
        <f t="shared" si="158"/>
        <v>B</v>
      </c>
      <c r="E459" t="str">
        <f t="shared" si="159"/>
        <v>N</v>
      </c>
      <c r="F459">
        <v>115</v>
      </c>
      <c r="G459">
        <v>109</v>
      </c>
      <c r="H459">
        <v>21.064</v>
      </c>
      <c r="I459">
        <v>0.34</v>
      </c>
      <c r="J459">
        <v>3.3000000000000002E-2</v>
      </c>
      <c r="K459" t="s">
        <v>38</v>
      </c>
      <c r="L459" t="str">
        <f t="shared" si="160"/>
        <v>M</v>
      </c>
      <c r="M459">
        <v>22</v>
      </c>
      <c r="N459">
        <v>1.466</v>
      </c>
      <c r="O459">
        <v>1.26</v>
      </c>
      <c r="P459" t="s">
        <v>218</v>
      </c>
      <c r="Q459" t="str">
        <f t="shared" si="162"/>
        <v>F</v>
      </c>
      <c r="BV459" s="1"/>
      <c r="BW459" t="s">
        <v>212</v>
      </c>
      <c r="BX459" t="str">
        <f t="shared" si="152"/>
        <v>20</v>
      </c>
      <c r="BY459" t="str">
        <f t="shared" si="153"/>
        <v>01</v>
      </c>
      <c r="BZ459" t="str">
        <f t="shared" si="154"/>
        <v>2021</v>
      </c>
      <c r="CA459" s="5">
        <f t="shared" si="161"/>
        <v>44216</v>
      </c>
      <c r="CB459">
        <v>20</v>
      </c>
      <c r="CC459">
        <v>2</v>
      </c>
      <c r="CD459" t="s">
        <v>149</v>
      </c>
      <c r="CE459">
        <f t="shared" si="155"/>
        <v>0.15691122628500787</v>
      </c>
      <c r="CF459">
        <f t="shared" si="156"/>
        <v>1.6406099208646983</v>
      </c>
      <c r="CG459">
        <f t="shared" si="150"/>
        <v>1.6432265236092991</v>
      </c>
      <c r="CH459">
        <f t="shared" si="151"/>
        <v>5.9817698442840861</v>
      </c>
      <c r="CI459">
        <f t="shared" si="163"/>
        <v>0.97797189517660443</v>
      </c>
      <c r="CJ459" s="1"/>
      <c r="CK459" s="6" t="s">
        <v>105</v>
      </c>
      <c r="CL459" s="6"/>
      <c r="CM459" s="6"/>
      <c r="CN459" s="6"/>
      <c r="CO459" s="6"/>
      <c r="CP459" s="6"/>
    </row>
    <row r="460" spans="1:99" ht="17" x14ac:dyDescent="0.2">
      <c r="A460" t="s">
        <v>219</v>
      </c>
      <c r="B460" t="s">
        <v>112</v>
      </c>
      <c r="C460" t="str">
        <f t="shared" si="157"/>
        <v>I</v>
      </c>
      <c r="D460" t="str">
        <f t="shared" si="158"/>
        <v>B</v>
      </c>
      <c r="E460" t="str">
        <f t="shared" si="159"/>
        <v>N</v>
      </c>
      <c r="F460">
        <v>111</v>
      </c>
      <c r="G460">
        <v>105</v>
      </c>
      <c r="H460">
        <v>14.792999999999999</v>
      </c>
      <c r="I460">
        <v>0.125</v>
      </c>
      <c r="J460">
        <v>0.127</v>
      </c>
      <c r="K460" t="s">
        <v>24</v>
      </c>
      <c r="L460" t="str">
        <f t="shared" si="160"/>
        <v>F</v>
      </c>
      <c r="M460">
        <v>22</v>
      </c>
      <c r="N460">
        <v>1.296</v>
      </c>
      <c r="O460">
        <v>0.85799999999999998</v>
      </c>
      <c r="P460" t="s">
        <v>220</v>
      </c>
      <c r="Q460" t="str">
        <f t="shared" si="162"/>
        <v>F</v>
      </c>
      <c r="BV460" s="1"/>
      <c r="BW460" t="s">
        <v>212</v>
      </c>
      <c r="BX460" t="str">
        <f t="shared" si="152"/>
        <v>20</v>
      </c>
      <c r="BY460" t="str">
        <f t="shared" si="153"/>
        <v>01</v>
      </c>
      <c r="BZ460" t="str">
        <f t="shared" si="154"/>
        <v>2021</v>
      </c>
      <c r="CA460" s="5">
        <f t="shared" si="161"/>
        <v>44216</v>
      </c>
      <c r="CB460">
        <v>20</v>
      </c>
      <c r="CC460">
        <v>2</v>
      </c>
      <c r="CD460" t="s">
        <v>149</v>
      </c>
      <c r="CE460">
        <f t="shared" si="155"/>
        <v>0.86594845220237304</v>
      </c>
      <c r="CF460">
        <f t="shared" si="156"/>
        <v>0.85219525497682025</v>
      </c>
      <c r="CG460">
        <f t="shared" si="150"/>
        <v>0.85963826421841705</v>
      </c>
      <c r="CH460">
        <f t="shared" si="151"/>
        <v>5.8000405597241942</v>
      </c>
      <c r="CI460">
        <f t="shared" si="163"/>
        <v>2.9608598661529104</v>
      </c>
      <c r="CJ460" s="1"/>
      <c r="CK460" s="6" t="s">
        <v>105</v>
      </c>
      <c r="CL460" s="6"/>
      <c r="CM460" s="6"/>
      <c r="CN460" s="6"/>
      <c r="CO460" s="6"/>
      <c r="CP460" s="6"/>
    </row>
    <row r="461" spans="1:99" ht="17" x14ac:dyDescent="0.2">
      <c r="A461" t="s">
        <v>221</v>
      </c>
      <c r="B461" t="s">
        <v>112</v>
      </c>
      <c r="C461" t="str">
        <f t="shared" si="157"/>
        <v>I</v>
      </c>
      <c r="D461" t="str">
        <f t="shared" si="158"/>
        <v>B</v>
      </c>
      <c r="E461" t="str">
        <f t="shared" si="159"/>
        <v>G</v>
      </c>
      <c r="F461">
        <v>110</v>
      </c>
      <c r="G461">
        <v>104</v>
      </c>
      <c r="H461">
        <v>15.085000000000001</v>
      </c>
      <c r="I461">
        <v>0.157</v>
      </c>
      <c r="J461">
        <v>0.15</v>
      </c>
      <c r="K461" t="s">
        <v>24</v>
      </c>
      <c r="L461" t="str">
        <f t="shared" si="160"/>
        <v>F</v>
      </c>
      <c r="M461">
        <v>22</v>
      </c>
      <c r="N461">
        <v>0.81599999999999995</v>
      </c>
      <c r="O461">
        <v>0.78400000000000003</v>
      </c>
      <c r="P461" t="s">
        <v>36</v>
      </c>
      <c r="Q461" t="str">
        <f t="shared" si="162"/>
        <v>MT</v>
      </c>
      <c r="BV461" s="1"/>
      <c r="BW461" t="s">
        <v>212</v>
      </c>
      <c r="BX461" t="str">
        <f t="shared" si="152"/>
        <v>20</v>
      </c>
      <c r="BY461" t="str">
        <f t="shared" si="153"/>
        <v>01</v>
      </c>
      <c r="BZ461" t="str">
        <f t="shared" si="154"/>
        <v>2021</v>
      </c>
      <c r="CA461" s="5">
        <f t="shared" si="161"/>
        <v>44216</v>
      </c>
      <c r="CB461">
        <v>20</v>
      </c>
      <c r="CC461">
        <v>2</v>
      </c>
      <c r="CD461" t="s">
        <v>149</v>
      </c>
      <c r="CE461">
        <f t="shared" si="155"/>
        <v>1.0043521928356209</v>
      </c>
      <c r="CF461">
        <f t="shared" si="156"/>
        <v>1.0517148981779207</v>
      </c>
      <c r="CG461">
        <f t="shared" si="150"/>
        <v>1.0623900392475301</v>
      </c>
      <c r="CH461">
        <f t="shared" si="151"/>
        <v>5.1972157772621808</v>
      </c>
      <c r="CI461">
        <f t="shared" si="163"/>
        <v>0.21213125621478232</v>
      </c>
      <c r="CJ461" s="1"/>
      <c r="CK461" s="6" t="s">
        <v>105</v>
      </c>
      <c r="CL461" s="6"/>
      <c r="CM461" s="6">
        <v>0</v>
      </c>
      <c r="CN461" s="6">
        <v>56</v>
      </c>
      <c r="CO461" s="6">
        <v>19</v>
      </c>
      <c r="CP461" s="6">
        <v>0</v>
      </c>
      <c r="CQ461" s="12">
        <f>1.2687-1.2632</f>
        <v>5.4999999999998384E-3</v>
      </c>
      <c r="CR461">
        <f>CQ461/(H461-I461-J461-N461)*1000</f>
        <v>0.39392637157999127</v>
      </c>
      <c r="CS461">
        <v>9.4094952557079541</v>
      </c>
      <c r="CT461">
        <v>86.348937133354056</v>
      </c>
      <c r="CU461">
        <v>124.52761698561548</v>
      </c>
    </row>
    <row r="462" spans="1:99" ht="17" x14ac:dyDescent="0.2">
      <c r="A462" t="s">
        <v>222</v>
      </c>
      <c r="B462" t="s">
        <v>112</v>
      </c>
      <c r="C462" t="str">
        <f t="shared" si="157"/>
        <v>I</v>
      </c>
      <c r="D462" t="str">
        <f t="shared" si="158"/>
        <v>I</v>
      </c>
      <c r="E462" t="str">
        <f t="shared" si="159"/>
        <v>G</v>
      </c>
      <c r="F462">
        <v>107</v>
      </c>
      <c r="G462">
        <v>100</v>
      </c>
      <c r="H462">
        <v>16.206</v>
      </c>
      <c r="I462">
        <v>0.13400000000000001</v>
      </c>
      <c r="J462">
        <v>0.153</v>
      </c>
      <c r="K462" t="s">
        <v>24</v>
      </c>
      <c r="L462" t="str">
        <f t="shared" si="160"/>
        <v>F</v>
      </c>
      <c r="M462">
        <v>22</v>
      </c>
      <c r="N462">
        <v>0.65600000000000003</v>
      </c>
      <c r="O462">
        <v>0.58499999999999996</v>
      </c>
      <c r="P462" t="s">
        <v>223</v>
      </c>
      <c r="Q462" t="str">
        <f t="shared" si="162"/>
        <v>F</v>
      </c>
      <c r="BV462" s="1"/>
      <c r="BW462" t="s">
        <v>212</v>
      </c>
      <c r="BX462" t="str">
        <f t="shared" si="152"/>
        <v>20</v>
      </c>
      <c r="BY462" t="str">
        <f t="shared" si="153"/>
        <v>01</v>
      </c>
      <c r="BZ462" t="str">
        <f t="shared" si="154"/>
        <v>2021</v>
      </c>
      <c r="CA462" s="5">
        <f t="shared" si="161"/>
        <v>44216</v>
      </c>
      <c r="CB462">
        <v>20</v>
      </c>
      <c r="CC462">
        <v>2</v>
      </c>
      <c r="CD462" t="s">
        <v>149</v>
      </c>
      <c r="CE462">
        <f t="shared" si="155"/>
        <v>0.95309287983554469</v>
      </c>
      <c r="CF462">
        <f t="shared" si="156"/>
        <v>0.83374813339970144</v>
      </c>
      <c r="CG462">
        <f t="shared" si="150"/>
        <v>0.84176141717444575</v>
      </c>
      <c r="CH462">
        <f t="shared" si="151"/>
        <v>3.6097741577193627</v>
      </c>
      <c r="CI462">
        <f t="shared" si="163"/>
        <v>0.43810934221893166</v>
      </c>
      <c r="CJ462" s="1"/>
      <c r="CK462" s="6" t="s">
        <v>105</v>
      </c>
      <c r="CL462" s="6"/>
      <c r="CM462" s="6">
        <v>0</v>
      </c>
      <c r="CN462" s="6">
        <v>132</v>
      </c>
      <c r="CO462" s="6">
        <v>101</v>
      </c>
      <c r="CP462" s="6">
        <v>0</v>
      </c>
      <c r="CQ462" s="12">
        <f>1.2788-1.2761</f>
        <v>2.6999999999999247E-3</v>
      </c>
      <c r="CR462">
        <f>CQ462/(H462-I462-J462-N462)*1000</f>
        <v>0.17689838170739206</v>
      </c>
      <c r="CS462">
        <v>8.4641645017269767</v>
      </c>
      <c r="CU462">
        <v>119.56614162990191</v>
      </c>
    </row>
    <row r="463" spans="1:99" ht="17" x14ac:dyDescent="0.2">
      <c r="A463" t="s">
        <v>224</v>
      </c>
      <c r="B463" t="s">
        <v>112</v>
      </c>
      <c r="C463" t="str">
        <f t="shared" si="157"/>
        <v>I</v>
      </c>
      <c r="D463" t="str">
        <f t="shared" si="158"/>
        <v>I</v>
      </c>
      <c r="E463" t="str">
        <f t="shared" si="159"/>
        <v>G</v>
      </c>
      <c r="F463">
        <v>99</v>
      </c>
      <c r="G463">
        <v>93</v>
      </c>
      <c r="H463">
        <v>12.506</v>
      </c>
      <c r="I463">
        <v>0.13900000000000001</v>
      </c>
      <c r="J463">
        <v>1.7000000000000001E-2</v>
      </c>
      <c r="K463" t="s">
        <v>38</v>
      </c>
      <c r="L463" t="str">
        <f t="shared" si="160"/>
        <v>M</v>
      </c>
      <c r="M463">
        <v>22</v>
      </c>
      <c r="N463">
        <v>0.77600000000000002</v>
      </c>
      <c r="O463">
        <v>0.71899999999999997</v>
      </c>
      <c r="P463" t="s">
        <v>225</v>
      </c>
      <c r="Q463" t="str">
        <f t="shared" si="162"/>
        <v>F</v>
      </c>
      <c r="BV463" s="1"/>
      <c r="BW463" t="s">
        <v>212</v>
      </c>
      <c r="BX463" t="str">
        <f t="shared" si="152"/>
        <v>20</v>
      </c>
      <c r="BY463" t="str">
        <f t="shared" si="153"/>
        <v>01</v>
      </c>
      <c r="BZ463" t="str">
        <f t="shared" si="154"/>
        <v>2021</v>
      </c>
      <c r="CA463" s="5">
        <f t="shared" si="161"/>
        <v>44216</v>
      </c>
      <c r="CB463">
        <v>20</v>
      </c>
      <c r="CC463">
        <v>2</v>
      </c>
      <c r="CD463" t="s">
        <v>149</v>
      </c>
      <c r="CE463">
        <f t="shared" si="155"/>
        <v>0.13611978541116182</v>
      </c>
      <c r="CF463">
        <f t="shared" si="156"/>
        <v>1.1239589229400824</v>
      </c>
      <c r="CG463">
        <f t="shared" si="150"/>
        <v>1.1255060728744939</v>
      </c>
      <c r="CH463">
        <f t="shared" si="151"/>
        <v>5.7492403646249794</v>
      </c>
      <c r="CI463">
        <f t="shared" si="163"/>
        <v>0.45578122501199458</v>
      </c>
      <c r="CJ463" s="1"/>
      <c r="CK463" s="6" t="s">
        <v>105</v>
      </c>
      <c r="CL463" s="6"/>
      <c r="CM463" s="6"/>
      <c r="CN463" s="6"/>
      <c r="CO463" s="6"/>
      <c r="CP463" s="6"/>
    </row>
    <row r="464" spans="1:99" ht="17" x14ac:dyDescent="0.2">
      <c r="A464" t="s">
        <v>226</v>
      </c>
      <c r="B464" t="s">
        <v>112</v>
      </c>
      <c r="C464" t="str">
        <f t="shared" si="157"/>
        <v>I</v>
      </c>
      <c r="D464" t="str">
        <f t="shared" si="158"/>
        <v>IMM</v>
      </c>
      <c r="E464" t="str">
        <f t="shared" si="159"/>
        <v>G</v>
      </c>
      <c r="F464">
        <v>64</v>
      </c>
      <c r="G464">
        <v>60</v>
      </c>
      <c r="H464">
        <v>3.8050000000000002</v>
      </c>
      <c r="I464">
        <v>6.2E-2</v>
      </c>
      <c r="J464">
        <v>3.0000000000000001E-3</v>
      </c>
      <c r="K464" t="s">
        <v>38</v>
      </c>
      <c r="L464" t="str">
        <f t="shared" si="160"/>
        <v>M</v>
      </c>
      <c r="M464">
        <v>22</v>
      </c>
      <c r="N464">
        <v>0.16900000000000001</v>
      </c>
      <c r="O464">
        <v>0.13900000000000001</v>
      </c>
      <c r="P464" t="s">
        <v>29</v>
      </c>
      <c r="Q464" t="str">
        <f t="shared" si="162"/>
        <v>F</v>
      </c>
      <c r="BV464" s="1"/>
      <c r="BW464" t="s">
        <v>227</v>
      </c>
      <c r="BX464" t="str">
        <f t="shared" si="152"/>
        <v>21</v>
      </c>
      <c r="BY464" t="str">
        <f t="shared" si="153"/>
        <v>01</v>
      </c>
      <c r="BZ464" t="str">
        <f t="shared" si="154"/>
        <v>2021</v>
      </c>
      <c r="CA464" s="5">
        <f t="shared" si="161"/>
        <v>44217</v>
      </c>
      <c r="CB464">
        <v>21</v>
      </c>
      <c r="CC464">
        <v>2</v>
      </c>
      <c r="CD464" t="s">
        <v>228</v>
      </c>
      <c r="CE464">
        <f t="shared" si="155"/>
        <v>7.8905839032088365E-2</v>
      </c>
      <c r="CF464">
        <f t="shared" si="156"/>
        <v>1.6564253272775848</v>
      </c>
      <c r="CG464">
        <f t="shared" si="150"/>
        <v>1.6577540106951869</v>
      </c>
      <c r="CH464">
        <f t="shared" si="151"/>
        <v>3.6530880420499345</v>
      </c>
      <c r="CI464">
        <f t="shared" si="163"/>
        <v>0.78843626806833111</v>
      </c>
      <c r="CJ464" s="1"/>
      <c r="CK464" s="6" t="s">
        <v>142</v>
      </c>
      <c r="CL464" s="6"/>
      <c r="CM464" s="6"/>
      <c r="CN464" s="6"/>
      <c r="CO464" s="6"/>
      <c r="CP464" s="6"/>
    </row>
    <row r="465" spans="1:99" ht="17" x14ac:dyDescent="0.2">
      <c r="A465" t="s">
        <v>229</v>
      </c>
      <c r="B465" t="s">
        <v>112</v>
      </c>
      <c r="C465" t="str">
        <f t="shared" si="157"/>
        <v>S</v>
      </c>
      <c r="D465" t="str">
        <f t="shared" si="158"/>
        <v>IMM</v>
      </c>
      <c r="E465" t="str">
        <f t="shared" si="159"/>
        <v>G</v>
      </c>
      <c r="F465">
        <v>60</v>
      </c>
      <c r="G465">
        <v>56</v>
      </c>
      <c r="H465">
        <v>3.0750000000000002</v>
      </c>
      <c r="I465">
        <v>5.5E-2</v>
      </c>
      <c r="J465">
        <v>0.04</v>
      </c>
      <c r="K465" t="s">
        <v>24</v>
      </c>
      <c r="L465" t="str">
        <f t="shared" si="160"/>
        <v>F</v>
      </c>
      <c r="M465">
        <v>22</v>
      </c>
      <c r="N465">
        <v>0.14199999999999999</v>
      </c>
      <c r="O465">
        <v>0.115</v>
      </c>
      <c r="P465" t="s">
        <v>230</v>
      </c>
      <c r="Q465" t="str">
        <f t="shared" si="162"/>
        <v>F</v>
      </c>
      <c r="BV465" s="1"/>
      <c r="BW465" t="s">
        <v>227</v>
      </c>
      <c r="BX465" t="str">
        <f t="shared" si="152"/>
        <v>21</v>
      </c>
      <c r="BY465" t="str">
        <f t="shared" si="153"/>
        <v>01</v>
      </c>
      <c r="BZ465" t="str">
        <f t="shared" si="154"/>
        <v>2021</v>
      </c>
      <c r="CA465" s="5">
        <f t="shared" si="161"/>
        <v>44217</v>
      </c>
      <c r="CB465">
        <v>21</v>
      </c>
      <c r="CC465">
        <v>2</v>
      </c>
      <c r="CD465" t="s">
        <v>141</v>
      </c>
      <c r="CE465">
        <f t="shared" si="155"/>
        <v>1.3179571663920924</v>
      </c>
      <c r="CF465">
        <f t="shared" si="156"/>
        <v>1.8211920529801324</v>
      </c>
      <c r="CG465">
        <f t="shared" si="150"/>
        <v>1.8456375838926176</v>
      </c>
      <c r="CH465">
        <f t="shared" si="151"/>
        <v>3.7398373983739837</v>
      </c>
      <c r="CI465">
        <f t="shared" si="163"/>
        <v>0.87804878048780433</v>
      </c>
      <c r="CJ465" s="1"/>
      <c r="CK465" s="6" t="s">
        <v>142</v>
      </c>
      <c r="CL465" s="6"/>
      <c r="CM465" s="6">
        <v>0</v>
      </c>
      <c r="CN465" s="6">
        <v>21</v>
      </c>
      <c r="CO465" s="6">
        <v>4</v>
      </c>
      <c r="CP465" s="6">
        <v>0</v>
      </c>
      <c r="CQ465" s="12">
        <v>8.9999999999999993E-3</v>
      </c>
      <c r="CR465">
        <f>CQ465/(H465-I465-J465-N465)*1000</f>
        <v>3.1712473572938684</v>
      </c>
      <c r="CS465">
        <v>9.4859601449277875</v>
      </c>
    </row>
    <row r="466" spans="1:99" ht="17" x14ac:dyDescent="0.2">
      <c r="A466" t="s">
        <v>231</v>
      </c>
      <c r="B466" t="s">
        <v>112</v>
      </c>
      <c r="C466" t="str">
        <f t="shared" si="157"/>
        <v>I</v>
      </c>
      <c r="D466" t="str">
        <f t="shared" si="158"/>
        <v>IMM</v>
      </c>
      <c r="E466" t="str">
        <f t="shared" si="159"/>
        <v>G</v>
      </c>
      <c r="F466">
        <v>63</v>
      </c>
      <c r="G466">
        <v>59</v>
      </c>
      <c r="H466">
        <v>3.7229999999999999</v>
      </c>
      <c r="I466">
        <v>9.5000000000000001E-2</v>
      </c>
      <c r="J466">
        <v>7.0000000000000001E-3</v>
      </c>
      <c r="K466" t="s">
        <v>38</v>
      </c>
      <c r="L466" t="str">
        <f t="shared" si="160"/>
        <v>M</v>
      </c>
      <c r="M466">
        <v>22</v>
      </c>
      <c r="N466">
        <v>0.17199999999999999</v>
      </c>
      <c r="O466">
        <v>0.16200000000000001</v>
      </c>
      <c r="P466" t="s">
        <v>203</v>
      </c>
      <c r="Q466" t="str">
        <f t="shared" si="162"/>
        <v>F</v>
      </c>
      <c r="BV466" s="1"/>
      <c r="BW466" t="s">
        <v>227</v>
      </c>
      <c r="BX466" t="str">
        <f t="shared" si="152"/>
        <v>21</v>
      </c>
      <c r="BY466" t="str">
        <f t="shared" si="153"/>
        <v>01</v>
      </c>
      <c r="BZ466" t="str">
        <f t="shared" si="154"/>
        <v>2021</v>
      </c>
      <c r="CA466" s="5">
        <f t="shared" si="161"/>
        <v>44217</v>
      </c>
      <c r="CB466">
        <v>21</v>
      </c>
      <c r="CC466">
        <v>2</v>
      </c>
      <c r="CD466" t="s">
        <v>141</v>
      </c>
      <c r="CE466">
        <f t="shared" si="155"/>
        <v>0.18837459634015072</v>
      </c>
      <c r="CF466">
        <f t="shared" si="156"/>
        <v>2.6185226019845649</v>
      </c>
      <c r="CG466">
        <f t="shared" si="150"/>
        <v>2.6235846451256561</v>
      </c>
      <c r="CH466">
        <f t="shared" si="151"/>
        <v>4.3513295729250601</v>
      </c>
      <c r="CI466">
        <f t="shared" si="163"/>
        <v>0.26860059092129951</v>
      </c>
      <c r="CJ466" s="1"/>
      <c r="CK466" s="6" t="s">
        <v>142</v>
      </c>
      <c r="CL466" s="6"/>
      <c r="CM466" s="6"/>
      <c r="CN466" s="6"/>
      <c r="CO466" s="6"/>
      <c r="CP466" s="6"/>
    </row>
    <row r="467" spans="1:99" ht="17" x14ac:dyDescent="0.2">
      <c r="A467" t="s">
        <v>232</v>
      </c>
      <c r="B467" t="s">
        <v>112</v>
      </c>
      <c r="C467" t="str">
        <f t="shared" si="157"/>
        <v>I</v>
      </c>
      <c r="D467" t="str">
        <f t="shared" si="158"/>
        <v>IMM</v>
      </c>
      <c r="E467" t="str">
        <f t="shared" si="159"/>
        <v>G</v>
      </c>
      <c r="F467">
        <v>61</v>
      </c>
      <c r="G467">
        <v>57</v>
      </c>
      <c r="H467">
        <v>3.355</v>
      </c>
      <c r="I467">
        <v>8.8999999999999996E-2</v>
      </c>
      <c r="J467">
        <v>0.06</v>
      </c>
      <c r="K467" t="s">
        <v>24</v>
      </c>
      <c r="L467" t="str">
        <f t="shared" si="160"/>
        <v>F</v>
      </c>
      <c r="M467">
        <v>22</v>
      </c>
      <c r="N467">
        <v>0.15</v>
      </c>
      <c r="O467">
        <v>0.11899999999999999</v>
      </c>
      <c r="P467" t="s">
        <v>233</v>
      </c>
      <c r="Q467" t="str">
        <f t="shared" si="162"/>
        <v>F</v>
      </c>
      <c r="BV467" s="1"/>
      <c r="BW467" t="s">
        <v>227</v>
      </c>
      <c r="BX467" t="str">
        <f t="shared" si="152"/>
        <v>21</v>
      </c>
      <c r="BY467" t="str">
        <f t="shared" si="153"/>
        <v>01</v>
      </c>
      <c r="BZ467" t="str">
        <f t="shared" si="154"/>
        <v>2021</v>
      </c>
      <c r="CA467" s="5">
        <f t="shared" si="161"/>
        <v>44217</v>
      </c>
      <c r="CB467">
        <v>21</v>
      </c>
      <c r="CC467">
        <v>2</v>
      </c>
      <c r="CD467" t="s">
        <v>141</v>
      </c>
      <c r="CE467">
        <f t="shared" si="155"/>
        <v>1.8209408194233687</v>
      </c>
      <c r="CF467">
        <f t="shared" si="156"/>
        <v>2.7250459277403549</v>
      </c>
      <c r="CG467">
        <f t="shared" si="150"/>
        <v>2.776044915782907</v>
      </c>
      <c r="CH467">
        <f t="shared" si="151"/>
        <v>3.5469448584202681</v>
      </c>
      <c r="CI467">
        <f t="shared" si="163"/>
        <v>0.92399403874813701</v>
      </c>
      <c r="CJ467" s="1"/>
      <c r="CK467" s="6" t="s">
        <v>142</v>
      </c>
      <c r="CL467" s="6"/>
      <c r="CM467" s="6">
        <v>0</v>
      </c>
      <c r="CN467" s="6">
        <v>16</v>
      </c>
      <c r="CO467" s="6">
        <v>4</v>
      </c>
      <c r="CP467" s="6">
        <v>0</v>
      </c>
      <c r="CQ467" s="12">
        <v>1.0800000000000001E-2</v>
      </c>
      <c r="CR467">
        <f>CQ467/(H467-I467-J467-N467)*1000</f>
        <v>3.5340314136125657</v>
      </c>
      <c r="CS467">
        <v>9.838869197935697</v>
      </c>
      <c r="CT467">
        <v>68.383727130652645</v>
      </c>
      <c r="CU467">
        <v>133.22657607640602</v>
      </c>
    </row>
    <row r="468" spans="1:99" ht="17" x14ac:dyDescent="0.2">
      <c r="A468" t="s">
        <v>234</v>
      </c>
      <c r="B468" t="s">
        <v>112</v>
      </c>
      <c r="C468" t="str">
        <f t="shared" si="157"/>
        <v>I</v>
      </c>
      <c r="D468" t="str">
        <f t="shared" si="158"/>
        <v>IMM</v>
      </c>
      <c r="E468" t="str">
        <f t="shared" si="159"/>
        <v>G</v>
      </c>
      <c r="F468">
        <v>63</v>
      </c>
      <c r="G468">
        <v>59</v>
      </c>
      <c r="H468">
        <v>3.3690000000000002</v>
      </c>
      <c r="I468">
        <v>7.3999999999999996E-2</v>
      </c>
      <c r="J468">
        <v>2E-3</v>
      </c>
      <c r="K468" t="s">
        <v>38</v>
      </c>
      <c r="L468" t="str">
        <f t="shared" si="160"/>
        <v>M</v>
      </c>
      <c r="M468">
        <v>22</v>
      </c>
      <c r="N468">
        <v>0.18</v>
      </c>
      <c r="O468">
        <v>0.157</v>
      </c>
      <c r="P468" t="s">
        <v>36</v>
      </c>
      <c r="Q468" t="str">
        <f t="shared" si="162"/>
        <v>MT</v>
      </c>
      <c r="BV468" s="1"/>
      <c r="BW468" t="s">
        <v>227</v>
      </c>
      <c r="BX468" t="str">
        <f t="shared" si="152"/>
        <v>21</v>
      </c>
      <c r="BY468" t="str">
        <f t="shared" si="153"/>
        <v>01</v>
      </c>
      <c r="BZ468" t="str">
        <f t="shared" si="154"/>
        <v>2021</v>
      </c>
      <c r="CA468" s="5">
        <f t="shared" si="161"/>
        <v>44217</v>
      </c>
      <c r="CB468">
        <v>21</v>
      </c>
      <c r="CC468">
        <v>2</v>
      </c>
      <c r="CD468" t="s">
        <v>228</v>
      </c>
      <c r="CE468">
        <f t="shared" si="155"/>
        <v>5.9400059400059393E-2</v>
      </c>
      <c r="CF468">
        <f t="shared" si="156"/>
        <v>2.2458270106221545</v>
      </c>
      <c r="CG468">
        <f t="shared" si="150"/>
        <v>2.2471910112359548</v>
      </c>
      <c r="CH468">
        <f t="shared" si="151"/>
        <v>4.6601365390323535</v>
      </c>
      <c r="CI468">
        <f t="shared" si="163"/>
        <v>0.68269516176907075</v>
      </c>
      <c r="CJ468" s="1"/>
      <c r="CK468" s="6" t="s">
        <v>142</v>
      </c>
      <c r="CL468" s="6"/>
      <c r="CM468" s="6"/>
      <c r="CN468" s="6"/>
      <c r="CO468" s="6"/>
      <c r="CP468" s="6"/>
    </row>
    <row r="469" spans="1:99" ht="17" x14ac:dyDescent="0.2">
      <c r="A469" t="s">
        <v>235</v>
      </c>
      <c r="B469" t="s">
        <v>112</v>
      </c>
      <c r="C469" t="str">
        <f t="shared" si="157"/>
        <v>S</v>
      </c>
      <c r="D469" t="str">
        <f t="shared" si="158"/>
        <v>IMM</v>
      </c>
      <c r="E469" t="str">
        <f t="shared" si="159"/>
        <v>N</v>
      </c>
      <c r="F469">
        <v>58</v>
      </c>
      <c r="G469">
        <v>54</v>
      </c>
      <c r="H469">
        <v>3.1080000000000001</v>
      </c>
      <c r="I469">
        <v>0.06</v>
      </c>
      <c r="J469">
        <v>4.0000000000000001E-3</v>
      </c>
      <c r="K469" t="s">
        <v>38</v>
      </c>
      <c r="L469" t="str">
        <f t="shared" si="160"/>
        <v>M</v>
      </c>
      <c r="M469">
        <v>22</v>
      </c>
      <c r="N469">
        <v>0.13500000000000001</v>
      </c>
      <c r="O469">
        <v>0.11</v>
      </c>
      <c r="P469" t="s">
        <v>186</v>
      </c>
      <c r="Q469" t="str">
        <f t="shared" si="162"/>
        <v>F</v>
      </c>
      <c r="BV469" s="1"/>
      <c r="BW469" t="s">
        <v>227</v>
      </c>
      <c r="BX469" t="str">
        <f t="shared" si="152"/>
        <v>21</v>
      </c>
      <c r="BY469" t="str">
        <f t="shared" si="153"/>
        <v>01</v>
      </c>
      <c r="BZ469" t="str">
        <f t="shared" si="154"/>
        <v>2021</v>
      </c>
      <c r="CA469" s="5">
        <f t="shared" si="161"/>
        <v>44217</v>
      </c>
      <c r="CB469">
        <v>21</v>
      </c>
      <c r="CC469">
        <v>2</v>
      </c>
      <c r="CD469" t="s">
        <v>141</v>
      </c>
      <c r="CE469">
        <f t="shared" si="155"/>
        <v>0.12886597938144329</v>
      </c>
      <c r="CF469">
        <f t="shared" si="156"/>
        <v>1.9685039370078741</v>
      </c>
      <c r="CG469">
        <f t="shared" si="150"/>
        <v>1.971090670170828</v>
      </c>
      <c r="CH469">
        <f t="shared" si="151"/>
        <v>3.5392535392535387</v>
      </c>
      <c r="CI469">
        <f t="shared" si="163"/>
        <v>0.80437580437580458</v>
      </c>
      <c r="CJ469" s="1"/>
      <c r="CK469" s="6" t="s">
        <v>142</v>
      </c>
      <c r="CL469" s="6"/>
      <c r="CM469" s="6"/>
      <c r="CN469" s="6"/>
      <c r="CO469" s="6"/>
      <c r="CP469" s="6"/>
    </row>
    <row r="470" spans="1:99" ht="17" x14ac:dyDescent="0.2">
      <c r="A470" t="s">
        <v>236</v>
      </c>
      <c r="B470" t="s">
        <v>112</v>
      </c>
      <c r="C470" t="str">
        <f t="shared" si="157"/>
        <v>I</v>
      </c>
      <c r="D470" t="str">
        <f t="shared" si="158"/>
        <v>IMM</v>
      </c>
      <c r="E470" t="str">
        <f t="shared" si="159"/>
        <v>G</v>
      </c>
      <c r="F470">
        <v>61</v>
      </c>
      <c r="G470">
        <v>57</v>
      </c>
      <c r="H470">
        <v>3.18</v>
      </c>
      <c r="I470">
        <v>5.6000000000000001E-2</v>
      </c>
      <c r="J470">
        <v>5.7000000000000002E-2</v>
      </c>
      <c r="K470" t="s">
        <v>24</v>
      </c>
      <c r="L470" t="str">
        <f t="shared" si="160"/>
        <v>F</v>
      </c>
      <c r="M470">
        <v>22</v>
      </c>
      <c r="N470">
        <v>0.115</v>
      </c>
      <c r="O470">
        <v>0.107</v>
      </c>
      <c r="P470" t="s">
        <v>237</v>
      </c>
      <c r="Q470" t="str">
        <f t="shared" si="162"/>
        <v>F</v>
      </c>
      <c r="BV470" s="1"/>
      <c r="BW470" t="s">
        <v>227</v>
      </c>
      <c r="BX470" t="str">
        <f t="shared" si="152"/>
        <v>21</v>
      </c>
      <c r="BY470" t="str">
        <f t="shared" si="153"/>
        <v>01</v>
      </c>
      <c r="BZ470" t="str">
        <f t="shared" si="154"/>
        <v>2021</v>
      </c>
      <c r="CA470" s="5">
        <f t="shared" si="161"/>
        <v>44217</v>
      </c>
      <c r="CB470">
        <v>21</v>
      </c>
      <c r="CC470">
        <v>2</v>
      </c>
      <c r="CD470" t="s">
        <v>141</v>
      </c>
      <c r="CE470">
        <f t="shared" si="155"/>
        <v>1.8251681075888568</v>
      </c>
      <c r="CF470">
        <f t="shared" si="156"/>
        <v>1.7925736235595391</v>
      </c>
      <c r="CG470">
        <f t="shared" si="150"/>
        <v>1.8258884903814803</v>
      </c>
      <c r="CH470">
        <f t="shared" si="151"/>
        <v>3.3647798742138364</v>
      </c>
      <c r="CI470">
        <f t="shared" si="163"/>
        <v>0.25157232704402538</v>
      </c>
      <c r="CJ470" s="1"/>
      <c r="CK470" s="6" t="s">
        <v>142</v>
      </c>
      <c r="CL470" s="6"/>
      <c r="CM470" s="6">
        <v>0</v>
      </c>
      <c r="CN470" s="6">
        <v>32</v>
      </c>
      <c r="CO470" s="6">
        <v>10</v>
      </c>
      <c r="CP470" s="6">
        <v>0</v>
      </c>
      <c r="CQ470" s="12">
        <v>1.4200000000000001E-2</v>
      </c>
      <c r="CR470">
        <f>CQ470/(H470-I470-J470-N470)*1000</f>
        <v>4.8102981029810303</v>
      </c>
      <c r="CS470">
        <v>5.4970267359631038</v>
      </c>
      <c r="CT470">
        <v>83.16132130602945</v>
      </c>
      <c r="CU470">
        <v>131.9825871065799</v>
      </c>
    </row>
    <row r="471" spans="1:99" ht="17" x14ac:dyDescent="0.2">
      <c r="A471" t="s">
        <v>238</v>
      </c>
      <c r="B471" t="s">
        <v>112</v>
      </c>
      <c r="C471" t="str">
        <f t="shared" si="157"/>
        <v>S</v>
      </c>
      <c r="D471" t="str">
        <f t="shared" si="158"/>
        <v>IMM</v>
      </c>
      <c r="E471" t="str">
        <f t="shared" si="159"/>
        <v>G</v>
      </c>
      <c r="F471">
        <v>60</v>
      </c>
      <c r="G471">
        <v>56</v>
      </c>
      <c r="H471">
        <v>2.9729999999999999</v>
      </c>
      <c r="I471">
        <v>5.1999999999999998E-2</v>
      </c>
      <c r="J471">
        <v>7.0000000000000001E-3</v>
      </c>
      <c r="K471" t="s">
        <v>38</v>
      </c>
      <c r="L471" t="str">
        <f t="shared" si="160"/>
        <v>M</v>
      </c>
      <c r="M471">
        <v>22</v>
      </c>
      <c r="N471">
        <v>0.11899999999999999</v>
      </c>
      <c r="O471">
        <v>0.106</v>
      </c>
      <c r="P471" t="s">
        <v>36</v>
      </c>
      <c r="Q471" t="str">
        <f t="shared" si="162"/>
        <v>MT</v>
      </c>
      <c r="BV471" s="1"/>
      <c r="BW471" t="s">
        <v>227</v>
      </c>
      <c r="BX471" t="str">
        <f t="shared" si="152"/>
        <v>21</v>
      </c>
      <c r="BY471" t="str">
        <f t="shared" si="153"/>
        <v>01</v>
      </c>
      <c r="BZ471" t="str">
        <f t="shared" si="154"/>
        <v>2021</v>
      </c>
      <c r="CA471" s="5">
        <f t="shared" si="161"/>
        <v>44217</v>
      </c>
      <c r="CB471">
        <v>21</v>
      </c>
      <c r="CC471">
        <v>2</v>
      </c>
      <c r="CD471" t="s">
        <v>141</v>
      </c>
      <c r="CE471">
        <f t="shared" si="155"/>
        <v>0.2360080917060014</v>
      </c>
      <c r="CF471">
        <f t="shared" si="156"/>
        <v>1.780212256076686</v>
      </c>
      <c r="CG471">
        <f t="shared" si="150"/>
        <v>1.7844886753603295</v>
      </c>
      <c r="CH471">
        <f t="shared" si="151"/>
        <v>3.5654221325260678</v>
      </c>
      <c r="CI471">
        <f t="shared" si="163"/>
        <v>0.43726875210225358</v>
      </c>
      <c r="CJ471" s="1"/>
      <c r="CK471" s="6" t="s">
        <v>142</v>
      </c>
      <c r="CL471" s="6"/>
      <c r="CM471" s="6"/>
      <c r="CN471" s="6"/>
      <c r="CO471" s="6"/>
      <c r="CP471" s="6"/>
    </row>
    <row r="472" spans="1:99" ht="17" x14ac:dyDescent="0.2">
      <c r="A472" t="s">
        <v>239</v>
      </c>
      <c r="B472" t="s">
        <v>112</v>
      </c>
      <c r="C472" t="str">
        <f t="shared" si="157"/>
        <v>S</v>
      </c>
      <c r="D472" t="str">
        <f t="shared" si="158"/>
        <v>IMM</v>
      </c>
      <c r="E472" t="str">
        <f t="shared" si="159"/>
        <v>N</v>
      </c>
      <c r="F472">
        <v>56</v>
      </c>
      <c r="G472">
        <v>53</v>
      </c>
      <c r="H472">
        <v>2.76</v>
      </c>
      <c r="I472">
        <v>6.3E-2</v>
      </c>
      <c r="J472">
        <v>4.1000000000000002E-2</v>
      </c>
      <c r="K472" t="s">
        <v>24</v>
      </c>
      <c r="L472" t="str">
        <f t="shared" si="160"/>
        <v>F</v>
      </c>
      <c r="M472">
        <v>22</v>
      </c>
      <c r="N472">
        <v>0.112</v>
      </c>
      <c r="O472">
        <v>8.8999999999999996E-2</v>
      </c>
      <c r="P472" t="s">
        <v>29</v>
      </c>
      <c r="Q472" t="str">
        <f t="shared" si="162"/>
        <v>F</v>
      </c>
      <c r="BV472" s="1"/>
      <c r="BW472" t="s">
        <v>227</v>
      </c>
      <c r="BX472" t="str">
        <f t="shared" si="152"/>
        <v>21</v>
      </c>
      <c r="BY472" t="str">
        <f t="shared" si="153"/>
        <v>01</v>
      </c>
      <c r="BZ472" t="str">
        <f t="shared" si="154"/>
        <v>2021</v>
      </c>
      <c r="CA472" s="5">
        <f t="shared" si="161"/>
        <v>44217</v>
      </c>
      <c r="CB472">
        <v>21</v>
      </c>
      <c r="CC472">
        <v>2</v>
      </c>
      <c r="CD472" t="s">
        <v>141</v>
      </c>
      <c r="CE472">
        <f t="shared" si="155"/>
        <v>1.5079073188672307</v>
      </c>
      <c r="CF472">
        <f t="shared" si="156"/>
        <v>2.3359288097886544</v>
      </c>
      <c r="CG472">
        <f t="shared" si="150"/>
        <v>2.3719879518072293</v>
      </c>
      <c r="CH472">
        <f t="shared" si="151"/>
        <v>3.22463768115942</v>
      </c>
      <c r="CI472">
        <f t="shared" si="163"/>
        <v>0.8333333333333337</v>
      </c>
      <c r="CJ472" s="1"/>
      <c r="CK472" s="6" t="s">
        <v>142</v>
      </c>
      <c r="CL472" s="6"/>
      <c r="CM472" s="6"/>
      <c r="CN472" s="6"/>
      <c r="CO472" s="6"/>
      <c r="CP472" s="6"/>
      <c r="CQ472"/>
    </row>
    <row r="473" spans="1:99" ht="17" x14ac:dyDescent="0.2">
      <c r="A473" t="s">
        <v>314</v>
      </c>
      <c r="B473" t="s">
        <v>112</v>
      </c>
      <c r="C473" t="str">
        <f t="shared" si="157"/>
        <v>I</v>
      </c>
      <c r="D473" t="str">
        <f t="shared" si="158"/>
        <v>IMM</v>
      </c>
      <c r="E473" t="str">
        <f t="shared" si="159"/>
        <v>G</v>
      </c>
      <c r="F473">
        <v>63</v>
      </c>
      <c r="G473">
        <v>58</v>
      </c>
      <c r="H473">
        <v>3.5350000000000001</v>
      </c>
      <c r="I473">
        <v>7.8E-2</v>
      </c>
      <c r="J473">
        <v>7.0000000000000001E-3</v>
      </c>
      <c r="K473" t="s">
        <v>38</v>
      </c>
      <c r="L473" t="str">
        <f t="shared" si="160"/>
        <v>M</v>
      </c>
      <c r="M473">
        <v>22</v>
      </c>
      <c r="N473">
        <v>0.13700000000000001</v>
      </c>
      <c r="O473">
        <v>0.126</v>
      </c>
      <c r="P473" t="s">
        <v>36</v>
      </c>
      <c r="Q473" t="str">
        <f t="shared" si="162"/>
        <v>MT</v>
      </c>
      <c r="BV473" s="1">
        <v>0</v>
      </c>
      <c r="BW473" s="5">
        <v>44441</v>
      </c>
      <c r="BX473">
        <v>9</v>
      </c>
      <c r="BY473">
        <v>2</v>
      </c>
      <c r="BZ473">
        <v>2021</v>
      </c>
      <c r="CA473" s="5">
        <f t="shared" si="161"/>
        <v>44236</v>
      </c>
      <c r="CB473">
        <v>40</v>
      </c>
      <c r="CC473">
        <v>3</v>
      </c>
      <c r="CD473" t="s">
        <v>290</v>
      </c>
      <c r="CE473">
        <f t="shared" si="155"/>
        <v>0.1984126984126984</v>
      </c>
      <c r="CF473">
        <f t="shared" si="156"/>
        <v>2.2562915822967886</v>
      </c>
      <c r="CG473">
        <f t="shared" si="150"/>
        <v>2.2608695652173911</v>
      </c>
      <c r="CH473">
        <f t="shared" si="151"/>
        <v>3.564356435643564</v>
      </c>
      <c r="CI473">
        <f t="shared" si="163"/>
        <v>0.31117397454031143</v>
      </c>
      <c r="CJ473" s="1">
        <f t="shared" ref="CJ473:CJ504" si="164">(N473-O473+(BV473))/(H473)*100</f>
        <v>0.31117397454031143</v>
      </c>
      <c r="CK473" s="6" t="s">
        <v>142</v>
      </c>
      <c r="CL473" s="6">
        <v>2</v>
      </c>
      <c r="CM473" s="6"/>
      <c r="CN473" s="6"/>
      <c r="CO473" s="6"/>
      <c r="CP473" s="6"/>
    </row>
    <row r="474" spans="1:99" ht="17" x14ac:dyDescent="0.2">
      <c r="A474" t="s">
        <v>315</v>
      </c>
      <c r="B474" t="s">
        <v>112</v>
      </c>
      <c r="C474" t="str">
        <f t="shared" si="157"/>
        <v>I</v>
      </c>
      <c r="D474" t="str">
        <f t="shared" si="158"/>
        <v>IMM</v>
      </c>
      <c r="E474" t="str">
        <f t="shared" si="159"/>
        <v>G</v>
      </c>
      <c r="F474">
        <v>64</v>
      </c>
      <c r="G474">
        <v>60</v>
      </c>
      <c r="H474">
        <v>3.7360000000000002</v>
      </c>
      <c r="I474">
        <v>8.5000000000000006E-2</v>
      </c>
      <c r="J474">
        <v>4.0000000000000001E-3</v>
      </c>
      <c r="K474" t="s">
        <v>316</v>
      </c>
      <c r="L474" t="str">
        <f t="shared" si="160"/>
        <v>M</v>
      </c>
      <c r="M474">
        <v>10</v>
      </c>
      <c r="N474">
        <v>0.17799999999999999</v>
      </c>
      <c r="O474">
        <v>0.15</v>
      </c>
      <c r="P474" t="s">
        <v>36</v>
      </c>
      <c r="Q474" t="str">
        <f t="shared" si="162"/>
        <v>MT</v>
      </c>
      <c r="BV474" s="1">
        <v>0</v>
      </c>
      <c r="BW474" s="5">
        <v>44441</v>
      </c>
      <c r="BX474">
        <v>9</v>
      </c>
      <c r="BY474">
        <v>2</v>
      </c>
      <c r="BZ474">
        <v>2021</v>
      </c>
      <c r="CA474" s="5">
        <f t="shared" si="161"/>
        <v>44236</v>
      </c>
      <c r="CB474">
        <v>40</v>
      </c>
      <c r="CC474">
        <v>3</v>
      </c>
      <c r="CD474" t="s">
        <v>317</v>
      </c>
      <c r="CE474">
        <f t="shared" si="155"/>
        <v>0.10718113612004287</v>
      </c>
      <c r="CF474">
        <f t="shared" si="156"/>
        <v>2.3281292796494113</v>
      </c>
      <c r="CG474">
        <f t="shared" si="150"/>
        <v>2.3306827529476282</v>
      </c>
      <c r="CH474">
        <f t="shared" si="151"/>
        <v>4.014989293361884</v>
      </c>
      <c r="CI474">
        <f t="shared" si="163"/>
        <v>0.7494646680942183</v>
      </c>
      <c r="CJ474" s="1">
        <f t="shared" si="164"/>
        <v>0.7494646680942183</v>
      </c>
      <c r="CK474" s="6" t="s">
        <v>142</v>
      </c>
      <c r="CL474" s="6">
        <v>2</v>
      </c>
      <c r="CM474" s="6"/>
      <c r="CN474" s="6"/>
      <c r="CO474" s="6"/>
      <c r="CP474" s="6"/>
    </row>
    <row r="475" spans="1:99" ht="17" x14ac:dyDescent="0.2">
      <c r="A475" t="s">
        <v>318</v>
      </c>
      <c r="B475" t="s">
        <v>112</v>
      </c>
      <c r="C475" t="str">
        <f t="shared" si="157"/>
        <v>I</v>
      </c>
      <c r="D475" t="str">
        <f t="shared" si="158"/>
        <v>IMM</v>
      </c>
      <c r="E475" t="str">
        <f t="shared" si="159"/>
        <v>G</v>
      </c>
      <c r="F475">
        <v>64</v>
      </c>
      <c r="G475">
        <v>61</v>
      </c>
      <c r="H475">
        <v>4.0730000000000004</v>
      </c>
      <c r="I475">
        <v>7.3999999999999996E-2</v>
      </c>
      <c r="J475">
        <v>4.0000000000000001E-3</v>
      </c>
      <c r="K475" t="s">
        <v>316</v>
      </c>
      <c r="L475" t="str">
        <f t="shared" si="160"/>
        <v>M</v>
      </c>
      <c r="M475">
        <v>10</v>
      </c>
      <c r="N475">
        <v>0.156</v>
      </c>
      <c r="O475">
        <v>0.11899999999999999</v>
      </c>
      <c r="P475" t="s">
        <v>319</v>
      </c>
      <c r="Q475" t="str">
        <f t="shared" si="162"/>
        <v>F</v>
      </c>
      <c r="BD475">
        <v>2</v>
      </c>
      <c r="BE475">
        <v>1.4999999999999999E-2</v>
      </c>
      <c r="BV475" s="1">
        <v>1.4999999999999999E-2</v>
      </c>
      <c r="BW475" s="5">
        <v>44441</v>
      </c>
      <c r="BX475">
        <v>9</v>
      </c>
      <c r="BY475">
        <v>2</v>
      </c>
      <c r="BZ475">
        <v>2021</v>
      </c>
      <c r="CA475" s="5">
        <f t="shared" si="161"/>
        <v>44236</v>
      </c>
      <c r="CB475">
        <v>40</v>
      </c>
      <c r="CC475">
        <v>3</v>
      </c>
      <c r="CD475" t="s">
        <v>317</v>
      </c>
      <c r="CE475">
        <f t="shared" si="155"/>
        <v>9.8304251658884234E-2</v>
      </c>
      <c r="CF475">
        <f t="shared" si="156"/>
        <v>1.8504626156539132</v>
      </c>
      <c r="CG475">
        <f t="shared" si="150"/>
        <v>1.8523153942428032</v>
      </c>
      <c r="CH475">
        <f t="shared" si="151"/>
        <v>2.9216793518291184</v>
      </c>
      <c r="CI475">
        <f t="shared" si="163"/>
        <v>0.90842131107291924</v>
      </c>
      <c r="CJ475" s="1">
        <f t="shared" si="164"/>
        <v>1.2767002209673459</v>
      </c>
      <c r="CK475" s="6" t="s">
        <v>142</v>
      </c>
      <c r="CL475" s="6">
        <v>2</v>
      </c>
      <c r="CM475" s="6"/>
      <c r="CN475" s="6"/>
      <c r="CO475" s="6"/>
      <c r="CP475" s="6"/>
    </row>
    <row r="476" spans="1:99" ht="17" x14ac:dyDescent="0.2">
      <c r="A476" t="s">
        <v>320</v>
      </c>
      <c r="B476" t="s">
        <v>112</v>
      </c>
      <c r="C476" t="str">
        <f t="shared" si="157"/>
        <v>I</v>
      </c>
      <c r="D476" t="str">
        <f t="shared" si="158"/>
        <v>IMM</v>
      </c>
      <c r="E476" t="str">
        <f t="shared" si="159"/>
        <v>G</v>
      </c>
      <c r="F476">
        <v>64</v>
      </c>
      <c r="G476">
        <v>61</v>
      </c>
      <c r="H476">
        <v>4.47</v>
      </c>
      <c r="I476">
        <v>0.09</v>
      </c>
      <c r="J476">
        <v>7.0000000000000001E-3</v>
      </c>
      <c r="K476" t="s">
        <v>38</v>
      </c>
      <c r="L476" t="str">
        <f t="shared" si="160"/>
        <v>M</v>
      </c>
      <c r="M476">
        <v>22</v>
      </c>
      <c r="N476">
        <v>0.157</v>
      </c>
      <c r="O476">
        <v>0.122</v>
      </c>
      <c r="P476" t="s">
        <v>321</v>
      </c>
      <c r="Q476" t="str">
        <f t="shared" si="162"/>
        <v>F</v>
      </c>
      <c r="U476">
        <v>1.2999999999999999E-2</v>
      </c>
      <c r="BV476" s="1">
        <v>1.2999999999999999E-2</v>
      </c>
      <c r="BW476" s="5">
        <v>44441</v>
      </c>
      <c r="BX476">
        <v>9</v>
      </c>
      <c r="BY476">
        <v>2</v>
      </c>
      <c r="BZ476">
        <v>2021</v>
      </c>
      <c r="CA476" s="5">
        <f t="shared" si="161"/>
        <v>44236</v>
      </c>
      <c r="CB476">
        <v>40</v>
      </c>
      <c r="CC476">
        <v>3</v>
      </c>
      <c r="CD476" t="s">
        <v>317</v>
      </c>
      <c r="CE476">
        <f t="shared" si="155"/>
        <v>0.15684517140936591</v>
      </c>
      <c r="CF476">
        <f t="shared" si="156"/>
        <v>2.054794520547945</v>
      </c>
      <c r="CG476">
        <f t="shared" si="150"/>
        <v>2.0580836954036128</v>
      </c>
      <c r="CH476">
        <f t="shared" si="151"/>
        <v>2.7293064876957494</v>
      </c>
      <c r="CI476">
        <f t="shared" si="163"/>
        <v>0.78299776286353484</v>
      </c>
      <c r="CJ476" s="1">
        <f t="shared" si="164"/>
        <v>1.0738255033557049</v>
      </c>
      <c r="CK476" s="6" t="s">
        <v>142</v>
      </c>
      <c r="CL476" s="6">
        <v>2</v>
      </c>
      <c r="CM476" s="6"/>
      <c r="CN476" s="6"/>
      <c r="CO476" s="6"/>
      <c r="CP476" s="6"/>
    </row>
    <row r="477" spans="1:99" ht="17" x14ac:dyDescent="0.2">
      <c r="A477" t="s">
        <v>322</v>
      </c>
      <c r="B477" t="s">
        <v>112</v>
      </c>
      <c r="C477" t="str">
        <f t="shared" si="157"/>
        <v>S</v>
      </c>
      <c r="D477" t="str">
        <f t="shared" si="158"/>
        <v>IMM</v>
      </c>
      <c r="E477" t="str">
        <f t="shared" si="159"/>
        <v>N</v>
      </c>
      <c r="F477">
        <v>55</v>
      </c>
      <c r="G477">
        <v>52</v>
      </c>
      <c r="H477">
        <v>2.4260000000000002</v>
      </c>
      <c r="I477">
        <v>5.2999999999999999E-2</v>
      </c>
      <c r="J477">
        <v>3.4000000000000002E-2</v>
      </c>
      <c r="K477" t="s">
        <v>24</v>
      </c>
      <c r="L477" t="str">
        <f t="shared" si="160"/>
        <v>F</v>
      </c>
      <c r="M477">
        <v>22</v>
      </c>
      <c r="N477">
        <v>0.10199999999999999</v>
      </c>
      <c r="O477">
        <v>7.0999999999999994E-2</v>
      </c>
      <c r="P477" t="s">
        <v>323</v>
      </c>
      <c r="Q477" t="str">
        <f t="shared" si="162"/>
        <v>F</v>
      </c>
      <c r="AV477">
        <v>9</v>
      </c>
      <c r="AW477">
        <v>1.4999999999999999E-2</v>
      </c>
      <c r="BV477" s="1">
        <v>1.4999999999999999E-2</v>
      </c>
      <c r="BW477" s="5">
        <v>44441</v>
      </c>
      <c r="BX477">
        <v>9</v>
      </c>
      <c r="BY477">
        <v>2</v>
      </c>
      <c r="BZ477">
        <v>2021</v>
      </c>
      <c r="CA477" s="5">
        <f t="shared" si="161"/>
        <v>44236</v>
      </c>
      <c r="CB477">
        <v>40</v>
      </c>
      <c r="CC477">
        <v>3</v>
      </c>
      <c r="CD477" t="s">
        <v>324</v>
      </c>
      <c r="CE477">
        <f t="shared" si="155"/>
        <v>1.4214046822742474</v>
      </c>
      <c r="CF477">
        <f t="shared" si="156"/>
        <v>2.2334597555836493</v>
      </c>
      <c r="CG477">
        <f t="shared" si="150"/>
        <v>2.2659256092347153</v>
      </c>
      <c r="CH477">
        <f t="shared" si="151"/>
        <v>2.9266281945589441</v>
      </c>
      <c r="CI477">
        <f t="shared" si="163"/>
        <v>1.2778235779060181</v>
      </c>
      <c r="CJ477" s="1">
        <f t="shared" si="164"/>
        <v>1.8961253091508656</v>
      </c>
      <c r="CK477" s="6" t="s">
        <v>142</v>
      </c>
      <c r="CL477" s="6">
        <v>3</v>
      </c>
      <c r="CM477" s="6"/>
      <c r="CN477" s="6"/>
      <c r="CO477" s="6"/>
      <c r="CP477" s="6"/>
    </row>
    <row r="478" spans="1:99" ht="17" x14ac:dyDescent="0.2">
      <c r="A478" t="s">
        <v>325</v>
      </c>
      <c r="B478" t="s">
        <v>112</v>
      </c>
      <c r="C478" t="str">
        <f t="shared" si="157"/>
        <v>S</v>
      </c>
      <c r="D478" t="str">
        <f t="shared" si="158"/>
        <v>IMM</v>
      </c>
      <c r="E478" t="str">
        <f t="shared" si="159"/>
        <v>G</v>
      </c>
      <c r="F478">
        <v>60</v>
      </c>
      <c r="G478">
        <v>57</v>
      </c>
      <c r="H478">
        <v>3.36</v>
      </c>
      <c r="I478">
        <v>0.06</v>
      </c>
      <c r="J478">
        <v>5.6000000000000001E-2</v>
      </c>
      <c r="K478" t="s">
        <v>24</v>
      </c>
      <c r="L478" t="str">
        <f t="shared" si="160"/>
        <v>F</v>
      </c>
      <c r="M478">
        <v>22</v>
      </c>
      <c r="N478">
        <v>9.7000000000000003E-2</v>
      </c>
      <c r="O478">
        <v>8.4000000000000005E-2</v>
      </c>
      <c r="P478" t="s">
        <v>326</v>
      </c>
      <c r="Q478" t="str">
        <f t="shared" si="162"/>
        <v>F</v>
      </c>
      <c r="U478">
        <v>1E-3</v>
      </c>
      <c r="BV478" s="1">
        <v>1E-3</v>
      </c>
      <c r="BW478" s="5">
        <v>44441</v>
      </c>
      <c r="BX478">
        <v>9</v>
      </c>
      <c r="BY478">
        <v>2</v>
      </c>
      <c r="BZ478">
        <v>2021</v>
      </c>
      <c r="CA478" s="5">
        <f t="shared" si="161"/>
        <v>44236</v>
      </c>
      <c r="CB478">
        <v>40</v>
      </c>
      <c r="CC478">
        <v>3</v>
      </c>
      <c r="CD478" t="s">
        <v>327</v>
      </c>
      <c r="CE478">
        <f t="shared" si="155"/>
        <v>1.6949152542372881</v>
      </c>
      <c r="CF478">
        <f t="shared" si="156"/>
        <v>1.8181818181818181</v>
      </c>
      <c r="CG478">
        <f t="shared" si="150"/>
        <v>1.8495684340320593</v>
      </c>
      <c r="CH478">
        <f t="shared" si="151"/>
        <v>2.5</v>
      </c>
      <c r="CI478">
        <f t="shared" si="163"/>
        <v>0.38690476190476181</v>
      </c>
      <c r="CJ478" s="1">
        <f t="shared" si="164"/>
        <v>0.41666666666666669</v>
      </c>
      <c r="CK478" s="6" t="s">
        <v>142</v>
      </c>
      <c r="CL478" s="6">
        <v>3</v>
      </c>
      <c r="CM478" s="6">
        <v>0</v>
      </c>
      <c r="CN478" s="6">
        <v>83</v>
      </c>
      <c r="CO478" s="6">
        <v>14</v>
      </c>
      <c r="CP478" s="6">
        <v>0</v>
      </c>
      <c r="CQ478" s="12">
        <v>7.1999999999999998E-3</v>
      </c>
      <c r="CR478">
        <f>CQ478/(H478-I478-J478-N478)*1000</f>
        <v>2.28789323164919</v>
      </c>
      <c r="CS478">
        <v>5.6070946073561094</v>
      </c>
      <c r="CT478">
        <v>77.231054066757665</v>
      </c>
      <c r="CU478">
        <v>126.70039880773906</v>
      </c>
    </row>
    <row r="479" spans="1:99" ht="17" x14ac:dyDescent="0.2">
      <c r="A479" t="s">
        <v>328</v>
      </c>
      <c r="B479" t="s">
        <v>112</v>
      </c>
      <c r="C479" t="str">
        <f t="shared" si="157"/>
        <v>I</v>
      </c>
      <c r="D479" t="str">
        <f t="shared" si="158"/>
        <v>IMM</v>
      </c>
      <c r="E479" t="str">
        <f t="shared" si="159"/>
        <v>G</v>
      </c>
      <c r="F479">
        <v>61</v>
      </c>
      <c r="G479">
        <v>57</v>
      </c>
      <c r="H479">
        <v>3.5640000000000001</v>
      </c>
      <c r="I479">
        <v>7.0999999999999994E-2</v>
      </c>
      <c r="J479">
        <v>6.0000000000000001E-3</v>
      </c>
      <c r="K479" t="s">
        <v>38</v>
      </c>
      <c r="L479" t="str">
        <f t="shared" si="160"/>
        <v>M</v>
      </c>
      <c r="M479">
        <v>22</v>
      </c>
      <c r="N479">
        <v>0.14499999999999999</v>
      </c>
      <c r="O479">
        <v>0.11600000000000001</v>
      </c>
      <c r="P479" t="s">
        <v>36</v>
      </c>
      <c r="Q479" t="str">
        <f t="shared" si="162"/>
        <v>MT</v>
      </c>
      <c r="BV479" s="1">
        <v>0</v>
      </c>
      <c r="BW479" s="5">
        <v>44471</v>
      </c>
      <c r="BX479">
        <v>10</v>
      </c>
      <c r="BY479">
        <v>2</v>
      </c>
      <c r="BZ479">
        <v>2021</v>
      </c>
      <c r="CA479" s="5">
        <f t="shared" si="161"/>
        <v>44237</v>
      </c>
      <c r="CB479">
        <v>41</v>
      </c>
      <c r="CC479">
        <v>3</v>
      </c>
      <c r="CD479" t="s">
        <v>327</v>
      </c>
      <c r="CE479">
        <f t="shared" si="155"/>
        <v>0.16863406408094433</v>
      </c>
      <c r="CF479">
        <f t="shared" si="156"/>
        <v>2.0326367019753793</v>
      </c>
      <c r="CG479">
        <f t="shared" si="150"/>
        <v>2.0361342127903641</v>
      </c>
      <c r="CH479">
        <f t="shared" si="151"/>
        <v>3.2547699214365884</v>
      </c>
      <c r="CI479">
        <f t="shared" si="163"/>
        <v>0.81369248035914665</v>
      </c>
      <c r="CJ479" s="1">
        <f t="shared" si="164"/>
        <v>0.81369248035914665</v>
      </c>
      <c r="CK479" s="6" t="s">
        <v>142</v>
      </c>
      <c r="CL479" s="6">
        <v>3</v>
      </c>
      <c r="CM479" s="6"/>
      <c r="CN479" s="6"/>
      <c r="CO479" s="6"/>
      <c r="CP479" s="6"/>
    </row>
    <row r="480" spans="1:99" ht="17" x14ac:dyDescent="0.2">
      <c r="A480" t="s">
        <v>329</v>
      </c>
      <c r="B480" t="s">
        <v>112</v>
      </c>
      <c r="C480" t="str">
        <f t="shared" si="157"/>
        <v>I</v>
      </c>
      <c r="D480" t="str">
        <f t="shared" si="158"/>
        <v>IMM</v>
      </c>
      <c r="E480" t="str">
        <f t="shared" si="159"/>
        <v>G</v>
      </c>
      <c r="F480">
        <v>61</v>
      </c>
      <c r="G480">
        <v>57</v>
      </c>
      <c r="H480">
        <v>3.7989999999999999</v>
      </c>
      <c r="I480">
        <v>0.09</v>
      </c>
      <c r="J480">
        <v>6.7000000000000004E-2</v>
      </c>
      <c r="K480" t="s">
        <v>24</v>
      </c>
      <c r="L480" t="str">
        <f t="shared" si="160"/>
        <v>F</v>
      </c>
      <c r="M480">
        <v>22</v>
      </c>
      <c r="N480">
        <v>0.13400000000000001</v>
      </c>
      <c r="O480">
        <v>0.107</v>
      </c>
      <c r="P480" t="s">
        <v>330</v>
      </c>
      <c r="Q480" t="str">
        <f t="shared" si="162"/>
        <v>F</v>
      </c>
      <c r="AV480">
        <v>2</v>
      </c>
      <c r="AW480">
        <v>8.0000000000000002E-3</v>
      </c>
      <c r="BV480" s="1">
        <v>8.0000000000000002E-3</v>
      </c>
      <c r="BW480" s="5">
        <v>44471</v>
      </c>
      <c r="BX480">
        <v>10</v>
      </c>
      <c r="BY480">
        <v>2</v>
      </c>
      <c r="BZ480">
        <v>2021</v>
      </c>
      <c r="CA480" s="5">
        <f t="shared" si="161"/>
        <v>44237</v>
      </c>
      <c r="CB480">
        <v>41</v>
      </c>
      <c r="CC480">
        <v>3</v>
      </c>
      <c r="CD480" t="s">
        <v>331</v>
      </c>
      <c r="CE480">
        <f t="shared" si="155"/>
        <v>1.7952840300107182</v>
      </c>
      <c r="CF480">
        <f t="shared" si="156"/>
        <v>2.4265300620113237</v>
      </c>
      <c r="CG480">
        <f t="shared" si="150"/>
        <v>2.4711696869851729</v>
      </c>
      <c r="CH480">
        <f t="shared" si="151"/>
        <v>2.8165306659647276</v>
      </c>
      <c r="CI480">
        <f t="shared" si="163"/>
        <v>0.71071334561726807</v>
      </c>
      <c r="CJ480" s="1">
        <f t="shared" si="164"/>
        <v>0.92129507765201391</v>
      </c>
      <c r="CK480" s="6" t="s">
        <v>142</v>
      </c>
      <c r="CL480" s="6">
        <v>3</v>
      </c>
      <c r="CM480" s="6">
        <v>0</v>
      </c>
      <c r="CN480" s="6">
        <v>48</v>
      </c>
      <c r="CO480" s="6">
        <v>23</v>
      </c>
      <c r="CP480" s="6">
        <v>0</v>
      </c>
      <c r="CQ480" s="12">
        <v>1.6400000000000001E-2</v>
      </c>
      <c r="CR480">
        <f>CQ480/(H480-I480-J480-N480)*1000</f>
        <v>4.6750285062713806</v>
      </c>
      <c r="CS480">
        <v>8.9786678393220356</v>
      </c>
      <c r="CT480">
        <v>67.334272300790573</v>
      </c>
      <c r="CU480">
        <v>124.83793465726562</v>
      </c>
    </row>
    <row r="481" spans="1:99" ht="17" x14ac:dyDescent="0.2">
      <c r="A481" t="s">
        <v>332</v>
      </c>
      <c r="B481" t="s">
        <v>112</v>
      </c>
      <c r="C481" t="str">
        <f t="shared" si="157"/>
        <v>S</v>
      </c>
      <c r="D481" t="str">
        <f t="shared" si="158"/>
        <v>IMM</v>
      </c>
      <c r="E481" t="str">
        <f t="shared" si="159"/>
        <v>N</v>
      </c>
      <c r="F481">
        <v>58</v>
      </c>
      <c r="G481">
        <v>55</v>
      </c>
      <c r="H481">
        <v>3.23</v>
      </c>
      <c r="I481">
        <v>7.6999999999999999E-2</v>
      </c>
      <c r="J481">
        <v>6.0999999999999999E-2</v>
      </c>
      <c r="K481" t="s">
        <v>24</v>
      </c>
      <c r="L481" t="str">
        <f t="shared" si="160"/>
        <v>F</v>
      </c>
      <c r="M481">
        <v>22</v>
      </c>
      <c r="N481">
        <v>0.11700000000000001</v>
      </c>
      <c r="O481">
        <v>0.105</v>
      </c>
      <c r="P481" t="s">
        <v>36</v>
      </c>
      <c r="Q481" t="str">
        <f t="shared" si="162"/>
        <v>MT</v>
      </c>
      <c r="BV481" s="1">
        <v>0</v>
      </c>
      <c r="BW481" s="5">
        <v>44471</v>
      </c>
      <c r="BX481">
        <v>10</v>
      </c>
      <c r="BY481">
        <v>2</v>
      </c>
      <c r="BZ481">
        <v>2021</v>
      </c>
      <c r="CA481" s="5">
        <f t="shared" si="161"/>
        <v>44237</v>
      </c>
      <c r="CB481">
        <v>41</v>
      </c>
      <c r="CC481">
        <v>3</v>
      </c>
      <c r="CD481" t="s">
        <v>327</v>
      </c>
      <c r="CE481">
        <f t="shared" si="155"/>
        <v>1.9248974439886399</v>
      </c>
      <c r="CF481">
        <f t="shared" si="156"/>
        <v>2.4421186171899776</v>
      </c>
      <c r="CG481">
        <f t="shared" si="150"/>
        <v>2.4902975420439843</v>
      </c>
      <c r="CH481">
        <f t="shared" si="151"/>
        <v>3.2507739938080498</v>
      </c>
      <c r="CI481">
        <f t="shared" si="163"/>
        <v>0.37151702786377744</v>
      </c>
      <c r="CJ481" s="1">
        <f t="shared" si="164"/>
        <v>0.37151702786377744</v>
      </c>
      <c r="CK481" s="6" t="s">
        <v>142</v>
      </c>
      <c r="CL481" s="6">
        <v>3</v>
      </c>
      <c r="CM481" s="6"/>
      <c r="CN481" s="6"/>
      <c r="CO481" s="6"/>
      <c r="CP481" s="6"/>
    </row>
    <row r="482" spans="1:99" ht="17" x14ac:dyDescent="0.2">
      <c r="A482" t="s">
        <v>333</v>
      </c>
      <c r="B482" t="s">
        <v>112</v>
      </c>
      <c r="C482" t="str">
        <f t="shared" si="157"/>
        <v>I</v>
      </c>
      <c r="D482" t="str">
        <f t="shared" si="158"/>
        <v>IMM</v>
      </c>
      <c r="E482" t="str">
        <f t="shared" si="159"/>
        <v>G</v>
      </c>
      <c r="F482">
        <v>62</v>
      </c>
      <c r="G482">
        <v>58</v>
      </c>
      <c r="H482">
        <v>3.7789999999999999</v>
      </c>
      <c r="I482">
        <v>7.0999999999999994E-2</v>
      </c>
      <c r="J482">
        <v>6.0000000000000001E-3</v>
      </c>
      <c r="K482" t="s">
        <v>38</v>
      </c>
      <c r="L482" t="str">
        <f t="shared" si="160"/>
        <v>M</v>
      </c>
      <c r="M482">
        <v>22</v>
      </c>
      <c r="N482">
        <v>0.156</v>
      </c>
      <c r="O482">
        <v>0.13700000000000001</v>
      </c>
      <c r="P482" t="s">
        <v>334</v>
      </c>
      <c r="Q482" t="s">
        <v>36</v>
      </c>
      <c r="BV482" s="1">
        <v>0</v>
      </c>
      <c r="BW482" s="5">
        <v>44471</v>
      </c>
      <c r="BX482">
        <v>10</v>
      </c>
      <c r="BY482">
        <v>2</v>
      </c>
      <c r="BZ482">
        <v>2021</v>
      </c>
      <c r="CA482" s="5">
        <f t="shared" si="161"/>
        <v>44237</v>
      </c>
      <c r="CB482">
        <v>41</v>
      </c>
      <c r="CC482">
        <v>3</v>
      </c>
      <c r="CD482" t="s">
        <v>327</v>
      </c>
      <c r="CE482">
        <f t="shared" si="155"/>
        <v>0.15902464882056719</v>
      </c>
      <c r="CF482">
        <f t="shared" si="156"/>
        <v>1.9147788565264292</v>
      </c>
      <c r="CG482">
        <f t="shared" si="150"/>
        <v>1.917882225823879</v>
      </c>
      <c r="CH482">
        <f t="shared" si="151"/>
        <v>3.625297697803652</v>
      </c>
      <c r="CI482">
        <f t="shared" si="163"/>
        <v>0.50277851283408281</v>
      </c>
      <c r="CJ482" s="1">
        <f t="shared" si="164"/>
        <v>0.50277851283408281</v>
      </c>
      <c r="CK482" s="6" t="s">
        <v>142</v>
      </c>
      <c r="CL482" s="6">
        <v>3</v>
      </c>
      <c r="CM482" s="6"/>
      <c r="CN482" s="6"/>
      <c r="CO482" s="6"/>
      <c r="CP482" s="6"/>
    </row>
    <row r="483" spans="1:99" ht="17" x14ac:dyDescent="0.2">
      <c r="A483" t="s">
        <v>335</v>
      </c>
      <c r="B483" t="s">
        <v>112</v>
      </c>
      <c r="C483" t="str">
        <f t="shared" si="157"/>
        <v>S</v>
      </c>
      <c r="D483" t="str">
        <f t="shared" si="158"/>
        <v>IMM</v>
      </c>
      <c r="E483" t="str">
        <f t="shared" si="159"/>
        <v>N</v>
      </c>
      <c r="F483">
        <v>54</v>
      </c>
      <c r="G483">
        <v>51</v>
      </c>
      <c r="H483">
        <v>2.3149999999999999</v>
      </c>
      <c r="I483">
        <v>6.0999999999999999E-2</v>
      </c>
      <c r="J483">
        <v>2.9000000000000001E-2</v>
      </c>
      <c r="K483" t="s">
        <v>336</v>
      </c>
      <c r="L483" t="str">
        <f t="shared" si="160"/>
        <v>F</v>
      </c>
      <c r="M483">
        <v>20</v>
      </c>
      <c r="N483">
        <v>0.09</v>
      </c>
      <c r="O483">
        <v>6.4000000000000001E-2</v>
      </c>
      <c r="P483" t="s">
        <v>337</v>
      </c>
      <c r="Q483" t="s">
        <v>36</v>
      </c>
      <c r="BV483" s="1">
        <v>0</v>
      </c>
      <c r="BW483" s="5">
        <v>44471</v>
      </c>
      <c r="BX483">
        <v>10</v>
      </c>
      <c r="BY483">
        <v>2</v>
      </c>
      <c r="BZ483">
        <v>2021</v>
      </c>
      <c r="CA483" s="5">
        <f t="shared" si="161"/>
        <v>44237</v>
      </c>
      <c r="CB483">
        <v>41</v>
      </c>
      <c r="CC483">
        <v>3</v>
      </c>
      <c r="CD483" t="s">
        <v>338</v>
      </c>
      <c r="CE483">
        <f t="shared" si="155"/>
        <v>1.268591426071741</v>
      </c>
      <c r="CF483">
        <f t="shared" si="156"/>
        <v>2.7062999112688555</v>
      </c>
      <c r="CG483">
        <f t="shared" si="150"/>
        <v>2.7415730337078648</v>
      </c>
      <c r="CH483">
        <f t="shared" si="151"/>
        <v>2.7645788336933044</v>
      </c>
      <c r="CI483">
        <f t="shared" si="163"/>
        <v>1.1231101511879049</v>
      </c>
      <c r="CJ483" s="1">
        <f t="shared" si="164"/>
        <v>1.1231101511879049</v>
      </c>
      <c r="CK483" s="6" t="s">
        <v>142</v>
      </c>
      <c r="CL483" s="6">
        <v>3</v>
      </c>
      <c r="CM483" s="6"/>
      <c r="CN483" s="6"/>
      <c r="CO483" s="6"/>
      <c r="CP483" s="6"/>
    </row>
    <row r="484" spans="1:99" ht="17" x14ac:dyDescent="0.2">
      <c r="A484" t="s">
        <v>339</v>
      </c>
      <c r="B484" t="s">
        <v>112</v>
      </c>
      <c r="C484" t="str">
        <f t="shared" si="157"/>
        <v>I</v>
      </c>
      <c r="D484" t="str">
        <f t="shared" si="158"/>
        <v>IMM</v>
      </c>
      <c r="E484" t="str">
        <f t="shared" si="159"/>
        <v>G</v>
      </c>
      <c r="F484">
        <v>64</v>
      </c>
      <c r="G484">
        <v>61</v>
      </c>
      <c r="H484">
        <v>3.98</v>
      </c>
      <c r="I484">
        <v>7.1999999999999995E-2</v>
      </c>
      <c r="J484">
        <v>7.0000000000000001E-3</v>
      </c>
      <c r="K484" t="s">
        <v>38</v>
      </c>
      <c r="L484" t="str">
        <f t="shared" si="160"/>
        <v>M</v>
      </c>
      <c r="M484">
        <v>22</v>
      </c>
      <c r="N484">
        <v>0.16</v>
      </c>
      <c r="O484">
        <v>0.13</v>
      </c>
      <c r="P484" t="s">
        <v>340</v>
      </c>
      <c r="Q484" t="s">
        <v>36</v>
      </c>
      <c r="BV484" s="1">
        <v>0</v>
      </c>
      <c r="BW484" s="5">
        <v>44471</v>
      </c>
      <c r="BX484">
        <v>10</v>
      </c>
      <c r="BY484">
        <v>2</v>
      </c>
      <c r="BZ484">
        <v>2021</v>
      </c>
      <c r="CA484" s="5">
        <f t="shared" si="161"/>
        <v>44237</v>
      </c>
      <c r="CB484">
        <v>41</v>
      </c>
      <c r="CC484">
        <v>3</v>
      </c>
      <c r="CD484" t="s">
        <v>341</v>
      </c>
      <c r="CE484">
        <f t="shared" si="155"/>
        <v>0.17618927762396175</v>
      </c>
      <c r="CF484">
        <f t="shared" si="156"/>
        <v>1.842374616171955</v>
      </c>
      <c r="CG484">
        <f t="shared" si="150"/>
        <v>1.8456805947193029</v>
      </c>
      <c r="CH484">
        <f t="shared" si="151"/>
        <v>3.2663316582914574</v>
      </c>
      <c r="CI484">
        <f t="shared" si="163"/>
        <v>0.75376884422110546</v>
      </c>
      <c r="CJ484" s="1">
        <f t="shared" si="164"/>
        <v>0.75376884422110546</v>
      </c>
      <c r="CK484" s="6" t="s">
        <v>142</v>
      </c>
      <c r="CL484" s="6">
        <v>3</v>
      </c>
      <c r="CM484" s="6"/>
      <c r="CN484" s="6"/>
      <c r="CO484" s="6"/>
      <c r="CP484" s="6"/>
    </row>
    <row r="485" spans="1:99" ht="32" x14ac:dyDescent="0.2">
      <c r="A485" s="7" t="s">
        <v>801</v>
      </c>
      <c r="B485" s="7" t="s">
        <v>112</v>
      </c>
      <c r="C485" t="str">
        <f t="shared" si="157"/>
        <v>I</v>
      </c>
      <c r="D485" t="str">
        <f t="shared" si="158"/>
        <v>S</v>
      </c>
      <c r="E485" t="str">
        <f t="shared" si="159"/>
        <v>G</v>
      </c>
      <c r="F485" s="7">
        <v>68</v>
      </c>
      <c r="G485" s="7">
        <v>63</v>
      </c>
      <c r="H485" s="7">
        <v>4.5380000000000003</v>
      </c>
      <c r="I485" s="7">
        <v>0.11700000000000001</v>
      </c>
      <c r="J485" s="7">
        <v>1.2E-2</v>
      </c>
      <c r="K485" s="7" t="s">
        <v>38</v>
      </c>
      <c r="L485" t="str">
        <f t="shared" si="160"/>
        <v>M</v>
      </c>
      <c r="M485" s="7">
        <v>22</v>
      </c>
      <c r="N485" s="7">
        <v>0.32800000000000001</v>
      </c>
      <c r="O485" s="7">
        <v>0.24</v>
      </c>
      <c r="P485" s="7" t="s">
        <v>824</v>
      </c>
      <c r="Q485" t="str">
        <f t="shared" ref="Q485:Q527" si="165">IF(P485="MT","MT","F")</f>
        <v>F</v>
      </c>
      <c r="R485" s="7"/>
      <c r="S485" s="7"/>
      <c r="T485" s="7">
        <v>1</v>
      </c>
      <c r="U485" s="7">
        <v>1.7999999999999999E-2</v>
      </c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  <c r="AO485" s="7"/>
      <c r="AP485" s="7"/>
      <c r="AQ485" s="7"/>
      <c r="AR485" s="7">
        <v>4</v>
      </c>
      <c r="AS485" s="7">
        <v>5.2999999999999999E-2</v>
      </c>
      <c r="AT485" s="7"/>
      <c r="AU485" s="7"/>
      <c r="AV485" s="7"/>
      <c r="AW485" s="7"/>
      <c r="AX485" s="7"/>
      <c r="AY485" s="7"/>
      <c r="AZ485" s="7"/>
      <c r="BA485" s="7"/>
      <c r="BB485" s="7"/>
      <c r="BC485" s="7"/>
      <c r="BD485" s="7"/>
      <c r="BE485" s="7"/>
      <c r="BF485" s="7"/>
      <c r="BG485" s="7"/>
      <c r="BH485" s="7"/>
      <c r="BI485" s="7"/>
      <c r="BJ485" s="7"/>
      <c r="BK485" s="7"/>
      <c r="BL485" s="7"/>
      <c r="BM485" s="7"/>
      <c r="BN485" s="7"/>
      <c r="BO485" s="7"/>
      <c r="BP485" s="7"/>
      <c r="BQ485" s="7"/>
      <c r="BR485" s="7"/>
      <c r="BS485" s="7"/>
      <c r="BT485" s="7"/>
      <c r="BU485" s="7"/>
      <c r="BV485">
        <f>0.053+0.018</f>
        <v>7.0999999999999994E-2</v>
      </c>
      <c r="BW485" s="5">
        <v>44381</v>
      </c>
      <c r="BX485">
        <v>7</v>
      </c>
      <c r="BY485">
        <v>4</v>
      </c>
      <c r="BZ485">
        <v>2021</v>
      </c>
      <c r="CA485" s="5">
        <f t="shared" si="161"/>
        <v>44293</v>
      </c>
      <c r="CB485">
        <v>97</v>
      </c>
      <c r="CC485" s="7">
        <v>7</v>
      </c>
      <c r="CE485">
        <f t="shared" si="155"/>
        <v>0.26513477684489611</v>
      </c>
      <c r="CF485">
        <f t="shared" si="156"/>
        <v>2.6464600769056776</v>
      </c>
      <c r="CG485">
        <f t="shared" ref="CG485:CG516" si="166">I485/(H485-I485-J485)</f>
        <v>2.65366296212293E-2</v>
      </c>
      <c r="CH485">
        <f t="shared" ref="CH485:CH516" si="167">O485/(H485-O485)*100</f>
        <v>5.5839925546765938</v>
      </c>
      <c r="CI485">
        <f t="shared" ref="CI485:CI516" si="168">(N485-O485)/H485*100</f>
        <v>1.9391802556192157</v>
      </c>
      <c r="CJ485" s="1">
        <f t="shared" si="164"/>
        <v>3.5037461436756283</v>
      </c>
      <c r="CK485" s="7" t="s">
        <v>142</v>
      </c>
      <c r="CL485" s="7">
        <v>3</v>
      </c>
      <c r="CM485" s="7"/>
      <c r="CN485" s="7"/>
      <c r="CO485" s="7"/>
      <c r="CP485" s="7"/>
    </row>
    <row r="486" spans="1:99" ht="32" x14ac:dyDescent="0.2">
      <c r="A486" s="7" t="s">
        <v>802</v>
      </c>
      <c r="B486" s="7" t="s">
        <v>112</v>
      </c>
      <c r="C486" t="str">
        <f t="shared" si="157"/>
        <v>S</v>
      </c>
      <c r="D486" t="str">
        <f t="shared" si="158"/>
        <v>IMM</v>
      </c>
      <c r="E486" t="str">
        <f t="shared" si="159"/>
        <v>G</v>
      </c>
      <c r="F486" s="7">
        <v>60</v>
      </c>
      <c r="G486" s="7">
        <v>55</v>
      </c>
      <c r="H486" s="7">
        <v>3.0979999999999999</v>
      </c>
      <c r="I486" s="7">
        <v>7.4999999999999997E-2</v>
      </c>
      <c r="J486" s="7">
        <v>7.1999999999999995E-2</v>
      </c>
      <c r="K486" s="7" t="s">
        <v>786</v>
      </c>
      <c r="L486" t="str">
        <f t="shared" si="160"/>
        <v>F</v>
      </c>
      <c r="M486" s="7">
        <v>23</v>
      </c>
      <c r="N486" s="7">
        <v>0.185</v>
      </c>
      <c r="O486" s="7">
        <v>0.13700000000000001</v>
      </c>
      <c r="P486" s="7" t="s">
        <v>825</v>
      </c>
      <c r="Q486" t="str">
        <f t="shared" si="165"/>
        <v>F</v>
      </c>
      <c r="R486" s="7"/>
      <c r="S486" s="7"/>
      <c r="T486" s="7">
        <v>4</v>
      </c>
      <c r="U486" s="7">
        <v>4.0000000000000001E-3</v>
      </c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  <c r="AO486" s="7"/>
      <c r="AP486" s="7"/>
      <c r="AQ486" s="7"/>
      <c r="AR486" s="7">
        <v>1</v>
      </c>
      <c r="AS486" s="7">
        <v>2.5000000000000001E-2</v>
      </c>
      <c r="AT486" s="7"/>
      <c r="AU486" s="7"/>
      <c r="AV486" s="7"/>
      <c r="AW486" s="7"/>
      <c r="AX486" s="7"/>
      <c r="AY486" s="7"/>
      <c r="AZ486" s="7"/>
      <c r="BA486" s="7"/>
      <c r="BB486" s="7"/>
      <c r="BC486" s="7"/>
      <c r="BD486" s="7"/>
      <c r="BE486" s="7"/>
      <c r="BF486" s="7"/>
      <c r="BG486" s="7"/>
      <c r="BH486" s="7"/>
      <c r="BI486" s="7"/>
      <c r="BJ486" s="7"/>
      <c r="BK486" s="7"/>
      <c r="BL486" s="7"/>
      <c r="BM486" s="7"/>
      <c r="BN486" s="7"/>
      <c r="BO486" s="7"/>
      <c r="BP486" s="7"/>
      <c r="BQ486" s="7"/>
      <c r="BR486" s="7"/>
      <c r="BS486" s="7"/>
      <c r="BT486" s="7"/>
      <c r="BU486" s="7"/>
      <c r="BV486">
        <v>2.9000000000000001E-2</v>
      </c>
      <c r="BW486" s="5">
        <v>44381</v>
      </c>
      <c r="BX486">
        <v>7</v>
      </c>
      <c r="BY486">
        <v>4</v>
      </c>
      <c r="BZ486">
        <v>2021</v>
      </c>
      <c r="CA486" s="5">
        <f t="shared" si="161"/>
        <v>44293</v>
      </c>
      <c r="CB486">
        <v>97</v>
      </c>
      <c r="CC486" s="7">
        <v>7</v>
      </c>
      <c r="CE486">
        <f t="shared" si="155"/>
        <v>2.3793787177792467</v>
      </c>
      <c r="CF486">
        <f t="shared" si="156"/>
        <v>2.4809791597750581</v>
      </c>
      <c r="CG486">
        <f t="shared" si="166"/>
        <v>2.5415113520840395E-2</v>
      </c>
      <c r="CH486">
        <f t="shared" si="167"/>
        <v>4.6268152651131373</v>
      </c>
      <c r="CI486">
        <f t="shared" si="168"/>
        <v>1.549386701097482</v>
      </c>
      <c r="CJ486" s="1">
        <f t="shared" si="164"/>
        <v>2.4854744996772107</v>
      </c>
      <c r="CK486" s="7" t="s">
        <v>142</v>
      </c>
      <c r="CL486" s="7">
        <v>3</v>
      </c>
      <c r="CM486" s="7">
        <v>0</v>
      </c>
      <c r="CN486" s="7">
        <v>33</v>
      </c>
      <c r="CO486" s="7">
        <v>8</v>
      </c>
      <c r="CP486" s="7">
        <v>0</v>
      </c>
      <c r="CQ486" s="12">
        <v>1.18E-2</v>
      </c>
      <c r="CR486">
        <f>CQ486/(H486-I486-J486-N486)*1000</f>
        <v>4.2660882140274765</v>
      </c>
      <c r="CS486">
        <v>7.6583426057783441</v>
      </c>
      <c r="CT486">
        <v>88.052072008688697</v>
      </c>
      <c r="CU486">
        <v>127.41341790625566</v>
      </c>
    </row>
    <row r="487" spans="1:99" x14ac:dyDescent="0.2">
      <c r="A487" s="7" t="s">
        <v>803</v>
      </c>
      <c r="B487" s="7" t="s">
        <v>112</v>
      </c>
      <c r="C487" t="str">
        <f t="shared" si="157"/>
        <v>I</v>
      </c>
      <c r="D487" t="str">
        <f t="shared" si="158"/>
        <v>IMM</v>
      </c>
      <c r="E487" t="str">
        <f t="shared" si="159"/>
        <v>G</v>
      </c>
      <c r="F487" s="7">
        <v>63</v>
      </c>
      <c r="G487" s="7">
        <v>59</v>
      </c>
      <c r="H487" s="7">
        <v>3.4249999999999998</v>
      </c>
      <c r="I487" s="7">
        <v>7.0999999999999994E-2</v>
      </c>
      <c r="J487" s="7">
        <v>6.5000000000000002E-2</v>
      </c>
      <c r="K487" s="7" t="s">
        <v>786</v>
      </c>
      <c r="L487" t="str">
        <f t="shared" si="160"/>
        <v>F</v>
      </c>
      <c r="M487" s="7">
        <v>23</v>
      </c>
      <c r="N487" s="7">
        <v>0.16900000000000001</v>
      </c>
      <c r="O487" s="7">
        <v>0.153</v>
      </c>
      <c r="P487" s="7" t="s">
        <v>826</v>
      </c>
      <c r="Q487" t="str">
        <f t="shared" si="165"/>
        <v>F</v>
      </c>
      <c r="R487" s="7"/>
      <c r="S487" s="7"/>
      <c r="T487" s="7"/>
      <c r="U487" s="7">
        <v>5.0000000000000001E-3</v>
      </c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  <c r="AO487" s="7"/>
      <c r="AP487" s="7"/>
      <c r="AQ487" s="7"/>
      <c r="AR487" s="7"/>
      <c r="AS487" s="7"/>
      <c r="AT487" s="7"/>
      <c r="AU487" s="7"/>
      <c r="AV487" s="7"/>
      <c r="AW487" s="7"/>
      <c r="AX487" s="7"/>
      <c r="AY487" s="7"/>
      <c r="AZ487" s="7"/>
      <c r="BA487" s="7"/>
      <c r="BB487" s="7"/>
      <c r="BC487" s="7"/>
      <c r="BD487" s="7"/>
      <c r="BE487" s="7"/>
      <c r="BF487" s="7"/>
      <c r="BG487" s="7"/>
      <c r="BH487" s="7"/>
      <c r="BI487" s="7"/>
      <c r="BJ487" s="7"/>
      <c r="BK487" s="7"/>
      <c r="BL487" s="7"/>
      <c r="BM487" s="7"/>
      <c r="BN487" s="7"/>
      <c r="BO487" s="7"/>
      <c r="BP487" s="7"/>
      <c r="BQ487" s="7"/>
      <c r="BR487" s="7"/>
      <c r="BS487" s="7"/>
      <c r="BT487" s="7"/>
      <c r="BU487" s="7"/>
      <c r="BV487" s="7">
        <v>5.0000000000000001E-3</v>
      </c>
      <c r="BW487" s="5">
        <v>44381</v>
      </c>
      <c r="BX487">
        <v>7</v>
      </c>
      <c r="BY487">
        <v>4</v>
      </c>
      <c r="BZ487">
        <v>2021</v>
      </c>
      <c r="CA487" s="5">
        <f t="shared" si="161"/>
        <v>44293</v>
      </c>
      <c r="CB487">
        <v>97</v>
      </c>
      <c r="CC487" s="7">
        <v>7</v>
      </c>
      <c r="CE487">
        <f t="shared" si="155"/>
        <v>1.9345238095238095</v>
      </c>
      <c r="CF487">
        <f t="shared" si="156"/>
        <v>2.1168753726893264</v>
      </c>
      <c r="CG487">
        <f t="shared" si="166"/>
        <v>2.1587108543630284E-2</v>
      </c>
      <c r="CH487">
        <f t="shared" si="167"/>
        <v>4.6760391198044013</v>
      </c>
      <c r="CI487">
        <f t="shared" si="168"/>
        <v>0.46715328467153333</v>
      </c>
      <c r="CJ487" s="1">
        <f t="shared" si="164"/>
        <v>0.61313868613138733</v>
      </c>
      <c r="CK487" s="7" t="s">
        <v>142</v>
      </c>
      <c r="CL487" s="7">
        <v>3</v>
      </c>
      <c r="CM487" s="7">
        <v>0</v>
      </c>
      <c r="CN487" s="7">
        <v>59</v>
      </c>
      <c r="CO487" s="7">
        <v>23</v>
      </c>
      <c r="CP487" s="7">
        <v>0</v>
      </c>
      <c r="CQ487" s="12">
        <v>1.38E-2</v>
      </c>
      <c r="CR487">
        <f>CQ487/(H487-I487-J487-N487)*1000</f>
        <v>4.4230769230769234</v>
      </c>
      <c r="CS487">
        <v>5.8613994898559163</v>
      </c>
      <c r="CT487">
        <v>102.40095693814121</v>
      </c>
      <c r="CU487">
        <v>113.73353162151071</v>
      </c>
    </row>
    <row r="488" spans="1:99" x14ac:dyDescent="0.2">
      <c r="A488" s="7" t="s">
        <v>804</v>
      </c>
      <c r="B488" s="7" t="s">
        <v>112</v>
      </c>
      <c r="C488" t="str">
        <f t="shared" si="157"/>
        <v>I</v>
      </c>
      <c r="D488" t="str">
        <f t="shared" si="158"/>
        <v>IMM</v>
      </c>
      <c r="E488" t="str">
        <f t="shared" si="159"/>
        <v>G</v>
      </c>
      <c r="F488" s="7">
        <v>61</v>
      </c>
      <c r="G488" s="7">
        <v>58</v>
      </c>
      <c r="H488" s="7">
        <v>3.3730000000000002</v>
      </c>
      <c r="I488" s="7">
        <v>5.8999999999999997E-2</v>
      </c>
      <c r="J488" s="7">
        <v>7.4999999999999997E-2</v>
      </c>
      <c r="K488" s="7" t="s">
        <v>786</v>
      </c>
      <c r="L488" t="str">
        <f t="shared" si="160"/>
        <v>F</v>
      </c>
      <c r="M488" s="7">
        <v>23</v>
      </c>
      <c r="N488" s="7">
        <v>0.151</v>
      </c>
      <c r="O488" s="7">
        <v>0.13600000000000001</v>
      </c>
      <c r="P488" s="7" t="s">
        <v>827</v>
      </c>
      <c r="Q488" t="str">
        <f t="shared" si="165"/>
        <v>F</v>
      </c>
      <c r="R488" s="7"/>
      <c r="S488" s="7"/>
      <c r="T488" s="7"/>
      <c r="U488" s="7">
        <v>4.0000000000000001E-3</v>
      </c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7"/>
      <c r="AO488" s="7"/>
      <c r="AP488" s="7"/>
      <c r="AQ488" s="7"/>
      <c r="AR488" s="7"/>
      <c r="AS488" s="7"/>
      <c r="AT488" s="7"/>
      <c r="AU488" s="7"/>
      <c r="AV488" s="7"/>
      <c r="AW488" s="7"/>
      <c r="AX488" s="7"/>
      <c r="AY488" s="7"/>
      <c r="AZ488" s="7"/>
      <c r="BA488" s="7"/>
      <c r="BB488" s="7"/>
      <c r="BC488" s="7"/>
      <c r="BD488" s="7"/>
      <c r="BE488" s="7"/>
      <c r="BF488" s="7"/>
      <c r="BG488" s="7"/>
      <c r="BH488" s="7"/>
      <c r="BI488" s="7"/>
      <c r="BJ488" s="7"/>
      <c r="BK488" s="7"/>
      <c r="BL488" s="7"/>
      <c r="BM488" s="7"/>
      <c r="BN488" s="7"/>
      <c r="BO488" s="7"/>
      <c r="BP488" s="7"/>
      <c r="BQ488" s="7"/>
      <c r="BR488" s="7"/>
      <c r="BS488" s="7"/>
      <c r="BT488" s="7"/>
      <c r="BU488" s="7"/>
      <c r="BV488" s="7">
        <v>4.0000000000000001E-3</v>
      </c>
      <c r="BW488" s="5">
        <v>44381</v>
      </c>
      <c r="BX488">
        <v>7</v>
      </c>
      <c r="BY488">
        <v>4</v>
      </c>
      <c r="BZ488">
        <v>2021</v>
      </c>
      <c r="CA488" s="5">
        <f t="shared" si="161"/>
        <v>44293</v>
      </c>
      <c r="CB488">
        <v>97</v>
      </c>
      <c r="CC488" s="7">
        <v>7</v>
      </c>
      <c r="CE488">
        <f t="shared" si="155"/>
        <v>2.2741055184960581</v>
      </c>
      <c r="CF488">
        <f t="shared" si="156"/>
        <v>1.7803258901629451</v>
      </c>
      <c r="CG488">
        <f t="shared" si="166"/>
        <v>1.821549861068231E-2</v>
      </c>
      <c r="CH488">
        <f t="shared" si="167"/>
        <v>4.2014210688909488</v>
      </c>
      <c r="CI488">
        <f t="shared" si="168"/>
        <v>0.44470797509635296</v>
      </c>
      <c r="CJ488" s="1">
        <f t="shared" si="164"/>
        <v>0.56329676845538046</v>
      </c>
      <c r="CK488" s="7" t="s">
        <v>142</v>
      </c>
      <c r="CL488" s="7">
        <v>3</v>
      </c>
      <c r="CM488" s="7"/>
      <c r="CN488" s="7"/>
      <c r="CO488" s="7"/>
      <c r="CP488" s="7"/>
      <c r="CQ488" s="12">
        <v>1.6299999999999999E-2</v>
      </c>
      <c r="CR488">
        <f>CQ488/(H488-I488-J488-N488)*1000</f>
        <v>5.2784974093264241</v>
      </c>
      <c r="CT488">
        <v>103.26247901841251</v>
      </c>
      <c r="CU488">
        <v>122.79793324082176</v>
      </c>
    </row>
    <row r="489" spans="1:99" x14ac:dyDescent="0.2">
      <c r="A489" s="7" t="s">
        <v>805</v>
      </c>
      <c r="B489" s="7" t="s">
        <v>112</v>
      </c>
      <c r="C489" t="str">
        <f t="shared" si="157"/>
        <v>I</v>
      </c>
      <c r="D489" t="str">
        <f t="shared" si="158"/>
        <v>IMM</v>
      </c>
      <c r="E489" t="str">
        <f t="shared" si="159"/>
        <v>G</v>
      </c>
      <c r="F489" s="7">
        <v>64</v>
      </c>
      <c r="G489" s="7">
        <v>61</v>
      </c>
      <c r="H489" s="7">
        <v>3.835</v>
      </c>
      <c r="I489" s="7">
        <v>0.10299999999999999</v>
      </c>
      <c r="J489" s="7">
        <v>1.6E-2</v>
      </c>
      <c r="K489" s="7" t="s">
        <v>38</v>
      </c>
      <c r="L489" t="str">
        <f t="shared" si="160"/>
        <v>M</v>
      </c>
      <c r="M489" s="7">
        <v>22</v>
      </c>
      <c r="N489" s="7">
        <v>0.221</v>
      </c>
      <c r="O489" s="7">
        <v>0.19600000000000001</v>
      </c>
      <c r="P489" s="7" t="s">
        <v>828</v>
      </c>
      <c r="Q489" t="str">
        <f t="shared" si="165"/>
        <v>F</v>
      </c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>
        <v>1</v>
      </c>
      <c r="AG489" s="7">
        <v>1.7999999999999999E-2</v>
      </c>
      <c r="AH489" s="7"/>
      <c r="AI489" s="7"/>
      <c r="AJ489" s="7"/>
      <c r="AK489" s="7"/>
      <c r="AL489" s="7"/>
      <c r="AM489" s="7"/>
      <c r="AN489" s="7"/>
      <c r="AO489" s="7"/>
      <c r="AP489" s="7"/>
      <c r="AQ489" s="7"/>
      <c r="AR489" s="7"/>
      <c r="AS489" s="7"/>
      <c r="AT489" s="7"/>
      <c r="AU489" s="7"/>
      <c r="AV489" s="7"/>
      <c r="AW489" s="7"/>
      <c r="AX489" s="7"/>
      <c r="AY489" s="7"/>
      <c r="AZ489" s="7"/>
      <c r="BA489" s="7"/>
      <c r="BB489" s="7"/>
      <c r="BC489" s="7"/>
      <c r="BD489" s="7"/>
      <c r="BE489" s="7"/>
      <c r="BF489" s="7"/>
      <c r="BG489" s="7"/>
      <c r="BH489" s="7"/>
      <c r="BI489" s="7"/>
      <c r="BJ489" s="7"/>
      <c r="BK489" s="7"/>
      <c r="BL489" s="7"/>
      <c r="BM489" s="7"/>
      <c r="BN489" s="7"/>
      <c r="BO489" s="7"/>
      <c r="BP489" s="7"/>
      <c r="BQ489" s="7"/>
      <c r="BR489" s="7"/>
      <c r="BS489" s="7"/>
      <c r="BT489" s="7"/>
      <c r="BU489" s="7"/>
      <c r="BV489" s="7">
        <v>1.7999999999999999E-2</v>
      </c>
      <c r="BW489" s="5">
        <v>44412</v>
      </c>
      <c r="BX489" s="7">
        <v>8</v>
      </c>
      <c r="BY489">
        <v>4</v>
      </c>
      <c r="BZ489">
        <v>2021</v>
      </c>
      <c r="CA489" s="5">
        <f t="shared" si="161"/>
        <v>44294</v>
      </c>
      <c r="CB489">
        <v>98</v>
      </c>
      <c r="CC489" s="7">
        <v>7</v>
      </c>
      <c r="CE489">
        <f t="shared" si="155"/>
        <v>0.41895784236711187</v>
      </c>
      <c r="CF489">
        <f t="shared" si="156"/>
        <v>2.759914255091104</v>
      </c>
      <c r="CG489">
        <f t="shared" si="166"/>
        <v>2.7717976318622176E-2</v>
      </c>
      <c r="CH489">
        <f t="shared" si="167"/>
        <v>5.3860950810662276</v>
      </c>
      <c r="CI489">
        <f t="shared" si="168"/>
        <v>0.65189048239895686</v>
      </c>
      <c r="CJ489" s="1">
        <f t="shared" si="164"/>
        <v>1.1212516297262058</v>
      </c>
      <c r="CK489" s="7" t="s">
        <v>142</v>
      </c>
      <c r="CL489" s="7">
        <v>3</v>
      </c>
      <c r="CM489" s="7"/>
      <c r="CN489" s="7"/>
      <c r="CO489" s="7"/>
      <c r="CP489" s="7"/>
    </row>
    <row r="490" spans="1:99" x14ac:dyDescent="0.2">
      <c r="A490" s="7" t="s">
        <v>806</v>
      </c>
      <c r="B490" s="7" t="s">
        <v>112</v>
      </c>
      <c r="C490" t="str">
        <f t="shared" si="157"/>
        <v>S</v>
      </c>
      <c r="D490" t="str">
        <f t="shared" si="158"/>
        <v>IMM</v>
      </c>
      <c r="E490" t="str">
        <f t="shared" si="159"/>
        <v>G</v>
      </c>
      <c r="F490" s="7">
        <v>60</v>
      </c>
      <c r="G490" s="7">
        <v>57</v>
      </c>
      <c r="H490" s="7">
        <v>3.3980000000000001</v>
      </c>
      <c r="I490" s="7">
        <v>8.5999999999999993E-2</v>
      </c>
      <c r="J490" s="7">
        <v>7.1999999999999995E-2</v>
      </c>
      <c r="K490" s="7" t="s">
        <v>786</v>
      </c>
      <c r="L490" t="str">
        <f t="shared" si="160"/>
        <v>F</v>
      </c>
      <c r="M490" s="7">
        <v>23</v>
      </c>
      <c r="N490" s="7">
        <v>0.17699999999999999</v>
      </c>
      <c r="O490" s="7">
        <v>0.13900000000000001</v>
      </c>
      <c r="P490" s="7" t="s">
        <v>829</v>
      </c>
      <c r="Q490" t="str">
        <f t="shared" si="165"/>
        <v>F</v>
      </c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>
        <v>2</v>
      </c>
      <c r="AG490" s="7">
        <v>2.4E-2</v>
      </c>
      <c r="AH490" s="7"/>
      <c r="AI490" s="7"/>
      <c r="AJ490" s="7"/>
      <c r="AK490" s="7"/>
      <c r="AL490" s="7"/>
      <c r="AM490" s="7"/>
      <c r="AN490" s="7"/>
      <c r="AO490" s="7"/>
      <c r="AP490" s="7"/>
      <c r="AQ490" s="7"/>
      <c r="AR490" s="7"/>
      <c r="AS490" s="7"/>
      <c r="AT490" s="7"/>
      <c r="AU490" s="7"/>
      <c r="AV490" s="7"/>
      <c r="AW490" s="7"/>
      <c r="AX490" s="7"/>
      <c r="AY490" s="7"/>
      <c r="AZ490" s="7"/>
      <c r="BA490" s="7"/>
      <c r="BB490" s="7"/>
      <c r="BC490" s="7"/>
      <c r="BD490" s="7"/>
      <c r="BE490" s="7"/>
      <c r="BF490" s="7"/>
      <c r="BG490" s="7"/>
      <c r="BH490" s="7"/>
      <c r="BI490" s="7"/>
      <c r="BJ490" s="7"/>
      <c r="BK490" s="7"/>
      <c r="BL490" s="7"/>
      <c r="BM490" s="7"/>
      <c r="BN490" s="7"/>
      <c r="BO490" s="7"/>
      <c r="BP490" s="7"/>
      <c r="BQ490" s="7"/>
      <c r="BR490" s="7"/>
      <c r="BS490" s="7"/>
      <c r="BT490" s="7"/>
      <c r="BU490" s="7"/>
      <c r="BV490" s="7">
        <v>2.4E-2</v>
      </c>
      <c r="BW490" s="5">
        <v>44412</v>
      </c>
      <c r="BX490" s="7">
        <v>8</v>
      </c>
      <c r="BY490">
        <v>4</v>
      </c>
      <c r="BZ490">
        <v>2021</v>
      </c>
      <c r="CA490" s="5">
        <f t="shared" si="161"/>
        <v>44294</v>
      </c>
      <c r="CB490">
        <v>98</v>
      </c>
      <c r="CC490" s="7">
        <v>7</v>
      </c>
      <c r="CE490">
        <f t="shared" si="155"/>
        <v>2.1647624774503904</v>
      </c>
      <c r="CF490">
        <f t="shared" si="156"/>
        <v>2.5966183574879222</v>
      </c>
      <c r="CG490">
        <f t="shared" si="166"/>
        <v>2.6543209876543208E-2</v>
      </c>
      <c r="CH490">
        <f t="shared" si="167"/>
        <v>4.2651119975452598</v>
      </c>
      <c r="CI490">
        <f t="shared" si="168"/>
        <v>1.1183048852266031</v>
      </c>
      <c r="CJ490" s="1">
        <f t="shared" si="164"/>
        <v>1.8246027074749847</v>
      </c>
      <c r="CK490" s="7" t="s">
        <v>142</v>
      </c>
      <c r="CL490" s="7">
        <v>3</v>
      </c>
      <c r="CM490" s="7"/>
      <c r="CN490" s="7"/>
      <c r="CO490" s="7"/>
      <c r="CP490" s="7"/>
      <c r="CQ490" s="12">
        <v>9.7000000000000003E-3</v>
      </c>
      <c r="CR490">
        <f>CQ490/(H490-I490-J490-N490)*1000</f>
        <v>3.1668299053215803</v>
      </c>
      <c r="CT490">
        <v>87.370560722560555</v>
      </c>
      <c r="CU490">
        <v>131.41704394389541</v>
      </c>
    </row>
    <row r="491" spans="1:99" x14ac:dyDescent="0.2">
      <c r="A491" s="7" t="s">
        <v>807</v>
      </c>
      <c r="B491" s="7" t="s">
        <v>112</v>
      </c>
      <c r="C491" t="str">
        <f t="shared" si="157"/>
        <v>I</v>
      </c>
      <c r="D491" t="str">
        <f t="shared" si="158"/>
        <v>IMM</v>
      </c>
      <c r="E491" t="str">
        <f t="shared" si="159"/>
        <v>G</v>
      </c>
      <c r="F491" s="7">
        <v>61</v>
      </c>
      <c r="G491" s="7">
        <v>56</v>
      </c>
      <c r="H491" s="7">
        <v>3.1059999999999999</v>
      </c>
      <c r="I491" s="7">
        <v>7.6999999999999999E-2</v>
      </c>
      <c r="J491" s="7">
        <v>6.3E-2</v>
      </c>
      <c r="K491" s="7" t="s">
        <v>24</v>
      </c>
      <c r="L491" t="str">
        <f t="shared" si="160"/>
        <v>F</v>
      </c>
      <c r="M491" s="7">
        <v>22</v>
      </c>
      <c r="N491" s="7">
        <v>0.16400000000000001</v>
      </c>
      <c r="O491" s="7">
        <v>0.156</v>
      </c>
      <c r="P491" s="7" t="s">
        <v>830</v>
      </c>
      <c r="Q491" t="str">
        <f t="shared" si="165"/>
        <v>F</v>
      </c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N491" s="7"/>
      <c r="AO491" s="7"/>
      <c r="AP491" s="7"/>
      <c r="AQ491" s="7"/>
      <c r="AR491" s="7"/>
      <c r="AS491" s="7"/>
      <c r="AT491" s="7"/>
      <c r="AU491" s="7"/>
      <c r="AV491" s="7"/>
      <c r="AW491" s="7"/>
      <c r="AX491" s="7"/>
      <c r="AY491" s="7"/>
      <c r="AZ491" s="7"/>
      <c r="BA491" s="7"/>
      <c r="BB491" s="7"/>
      <c r="BC491" s="7"/>
      <c r="BD491" s="7">
        <v>2</v>
      </c>
      <c r="BE491" s="7">
        <v>1E-3</v>
      </c>
      <c r="BF491" s="7"/>
      <c r="BG491" s="7"/>
      <c r="BH491" s="7"/>
      <c r="BI491" s="7"/>
      <c r="BJ491" s="7"/>
      <c r="BK491" s="7"/>
      <c r="BL491" s="7"/>
      <c r="BM491" s="7"/>
      <c r="BN491" s="7"/>
      <c r="BO491" s="7"/>
      <c r="BP491" s="7"/>
      <c r="BQ491" s="7"/>
      <c r="BR491" s="7"/>
      <c r="BS491" s="7"/>
      <c r="BT491" s="7"/>
      <c r="BU491" s="7"/>
      <c r="BV491" s="7">
        <v>1E-3</v>
      </c>
      <c r="BW491" s="5">
        <v>44412</v>
      </c>
      <c r="BX491" s="7">
        <v>8</v>
      </c>
      <c r="BY491">
        <v>4</v>
      </c>
      <c r="BZ491">
        <v>2021</v>
      </c>
      <c r="CA491" s="5">
        <f t="shared" si="161"/>
        <v>44294</v>
      </c>
      <c r="CB491">
        <v>98</v>
      </c>
      <c r="CC491" s="7">
        <v>7</v>
      </c>
      <c r="CE491">
        <f t="shared" si="155"/>
        <v>2.0703253368386463</v>
      </c>
      <c r="CF491">
        <f t="shared" si="156"/>
        <v>2.5420931000330143</v>
      </c>
      <c r="CG491">
        <f t="shared" si="166"/>
        <v>2.596089008766015E-2</v>
      </c>
      <c r="CH491">
        <f t="shared" si="167"/>
        <v>5.28813559322034</v>
      </c>
      <c r="CI491">
        <f t="shared" si="168"/>
        <v>0.25756600128783025</v>
      </c>
      <c r="CJ491" s="1">
        <f t="shared" si="164"/>
        <v>0.289761751448809</v>
      </c>
      <c r="CK491" s="7" t="s">
        <v>142</v>
      </c>
      <c r="CL491" s="7">
        <v>3</v>
      </c>
      <c r="CM491" s="7"/>
      <c r="CN491" s="7"/>
      <c r="CO491" s="7"/>
      <c r="CP491" s="7"/>
    </row>
    <row r="492" spans="1:99" x14ac:dyDescent="0.2">
      <c r="A492" s="7" t="s">
        <v>808</v>
      </c>
      <c r="B492" s="7" t="s">
        <v>112</v>
      </c>
      <c r="C492" t="str">
        <f t="shared" si="157"/>
        <v>I</v>
      </c>
      <c r="D492" t="str">
        <f t="shared" si="158"/>
        <v>S</v>
      </c>
      <c r="E492" t="str">
        <f t="shared" si="159"/>
        <v>G</v>
      </c>
      <c r="F492" s="7">
        <v>65</v>
      </c>
      <c r="G492" s="7">
        <v>61</v>
      </c>
      <c r="H492" s="7">
        <v>3.4990000000000001</v>
      </c>
      <c r="I492" s="7">
        <v>8.2000000000000003E-2</v>
      </c>
      <c r="J492" s="7">
        <v>1.7000000000000001E-2</v>
      </c>
      <c r="K492" s="7" t="s">
        <v>38</v>
      </c>
      <c r="L492" t="str">
        <f t="shared" si="160"/>
        <v>M</v>
      </c>
      <c r="M492" s="7">
        <v>22</v>
      </c>
      <c r="N492" s="7">
        <v>0.21299999999999999</v>
      </c>
      <c r="O492" s="7">
        <v>0.183</v>
      </c>
      <c r="P492" s="7" t="s">
        <v>831</v>
      </c>
      <c r="Q492" t="str">
        <f t="shared" si="165"/>
        <v>F</v>
      </c>
      <c r="R492" s="7"/>
      <c r="S492" s="7"/>
      <c r="T492" s="7"/>
      <c r="U492" s="7">
        <v>1.6E-2</v>
      </c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  <c r="AN492" s="7"/>
      <c r="AO492" s="7"/>
      <c r="AP492" s="7"/>
      <c r="AQ492" s="7"/>
      <c r="AR492" s="7"/>
      <c r="AS492" s="7"/>
      <c r="AT492" s="7"/>
      <c r="AU492" s="7"/>
      <c r="AV492" s="7"/>
      <c r="AW492" s="7"/>
      <c r="AX492" s="7"/>
      <c r="AY492" s="7"/>
      <c r="AZ492" s="7"/>
      <c r="BA492" s="7"/>
      <c r="BB492" s="7"/>
      <c r="BC492" s="7"/>
      <c r="BD492" s="7"/>
      <c r="BE492" s="7"/>
      <c r="BF492" s="7"/>
      <c r="BG492" s="7"/>
      <c r="BH492" s="7"/>
      <c r="BI492" s="7"/>
      <c r="BJ492" s="7"/>
      <c r="BK492" s="7"/>
      <c r="BL492" s="7"/>
      <c r="BM492" s="7"/>
      <c r="BN492" s="7"/>
      <c r="BO492" s="7"/>
      <c r="BP492" s="7"/>
      <c r="BQ492" s="7"/>
      <c r="BR492" s="7"/>
      <c r="BS492" s="7"/>
      <c r="BT492" s="7"/>
      <c r="BU492" s="7"/>
      <c r="BV492" s="7">
        <v>1.6E-2</v>
      </c>
      <c r="BW492" s="5">
        <v>44412</v>
      </c>
      <c r="BX492" s="7">
        <v>8</v>
      </c>
      <c r="BY492">
        <v>4</v>
      </c>
      <c r="BZ492">
        <v>2021</v>
      </c>
      <c r="CA492" s="5">
        <f t="shared" si="161"/>
        <v>44294</v>
      </c>
      <c r="CB492">
        <v>98</v>
      </c>
      <c r="CC492" s="7">
        <v>7</v>
      </c>
      <c r="CE492">
        <f t="shared" si="155"/>
        <v>0.48822515795519816</v>
      </c>
      <c r="CF492">
        <f t="shared" si="156"/>
        <v>2.3997658764998535</v>
      </c>
      <c r="CG492">
        <f t="shared" si="166"/>
        <v>2.4117647058823528E-2</v>
      </c>
      <c r="CH492">
        <f t="shared" si="167"/>
        <v>5.5186972255729794</v>
      </c>
      <c r="CI492">
        <f t="shared" si="168"/>
        <v>0.85738782509288369</v>
      </c>
      <c r="CJ492" s="1">
        <f t="shared" si="164"/>
        <v>1.3146613318090883</v>
      </c>
      <c r="CK492" s="7" t="s">
        <v>142</v>
      </c>
      <c r="CL492" s="7">
        <v>2</v>
      </c>
      <c r="CM492" s="7"/>
      <c r="CN492" s="7"/>
      <c r="CO492" s="7"/>
      <c r="CP492" s="7"/>
    </row>
    <row r="493" spans="1:99" x14ac:dyDescent="0.2">
      <c r="A493" s="7" t="s">
        <v>809</v>
      </c>
      <c r="B493" s="7" t="s">
        <v>112</v>
      </c>
      <c r="C493" t="str">
        <f t="shared" si="157"/>
        <v>S</v>
      </c>
      <c r="D493" t="str">
        <f t="shared" si="158"/>
        <v>IMM</v>
      </c>
      <c r="E493" t="str">
        <f t="shared" si="159"/>
        <v>G</v>
      </c>
      <c r="F493" s="7">
        <v>60</v>
      </c>
      <c r="G493" s="7">
        <v>56</v>
      </c>
      <c r="H493" s="7">
        <v>3.06</v>
      </c>
      <c r="I493" s="7">
        <v>5.8999999999999997E-2</v>
      </c>
      <c r="J493" s="7">
        <v>6.4000000000000001E-2</v>
      </c>
      <c r="K493" s="7" t="s">
        <v>786</v>
      </c>
      <c r="L493" t="str">
        <f t="shared" si="160"/>
        <v>F</v>
      </c>
      <c r="M493" s="7">
        <v>23</v>
      </c>
      <c r="N493" s="7">
        <v>0.126</v>
      </c>
      <c r="O493" s="7">
        <v>0.11700000000000001</v>
      </c>
      <c r="P493" s="7" t="s">
        <v>36</v>
      </c>
      <c r="Q493" t="str">
        <f t="shared" si="165"/>
        <v>MT</v>
      </c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N493" s="7"/>
      <c r="AO493" s="7"/>
      <c r="AP493" s="7"/>
      <c r="AQ493" s="7"/>
      <c r="AR493" s="7"/>
      <c r="AS493" s="7"/>
      <c r="AT493" s="7"/>
      <c r="AU493" s="7"/>
      <c r="AV493" s="7"/>
      <c r="AW493" s="7"/>
      <c r="AX493" s="7"/>
      <c r="AY493" s="7"/>
      <c r="AZ493" s="7"/>
      <c r="BA493" s="7"/>
      <c r="BB493" s="7"/>
      <c r="BC493" s="7"/>
      <c r="BD493" s="7"/>
      <c r="BE493" s="7"/>
      <c r="BF493" s="7"/>
      <c r="BG493" s="7"/>
      <c r="BH493" s="7"/>
      <c r="BI493" s="7"/>
      <c r="BJ493" s="7"/>
      <c r="BK493" s="7"/>
      <c r="BL493" s="7"/>
      <c r="BM493" s="7"/>
      <c r="BN493" s="7"/>
      <c r="BO493" s="7"/>
      <c r="BP493" s="7"/>
      <c r="BQ493" s="7"/>
      <c r="BR493" s="7"/>
      <c r="BS493" s="7"/>
      <c r="BT493" s="7"/>
      <c r="BU493" s="7"/>
      <c r="BW493" s="5">
        <v>44412</v>
      </c>
      <c r="BX493" s="7">
        <v>8</v>
      </c>
      <c r="BY493">
        <v>4</v>
      </c>
      <c r="BZ493">
        <v>2021</v>
      </c>
      <c r="CA493" s="5">
        <f t="shared" si="161"/>
        <v>44294</v>
      </c>
      <c r="CB493">
        <v>98</v>
      </c>
      <c r="CC493" s="7">
        <v>7</v>
      </c>
      <c r="CE493">
        <f t="shared" si="155"/>
        <v>2.1361815754339117</v>
      </c>
      <c r="CF493">
        <f t="shared" si="156"/>
        <v>1.9660113295568142</v>
      </c>
      <c r="CG493">
        <f t="shared" si="166"/>
        <v>2.0088525706503234E-2</v>
      </c>
      <c r="CH493">
        <f t="shared" si="167"/>
        <v>3.9755351681957185</v>
      </c>
      <c r="CI493">
        <f t="shared" si="168"/>
        <v>0.29411764705882337</v>
      </c>
      <c r="CJ493" s="1">
        <f t="shared" si="164"/>
        <v>0.29411764705882337</v>
      </c>
      <c r="CK493" s="7" t="s">
        <v>142</v>
      </c>
      <c r="CL493" s="7">
        <v>2</v>
      </c>
      <c r="CM493" s="7"/>
      <c r="CN493" s="7"/>
      <c r="CO493" s="7"/>
      <c r="CP493" s="7"/>
    </row>
    <row r="494" spans="1:99" x14ac:dyDescent="0.2">
      <c r="A494" s="7" t="s">
        <v>810</v>
      </c>
      <c r="B494" s="7" t="s">
        <v>112</v>
      </c>
      <c r="C494" t="str">
        <f t="shared" si="157"/>
        <v>I</v>
      </c>
      <c r="D494" t="str">
        <f t="shared" si="158"/>
        <v>IMM</v>
      </c>
      <c r="E494" t="str">
        <f t="shared" si="159"/>
        <v>G</v>
      </c>
      <c r="F494" s="7">
        <v>61</v>
      </c>
      <c r="G494" s="7">
        <v>57</v>
      </c>
      <c r="H494" s="7">
        <v>2.8809999999999998</v>
      </c>
      <c r="I494" s="7">
        <v>6.7000000000000004E-2</v>
      </c>
      <c r="J494" s="7">
        <v>5.8999999999999997E-2</v>
      </c>
      <c r="K494" s="7" t="s">
        <v>786</v>
      </c>
      <c r="L494" t="str">
        <f t="shared" si="160"/>
        <v>F</v>
      </c>
      <c r="M494" s="7">
        <v>23</v>
      </c>
      <c r="N494" s="7">
        <v>0.114</v>
      </c>
      <c r="O494" s="7">
        <v>0.109</v>
      </c>
      <c r="P494" s="7" t="s">
        <v>36</v>
      </c>
      <c r="Q494" t="str">
        <f t="shared" si="165"/>
        <v>MT</v>
      </c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  <c r="AN494" s="7"/>
      <c r="AO494" s="7"/>
      <c r="AP494" s="7"/>
      <c r="AQ494" s="7"/>
      <c r="AR494" s="7"/>
      <c r="AS494" s="7"/>
      <c r="AT494" s="7"/>
      <c r="AU494" s="7"/>
      <c r="AV494" s="7"/>
      <c r="AW494" s="7"/>
      <c r="AX494" s="7"/>
      <c r="AY494" s="7"/>
      <c r="AZ494" s="7"/>
      <c r="BA494" s="7"/>
      <c r="BB494" s="7"/>
      <c r="BC494" s="7"/>
      <c r="BD494" s="7"/>
      <c r="BE494" s="7"/>
      <c r="BF494" s="7"/>
      <c r="BG494" s="7"/>
      <c r="BH494" s="7"/>
      <c r="BI494" s="7"/>
      <c r="BJ494" s="7"/>
      <c r="BK494" s="7"/>
      <c r="BL494" s="7"/>
      <c r="BM494" s="7"/>
      <c r="BN494" s="7"/>
      <c r="BO494" s="7"/>
      <c r="BP494" s="7"/>
      <c r="BQ494" s="7"/>
      <c r="BR494" s="7"/>
      <c r="BS494" s="7"/>
      <c r="BT494" s="7"/>
      <c r="BU494" s="7"/>
      <c r="BW494" s="5">
        <v>44412</v>
      </c>
      <c r="BX494" s="7">
        <v>8</v>
      </c>
      <c r="BY494">
        <v>4</v>
      </c>
      <c r="BZ494">
        <v>2021</v>
      </c>
      <c r="CA494" s="5">
        <f t="shared" si="161"/>
        <v>44294</v>
      </c>
      <c r="CB494">
        <v>98</v>
      </c>
      <c r="CC494" s="7">
        <v>7</v>
      </c>
      <c r="CE494">
        <f t="shared" si="155"/>
        <v>2.0907158043940468</v>
      </c>
      <c r="CF494">
        <f t="shared" si="156"/>
        <v>2.3809523809523814</v>
      </c>
      <c r="CG494">
        <f t="shared" si="166"/>
        <v>2.4319419237749551E-2</v>
      </c>
      <c r="CH494">
        <f t="shared" si="167"/>
        <v>3.9321789321789327</v>
      </c>
      <c r="CI494">
        <f t="shared" si="168"/>
        <v>0.17355085039916712</v>
      </c>
      <c r="CJ494" s="1">
        <f t="shared" si="164"/>
        <v>0.17355085039916712</v>
      </c>
      <c r="CK494" s="7" t="s">
        <v>142</v>
      </c>
      <c r="CL494" s="7">
        <v>2</v>
      </c>
      <c r="CM494" s="7"/>
      <c r="CN494" s="7"/>
      <c r="CO494" s="7"/>
      <c r="CP494" s="7"/>
      <c r="CQ494" s="12">
        <v>5.4000000000000003E-3</v>
      </c>
      <c r="CR494">
        <f>CQ494/(H494-I494-J494-N494)*1000</f>
        <v>2.0446800454373348</v>
      </c>
      <c r="CT494">
        <v>93.773273181667861</v>
      </c>
      <c r="CU494">
        <v>120.33812646818761</v>
      </c>
    </row>
    <row r="495" spans="1:99" x14ac:dyDescent="0.2">
      <c r="A495" s="7" t="s">
        <v>1002</v>
      </c>
      <c r="B495" s="7" t="s">
        <v>112</v>
      </c>
      <c r="C495" t="str">
        <f t="shared" si="157"/>
        <v>I</v>
      </c>
      <c r="D495" t="str">
        <f t="shared" si="158"/>
        <v>B</v>
      </c>
      <c r="E495" t="str">
        <f t="shared" si="159"/>
        <v>N</v>
      </c>
      <c r="F495" s="7">
        <v>115</v>
      </c>
      <c r="G495" s="7">
        <v>109</v>
      </c>
      <c r="H495" s="7">
        <v>26.321000000000002</v>
      </c>
      <c r="I495" s="7">
        <v>0.48699999999999999</v>
      </c>
      <c r="J495" s="7">
        <v>0.21299999999999999</v>
      </c>
      <c r="K495" s="7" t="s">
        <v>868</v>
      </c>
      <c r="L495" t="str">
        <f t="shared" si="160"/>
        <v>M</v>
      </c>
      <c r="M495" s="7">
        <v>30</v>
      </c>
      <c r="N495" s="7">
        <v>1.446</v>
      </c>
      <c r="O495" s="7">
        <v>1.42</v>
      </c>
      <c r="P495" s="7" t="s">
        <v>36</v>
      </c>
      <c r="Q495" t="str">
        <f t="shared" si="165"/>
        <v>MT</v>
      </c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  <c r="AN495" s="7"/>
      <c r="AO495" s="7"/>
      <c r="AP495" s="7"/>
      <c r="AQ495" s="7"/>
      <c r="AR495" s="7"/>
      <c r="AS495" s="7"/>
      <c r="AT495" s="7"/>
      <c r="AU495" s="7"/>
      <c r="AV495" s="7"/>
      <c r="AW495" s="7"/>
      <c r="AX495" s="7"/>
      <c r="AY495" s="7"/>
      <c r="AZ495" s="7"/>
      <c r="BA495" s="7"/>
      <c r="BB495" s="7"/>
      <c r="BC495" s="7"/>
      <c r="BD495" s="7"/>
      <c r="BE495" s="7"/>
      <c r="BF495" s="7"/>
      <c r="BG495" s="7"/>
      <c r="BH495" s="7"/>
      <c r="BI495" s="7"/>
      <c r="BJ495" s="7"/>
      <c r="BK495" s="7"/>
      <c r="BL495" s="7"/>
      <c r="BM495" s="7"/>
      <c r="BN495" s="7"/>
      <c r="BO495" s="7"/>
      <c r="BP495" s="7"/>
      <c r="BQ495" s="7"/>
      <c r="BR495" s="7"/>
      <c r="BS495" s="7"/>
      <c r="BT495" s="7"/>
      <c r="BU495" s="7"/>
      <c r="BW495" s="5">
        <v>44352</v>
      </c>
      <c r="BX495">
        <v>6</v>
      </c>
      <c r="BY495">
        <v>5</v>
      </c>
      <c r="BZ495">
        <v>2021</v>
      </c>
      <c r="CA495" s="5">
        <f t="shared" si="161"/>
        <v>44322</v>
      </c>
      <c r="CB495">
        <v>126</v>
      </c>
      <c r="CC495" s="7">
        <v>9</v>
      </c>
      <c r="CE495">
        <f t="shared" si="155"/>
        <v>0.81584188754404774</v>
      </c>
      <c r="CF495">
        <f t="shared" si="156"/>
        <v>1.8851126422543933</v>
      </c>
      <c r="CG495">
        <f t="shared" si="166"/>
        <v>1.9007845127044218E-2</v>
      </c>
      <c r="CH495">
        <f t="shared" si="167"/>
        <v>5.702582225613428</v>
      </c>
      <c r="CI495">
        <f t="shared" si="168"/>
        <v>9.8780441472588507E-2</v>
      </c>
      <c r="CJ495" s="1">
        <f t="shared" si="164"/>
        <v>9.8780441472588507E-2</v>
      </c>
      <c r="CK495" s="7" t="s">
        <v>142</v>
      </c>
      <c r="CL495" s="7">
        <v>3</v>
      </c>
      <c r="CM495" s="7"/>
      <c r="CN495" s="7"/>
      <c r="CO495" s="7"/>
      <c r="CP495" s="7"/>
    </row>
    <row r="496" spans="1:99" x14ac:dyDescent="0.2">
      <c r="A496" s="7" t="s">
        <v>1003</v>
      </c>
      <c r="B496" s="7" t="s">
        <v>112</v>
      </c>
      <c r="C496" t="str">
        <f t="shared" si="157"/>
        <v>I</v>
      </c>
      <c r="D496" t="str">
        <f t="shared" si="158"/>
        <v>S</v>
      </c>
      <c r="E496" t="str">
        <f t="shared" si="159"/>
        <v>G</v>
      </c>
      <c r="F496" s="7">
        <v>67</v>
      </c>
      <c r="G496" s="7">
        <v>64</v>
      </c>
      <c r="H496" s="7">
        <v>4.875</v>
      </c>
      <c r="I496" s="7">
        <v>0.17100000000000001</v>
      </c>
      <c r="J496" s="7">
        <v>0.313</v>
      </c>
      <c r="K496" s="7" t="s">
        <v>867</v>
      </c>
      <c r="L496" t="str">
        <f t="shared" si="160"/>
        <v>F</v>
      </c>
      <c r="M496" s="7">
        <v>30</v>
      </c>
      <c r="N496" s="7">
        <v>0.25800000000000001</v>
      </c>
      <c r="O496" s="7">
        <v>0.23699999999999999</v>
      </c>
      <c r="P496" s="7" t="s">
        <v>36</v>
      </c>
      <c r="Q496" t="str">
        <f t="shared" si="165"/>
        <v>MT</v>
      </c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  <c r="AN496" s="7"/>
      <c r="AO496" s="7"/>
      <c r="AP496" s="7"/>
      <c r="AQ496" s="7"/>
      <c r="AR496" s="7"/>
      <c r="AS496" s="7"/>
      <c r="AT496" s="7"/>
      <c r="AU496" s="7"/>
      <c r="AV496" s="7"/>
      <c r="AW496" s="7"/>
      <c r="AX496" s="7"/>
      <c r="AY496" s="7"/>
      <c r="AZ496" s="7"/>
      <c r="BA496" s="7"/>
      <c r="BB496" s="7"/>
      <c r="BC496" s="7"/>
      <c r="BD496" s="7"/>
      <c r="BE496" s="7"/>
      <c r="BF496" s="7"/>
      <c r="BG496" s="7"/>
      <c r="BH496" s="7"/>
      <c r="BI496" s="7"/>
      <c r="BJ496" s="7"/>
      <c r="BK496" s="7"/>
      <c r="BL496" s="7"/>
      <c r="BM496" s="7"/>
      <c r="BN496" s="7"/>
      <c r="BO496" s="7"/>
      <c r="BP496" s="7"/>
      <c r="BQ496" s="7"/>
      <c r="BR496" s="7"/>
      <c r="BS496" s="7"/>
      <c r="BT496" s="7"/>
      <c r="BU496" s="7"/>
      <c r="BW496" s="5">
        <v>44352</v>
      </c>
      <c r="BX496">
        <v>6</v>
      </c>
      <c r="BY496">
        <v>5</v>
      </c>
      <c r="BZ496">
        <v>2021</v>
      </c>
      <c r="CA496" s="5">
        <f t="shared" si="161"/>
        <v>44322</v>
      </c>
      <c r="CB496">
        <v>126</v>
      </c>
      <c r="CC496" s="7">
        <v>9</v>
      </c>
      <c r="CE496">
        <f t="shared" si="155"/>
        <v>6.8610258658483119</v>
      </c>
      <c r="CF496">
        <f t="shared" si="156"/>
        <v>3.6352040816326534</v>
      </c>
      <c r="CG496">
        <f t="shared" si="166"/>
        <v>3.8943293099521749E-2</v>
      </c>
      <c r="CH496">
        <f t="shared" si="167"/>
        <v>5.1099611901681756</v>
      </c>
      <c r="CI496">
        <f t="shared" si="168"/>
        <v>0.43076923076923118</v>
      </c>
      <c r="CJ496" s="1">
        <f t="shared" si="164"/>
        <v>0.43076923076923118</v>
      </c>
      <c r="CK496" s="7" t="s">
        <v>142</v>
      </c>
      <c r="CL496" s="7">
        <v>3</v>
      </c>
      <c r="CM496" s="7">
        <v>0</v>
      </c>
      <c r="CN496" s="7">
        <v>26</v>
      </c>
      <c r="CO496" s="7">
        <v>9</v>
      </c>
      <c r="CP496" s="7">
        <v>0</v>
      </c>
      <c r="CQ496" s="12">
        <v>1.78E-2</v>
      </c>
      <c r="CR496">
        <f>CQ496/(H496-I496-J496-N496)*1000</f>
        <v>4.3067989353980156</v>
      </c>
      <c r="CS496">
        <v>6.3714773292294042</v>
      </c>
      <c r="CT496">
        <v>115.5565697244748</v>
      </c>
      <c r="CU496">
        <v>143.44772498019992</v>
      </c>
    </row>
    <row r="497" spans="1:99" x14ac:dyDescent="0.2">
      <c r="A497" s="7" t="s">
        <v>1004</v>
      </c>
      <c r="B497" s="7" t="s">
        <v>112</v>
      </c>
      <c r="C497" t="str">
        <f t="shared" si="157"/>
        <v>I</v>
      </c>
      <c r="D497" t="str">
        <f t="shared" si="158"/>
        <v>S</v>
      </c>
      <c r="E497" t="str">
        <f t="shared" si="159"/>
        <v>G</v>
      </c>
      <c r="F497" s="7">
        <v>70</v>
      </c>
      <c r="G497" s="7">
        <v>67</v>
      </c>
      <c r="H497" s="7">
        <v>5.7030000000000003</v>
      </c>
      <c r="I497" s="7">
        <v>0.111</v>
      </c>
      <c r="J497" s="7">
        <v>7.5999999999999998E-2</v>
      </c>
      <c r="K497" s="7" t="s">
        <v>868</v>
      </c>
      <c r="L497" t="str">
        <f t="shared" si="160"/>
        <v>M</v>
      </c>
      <c r="M497" s="7">
        <v>30</v>
      </c>
      <c r="N497" s="7">
        <v>0.40100000000000002</v>
      </c>
      <c r="O497" s="7">
        <v>0.37</v>
      </c>
      <c r="P497" s="7" t="s">
        <v>537</v>
      </c>
      <c r="Q497" t="str">
        <f t="shared" si="165"/>
        <v>F</v>
      </c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N497" s="7"/>
      <c r="AO497" s="7"/>
      <c r="AP497" s="7"/>
      <c r="AQ497" s="7"/>
      <c r="AR497" s="7"/>
      <c r="AS497" s="7"/>
      <c r="AT497" s="7"/>
      <c r="AU497" s="7"/>
      <c r="AV497" s="7">
        <v>5</v>
      </c>
      <c r="AW497" s="7">
        <v>1.9E-2</v>
      </c>
      <c r="AX497" s="7"/>
      <c r="AY497" s="7"/>
      <c r="AZ497" s="7"/>
      <c r="BA497" s="7"/>
      <c r="BB497" s="7"/>
      <c r="BC497" s="7"/>
      <c r="BD497" s="7"/>
      <c r="BE497" s="7"/>
      <c r="BF497" s="7"/>
      <c r="BG497" s="7"/>
      <c r="BH497" s="7"/>
      <c r="BI497" s="7"/>
      <c r="BJ497" s="7"/>
      <c r="BK497" s="7"/>
      <c r="BL497" s="7"/>
      <c r="BM497" s="7"/>
      <c r="BN497" s="7"/>
      <c r="BO497" s="7"/>
      <c r="BP497" s="7"/>
      <c r="BQ497" s="7"/>
      <c r="BR497" s="7"/>
      <c r="BS497" s="7"/>
      <c r="BT497" s="7"/>
      <c r="BU497" s="7"/>
      <c r="BV497" s="7">
        <v>1.9E-2</v>
      </c>
      <c r="BW497" s="5">
        <v>44413</v>
      </c>
      <c r="BX497" s="7">
        <v>8</v>
      </c>
      <c r="BY497">
        <v>5</v>
      </c>
      <c r="BZ497">
        <v>2021</v>
      </c>
      <c r="CA497" s="5">
        <f t="shared" si="161"/>
        <v>44324</v>
      </c>
      <c r="CB497">
        <v>128</v>
      </c>
      <c r="CC497" s="7">
        <v>9</v>
      </c>
      <c r="CE497">
        <f t="shared" si="155"/>
        <v>1.3506308867958057</v>
      </c>
      <c r="CF497">
        <f t="shared" si="156"/>
        <v>1.984978540772532</v>
      </c>
      <c r="CG497">
        <f t="shared" si="166"/>
        <v>2.0123277737490931E-2</v>
      </c>
      <c r="CH497">
        <f t="shared" si="167"/>
        <v>6.9379336208513029</v>
      </c>
      <c r="CI497">
        <f t="shared" si="168"/>
        <v>0.54357355777660921</v>
      </c>
      <c r="CJ497" s="1">
        <f t="shared" si="164"/>
        <v>0.87673154480098248</v>
      </c>
      <c r="CK497" s="7" t="s">
        <v>142</v>
      </c>
      <c r="CL497" s="7">
        <v>3</v>
      </c>
      <c r="CM497" s="7"/>
      <c r="CN497" s="7"/>
      <c r="CO497" s="7"/>
      <c r="CP497" s="7"/>
    </row>
    <row r="498" spans="1:99" x14ac:dyDescent="0.2">
      <c r="A498" s="7" t="s">
        <v>1005</v>
      </c>
      <c r="B498" s="7" t="s">
        <v>112</v>
      </c>
      <c r="C498" t="str">
        <f t="shared" si="157"/>
        <v>I</v>
      </c>
      <c r="D498" t="str">
        <f t="shared" si="158"/>
        <v>S</v>
      </c>
      <c r="E498" t="str">
        <f t="shared" si="159"/>
        <v>G</v>
      </c>
      <c r="F498" s="7">
        <v>73</v>
      </c>
      <c r="G498" s="7">
        <v>70</v>
      </c>
      <c r="H498" s="7">
        <v>6.6379999999999999</v>
      </c>
      <c r="I498" s="7">
        <v>8.6999999999999994E-2</v>
      </c>
      <c r="J498" s="7">
        <v>0.127</v>
      </c>
      <c r="K498" s="7" t="s">
        <v>868</v>
      </c>
      <c r="L498" t="str">
        <f t="shared" si="160"/>
        <v>M</v>
      </c>
      <c r="M498" s="7">
        <v>30</v>
      </c>
      <c r="N498" s="7">
        <v>0.40799999999999997</v>
      </c>
      <c r="O498" s="7">
        <v>0.378</v>
      </c>
      <c r="P498" s="7" t="s">
        <v>1011</v>
      </c>
      <c r="Q498" t="str">
        <f t="shared" si="165"/>
        <v>F</v>
      </c>
      <c r="R498" s="7"/>
      <c r="S498" s="7"/>
      <c r="T498" s="7">
        <v>10</v>
      </c>
      <c r="U498" s="7">
        <v>1.4999999999999999E-2</v>
      </c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  <c r="AN498" s="7"/>
      <c r="AO498" s="7"/>
      <c r="AP498" s="7"/>
      <c r="AQ498" s="7"/>
      <c r="AR498" s="7"/>
      <c r="AS498" s="7"/>
      <c r="AT498" s="7"/>
      <c r="AU498" s="7"/>
      <c r="AV498" s="7"/>
      <c r="AW498" s="7"/>
      <c r="AX498" s="7"/>
      <c r="AY498" s="7"/>
      <c r="AZ498" s="7"/>
      <c r="BA498" s="7"/>
      <c r="BB498" s="7"/>
      <c r="BC498" s="7"/>
      <c r="BD498" s="7"/>
      <c r="BE498" s="7"/>
      <c r="BF498" s="7"/>
      <c r="BG498" s="7"/>
      <c r="BH498" s="7"/>
      <c r="BI498" s="7"/>
      <c r="BJ498" s="7"/>
      <c r="BK498" s="7"/>
      <c r="BL498" s="7"/>
      <c r="BM498" s="7"/>
      <c r="BN498" s="7"/>
      <c r="BO498" s="7"/>
      <c r="BP498" s="7"/>
      <c r="BQ498" s="7"/>
      <c r="BR498" s="7"/>
      <c r="BS498" s="7"/>
      <c r="BT498" s="7"/>
      <c r="BU498" s="7"/>
      <c r="BV498" s="7">
        <v>1.4999999999999999E-2</v>
      </c>
      <c r="BW498" s="5">
        <v>44413</v>
      </c>
      <c r="BX498" s="7">
        <v>8</v>
      </c>
      <c r="BY498">
        <v>5</v>
      </c>
      <c r="BZ498">
        <v>2021</v>
      </c>
      <c r="CA498" s="5">
        <f t="shared" si="161"/>
        <v>44324</v>
      </c>
      <c r="CB498">
        <v>128</v>
      </c>
      <c r="CC498" s="7">
        <v>9</v>
      </c>
      <c r="CE498">
        <f t="shared" si="155"/>
        <v>1.9505452311472893</v>
      </c>
      <c r="CF498">
        <f t="shared" si="156"/>
        <v>1.328041520378568</v>
      </c>
      <c r="CG498">
        <f t="shared" si="166"/>
        <v>1.3542963885429637E-2</v>
      </c>
      <c r="CH498">
        <f t="shared" si="167"/>
        <v>6.0383386581469658</v>
      </c>
      <c r="CI498">
        <f t="shared" si="168"/>
        <v>0.45194335643265998</v>
      </c>
      <c r="CJ498" s="1">
        <f t="shared" si="164"/>
        <v>0.67791503464899017</v>
      </c>
      <c r="CK498" s="7" t="s">
        <v>142</v>
      </c>
      <c r="CL498" s="7">
        <v>2</v>
      </c>
      <c r="CM498" s="7"/>
      <c r="CN498" s="7"/>
      <c r="CO498" s="7"/>
      <c r="CP498" s="7"/>
    </row>
    <row r="499" spans="1:99" x14ac:dyDescent="0.2">
      <c r="A499" s="7" t="s">
        <v>1006</v>
      </c>
      <c r="B499" s="7" t="s">
        <v>112</v>
      </c>
      <c r="C499" t="str">
        <f t="shared" si="157"/>
        <v>I</v>
      </c>
      <c r="D499" t="str">
        <f t="shared" si="158"/>
        <v>S</v>
      </c>
      <c r="E499" t="str">
        <f t="shared" si="159"/>
        <v>G</v>
      </c>
      <c r="F499" s="7">
        <v>70</v>
      </c>
      <c r="G499" s="7">
        <v>67</v>
      </c>
      <c r="H499" s="7">
        <v>5.5030000000000001</v>
      </c>
      <c r="I499" s="7">
        <v>0.27200000000000002</v>
      </c>
      <c r="J499" s="7">
        <v>0.57699999999999996</v>
      </c>
      <c r="K499" s="7" t="s">
        <v>867</v>
      </c>
      <c r="L499" t="str">
        <f t="shared" si="160"/>
        <v>F</v>
      </c>
      <c r="M499" s="7">
        <v>30</v>
      </c>
      <c r="N499" s="7">
        <v>0.28100000000000003</v>
      </c>
      <c r="O499" s="7">
        <v>0.27400000000000002</v>
      </c>
      <c r="P499" s="7" t="s">
        <v>36</v>
      </c>
      <c r="Q499" t="str">
        <f t="shared" si="165"/>
        <v>MT</v>
      </c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  <c r="AN499" s="7"/>
      <c r="AO499" s="7"/>
      <c r="AP499" s="7"/>
      <c r="AQ499" s="7"/>
      <c r="AR499" s="7"/>
      <c r="AS499" s="7"/>
      <c r="AT499" s="7"/>
      <c r="AU499" s="7"/>
      <c r="AV499" s="7"/>
      <c r="AW499" s="7"/>
      <c r="AX499" s="7"/>
      <c r="AY499" s="7"/>
      <c r="AZ499" s="7"/>
      <c r="BA499" s="7"/>
      <c r="BB499" s="7"/>
      <c r="BC499" s="7"/>
      <c r="BD499" s="7"/>
      <c r="BE499" s="7"/>
      <c r="BF499" s="7"/>
      <c r="BG499" s="7"/>
      <c r="BH499" s="7"/>
      <c r="BI499" s="7"/>
      <c r="BJ499" s="7"/>
      <c r="BK499" s="7"/>
      <c r="BL499" s="7"/>
      <c r="BM499" s="7"/>
      <c r="BN499" s="7"/>
      <c r="BO499" s="7"/>
      <c r="BP499" s="7"/>
      <c r="BQ499" s="7"/>
      <c r="BR499" s="7"/>
      <c r="BS499" s="7"/>
      <c r="BT499" s="7"/>
      <c r="BU499" s="7"/>
      <c r="BW499" s="5">
        <v>44413</v>
      </c>
      <c r="BX499" s="7">
        <v>8</v>
      </c>
      <c r="BY499">
        <v>5</v>
      </c>
      <c r="BZ499">
        <v>2021</v>
      </c>
      <c r="CA499" s="5">
        <f t="shared" si="161"/>
        <v>44324</v>
      </c>
      <c r="CB499">
        <v>128</v>
      </c>
      <c r="CC499" s="7">
        <v>9</v>
      </c>
      <c r="CE499">
        <f t="shared" si="155"/>
        <v>11.713357693869265</v>
      </c>
      <c r="CF499">
        <f t="shared" si="156"/>
        <v>5.199770598355955</v>
      </c>
      <c r="CG499">
        <f t="shared" si="166"/>
        <v>5.8444348947142247E-2</v>
      </c>
      <c r="CH499">
        <f t="shared" si="167"/>
        <v>5.2400076496462038</v>
      </c>
      <c r="CI499">
        <f t="shared" si="168"/>
        <v>0.12720334363074698</v>
      </c>
      <c r="CJ499" s="1">
        <f t="shared" si="164"/>
        <v>0.12720334363074698</v>
      </c>
      <c r="CK499" s="7" t="s">
        <v>142</v>
      </c>
      <c r="CL499" s="7">
        <v>3</v>
      </c>
      <c r="CM499" s="7">
        <v>0</v>
      </c>
      <c r="CN499" s="7">
        <v>32</v>
      </c>
      <c r="CO499" s="7">
        <v>11</v>
      </c>
      <c r="CP499" s="7">
        <v>0</v>
      </c>
      <c r="CQ499" s="12">
        <v>1.61E-2</v>
      </c>
      <c r="CR499">
        <f>CQ499/(H499-I499-J499-N499)*1000</f>
        <v>3.6816830551109074</v>
      </c>
      <c r="CS499">
        <v>9.3724582078287035</v>
      </c>
      <c r="CT499">
        <v>108.83269270913956</v>
      </c>
      <c r="CU499">
        <v>174.74353013231078</v>
      </c>
    </row>
    <row r="500" spans="1:99" x14ac:dyDescent="0.2">
      <c r="A500" s="7" t="s">
        <v>1007</v>
      </c>
      <c r="B500" s="7" t="s">
        <v>112</v>
      </c>
      <c r="C500" t="str">
        <f t="shared" si="157"/>
        <v>I</v>
      </c>
      <c r="D500" t="str">
        <f t="shared" si="158"/>
        <v>S</v>
      </c>
      <c r="E500" t="str">
        <f t="shared" si="159"/>
        <v>G</v>
      </c>
      <c r="F500" s="7">
        <v>69</v>
      </c>
      <c r="G500" s="7">
        <v>65</v>
      </c>
      <c r="H500" s="7">
        <v>4.8769999999999998</v>
      </c>
      <c r="I500" s="7">
        <v>0.11899999999999999</v>
      </c>
      <c r="J500" s="7">
        <v>0.215</v>
      </c>
      <c r="K500" s="7" t="s">
        <v>867</v>
      </c>
      <c r="L500" t="str">
        <f t="shared" si="160"/>
        <v>F</v>
      </c>
      <c r="M500" s="7">
        <v>30</v>
      </c>
      <c r="N500" s="7">
        <v>0.371</v>
      </c>
      <c r="O500" s="7">
        <v>0.25700000000000001</v>
      </c>
      <c r="P500" s="7" t="s">
        <v>1012</v>
      </c>
      <c r="Q500" t="str">
        <f t="shared" si="165"/>
        <v>F</v>
      </c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  <c r="AN500" s="7"/>
      <c r="AO500" s="7"/>
      <c r="AP500" s="7"/>
      <c r="AQ500" s="7"/>
      <c r="AR500" s="7"/>
      <c r="AS500" s="7"/>
      <c r="AT500" s="7"/>
      <c r="AU500" s="7"/>
      <c r="AV500" s="7">
        <v>17</v>
      </c>
      <c r="AW500" s="7">
        <v>9.8000000000000004E-2</v>
      </c>
      <c r="AX500" s="7"/>
      <c r="AY500" s="7"/>
      <c r="AZ500" s="7"/>
      <c r="BA500" s="7"/>
      <c r="BB500" s="7"/>
      <c r="BC500" s="7"/>
      <c r="BD500" s="7"/>
      <c r="BE500" s="7"/>
      <c r="BF500" s="7"/>
      <c r="BG500" s="7"/>
      <c r="BH500" s="7"/>
      <c r="BI500" s="7"/>
      <c r="BJ500" s="7"/>
      <c r="BK500" s="7"/>
      <c r="BL500" s="7"/>
      <c r="BM500" s="7"/>
      <c r="BN500" s="7"/>
      <c r="BO500" s="7"/>
      <c r="BP500" s="7"/>
      <c r="BQ500" s="7"/>
      <c r="BR500" s="7"/>
      <c r="BS500" s="7"/>
      <c r="BT500" s="7"/>
      <c r="BU500" s="7"/>
      <c r="BV500" s="7">
        <v>9.8000000000000004E-2</v>
      </c>
      <c r="BW500" s="5">
        <v>44413</v>
      </c>
      <c r="BX500" s="7">
        <v>8</v>
      </c>
      <c r="BY500">
        <v>5</v>
      </c>
      <c r="BZ500">
        <v>2021</v>
      </c>
      <c r="CA500" s="5">
        <f t="shared" si="161"/>
        <v>44324</v>
      </c>
      <c r="CB500">
        <v>128</v>
      </c>
      <c r="CC500" s="7">
        <v>9</v>
      </c>
      <c r="CE500">
        <f t="shared" si="155"/>
        <v>4.6117546117546118</v>
      </c>
      <c r="CF500">
        <f t="shared" si="156"/>
        <v>2.5010508617065992</v>
      </c>
      <c r="CG500">
        <f t="shared" si="166"/>
        <v>2.6194144838212634E-2</v>
      </c>
      <c r="CH500">
        <f t="shared" si="167"/>
        <v>5.562770562770563</v>
      </c>
      <c r="CI500">
        <f t="shared" si="168"/>
        <v>2.3375025630510557</v>
      </c>
      <c r="CJ500" s="1">
        <f t="shared" si="164"/>
        <v>4.3469345909370514</v>
      </c>
      <c r="CK500" s="7" t="s">
        <v>142</v>
      </c>
      <c r="CL500" s="7">
        <v>3</v>
      </c>
      <c r="CM500" s="7">
        <v>0</v>
      </c>
      <c r="CN500" s="7">
        <v>58</v>
      </c>
      <c r="CO500" s="7">
        <v>18</v>
      </c>
      <c r="CP500" s="7">
        <v>0</v>
      </c>
      <c r="CQ500" s="12">
        <v>2.4500000000000001E-2</v>
      </c>
      <c r="CR500">
        <f>CQ500/(H500-I500-J500-N500)*1000</f>
        <v>5.872483221476509</v>
      </c>
      <c r="CS500">
        <v>6.3667010416644469</v>
      </c>
      <c r="CT500">
        <v>125.37822929939287</v>
      </c>
      <c r="CU500">
        <v>151.33007928978569</v>
      </c>
    </row>
    <row r="501" spans="1:99" x14ac:dyDescent="0.2">
      <c r="A501" s="7" t="s">
        <v>1008</v>
      </c>
      <c r="B501" s="7" t="s">
        <v>112</v>
      </c>
      <c r="C501" t="str">
        <f t="shared" si="157"/>
        <v>I</v>
      </c>
      <c r="D501" t="str">
        <f t="shared" si="158"/>
        <v>S</v>
      </c>
      <c r="E501" t="str">
        <f t="shared" si="159"/>
        <v>G</v>
      </c>
      <c r="F501" s="7">
        <v>68</v>
      </c>
      <c r="G501" s="7">
        <v>65</v>
      </c>
      <c r="H501" s="7">
        <v>4.9610000000000003</v>
      </c>
      <c r="I501" s="7">
        <v>0.14699999999999999</v>
      </c>
      <c r="J501" s="7">
        <v>0.28399999999999997</v>
      </c>
      <c r="K501" s="7" t="s">
        <v>867</v>
      </c>
      <c r="L501" t="str">
        <f t="shared" si="160"/>
        <v>F</v>
      </c>
      <c r="M501" s="7">
        <v>30</v>
      </c>
      <c r="N501" s="7">
        <v>0.33500000000000002</v>
      </c>
      <c r="O501" s="7">
        <v>0.30199999999999999</v>
      </c>
      <c r="P501" s="7" t="s">
        <v>1013</v>
      </c>
      <c r="Q501" t="str">
        <f t="shared" si="165"/>
        <v>F</v>
      </c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  <c r="AN501" s="7"/>
      <c r="AO501" s="7"/>
      <c r="AP501" s="7"/>
      <c r="AQ501" s="7"/>
      <c r="AR501" s="7"/>
      <c r="AS501" s="7"/>
      <c r="AT501" s="7"/>
      <c r="AU501" s="7"/>
      <c r="AV501" s="7">
        <v>6</v>
      </c>
      <c r="AW501" s="7">
        <v>0.02</v>
      </c>
      <c r="AX501" s="7"/>
      <c r="AY501" s="7"/>
      <c r="AZ501" s="7"/>
      <c r="BA501" s="7"/>
      <c r="BB501" s="7"/>
      <c r="BC501" s="7"/>
      <c r="BD501" s="7"/>
      <c r="BE501" s="7"/>
      <c r="BF501" s="7"/>
      <c r="BG501" s="7"/>
      <c r="BH501" s="7"/>
      <c r="BI501" s="7"/>
      <c r="BJ501" s="7"/>
      <c r="BK501" s="7"/>
      <c r="BL501" s="7"/>
      <c r="BM501" s="7"/>
      <c r="BN501" s="7"/>
      <c r="BO501" s="7"/>
      <c r="BP501" s="7"/>
      <c r="BQ501" s="7"/>
      <c r="BR501" s="7"/>
      <c r="BS501" s="7"/>
      <c r="BT501" s="7"/>
      <c r="BU501" s="7"/>
      <c r="BV501" s="7">
        <v>0.02</v>
      </c>
      <c r="BW501" s="5">
        <v>44413</v>
      </c>
      <c r="BX501" s="7">
        <v>8</v>
      </c>
      <c r="BY501">
        <v>5</v>
      </c>
      <c r="BZ501">
        <v>2021</v>
      </c>
      <c r="CA501" s="5">
        <f t="shared" si="161"/>
        <v>44324</v>
      </c>
      <c r="CB501">
        <v>128</v>
      </c>
      <c r="CC501" s="7">
        <v>9</v>
      </c>
      <c r="CE501">
        <f t="shared" si="155"/>
        <v>6.0722685482146659</v>
      </c>
      <c r="CF501">
        <f t="shared" si="156"/>
        <v>3.0535936850851679</v>
      </c>
      <c r="CG501">
        <f t="shared" si="166"/>
        <v>3.2450331125827812E-2</v>
      </c>
      <c r="CH501">
        <f t="shared" si="167"/>
        <v>6.4820776990770543</v>
      </c>
      <c r="CI501">
        <f t="shared" si="168"/>
        <v>0.66518847006651938</v>
      </c>
      <c r="CJ501" s="1">
        <f t="shared" si="164"/>
        <v>1.0683329973795612</v>
      </c>
      <c r="CK501" s="7" t="s">
        <v>142</v>
      </c>
      <c r="CL501" s="7">
        <v>3</v>
      </c>
      <c r="CM501" s="7"/>
      <c r="CN501" s="7"/>
      <c r="CO501" s="7"/>
      <c r="CP501" s="7"/>
      <c r="CQ501" s="12">
        <v>3.9199999999999999E-2</v>
      </c>
      <c r="CR501">
        <f>CQ501/(H501-I501-J501-N501)*1000</f>
        <v>9.3444576877234802</v>
      </c>
      <c r="CT501">
        <v>126.47405811685626</v>
      </c>
      <c r="CU501">
        <v>165.89201610059229</v>
      </c>
    </row>
    <row r="502" spans="1:99" x14ac:dyDescent="0.2">
      <c r="A502" s="7" t="s">
        <v>1107</v>
      </c>
      <c r="B502" s="7" t="s">
        <v>112</v>
      </c>
      <c r="C502" t="str">
        <f t="shared" si="157"/>
        <v>I</v>
      </c>
      <c r="D502" t="str">
        <f t="shared" si="158"/>
        <v>S</v>
      </c>
      <c r="E502" t="str">
        <f t="shared" si="159"/>
        <v>G</v>
      </c>
      <c r="F502" s="7">
        <v>76</v>
      </c>
      <c r="G502" s="7">
        <v>72</v>
      </c>
      <c r="H502" s="7">
        <v>8.4540000000000006</v>
      </c>
      <c r="I502" s="7">
        <v>0.33</v>
      </c>
      <c r="J502" s="7">
        <v>1.0580000000000001</v>
      </c>
      <c r="K502" s="7" t="s">
        <v>867</v>
      </c>
      <c r="L502" t="str">
        <f t="shared" si="160"/>
        <v>F</v>
      </c>
      <c r="M502" s="7">
        <v>30</v>
      </c>
      <c r="N502" s="7">
        <v>0.46200000000000002</v>
      </c>
      <c r="O502" s="7">
        <v>0.45400000000000001</v>
      </c>
      <c r="P502" s="7" t="s">
        <v>36</v>
      </c>
      <c r="Q502" t="str">
        <f t="shared" si="165"/>
        <v>MT</v>
      </c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  <c r="AN502" s="7"/>
      <c r="AO502" s="7"/>
      <c r="AP502" s="7"/>
      <c r="AQ502" s="7"/>
      <c r="AR502" s="7"/>
      <c r="AS502" s="7"/>
      <c r="AT502" s="7"/>
      <c r="AU502" s="7"/>
      <c r="AV502" s="7"/>
      <c r="AW502" s="7"/>
      <c r="AX502" s="7"/>
      <c r="AY502" s="7"/>
      <c r="AZ502" s="7"/>
      <c r="BA502" s="7"/>
      <c r="BB502" s="7"/>
      <c r="BC502" s="7"/>
      <c r="BD502" s="7"/>
      <c r="BE502" s="7"/>
      <c r="BF502" s="7"/>
      <c r="BG502" s="7"/>
      <c r="BH502" s="7"/>
      <c r="BI502" s="7"/>
      <c r="BJ502" s="7"/>
      <c r="BK502" s="7"/>
      <c r="BL502" s="7"/>
      <c r="BM502" s="7"/>
      <c r="BN502" s="7"/>
      <c r="BO502" s="7"/>
      <c r="BP502" s="7"/>
      <c r="BQ502" s="7"/>
      <c r="BR502" s="7"/>
      <c r="BS502" s="7"/>
      <c r="BT502" s="7"/>
      <c r="BU502" s="7"/>
      <c r="BW502" t="s">
        <v>1153</v>
      </c>
      <c r="BX502" t="str">
        <f t="shared" ref="BX502" si="169">LEFT(BW502,2)</f>
        <v>19</v>
      </c>
      <c r="BY502" t="str">
        <f>MID(BW502,4,1)</f>
        <v>5</v>
      </c>
      <c r="BZ502" t="str">
        <f t="shared" ref="BZ502" si="170">20&amp;RIGHT(BW502,2)</f>
        <v>2021</v>
      </c>
      <c r="CA502" s="5">
        <f t="shared" si="161"/>
        <v>44335</v>
      </c>
      <c r="CB502">
        <v>139</v>
      </c>
      <c r="CC502" s="7">
        <v>10</v>
      </c>
      <c r="CE502">
        <f t="shared" si="155"/>
        <v>14.305029745808545</v>
      </c>
      <c r="CF502">
        <f t="shared" si="156"/>
        <v>4.0620384047267351</v>
      </c>
      <c r="CG502">
        <f t="shared" si="166"/>
        <v>4.6702519105575997E-2</v>
      </c>
      <c r="CH502">
        <f t="shared" si="167"/>
        <v>5.6749999999999998</v>
      </c>
      <c r="CI502">
        <f t="shared" si="168"/>
        <v>9.4629761059853407E-2</v>
      </c>
      <c r="CJ502" s="1">
        <f t="shared" si="164"/>
        <v>9.4629761059853407E-2</v>
      </c>
      <c r="CK502" s="7" t="s">
        <v>142</v>
      </c>
      <c r="CL502" s="7">
        <v>3</v>
      </c>
      <c r="CM502" s="7"/>
      <c r="CN502" s="7"/>
      <c r="CO502" s="7"/>
      <c r="CP502" s="7"/>
      <c r="CQ502" s="12">
        <v>1.5800000000000002E-2</v>
      </c>
      <c r="CR502">
        <f>CQ502/(H502-I502-J502-N502)*1000</f>
        <v>2.3924894003634161</v>
      </c>
      <c r="CT502">
        <v>112.68734373264432</v>
      </c>
      <c r="CU502">
        <v>153.6411186691837</v>
      </c>
    </row>
    <row r="503" spans="1:99" x14ac:dyDescent="0.2">
      <c r="A503" s="7" t="s">
        <v>1108</v>
      </c>
      <c r="B503" s="7" t="s">
        <v>112</v>
      </c>
      <c r="C503" t="str">
        <f t="shared" si="157"/>
        <v>I</v>
      </c>
      <c r="D503" t="str">
        <f t="shared" si="158"/>
        <v>S</v>
      </c>
      <c r="E503" t="str">
        <f t="shared" si="159"/>
        <v>G</v>
      </c>
      <c r="F503" s="7">
        <v>67</v>
      </c>
      <c r="G503" s="7">
        <v>64</v>
      </c>
      <c r="H503" s="7">
        <v>5.819</v>
      </c>
      <c r="I503" s="7">
        <v>0.16700000000000001</v>
      </c>
      <c r="J503" s="7">
        <v>1.0640000000000001</v>
      </c>
      <c r="K503" s="7" t="s">
        <v>867</v>
      </c>
      <c r="L503" t="str">
        <f t="shared" si="160"/>
        <v>F</v>
      </c>
      <c r="M503" s="7">
        <v>30</v>
      </c>
      <c r="N503" s="7">
        <v>0.39</v>
      </c>
      <c r="O503" s="7">
        <v>0.32800000000000001</v>
      </c>
      <c r="P503" s="7" t="s">
        <v>1152</v>
      </c>
      <c r="Q503" t="str">
        <f t="shared" si="165"/>
        <v>F</v>
      </c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N503" s="7"/>
      <c r="AO503" s="7"/>
      <c r="AP503" s="7"/>
      <c r="AQ503" s="7"/>
      <c r="AR503" s="7"/>
      <c r="AS503" s="7"/>
      <c r="AT503" s="7"/>
      <c r="AU503" s="7"/>
      <c r="AV503" s="7">
        <v>6</v>
      </c>
      <c r="AW503" s="7">
        <v>3.2000000000000001E-2</v>
      </c>
      <c r="AX503" s="7"/>
      <c r="AY503" s="7"/>
      <c r="AZ503" s="7"/>
      <c r="BA503" s="7"/>
      <c r="BB503" s="7"/>
      <c r="BC503" s="7"/>
      <c r="BD503" s="7"/>
      <c r="BE503" s="7"/>
      <c r="BF503" s="7"/>
      <c r="BG503" s="7"/>
      <c r="BH503" s="7"/>
      <c r="BI503" s="7"/>
      <c r="BJ503" s="7"/>
      <c r="BK503" s="7"/>
      <c r="BL503" s="7"/>
      <c r="BM503" s="7"/>
      <c r="BN503" s="7"/>
      <c r="BO503" s="7"/>
      <c r="BP503" s="7"/>
      <c r="BQ503" s="7"/>
      <c r="BR503" s="7"/>
      <c r="BS503" s="7"/>
      <c r="BT503" s="7"/>
      <c r="BU503" s="7"/>
      <c r="BV503" s="7">
        <v>3.2000000000000001E-2</v>
      </c>
      <c r="BW503" t="s">
        <v>1153</v>
      </c>
      <c r="BX503" t="str">
        <f t="shared" ref="BX503:BX514" si="171">LEFT(BW503,2)</f>
        <v>19</v>
      </c>
      <c r="BY503" t="str">
        <f t="shared" ref="BY503:BY514" si="172">MID(BW503,4,1)</f>
        <v>5</v>
      </c>
      <c r="BZ503" t="str">
        <f t="shared" ref="BZ503:BZ514" si="173">20&amp;RIGHT(BW503,2)</f>
        <v>2021</v>
      </c>
      <c r="CA503" s="5">
        <f t="shared" si="161"/>
        <v>44335</v>
      </c>
      <c r="CB503">
        <v>139</v>
      </c>
      <c r="CC503" s="7">
        <v>10</v>
      </c>
      <c r="CE503">
        <f t="shared" si="155"/>
        <v>22.376445846477395</v>
      </c>
      <c r="CF503">
        <f t="shared" si="156"/>
        <v>2.9547062986553434</v>
      </c>
      <c r="CG503">
        <f t="shared" si="166"/>
        <v>3.6399302528334787E-2</v>
      </c>
      <c r="CH503">
        <f t="shared" si="167"/>
        <v>5.9734110362411226</v>
      </c>
      <c r="CI503">
        <f t="shared" si="168"/>
        <v>1.0654751675545626</v>
      </c>
      <c r="CJ503" s="1">
        <f t="shared" si="164"/>
        <v>1.6153978346794982</v>
      </c>
      <c r="CK503" s="7" t="s">
        <v>142</v>
      </c>
      <c r="CL503" s="7">
        <v>3</v>
      </c>
      <c r="CM503" s="7"/>
      <c r="CN503" s="7"/>
      <c r="CO503" s="7"/>
      <c r="CP503" s="7"/>
    </row>
    <row r="504" spans="1:99" ht="32" x14ac:dyDescent="0.2">
      <c r="A504" s="7" t="s">
        <v>1109</v>
      </c>
      <c r="B504" s="7" t="s">
        <v>112</v>
      </c>
      <c r="C504" t="str">
        <f t="shared" si="157"/>
        <v>I</v>
      </c>
      <c r="D504" t="str">
        <f t="shared" si="158"/>
        <v>S</v>
      </c>
      <c r="E504" t="str">
        <f t="shared" si="159"/>
        <v>G</v>
      </c>
      <c r="F504" s="7">
        <v>76</v>
      </c>
      <c r="G504" s="7">
        <v>72</v>
      </c>
      <c r="H504" s="7">
        <v>7.899</v>
      </c>
      <c r="I504" s="7">
        <v>0.13500000000000001</v>
      </c>
      <c r="J504" s="7">
        <v>0.20799999999999999</v>
      </c>
      <c r="K504" s="7" t="s">
        <v>868</v>
      </c>
      <c r="L504" t="str">
        <f t="shared" si="160"/>
        <v>M</v>
      </c>
      <c r="M504" s="7">
        <v>30</v>
      </c>
      <c r="N504" s="7">
        <v>0.84299999999999997</v>
      </c>
      <c r="O504" s="7">
        <v>0.58299999999999996</v>
      </c>
      <c r="P504" s="7" t="s">
        <v>1133</v>
      </c>
      <c r="Q504" t="str">
        <f t="shared" si="165"/>
        <v>F</v>
      </c>
      <c r="R504" s="7"/>
      <c r="S504" s="7"/>
      <c r="T504" s="7">
        <v>20</v>
      </c>
      <c r="U504" s="7">
        <v>0.14599999999999999</v>
      </c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7"/>
      <c r="AO504" s="7"/>
      <c r="AP504" s="7"/>
      <c r="AQ504" s="7"/>
      <c r="AR504" s="7"/>
      <c r="AS504" s="7"/>
      <c r="AT504" s="7"/>
      <c r="AU504" s="7"/>
      <c r="AV504" s="7">
        <v>7</v>
      </c>
      <c r="AW504" s="7">
        <v>2.5999999999999999E-2</v>
      </c>
      <c r="AX504" s="7"/>
      <c r="AY504" s="7"/>
      <c r="AZ504" s="7"/>
      <c r="BA504" s="7"/>
      <c r="BB504" s="7">
        <v>2</v>
      </c>
      <c r="BC504" s="7">
        <v>3.5999999999999997E-2</v>
      </c>
      <c r="BD504" s="7"/>
      <c r="BE504" s="7"/>
      <c r="BF504" s="7"/>
      <c r="BG504" s="7"/>
      <c r="BH504" s="7"/>
      <c r="BI504" s="7"/>
      <c r="BJ504" s="7"/>
      <c r="BK504" s="7"/>
      <c r="BL504" s="7"/>
      <c r="BM504" s="7"/>
      <c r="BN504" s="7"/>
      <c r="BO504" s="7"/>
      <c r="BP504" s="7"/>
      <c r="BQ504" s="7"/>
      <c r="BR504" s="7"/>
      <c r="BS504" s="7"/>
      <c r="BT504" s="7"/>
      <c r="BU504" s="7"/>
      <c r="BV504" s="7">
        <v>0.20799999999999999</v>
      </c>
      <c r="BW504" t="s">
        <v>1153</v>
      </c>
      <c r="BX504" t="str">
        <f t="shared" si="171"/>
        <v>19</v>
      </c>
      <c r="BY504" t="str">
        <f t="shared" si="172"/>
        <v>5</v>
      </c>
      <c r="BZ504" t="str">
        <f t="shared" si="173"/>
        <v>2021</v>
      </c>
      <c r="CA504" s="5">
        <f t="shared" si="161"/>
        <v>44335</v>
      </c>
      <c r="CB504">
        <v>139</v>
      </c>
      <c r="CC504" s="7">
        <v>10</v>
      </c>
      <c r="CE504">
        <f t="shared" si="155"/>
        <v>2.7044597581588872</v>
      </c>
      <c r="CF504">
        <f t="shared" si="156"/>
        <v>1.7387944358578051</v>
      </c>
      <c r="CG504">
        <f t="shared" si="166"/>
        <v>1.786659608258338E-2</v>
      </c>
      <c r="CH504">
        <f t="shared" si="167"/>
        <v>7.9688354291962815</v>
      </c>
      <c r="CI504">
        <f t="shared" si="168"/>
        <v>3.2915558931510316</v>
      </c>
      <c r="CJ504" s="1">
        <f t="shared" si="164"/>
        <v>5.9248006076718571</v>
      </c>
      <c r="CK504" s="7" t="s">
        <v>142</v>
      </c>
      <c r="CL504" s="7">
        <v>2</v>
      </c>
      <c r="CM504" s="7"/>
      <c r="CN504" s="7"/>
      <c r="CO504" s="7"/>
      <c r="CP504" s="7"/>
    </row>
    <row r="505" spans="1:99" ht="32" x14ac:dyDescent="0.2">
      <c r="A505" s="7" t="s">
        <v>1110</v>
      </c>
      <c r="B505" s="7" t="s">
        <v>112</v>
      </c>
      <c r="C505" t="str">
        <f t="shared" si="157"/>
        <v>I</v>
      </c>
      <c r="D505" t="str">
        <f t="shared" si="158"/>
        <v>S</v>
      </c>
      <c r="E505" t="str">
        <f t="shared" si="159"/>
        <v>G</v>
      </c>
      <c r="F505" s="7">
        <v>71</v>
      </c>
      <c r="G505" s="7">
        <v>67</v>
      </c>
      <c r="H505" s="7">
        <v>6.7839999999999998</v>
      </c>
      <c r="I505" s="7">
        <v>9.5000000000000001E-2</v>
      </c>
      <c r="J505" s="7">
        <v>0.184</v>
      </c>
      <c r="K505" s="7" t="s">
        <v>868</v>
      </c>
      <c r="L505" t="str">
        <f t="shared" si="160"/>
        <v>M</v>
      </c>
      <c r="M505" s="7">
        <v>30</v>
      </c>
      <c r="N505" s="7">
        <v>0.53</v>
      </c>
      <c r="O505" s="7">
        <v>0.39400000000000002</v>
      </c>
      <c r="P505" s="7" t="s">
        <v>1134</v>
      </c>
      <c r="Q505" t="str">
        <f t="shared" si="165"/>
        <v>F</v>
      </c>
      <c r="R505" s="7"/>
      <c r="S505" s="7"/>
      <c r="T505" s="7">
        <v>15</v>
      </c>
      <c r="U505" s="7">
        <v>5.6000000000000001E-2</v>
      </c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  <c r="AN505" s="7"/>
      <c r="AO505" s="7"/>
      <c r="AP505" s="7"/>
      <c r="AQ505" s="7"/>
      <c r="AR505" s="7">
        <v>1</v>
      </c>
      <c r="AS505" s="7">
        <v>4.8000000000000001E-2</v>
      </c>
      <c r="AT505" s="7"/>
      <c r="AU505" s="7"/>
      <c r="AV505" s="7"/>
      <c r="AW505" s="7"/>
      <c r="AX505" s="7"/>
      <c r="AY505" s="7"/>
      <c r="AZ505" s="7"/>
      <c r="BA505" s="7"/>
      <c r="BB505" s="7"/>
      <c r="BC505" s="7"/>
      <c r="BD505" s="7"/>
      <c r="BE505" s="7"/>
      <c r="BF505" s="7"/>
      <c r="BG505" s="7"/>
      <c r="BH505" s="7"/>
      <c r="BI505" s="7"/>
      <c r="BJ505" s="7"/>
      <c r="BK505" s="7"/>
      <c r="BL505" s="7"/>
      <c r="BM505" s="7"/>
      <c r="BN505" s="7"/>
      <c r="BO505" s="7"/>
      <c r="BP505" s="7"/>
      <c r="BQ505" s="7"/>
      <c r="BR505" s="7"/>
      <c r="BS505" s="7"/>
      <c r="BT505" s="7"/>
      <c r="BU505" s="7"/>
      <c r="BV505" s="7">
        <v>0.104</v>
      </c>
      <c r="BW505" t="s">
        <v>1153</v>
      </c>
      <c r="BX505" t="str">
        <f t="shared" si="171"/>
        <v>19</v>
      </c>
      <c r="BY505" t="str">
        <f t="shared" si="172"/>
        <v>5</v>
      </c>
      <c r="BZ505" t="str">
        <f t="shared" si="173"/>
        <v>2021</v>
      </c>
      <c r="CA505" s="5">
        <f t="shared" si="161"/>
        <v>44335</v>
      </c>
      <c r="CB505">
        <v>139</v>
      </c>
      <c r="CC505" s="7">
        <v>10</v>
      </c>
      <c r="CE505">
        <f t="shared" si="155"/>
        <v>2.7878787878787881</v>
      </c>
      <c r="CF505">
        <f t="shared" si="156"/>
        <v>1.4202421886679624</v>
      </c>
      <c r="CG505">
        <f t="shared" si="166"/>
        <v>1.4604150653343582E-2</v>
      </c>
      <c r="CH505">
        <f t="shared" si="167"/>
        <v>6.1658841940532092</v>
      </c>
      <c r="CI505">
        <f t="shared" si="168"/>
        <v>2.0047169811320757</v>
      </c>
      <c r="CJ505" s="1">
        <f t="shared" ref="CJ505:CJ538" si="174">(N505-O505+(BV505))/(H505)*100</f>
        <v>3.5377358490566038</v>
      </c>
      <c r="CK505" s="7" t="s">
        <v>142</v>
      </c>
      <c r="CL505" s="7">
        <v>2</v>
      </c>
      <c r="CM505" s="7"/>
      <c r="CN505" s="7"/>
      <c r="CO505" s="7"/>
      <c r="CP505" s="7"/>
    </row>
    <row r="506" spans="1:99" x14ac:dyDescent="0.2">
      <c r="A506" s="7" t="s">
        <v>1116</v>
      </c>
      <c r="B506" s="7" t="s">
        <v>112</v>
      </c>
      <c r="C506" t="str">
        <f t="shared" si="157"/>
        <v>I</v>
      </c>
      <c r="D506" t="str">
        <f t="shared" si="158"/>
        <v>S</v>
      </c>
      <c r="E506" t="str">
        <f t="shared" si="159"/>
        <v>G</v>
      </c>
      <c r="F506" s="7">
        <v>77</v>
      </c>
      <c r="G506" s="7">
        <v>73</v>
      </c>
      <c r="H506" s="7">
        <v>5.5830000000000002</v>
      </c>
      <c r="I506" s="7">
        <v>0.14199999999999999</v>
      </c>
      <c r="J506" s="7">
        <v>1.2230000000000001</v>
      </c>
      <c r="K506" s="7" t="s">
        <v>867</v>
      </c>
      <c r="L506" t="str">
        <f t="shared" si="160"/>
        <v>F</v>
      </c>
      <c r="M506" s="7">
        <v>30</v>
      </c>
      <c r="N506" s="7">
        <v>0.24399999999999999</v>
      </c>
      <c r="O506" s="7">
        <v>0.21199999999999999</v>
      </c>
      <c r="P506" s="7" t="s">
        <v>1140</v>
      </c>
      <c r="Q506" t="str">
        <f t="shared" si="165"/>
        <v>F</v>
      </c>
      <c r="R506" s="7"/>
      <c r="S506" s="7"/>
      <c r="T506" s="7"/>
      <c r="U506" s="7">
        <v>1.4999999999999999E-2</v>
      </c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  <c r="AO506" s="7"/>
      <c r="AP506" s="7"/>
      <c r="AQ506" s="7"/>
      <c r="AR506" s="7"/>
      <c r="AS506" s="7"/>
      <c r="AT506" s="7"/>
      <c r="AU506" s="7"/>
      <c r="AV506" s="7"/>
      <c r="AW506" s="7"/>
      <c r="AX506" s="7"/>
      <c r="AY506" s="7"/>
      <c r="AZ506" s="7"/>
      <c r="BA506" s="7"/>
      <c r="BB506" s="7"/>
      <c r="BC506" s="7"/>
      <c r="BD506" s="7"/>
      <c r="BE506" s="7"/>
      <c r="BF506" s="7"/>
      <c r="BG506" s="7"/>
      <c r="BH506" s="7"/>
      <c r="BI506" s="7"/>
      <c r="BJ506" s="7"/>
      <c r="BK506" s="7"/>
      <c r="BL506" s="7"/>
      <c r="BM506" s="7"/>
      <c r="BN506" s="7"/>
      <c r="BO506" s="7"/>
      <c r="BP506" s="7"/>
      <c r="BQ506" s="7"/>
      <c r="BR506" s="7"/>
      <c r="BS506" s="7"/>
      <c r="BT506" s="7"/>
      <c r="BU506" s="7"/>
      <c r="BV506" s="7">
        <v>1.4999999999999999E-2</v>
      </c>
      <c r="BW506" t="s">
        <v>1154</v>
      </c>
      <c r="BX506" t="str">
        <f t="shared" si="171"/>
        <v>20</v>
      </c>
      <c r="BY506" t="str">
        <f t="shared" si="172"/>
        <v>5</v>
      </c>
      <c r="BZ506" t="str">
        <f t="shared" si="173"/>
        <v>2021</v>
      </c>
      <c r="CA506" s="5">
        <f t="shared" si="161"/>
        <v>44336</v>
      </c>
      <c r="CB506">
        <v>140</v>
      </c>
      <c r="CC506" s="7">
        <v>10</v>
      </c>
      <c r="CE506">
        <f t="shared" si="155"/>
        <v>28.050458715596331</v>
      </c>
      <c r="CF506">
        <f t="shared" si="156"/>
        <v>2.6098143723580223</v>
      </c>
      <c r="CG506">
        <f t="shared" si="166"/>
        <v>3.366524419155998E-2</v>
      </c>
      <c r="CH506">
        <f t="shared" si="167"/>
        <v>3.9471234407000551</v>
      </c>
      <c r="CI506">
        <f t="shared" si="168"/>
        <v>0.57316854737596268</v>
      </c>
      <c r="CJ506" s="1">
        <f t="shared" si="174"/>
        <v>0.84184130395844536</v>
      </c>
      <c r="CK506" s="7" t="s">
        <v>142</v>
      </c>
      <c r="CL506" s="7">
        <v>3</v>
      </c>
      <c r="CM506" s="7"/>
      <c r="CN506" s="7"/>
      <c r="CO506" s="7"/>
      <c r="CP506" s="7"/>
      <c r="CQ506" s="12">
        <v>2.7000000000000001E-3</v>
      </c>
      <c r="CR506">
        <f>CQ506/(H506-I506-J506-N506)*1000</f>
        <v>0.67941620533467539</v>
      </c>
      <c r="CT506">
        <v>118.16854327036074</v>
      </c>
      <c r="CU506">
        <v>151.93802165665898</v>
      </c>
    </row>
    <row r="507" spans="1:99" ht="32" x14ac:dyDescent="0.2">
      <c r="A507" s="7" t="s">
        <v>1117</v>
      </c>
      <c r="B507" s="7" t="s">
        <v>112</v>
      </c>
      <c r="C507" t="str">
        <f t="shared" si="157"/>
        <v>I</v>
      </c>
      <c r="D507" t="str">
        <f t="shared" si="158"/>
        <v>S</v>
      </c>
      <c r="E507" t="str">
        <f t="shared" si="159"/>
        <v>G</v>
      </c>
      <c r="F507" s="7">
        <v>73</v>
      </c>
      <c r="G507" s="7">
        <v>70</v>
      </c>
      <c r="H507" s="7">
        <v>7.3410000000000002</v>
      </c>
      <c r="I507" s="7">
        <v>0.11899999999999999</v>
      </c>
      <c r="J507" s="7">
        <v>0.23</v>
      </c>
      <c r="K507" s="7" t="s">
        <v>868</v>
      </c>
      <c r="L507" t="str">
        <f t="shared" si="160"/>
        <v>M</v>
      </c>
      <c r="M507" s="7">
        <v>30</v>
      </c>
      <c r="N507" s="7">
        <v>0.60699999999999998</v>
      </c>
      <c r="O507" s="7">
        <v>0.40200000000000002</v>
      </c>
      <c r="P507" s="7" t="s">
        <v>1141</v>
      </c>
      <c r="Q507" t="str">
        <f t="shared" si="165"/>
        <v>F</v>
      </c>
      <c r="R507" s="7"/>
      <c r="S507" s="7"/>
      <c r="T507" s="7">
        <v>10</v>
      </c>
      <c r="U507" s="7">
        <v>0.104</v>
      </c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  <c r="AN507" s="7"/>
      <c r="AO507" s="7"/>
      <c r="AP507" s="7"/>
      <c r="AQ507" s="7"/>
      <c r="AR507" s="7">
        <v>2</v>
      </c>
      <c r="AS507" s="7">
        <v>4.1000000000000002E-2</v>
      </c>
      <c r="AT507" s="7"/>
      <c r="AU507" s="7"/>
      <c r="AV507" s="7"/>
      <c r="AW507" s="7"/>
      <c r="AX507" s="7"/>
      <c r="AY507" s="7"/>
      <c r="AZ507" s="7"/>
      <c r="BA507" s="7"/>
      <c r="BB507" s="7"/>
      <c r="BC507" s="7"/>
      <c r="BD507" s="7">
        <v>2</v>
      </c>
      <c r="BE507" s="7">
        <v>1.0999999999999999E-2</v>
      </c>
      <c r="BF507" s="7"/>
      <c r="BG507" s="7"/>
      <c r="BH507" s="7"/>
      <c r="BI507" s="7"/>
      <c r="BJ507" s="7"/>
      <c r="BK507" s="7"/>
      <c r="BL507" s="7"/>
      <c r="BM507" s="7"/>
      <c r="BN507" s="7"/>
      <c r="BO507" s="7"/>
      <c r="BP507" s="7"/>
      <c r="BQ507" s="7"/>
      <c r="BR507" s="7"/>
      <c r="BS507" s="7"/>
      <c r="BT507" s="7"/>
      <c r="BU507" s="7"/>
      <c r="BV507" s="7">
        <v>0.156</v>
      </c>
      <c r="BW507" t="s">
        <v>1154</v>
      </c>
      <c r="BX507" t="str">
        <f t="shared" si="171"/>
        <v>20</v>
      </c>
      <c r="BY507" t="str">
        <f t="shared" si="172"/>
        <v>5</v>
      </c>
      <c r="BZ507" t="str">
        <f t="shared" si="173"/>
        <v>2021</v>
      </c>
      <c r="CA507" s="5">
        <f t="shared" si="161"/>
        <v>44336</v>
      </c>
      <c r="CB507">
        <v>140</v>
      </c>
      <c r="CC507" s="7">
        <v>10</v>
      </c>
      <c r="CE507">
        <f t="shared" si="155"/>
        <v>3.2344255378990301</v>
      </c>
      <c r="CF507">
        <f t="shared" si="156"/>
        <v>1.6477430074771531</v>
      </c>
      <c r="CG507">
        <f t="shared" si="166"/>
        <v>1.7019450800915333E-2</v>
      </c>
      <c r="CH507">
        <f t="shared" si="167"/>
        <v>5.793341980112408</v>
      </c>
      <c r="CI507">
        <f t="shared" si="168"/>
        <v>2.7925350769649904</v>
      </c>
      <c r="CJ507" s="1">
        <f t="shared" si="174"/>
        <v>4.9175861599237161</v>
      </c>
      <c r="CK507" s="7" t="s">
        <v>142</v>
      </c>
      <c r="CL507" s="7">
        <v>3</v>
      </c>
      <c r="CM507" s="7"/>
      <c r="CN507" s="7"/>
      <c r="CO507" s="7"/>
      <c r="CP507" s="7"/>
    </row>
    <row r="508" spans="1:99" ht="32" x14ac:dyDescent="0.2">
      <c r="A508" s="7" t="s">
        <v>1118</v>
      </c>
      <c r="B508" s="7" t="s">
        <v>112</v>
      </c>
      <c r="C508" t="str">
        <f t="shared" si="157"/>
        <v>I</v>
      </c>
      <c r="D508" t="str">
        <f t="shared" si="158"/>
        <v>S</v>
      </c>
      <c r="E508" t="str">
        <f t="shared" si="159"/>
        <v>G</v>
      </c>
      <c r="F508" s="7">
        <v>70</v>
      </c>
      <c r="G508" s="7">
        <v>66</v>
      </c>
      <c r="H508" s="7">
        <v>6.1929999999999996</v>
      </c>
      <c r="I508" s="7">
        <v>0.222</v>
      </c>
      <c r="J508" s="7">
        <v>1.0189999999999999</v>
      </c>
      <c r="K508" s="7" t="s">
        <v>867</v>
      </c>
      <c r="L508" t="str">
        <f t="shared" si="160"/>
        <v>F</v>
      </c>
      <c r="M508" s="7">
        <v>30</v>
      </c>
      <c r="N508" s="7">
        <v>0.49099999999999999</v>
      </c>
      <c r="O508" s="7">
        <v>0.32800000000000001</v>
      </c>
      <c r="P508" s="7" t="s">
        <v>1142</v>
      </c>
      <c r="Q508" t="str">
        <f t="shared" si="165"/>
        <v>F</v>
      </c>
      <c r="R508" s="7"/>
      <c r="S508" s="7"/>
      <c r="T508" s="7">
        <v>50</v>
      </c>
      <c r="U508" s="7">
        <v>9.9000000000000005E-2</v>
      </c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  <c r="AN508" s="7"/>
      <c r="AO508" s="7"/>
      <c r="AP508" s="7"/>
      <c r="AQ508" s="7"/>
      <c r="AR508" s="7"/>
      <c r="AS508" s="7"/>
      <c r="AT508" s="7"/>
      <c r="AU508" s="7"/>
      <c r="AV508" s="7"/>
      <c r="AW508" s="7"/>
      <c r="AX508" s="7"/>
      <c r="AY508" s="7"/>
      <c r="AZ508" s="7"/>
      <c r="BA508" s="7"/>
      <c r="BB508" s="7"/>
      <c r="BC508" s="7"/>
      <c r="BD508" s="7">
        <v>2</v>
      </c>
      <c r="BE508" s="7">
        <v>8.0000000000000002E-3</v>
      </c>
      <c r="BF508" s="7"/>
      <c r="BG508" s="7"/>
      <c r="BH508" s="7"/>
      <c r="BI508" s="7"/>
      <c r="BJ508" s="7"/>
      <c r="BK508" s="7"/>
      <c r="BL508" s="7"/>
      <c r="BM508" s="7"/>
      <c r="BN508" s="7"/>
      <c r="BO508" s="7"/>
      <c r="BP508" s="7"/>
      <c r="BQ508" s="7"/>
      <c r="BR508" s="7"/>
      <c r="BS508" s="7"/>
      <c r="BT508" s="7"/>
      <c r="BU508" s="7"/>
      <c r="BV508" s="7">
        <v>0.107</v>
      </c>
      <c r="BW508" t="s">
        <v>1154</v>
      </c>
      <c r="BX508" t="str">
        <f t="shared" si="171"/>
        <v>20</v>
      </c>
      <c r="BY508" t="str">
        <f t="shared" si="172"/>
        <v>5</v>
      </c>
      <c r="BZ508" t="str">
        <f t="shared" si="173"/>
        <v>2021</v>
      </c>
      <c r="CA508" s="5">
        <f t="shared" si="161"/>
        <v>44336</v>
      </c>
      <c r="CB508">
        <v>140</v>
      </c>
      <c r="CC508" s="7">
        <v>10</v>
      </c>
      <c r="CE508">
        <f t="shared" si="155"/>
        <v>19.694626981059141</v>
      </c>
      <c r="CF508">
        <f t="shared" si="156"/>
        <v>3.717970189248033</v>
      </c>
      <c r="CG508">
        <f t="shared" si="166"/>
        <v>4.4830371567043628E-2</v>
      </c>
      <c r="CH508">
        <f t="shared" si="167"/>
        <v>5.5924978687127034</v>
      </c>
      <c r="CI508">
        <f t="shared" si="168"/>
        <v>2.6320038753431292</v>
      </c>
      <c r="CJ508" s="1">
        <f t="shared" si="174"/>
        <v>4.3597610205070243</v>
      </c>
      <c r="CK508" s="7" t="s">
        <v>142</v>
      </c>
      <c r="CL508" s="7">
        <v>3</v>
      </c>
      <c r="CM508" s="7"/>
      <c r="CN508" s="7"/>
      <c r="CO508" s="7"/>
      <c r="CP508" s="7"/>
      <c r="CQ508" s="12">
        <v>5.5999999999999999E-3</v>
      </c>
      <c r="CR508">
        <f>CQ508/(H508-I508-J508-N508)*1000</f>
        <v>1.2553239184039453</v>
      </c>
      <c r="CT508">
        <v>104.29703900904694</v>
      </c>
      <c r="CU508">
        <v>178.61371453604863</v>
      </c>
    </row>
    <row r="509" spans="1:99" x14ac:dyDescent="0.2">
      <c r="A509" s="7" t="s">
        <v>1119</v>
      </c>
      <c r="B509" s="7" t="s">
        <v>112</v>
      </c>
      <c r="C509" t="str">
        <f t="shared" si="157"/>
        <v>I</v>
      </c>
      <c r="D509" t="str">
        <f t="shared" si="158"/>
        <v>S</v>
      </c>
      <c r="E509" t="str">
        <f t="shared" si="159"/>
        <v>G</v>
      </c>
      <c r="F509" s="7">
        <v>79</v>
      </c>
      <c r="G509" s="7">
        <v>75</v>
      </c>
      <c r="H509" s="7">
        <v>8.9860000000000007</v>
      </c>
      <c r="I509" s="7">
        <v>0.13</v>
      </c>
      <c r="J509" s="7">
        <v>0.218</v>
      </c>
      <c r="K509" s="7" t="s">
        <v>868</v>
      </c>
      <c r="L509" t="str">
        <f t="shared" si="160"/>
        <v>M</v>
      </c>
      <c r="M509" s="7">
        <v>30</v>
      </c>
      <c r="N509" s="7">
        <v>0.57999999999999996</v>
      </c>
      <c r="O509" s="7">
        <v>0.46800000000000003</v>
      </c>
      <c r="P509" s="7" t="s">
        <v>1143</v>
      </c>
      <c r="Q509" t="str">
        <f t="shared" si="165"/>
        <v>F</v>
      </c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  <c r="AN509" s="7">
        <v>200</v>
      </c>
      <c r="AO509" s="7">
        <v>8.6999999999999994E-2</v>
      </c>
      <c r="AP509" s="7"/>
      <c r="AQ509" s="7"/>
      <c r="AR509" s="7"/>
      <c r="AS509" s="7"/>
      <c r="AT509" s="7"/>
      <c r="AU509" s="7"/>
      <c r="AV509" s="7"/>
      <c r="AW509" s="7"/>
      <c r="AX509" s="7"/>
      <c r="AY509" s="7"/>
      <c r="AZ509" s="7"/>
      <c r="BA509" s="7"/>
      <c r="BB509" s="7"/>
      <c r="BC509" s="7"/>
      <c r="BD509" s="7"/>
      <c r="BE509" s="7"/>
      <c r="BF509" s="7"/>
      <c r="BG509" s="7"/>
      <c r="BH509" s="7"/>
      <c r="BI509" s="7"/>
      <c r="BJ509" s="7"/>
      <c r="BK509" s="7"/>
      <c r="BL509" s="7"/>
      <c r="BM509" s="7"/>
      <c r="BN509" s="7"/>
      <c r="BO509" s="7"/>
      <c r="BP509" s="7"/>
      <c r="BQ509" s="7"/>
      <c r="BR509" s="7"/>
      <c r="BS509" s="7"/>
      <c r="BT509" s="7"/>
      <c r="BU509" s="7"/>
      <c r="BV509" s="7">
        <v>8.6999999999999994E-2</v>
      </c>
      <c r="BW509" t="s">
        <v>1154</v>
      </c>
      <c r="BX509" t="str">
        <f t="shared" si="171"/>
        <v>20</v>
      </c>
      <c r="BY509" t="str">
        <f t="shared" si="172"/>
        <v>5</v>
      </c>
      <c r="BZ509" t="str">
        <f t="shared" si="173"/>
        <v>2021</v>
      </c>
      <c r="CA509" s="5">
        <f t="shared" si="161"/>
        <v>44336</v>
      </c>
      <c r="CB509">
        <v>140</v>
      </c>
      <c r="CC509" s="7">
        <v>10</v>
      </c>
      <c r="CE509">
        <f t="shared" si="155"/>
        <v>2.4863138686131383</v>
      </c>
      <c r="CF509">
        <f t="shared" si="156"/>
        <v>1.4679313459801266</v>
      </c>
      <c r="CG509">
        <f t="shared" si="166"/>
        <v>1.5049780041676314E-2</v>
      </c>
      <c r="CH509">
        <f t="shared" si="167"/>
        <v>5.4942474759333182</v>
      </c>
      <c r="CI509">
        <f t="shared" si="168"/>
        <v>1.2463832628533267</v>
      </c>
      <c r="CJ509" s="1">
        <f t="shared" si="174"/>
        <v>2.2145559759626074</v>
      </c>
      <c r="CK509" s="7" t="s">
        <v>142</v>
      </c>
      <c r="CL509" s="7">
        <v>3</v>
      </c>
      <c r="CM509" s="7"/>
      <c r="CN509" s="7"/>
      <c r="CO509" s="7"/>
      <c r="CP509" s="7"/>
    </row>
    <row r="510" spans="1:99" x14ac:dyDescent="0.2">
      <c r="A510" s="7" t="s">
        <v>1120</v>
      </c>
      <c r="B510" s="7" t="s">
        <v>112</v>
      </c>
      <c r="C510" t="str">
        <f t="shared" si="157"/>
        <v>I</v>
      </c>
      <c r="D510" t="str">
        <f t="shared" si="158"/>
        <v>S</v>
      </c>
      <c r="E510" t="str">
        <f t="shared" si="159"/>
        <v>G</v>
      </c>
      <c r="F510" s="7">
        <v>77</v>
      </c>
      <c r="G510" s="7">
        <v>73</v>
      </c>
      <c r="H510" s="7">
        <v>8.0359999999999996</v>
      </c>
      <c r="I510" s="7">
        <v>0.127</v>
      </c>
      <c r="J510" s="7">
        <v>0.22800000000000001</v>
      </c>
      <c r="K510" s="7" t="s">
        <v>868</v>
      </c>
      <c r="L510" t="str">
        <f t="shared" si="160"/>
        <v>M</v>
      </c>
      <c r="M510" s="7">
        <v>30</v>
      </c>
      <c r="N510" s="7">
        <v>0.68700000000000006</v>
      </c>
      <c r="O510" s="7">
        <v>0.47699999999999998</v>
      </c>
      <c r="P510" s="7" t="s">
        <v>1144</v>
      </c>
      <c r="Q510" t="str">
        <f t="shared" si="165"/>
        <v>F</v>
      </c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  <c r="AN510" s="7"/>
      <c r="AO510" s="7"/>
      <c r="AP510" s="7"/>
      <c r="AQ510" s="7"/>
      <c r="AR510" s="7"/>
      <c r="AS510" s="7"/>
      <c r="AT510" s="7"/>
      <c r="AU510" s="7"/>
      <c r="AV510" s="7">
        <v>50</v>
      </c>
      <c r="AW510" s="7">
        <v>0.182</v>
      </c>
      <c r="AX510" s="7"/>
      <c r="AY510" s="7"/>
      <c r="AZ510" s="7"/>
      <c r="BA510" s="7"/>
      <c r="BB510" s="7"/>
      <c r="BC510" s="7"/>
      <c r="BD510" s="7"/>
      <c r="BE510" s="7"/>
      <c r="BF510" s="7"/>
      <c r="BG510" s="7"/>
      <c r="BH510" s="7"/>
      <c r="BI510" s="7"/>
      <c r="BJ510" s="7"/>
      <c r="BK510" s="7"/>
      <c r="BL510" s="7"/>
      <c r="BM510" s="7"/>
      <c r="BN510" s="7"/>
      <c r="BO510" s="7"/>
      <c r="BP510" s="7"/>
      <c r="BQ510" s="7"/>
      <c r="BR510" s="7"/>
      <c r="BS510" s="7"/>
      <c r="BT510" s="7"/>
      <c r="BU510" s="7"/>
      <c r="BV510" s="7">
        <v>0.182</v>
      </c>
      <c r="BW510" t="s">
        <v>1154</v>
      </c>
      <c r="BX510" t="str">
        <f t="shared" si="171"/>
        <v>20</v>
      </c>
      <c r="BY510" t="str">
        <f t="shared" si="172"/>
        <v>5</v>
      </c>
      <c r="BZ510" t="str">
        <f t="shared" si="173"/>
        <v>2021</v>
      </c>
      <c r="CA510" s="5">
        <f t="shared" si="161"/>
        <v>44336</v>
      </c>
      <c r="CB510">
        <v>140</v>
      </c>
      <c r="CC510" s="7">
        <v>10</v>
      </c>
      <c r="CE510">
        <f t="shared" si="155"/>
        <v>2.9200819672131151</v>
      </c>
      <c r="CF510">
        <f t="shared" si="156"/>
        <v>1.6057655835124542</v>
      </c>
      <c r="CG510">
        <f t="shared" si="166"/>
        <v>1.65343054289806E-2</v>
      </c>
      <c r="CH510">
        <f t="shared" si="167"/>
        <v>6.310358513030824</v>
      </c>
      <c r="CI510">
        <f t="shared" si="168"/>
        <v>2.6132404181184681</v>
      </c>
      <c r="CJ510" s="1">
        <f t="shared" si="174"/>
        <v>4.8780487804878057</v>
      </c>
      <c r="CK510" s="7" t="s">
        <v>142</v>
      </c>
      <c r="CL510" s="7">
        <v>3</v>
      </c>
      <c r="CM510" s="7"/>
      <c r="CN510" s="7"/>
      <c r="CO510" s="7"/>
      <c r="CP510" s="7"/>
    </row>
    <row r="511" spans="1:99" ht="32" x14ac:dyDescent="0.2">
      <c r="A511" s="7" t="s">
        <v>1121</v>
      </c>
      <c r="B511" s="7" t="s">
        <v>112</v>
      </c>
      <c r="C511" t="str">
        <f t="shared" si="157"/>
        <v>I</v>
      </c>
      <c r="D511" t="str">
        <f t="shared" si="158"/>
        <v>S</v>
      </c>
      <c r="E511" t="str">
        <f t="shared" si="159"/>
        <v>G</v>
      </c>
      <c r="F511" s="7">
        <v>73</v>
      </c>
      <c r="G511" s="7">
        <v>70</v>
      </c>
      <c r="H511" s="7">
        <v>7.1219999999999999</v>
      </c>
      <c r="I511" s="7">
        <v>0.20499999999999999</v>
      </c>
      <c r="J511" s="7">
        <v>1.4219999999999999</v>
      </c>
      <c r="K511" s="7" t="s">
        <v>867</v>
      </c>
      <c r="L511" t="str">
        <f t="shared" si="160"/>
        <v>F</v>
      </c>
      <c r="M511" s="7">
        <v>30</v>
      </c>
      <c r="N511" s="7">
        <v>0.36099999999999999</v>
      </c>
      <c r="O511" s="7">
        <v>0.318</v>
      </c>
      <c r="P511" s="7" t="s">
        <v>1145</v>
      </c>
      <c r="Q511" t="str">
        <f t="shared" si="165"/>
        <v>F</v>
      </c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  <c r="AN511" s="7"/>
      <c r="AO511" s="7"/>
      <c r="AP511" s="7"/>
      <c r="AQ511" s="7"/>
      <c r="AR511" s="7"/>
      <c r="AS511" s="7"/>
      <c r="AT511" s="7"/>
      <c r="AU511" s="7"/>
      <c r="AV511" s="7">
        <v>15</v>
      </c>
      <c r="AW511" s="7">
        <v>1.7999999999999999E-2</v>
      </c>
      <c r="AX511" s="7"/>
      <c r="AY511" s="7"/>
      <c r="AZ511" s="7"/>
      <c r="BA511" s="7"/>
      <c r="BB511" s="7">
        <v>1</v>
      </c>
      <c r="BC511" s="7">
        <v>8.0000000000000002E-3</v>
      </c>
      <c r="BD511" s="7"/>
      <c r="BE511" s="7"/>
      <c r="BF511" s="7"/>
      <c r="BG511" s="7"/>
      <c r="BH511" s="7"/>
      <c r="BI511" s="7"/>
      <c r="BJ511" s="7"/>
      <c r="BK511" s="7"/>
      <c r="BL511" s="7"/>
      <c r="BM511" s="7"/>
      <c r="BN511" s="7"/>
      <c r="BO511" s="7"/>
      <c r="BP511" s="7"/>
      <c r="BQ511" s="7"/>
      <c r="BR511" s="7"/>
      <c r="BS511" s="7"/>
      <c r="BT511" s="7"/>
      <c r="BU511" s="7"/>
      <c r="BV511" s="7">
        <v>2.5999999999999999E-2</v>
      </c>
      <c r="BW511" t="s">
        <v>1154</v>
      </c>
      <c r="BX511" t="str">
        <f t="shared" si="171"/>
        <v>20</v>
      </c>
      <c r="BY511" t="str">
        <f t="shared" si="172"/>
        <v>5</v>
      </c>
      <c r="BZ511" t="str">
        <f t="shared" si="173"/>
        <v>2021</v>
      </c>
      <c r="CA511" s="5">
        <f t="shared" si="161"/>
        <v>44336</v>
      </c>
      <c r="CB511">
        <v>140</v>
      </c>
      <c r="CC511" s="7">
        <v>10</v>
      </c>
      <c r="CE511">
        <f t="shared" si="155"/>
        <v>24.94736842105263</v>
      </c>
      <c r="CF511">
        <f t="shared" si="156"/>
        <v>2.9637125921642329</v>
      </c>
      <c r="CG511">
        <f t="shared" si="166"/>
        <v>3.7306642402183801E-2</v>
      </c>
      <c r="CH511">
        <f t="shared" si="167"/>
        <v>4.6737213403880071</v>
      </c>
      <c r="CI511">
        <f t="shared" si="168"/>
        <v>0.60376298792473992</v>
      </c>
      <c r="CJ511" s="1">
        <f t="shared" si="174"/>
        <v>0.96882898062342004</v>
      </c>
      <c r="CK511" s="7" t="s">
        <v>142</v>
      </c>
      <c r="CL511" s="7">
        <v>3</v>
      </c>
      <c r="CM511" s="7"/>
      <c r="CN511" s="7"/>
      <c r="CO511" s="7"/>
      <c r="CP511" s="7"/>
      <c r="CQ511" s="12">
        <v>8.0000000000000004E-4</v>
      </c>
      <c r="CR511">
        <f>CQ511/(H511-I511-J511-N511)*1000</f>
        <v>0.15582391897156211</v>
      </c>
      <c r="CT511">
        <v>117.73285603853876</v>
      </c>
      <c r="CU511">
        <v>165.09414349553705</v>
      </c>
    </row>
    <row r="512" spans="1:99" x14ac:dyDescent="0.2">
      <c r="A512" s="7" t="s">
        <v>1122</v>
      </c>
      <c r="B512" s="7" t="s">
        <v>112</v>
      </c>
      <c r="C512" t="str">
        <f t="shared" si="157"/>
        <v>I</v>
      </c>
      <c r="D512" t="str">
        <f t="shared" si="158"/>
        <v>B</v>
      </c>
      <c r="E512" t="str">
        <f t="shared" si="159"/>
        <v>G</v>
      </c>
      <c r="F512" s="7">
        <v>110</v>
      </c>
      <c r="G512" s="7">
        <v>105</v>
      </c>
      <c r="H512" s="7">
        <v>24.12</v>
      </c>
      <c r="I512" s="7">
        <v>0.88200000000000001</v>
      </c>
      <c r="J512" s="7">
        <v>2.2200000000000002</v>
      </c>
      <c r="K512" s="7" t="s">
        <v>867</v>
      </c>
      <c r="L512" t="str">
        <f t="shared" si="160"/>
        <v>F</v>
      </c>
      <c r="M512" s="7">
        <v>30</v>
      </c>
      <c r="N512" s="7">
        <v>1.7809999999999999</v>
      </c>
      <c r="O512" s="7">
        <v>1.4930000000000001</v>
      </c>
      <c r="P512" s="7" t="s">
        <v>1146</v>
      </c>
      <c r="Q512" t="str">
        <f t="shared" si="165"/>
        <v>F</v>
      </c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  <c r="AN512" s="7"/>
      <c r="AO512" s="7"/>
      <c r="AP512" s="7">
        <v>1</v>
      </c>
      <c r="AQ512" s="7">
        <v>0.106</v>
      </c>
      <c r="AR512" s="7"/>
      <c r="AS512" s="7"/>
      <c r="AT512" s="7"/>
      <c r="AU512" s="7"/>
      <c r="AV512" s="7"/>
      <c r="AW512" s="7"/>
      <c r="AX512" s="7"/>
      <c r="AY512" s="7"/>
      <c r="AZ512" s="7"/>
      <c r="BA512" s="7"/>
      <c r="BB512" s="7">
        <v>1</v>
      </c>
      <c r="BC512" s="7">
        <v>0.08</v>
      </c>
      <c r="BD512" s="7"/>
      <c r="BE512" s="7"/>
      <c r="BF512" s="7"/>
      <c r="BG512" s="7"/>
      <c r="BH512" s="7"/>
      <c r="BI512" s="7"/>
      <c r="BJ512" s="7"/>
      <c r="BK512" s="7"/>
      <c r="BL512" s="7"/>
      <c r="BM512" s="7"/>
      <c r="BN512" s="7"/>
      <c r="BO512" s="7"/>
      <c r="BP512" s="7"/>
      <c r="BQ512" s="7"/>
      <c r="BR512" s="7"/>
      <c r="BS512" s="7"/>
      <c r="BT512" s="7"/>
      <c r="BU512" s="7"/>
      <c r="BV512" s="7">
        <v>0.186</v>
      </c>
      <c r="BW512" t="s">
        <v>1154</v>
      </c>
      <c r="BX512" t="str">
        <f t="shared" si="171"/>
        <v>20</v>
      </c>
      <c r="BY512" t="str">
        <f t="shared" si="172"/>
        <v>5</v>
      </c>
      <c r="BZ512" t="str">
        <f t="shared" si="173"/>
        <v>2021</v>
      </c>
      <c r="CA512" s="5">
        <f t="shared" si="161"/>
        <v>44336</v>
      </c>
      <c r="CB512">
        <v>140</v>
      </c>
      <c r="CC512" s="7">
        <v>10</v>
      </c>
      <c r="CE512">
        <f t="shared" si="155"/>
        <v>10.136986301369863</v>
      </c>
      <c r="CF512">
        <f t="shared" si="156"/>
        <v>3.7955073586367156</v>
      </c>
      <c r="CG512">
        <f t="shared" si="166"/>
        <v>4.196403083071653E-2</v>
      </c>
      <c r="CH512">
        <f t="shared" si="167"/>
        <v>6.5983117514473859</v>
      </c>
      <c r="CI512">
        <f t="shared" si="168"/>
        <v>1.1940298507462679</v>
      </c>
      <c r="CJ512" s="1">
        <f t="shared" si="174"/>
        <v>1.965174129353233</v>
      </c>
      <c r="CK512" s="7" t="s">
        <v>142</v>
      </c>
      <c r="CL512" s="7">
        <v>3</v>
      </c>
      <c r="CM512" s="7"/>
      <c r="CN512" s="7"/>
      <c r="CO512" s="7"/>
      <c r="CP512" s="7"/>
      <c r="CQ512" s="12">
        <f>1.295-1.2794</f>
        <v>1.5599999999999836E-2</v>
      </c>
      <c r="CR512">
        <f>CQ512/(H512-I512-J512-N512)*1000</f>
        <v>0.81093725632894076</v>
      </c>
      <c r="CT512">
        <v>103.86587499607676</v>
      </c>
      <c r="CU512">
        <v>145.02653942767347</v>
      </c>
    </row>
    <row r="513" spans="1:99" ht="32" x14ac:dyDescent="0.2">
      <c r="A513" s="7" t="s">
        <v>1123</v>
      </c>
      <c r="B513" s="7" t="s">
        <v>112</v>
      </c>
      <c r="C513" t="str">
        <f t="shared" si="157"/>
        <v>I</v>
      </c>
      <c r="D513" t="str">
        <f t="shared" si="158"/>
        <v>S</v>
      </c>
      <c r="E513" t="str">
        <f t="shared" si="159"/>
        <v>G</v>
      </c>
      <c r="F513" s="7">
        <v>68</v>
      </c>
      <c r="G513" s="7">
        <v>65</v>
      </c>
      <c r="H513" s="7">
        <v>6.3639999999999999</v>
      </c>
      <c r="I513" s="7">
        <v>0.24199999999999999</v>
      </c>
      <c r="J513" s="7">
        <v>0.83899999999999997</v>
      </c>
      <c r="K513" s="7" t="s">
        <v>867</v>
      </c>
      <c r="L513" t="str">
        <f t="shared" si="160"/>
        <v>F</v>
      </c>
      <c r="M513" s="7">
        <v>30</v>
      </c>
      <c r="N513" s="7">
        <v>0.68799999999999994</v>
      </c>
      <c r="O513" s="7">
        <v>0.46800000000000003</v>
      </c>
      <c r="P513" s="7" t="s">
        <v>1147</v>
      </c>
      <c r="Q513" t="str">
        <f t="shared" si="165"/>
        <v>F</v>
      </c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7"/>
      <c r="AN513" s="7"/>
      <c r="AO513" s="7"/>
      <c r="AP513" s="7"/>
      <c r="AQ513" s="7"/>
      <c r="AR513" s="7"/>
      <c r="AS513" s="7"/>
      <c r="AT513" s="7"/>
      <c r="AU513" s="7"/>
      <c r="AV513" s="7">
        <v>30</v>
      </c>
      <c r="AW513" s="7">
        <v>0.16300000000000001</v>
      </c>
      <c r="AX513" s="7"/>
      <c r="AY513" s="7"/>
      <c r="AZ513" s="7"/>
      <c r="BA513" s="7"/>
      <c r="BB513" s="7"/>
      <c r="BC513" s="7"/>
      <c r="BD513" s="7">
        <v>3</v>
      </c>
      <c r="BE513" s="7">
        <v>1.0999999999999999E-2</v>
      </c>
      <c r="BF513" s="7"/>
      <c r="BG513" s="7"/>
      <c r="BH513" s="7"/>
      <c r="BI513" s="7"/>
      <c r="BJ513" s="7"/>
      <c r="BK513" s="7"/>
      <c r="BL513" s="7"/>
      <c r="BM513" s="7"/>
      <c r="BN513" s="7"/>
      <c r="BO513" s="7"/>
      <c r="BP513" s="7"/>
      <c r="BQ513" s="7"/>
      <c r="BR513" s="7"/>
      <c r="BS513" s="7"/>
      <c r="BT513" s="7"/>
      <c r="BU513" s="7"/>
      <c r="BV513" s="7">
        <v>0.17399999999999999</v>
      </c>
      <c r="BW513" t="s">
        <v>1154</v>
      </c>
      <c r="BX513" t="str">
        <f t="shared" si="171"/>
        <v>20</v>
      </c>
      <c r="BY513" t="str">
        <f t="shared" si="172"/>
        <v>5</v>
      </c>
      <c r="BZ513" t="str">
        <f t="shared" si="173"/>
        <v>2021</v>
      </c>
      <c r="CA513" s="5">
        <f t="shared" si="161"/>
        <v>44336</v>
      </c>
      <c r="CB513">
        <v>140</v>
      </c>
      <c r="CC513" s="7">
        <v>10</v>
      </c>
      <c r="CE513">
        <f t="shared" ref="CE513:CE576" si="175">J513/(H513-J513)*100</f>
        <v>15.185520361990948</v>
      </c>
      <c r="CF513">
        <f t="shared" ref="CF513:CF576" si="176">I513/(H513-I513)*100</f>
        <v>3.9529565501470105</v>
      </c>
      <c r="CG513">
        <f t="shared" si="166"/>
        <v>4.5807306454665915E-2</v>
      </c>
      <c r="CH513">
        <f t="shared" si="167"/>
        <v>7.9375848032564447</v>
      </c>
      <c r="CI513">
        <f t="shared" si="168"/>
        <v>3.4569453174104323</v>
      </c>
      <c r="CJ513" s="1">
        <f t="shared" si="174"/>
        <v>6.1910747957259575</v>
      </c>
      <c r="CK513" s="7" t="s">
        <v>142</v>
      </c>
      <c r="CL513" s="7">
        <v>3</v>
      </c>
      <c r="CM513" s="7"/>
      <c r="CN513" s="7"/>
      <c r="CO513" s="7"/>
      <c r="CP513" s="7"/>
      <c r="CQ513" s="12">
        <v>4.7999999999999996E-3</v>
      </c>
      <c r="CR513">
        <f>CQ513/(H513-I513-J513-N513)*1000</f>
        <v>1.0446137105549511</v>
      </c>
      <c r="CT513">
        <v>109.69838006563349</v>
      </c>
      <c r="CU513">
        <v>200.45656705510368</v>
      </c>
    </row>
    <row r="514" spans="1:99" x14ac:dyDescent="0.2">
      <c r="A514" s="7" t="s">
        <v>1124</v>
      </c>
      <c r="B514" s="7" t="s">
        <v>112</v>
      </c>
      <c r="C514" t="str">
        <f t="shared" ref="C514:C577" si="177">IF(F514&gt;=150,"B",IF(F514&lt;=60,"S","I"))</f>
        <v>I</v>
      </c>
      <c r="D514" t="str">
        <f t="shared" ref="D514:D577" si="178">IF(F514&gt;=110,"B",IF(F514&gt;=85,"I",IF(F514&gt;=65,"S","IMM")))</f>
        <v>S</v>
      </c>
      <c r="E514" t="str">
        <f t="shared" ref="E514:E577" si="179">IF(AND(F514&gt;=60,F514&lt;=110),"G","N")</f>
        <v>G</v>
      </c>
      <c r="F514" s="7">
        <v>71</v>
      </c>
      <c r="G514" s="7">
        <v>67</v>
      </c>
      <c r="H514" s="7">
        <v>6.41</v>
      </c>
      <c r="I514" s="7">
        <v>0.20499999999999999</v>
      </c>
      <c r="J514" s="7">
        <v>1.1739999999999999</v>
      </c>
      <c r="K514" s="7" t="s">
        <v>867</v>
      </c>
      <c r="L514" t="str">
        <f t="shared" ref="L514:L577" si="180">LEFT(K514,1)</f>
        <v>F</v>
      </c>
      <c r="M514" s="7">
        <v>30</v>
      </c>
      <c r="N514" s="7">
        <v>0.48599999999999999</v>
      </c>
      <c r="O514" s="7">
        <v>0.31</v>
      </c>
      <c r="P514" s="7" t="s">
        <v>1148</v>
      </c>
      <c r="Q514" t="str">
        <f t="shared" si="165"/>
        <v>F</v>
      </c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  <c r="AN514" s="7"/>
      <c r="AO514" s="7"/>
      <c r="AP514" s="7"/>
      <c r="AQ514" s="7"/>
      <c r="AR514" s="7"/>
      <c r="AS514" s="7"/>
      <c r="AT514" s="7"/>
      <c r="AU514" s="7"/>
      <c r="AV514" s="7">
        <v>40</v>
      </c>
      <c r="AW514" s="7">
        <v>0.128</v>
      </c>
      <c r="AX514" s="7"/>
      <c r="AY514" s="7"/>
      <c r="AZ514" s="7"/>
      <c r="BA514" s="7"/>
      <c r="BB514" s="7"/>
      <c r="BC514" s="7"/>
      <c r="BD514" s="7"/>
      <c r="BE514" s="7"/>
      <c r="BF514" s="7"/>
      <c r="BG514" s="7"/>
      <c r="BH514" s="7"/>
      <c r="BI514" s="7"/>
      <c r="BJ514" s="7"/>
      <c r="BK514" s="7"/>
      <c r="BL514" s="7"/>
      <c r="BM514" s="7"/>
      <c r="BN514" s="7"/>
      <c r="BO514" s="7"/>
      <c r="BP514" s="7"/>
      <c r="BQ514" s="7"/>
      <c r="BR514" s="7"/>
      <c r="BS514" s="7"/>
      <c r="BT514" s="7"/>
      <c r="BU514" s="7"/>
      <c r="BV514" s="7">
        <v>0.128</v>
      </c>
      <c r="BW514" t="s">
        <v>1154</v>
      </c>
      <c r="BX514" t="str">
        <f t="shared" si="171"/>
        <v>20</v>
      </c>
      <c r="BY514" t="str">
        <f t="shared" si="172"/>
        <v>5</v>
      </c>
      <c r="BZ514" t="str">
        <f t="shared" si="173"/>
        <v>2021</v>
      </c>
      <c r="CA514" s="5">
        <f t="shared" si="161"/>
        <v>44336</v>
      </c>
      <c r="CB514">
        <v>140</v>
      </c>
      <c r="CC514" s="7">
        <v>10</v>
      </c>
      <c r="CE514">
        <f t="shared" si="175"/>
        <v>22.421695951107711</v>
      </c>
      <c r="CF514">
        <f t="shared" si="176"/>
        <v>3.3037872683319902</v>
      </c>
      <c r="CG514">
        <f t="shared" si="166"/>
        <v>4.0747366328761671E-2</v>
      </c>
      <c r="CH514">
        <f t="shared" si="167"/>
        <v>5.0819672131147531</v>
      </c>
      <c r="CI514">
        <f t="shared" si="168"/>
        <v>2.7457098283931352</v>
      </c>
      <c r="CJ514" s="1">
        <f t="shared" si="174"/>
        <v>4.742589703588143</v>
      </c>
      <c r="CK514" s="7" t="s">
        <v>142</v>
      </c>
      <c r="CL514" s="7">
        <v>3</v>
      </c>
      <c r="CM514" s="7"/>
      <c r="CN514" s="7"/>
      <c r="CO514" s="7"/>
      <c r="CP514" s="7"/>
    </row>
    <row r="515" spans="1:99" x14ac:dyDescent="0.2">
      <c r="A515" s="7" t="s">
        <v>1177</v>
      </c>
      <c r="B515" s="7" t="s">
        <v>112</v>
      </c>
      <c r="C515" t="str">
        <f t="shared" si="177"/>
        <v>I</v>
      </c>
      <c r="D515" t="str">
        <f t="shared" si="178"/>
        <v>S</v>
      </c>
      <c r="E515" t="str">
        <f t="shared" si="179"/>
        <v>G</v>
      </c>
      <c r="F515" s="7">
        <v>83</v>
      </c>
      <c r="G515" s="7">
        <v>79</v>
      </c>
      <c r="H515" s="7">
        <v>9.9740000000000002</v>
      </c>
      <c r="I515" s="7">
        <v>0.1</v>
      </c>
      <c r="J515" s="7">
        <v>0.39500000000000002</v>
      </c>
      <c r="K515" s="7" t="s">
        <v>868</v>
      </c>
      <c r="L515" t="str">
        <f t="shared" si="180"/>
        <v>M</v>
      </c>
      <c r="M515" s="7">
        <v>30</v>
      </c>
      <c r="N515" s="7">
        <v>0.42499999999999999</v>
      </c>
      <c r="O515" s="7">
        <v>0.34399999999999997</v>
      </c>
      <c r="P515" s="7" t="s">
        <v>1192</v>
      </c>
      <c r="Q515" t="str">
        <f t="shared" si="165"/>
        <v>F</v>
      </c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  <c r="AN515" s="7"/>
      <c r="AO515" s="7"/>
      <c r="AP515" s="7"/>
      <c r="AQ515" s="7"/>
      <c r="AR515" s="7"/>
      <c r="AS515" s="7"/>
      <c r="AT515" s="7">
        <v>30</v>
      </c>
      <c r="AU515" s="7">
        <v>5.5E-2</v>
      </c>
      <c r="AV515" s="7"/>
      <c r="AW515" s="7"/>
      <c r="AX515" s="7"/>
      <c r="AY515" s="7"/>
      <c r="AZ515" s="7"/>
      <c r="BA515" s="7"/>
      <c r="BB515" s="7"/>
      <c r="BC515" s="7"/>
      <c r="BD515" s="7"/>
      <c r="BE515" s="7"/>
      <c r="BF515" s="7"/>
      <c r="BG515" s="7"/>
      <c r="BH515" s="7"/>
      <c r="BI515" s="7"/>
      <c r="BJ515" s="7"/>
      <c r="BK515" s="7"/>
      <c r="BL515" s="7"/>
      <c r="BM515" s="7"/>
      <c r="BN515" s="7"/>
      <c r="BO515" s="7"/>
      <c r="BP515" s="7"/>
      <c r="BQ515" s="7"/>
      <c r="BR515" s="7"/>
      <c r="BS515" s="7"/>
      <c r="BT515" s="7"/>
      <c r="BU515" s="7"/>
      <c r="BV515" s="7">
        <v>5.5E-2</v>
      </c>
      <c r="BW515" s="5">
        <v>44383</v>
      </c>
      <c r="BX515" s="7">
        <v>7</v>
      </c>
      <c r="BY515" s="7">
        <v>6</v>
      </c>
      <c r="BZ515" s="7">
        <v>2021</v>
      </c>
      <c r="CA515" s="5">
        <f t="shared" ref="CA515:CA578" si="181">DATE(BZ515,BY515,BX515)</f>
        <v>44354</v>
      </c>
      <c r="CB515">
        <v>158</v>
      </c>
      <c r="CC515" s="7">
        <v>11</v>
      </c>
      <c r="CE515">
        <f t="shared" si="175"/>
        <v>4.1236037164630961</v>
      </c>
      <c r="CF515">
        <f t="shared" si="176"/>
        <v>1.0127607859023697</v>
      </c>
      <c r="CG515">
        <f t="shared" si="166"/>
        <v>1.0549636037556704E-2</v>
      </c>
      <c r="CH515">
        <f t="shared" si="167"/>
        <v>3.5721703011422634</v>
      </c>
      <c r="CI515">
        <f t="shared" si="168"/>
        <v>0.81211148987367177</v>
      </c>
      <c r="CJ515" s="1">
        <f t="shared" si="174"/>
        <v>1.3635452175656708</v>
      </c>
      <c r="CK515" s="7" t="s">
        <v>142</v>
      </c>
      <c r="CL515" s="7">
        <v>3</v>
      </c>
      <c r="CM515" s="7"/>
      <c r="CN515" s="7"/>
      <c r="CO515" s="7"/>
      <c r="CP515" s="7"/>
    </row>
    <row r="516" spans="1:99" x14ac:dyDescent="0.2">
      <c r="A516" s="7" t="s">
        <v>1178</v>
      </c>
      <c r="B516" s="7" t="s">
        <v>112</v>
      </c>
      <c r="C516" t="str">
        <f t="shared" si="177"/>
        <v>I</v>
      </c>
      <c r="D516" t="str">
        <f t="shared" si="178"/>
        <v>S</v>
      </c>
      <c r="E516" t="str">
        <f t="shared" si="179"/>
        <v>G</v>
      </c>
      <c r="F516" s="7">
        <v>83</v>
      </c>
      <c r="G516" s="7">
        <v>79</v>
      </c>
      <c r="H516" s="7">
        <v>10.916</v>
      </c>
      <c r="I516" s="7">
        <v>0.14099999999999999</v>
      </c>
      <c r="J516" s="7">
        <v>0.30299999999999999</v>
      </c>
      <c r="K516" s="7" t="s">
        <v>868</v>
      </c>
      <c r="L516" t="str">
        <f t="shared" si="180"/>
        <v>M</v>
      </c>
      <c r="M516" s="7">
        <v>30</v>
      </c>
      <c r="N516" s="7">
        <v>0.54500000000000004</v>
      </c>
      <c r="O516" s="7">
        <v>0.42899999999999999</v>
      </c>
      <c r="P516" s="7" t="s">
        <v>1193</v>
      </c>
      <c r="Q516" t="str">
        <f t="shared" si="165"/>
        <v>F</v>
      </c>
      <c r="R516" s="7"/>
      <c r="S516" s="7"/>
      <c r="T516" s="7">
        <v>10</v>
      </c>
      <c r="U516" s="7">
        <v>9.2999999999999999E-2</v>
      </c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  <c r="AN516" s="7"/>
      <c r="AO516" s="7"/>
      <c r="AP516" s="7"/>
      <c r="AQ516" s="7"/>
      <c r="AR516" s="7"/>
      <c r="AS516" s="7"/>
      <c r="AT516" s="7"/>
      <c r="AU516" s="7"/>
      <c r="AV516" s="7"/>
      <c r="AW516" s="7"/>
      <c r="AX516" s="7"/>
      <c r="AY516" s="7"/>
      <c r="AZ516" s="7"/>
      <c r="BA516" s="7"/>
      <c r="BB516" s="7"/>
      <c r="BC516" s="7"/>
      <c r="BD516" s="7"/>
      <c r="BE516" s="7"/>
      <c r="BF516" s="7"/>
      <c r="BG516" s="7"/>
      <c r="BH516" s="7"/>
      <c r="BI516" s="7"/>
      <c r="BJ516" s="7"/>
      <c r="BK516" s="7"/>
      <c r="BL516" s="7"/>
      <c r="BM516" s="7"/>
      <c r="BN516" s="7"/>
      <c r="BO516" s="7"/>
      <c r="BP516" s="7"/>
      <c r="BQ516" s="7"/>
      <c r="BR516" s="7"/>
      <c r="BS516" s="7"/>
      <c r="BT516" s="7"/>
      <c r="BU516" s="7"/>
      <c r="BV516" s="7">
        <v>9.2999999999999999E-2</v>
      </c>
      <c r="BW516" s="5">
        <v>44414</v>
      </c>
      <c r="BX516" s="7">
        <v>8</v>
      </c>
      <c r="BY516" s="7">
        <v>6</v>
      </c>
      <c r="BZ516" s="7">
        <v>2021</v>
      </c>
      <c r="CA516" s="5">
        <f t="shared" si="181"/>
        <v>44355</v>
      </c>
      <c r="CB516">
        <v>159</v>
      </c>
      <c r="CC516" s="7">
        <v>11</v>
      </c>
      <c r="CE516">
        <f t="shared" si="175"/>
        <v>2.8549891642325451</v>
      </c>
      <c r="CF516">
        <f t="shared" si="176"/>
        <v>1.308584686774942</v>
      </c>
      <c r="CG516">
        <f t="shared" si="166"/>
        <v>1.3464476699770817E-2</v>
      </c>
      <c r="CH516">
        <f t="shared" si="167"/>
        <v>4.0907790597883089</v>
      </c>
      <c r="CI516">
        <f t="shared" si="168"/>
        <v>1.062660315133749</v>
      </c>
      <c r="CJ516" s="1">
        <f t="shared" si="174"/>
        <v>1.914620740197875</v>
      </c>
      <c r="CK516" s="7" t="s">
        <v>142</v>
      </c>
      <c r="CL516" s="7">
        <v>1</v>
      </c>
      <c r="CM516" s="7"/>
      <c r="CN516" s="7"/>
      <c r="CO516" s="7"/>
      <c r="CP516" s="7"/>
    </row>
    <row r="517" spans="1:99" x14ac:dyDescent="0.2">
      <c r="A517" s="7" t="s">
        <v>1179</v>
      </c>
      <c r="B517" s="7" t="s">
        <v>112</v>
      </c>
      <c r="C517" t="str">
        <f t="shared" si="177"/>
        <v>I</v>
      </c>
      <c r="D517" t="str">
        <f t="shared" si="178"/>
        <v>S</v>
      </c>
      <c r="E517" t="str">
        <f t="shared" si="179"/>
        <v>G</v>
      </c>
      <c r="F517" s="7">
        <v>81</v>
      </c>
      <c r="G517" s="7">
        <v>77</v>
      </c>
      <c r="H517" s="7">
        <v>10.263999999999999</v>
      </c>
      <c r="I517" s="7">
        <v>0.156</v>
      </c>
      <c r="J517" s="7">
        <v>0.182</v>
      </c>
      <c r="K517" s="7" t="s">
        <v>868</v>
      </c>
      <c r="L517" t="str">
        <f t="shared" si="180"/>
        <v>M</v>
      </c>
      <c r="M517" s="7">
        <v>30</v>
      </c>
      <c r="N517" s="7">
        <v>0.503</v>
      </c>
      <c r="O517" s="7">
        <v>0.49</v>
      </c>
      <c r="P517" s="7" t="s">
        <v>36</v>
      </c>
      <c r="Q517" t="str">
        <f t="shared" si="165"/>
        <v>MT</v>
      </c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  <c r="AN517" s="7"/>
      <c r="AO517" s="7"/>
      <c r="AP517" s="7"/>
      <c r="AQ517" s="7"/>
      <c r="AR517" s="7"/>
      <c r="AS517" s="7"/>
      <c r="AT517" s="7"/>
      <c r="AU517" s="7"/>
      <c r="AV517" s="7"/>
      <c r="AW517" s="7"/>
      <c r="AX517" s="7"/>
      <c r="AY517" s="7"/>
      <c r="AZ517" s="7"/>
      <c r="BA517" s="7"/>
      <c r="BB517" s="7"/>
      <c r="BC517" s="7"/>
      <c r="BD517" s="7"/>
      <c r="BE517" s="7"/>
      <c r="BF517" s="7"/>
      <c r="BG517" s="7"/>
      <c r="BH517" s="7"/>
      <c r="BI517" s="7"/>
      <c r="BJ517" s="7"/>
      <c r="BK517" s="7"/>
      <c r="BL517" s="7"/>
      <c r="BM517" s="7"/>
      <c r="BN517" s="7"/>
      <c r="BO517" s="7"/>
      <c r="BP517" s="7"/>
      <c r="BQ517" s="7"/>
      <c r="BR517" s="7"/>
      <c r="BS517" s="7"/>
      <c r="BT517" s="7"/>
      <c r="BU517" s="7"/>
      <c r="BW517" s="5">
        <v>44414</v>
      </c>
      <c r="BX517" s="7">
        <v>8</v>
      </c>
      <c r="BY517" s="7">
        <v>6</v>
      </c>
      <c r="BZ517" s="7">
        <v>2021</v>
      </c>
      <c r="CA517" s="5">
        <f t="shared" si="181"/>
        <v>44355</v>
      </c>
      <c r="CB517">
        <v>159</v>
      </c>
      <c r="CC517" s="7">
        <v>11</v>
      </c>
      <c r="CE517">
        <f t="shared" si="175"/>
        <v>1.8051973814719302</v>
      </c>
      <c r="CF517">
        <f t="shared" si="176"/>
        <v>1.5433320142461417</v>
      </c>
      <c r="CG517">
        <f t="shared" ref="CG517:CG538" si="182">I517/(H517-I517-J517)</f>
        <v>1.5716300624622207E-2</v>
      </c>
      <c r="CH517">
        <f t="shared" ref="CH517:CH538" si="183">O517/(H517-O517)*100</f>
        <v>5.013300593411091</v>
      </c>
      <c r="CI517">
        <f t="shared" ref="CI517:CI548" si="184">(N517-O517)/H517*100</f>
        <v>0.12665627435697596</v>
      </c>
      <c r="CJ517" s="1">
        <f t="shared" si="174"/>
        <v>0.12665627435697596</v>
      </c>
      <c r="CK517" s="7" t="s">
        <v>142</v>
      </c>
      <c r="CL517" s="7">
        <v>2</v>
      </c>
      <c r="CM517" s="7"/>
      <c r="CN517" s="7"/>
      <c r="CO517" s="7"/>
      <c r="CP517" s="7"/>
    </row>
    <row r="518" spans="1:99" x14ac:dyDescent="0.2">
      <c r="A518" s="7" t="s">
        <v>1270</v>
      </c>
      <c r="B518" s="7" t="s">
        <v>112</v>
      </c>
      <c r="C518" t="str">
        <f t="shared" si="177"/>
        <v>I</v>
      </c>
      <c r="D518" t="str">
        <f t="shared" si="178"/>
        <v>S</v>
      </c>
      <c r="E518" t="str">
        <f t="shared" si="179"/>
        <v>G</v>
      </c>
      <c r="F518" s="7">
        <v>83</v>
      </c>
      <c r="G518" s="7">
        <v>78</v>
      </c>
      <c r="H518" s="7">
        <v>9.6609999999999996</v>
      </c>
      <c r="I518" s="7">
        <v>0.14000000000000001</v>
      </c>
      <c r="J518" s="7">
        <v>7.2999999999999995E-2</v>
      </c>
      <c r="K518" s="7" t="s">
        <v>868</v>
      </c>
      <c r="L518" t="str">
        <f t="shared" si="180"/>
        <v>M</v>
      </c>
      <c r="M518" s="7">
        <v>30</v>
      </c>
      <c r="N518" s="7">
        <v>0.51900000000000002</v>
      </c>
      <c r="O518" s="7">
        <v>0.46800000000000003</v>
      </c>
      <c r="P518" s="7" t="s">
        <v>1282</v>
      </c>
      <c r="Q518" t="str">
        <f t="shared" si="165"/>
        <v>F</v>
      </c>
      <c r="R518" s="7"/>
      <c r="S518" s="7"/>
      <c r="T518" s="7">
        <v>10</v>
      </c>
      <c r="U518" s="7">
        <v>2.4E-2</v>
      </c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  <c r="AN518" s="7"/>
      <c r="AO518" s="7"/>
      <c r="AP518" s="7"/>
      <c r="AQ518" s="7"/>
      <c r="AR518" s="7"/>
      <c r="AS518" s="7"/>
      <c r="AT518" s="7"/>
      <c r="AU518" s="7"/>
      <c r="AV518" s="7"/>
      <c r="AW518" s="7"/>
      <c r="AX518" s="7"/>
      <c r="AY518" s="7"/>
      <c r="AZ518" s="7"/>
      <c r="BA518" s="7"/>
      <c r="BB518" s="7"/>
      <c r="BC518" s="7"/>
      <c r="BD518" s="7"/>
      <c r="BE518" s="7"/>
      <c r="BF518" s="7"/>
      <c r="BG518" s="7"/>
      <c r="BH518" s="7"/>
      <c r="BI518" s="7"/>
      <c r="BJ518" s="7"/>
      <c r="BK518" s="7"/>
      <c r="BL518" s="7"/>
      <c r="BM518" s="7"/>
      <c r="BN518" s="7"/>
      <c r="BO518" s="7"/>
      <c r="BP518" s="7"/>
      <c r="BQ518" s="7"/>
      <c r="BR518" s="7"/>
      <c r="BS518" s="7"/>
      <c r="BT518" s="7"/>
      <c r="BU518" s="7"/>
      <c r="BV518" s="7">
        <v>2.4E-2</v>
      </c>
      <c r="BW518" t="s">
        <v>1235</v>
      </c>
      <c r="BX518" t="str">
        <f t="shared" ref="BX518:BX520" si="185">LEFT(BW518,2)</f>
        <v>23</v>
      </c>
      <c r="BY518" t="str">
        <f t="shared" ref="BY518:BY520" si="186">MID(BW518,4,1)</f>
        <v>6</v>
      </c>
      <c r="BZ518" t="str">
        <f t="shared" ref="BZ518:BZ520" si="187">20&amp;RIGHT(BW518,2)</f>
        <v>2021</v>
      </c>
      <c r="CA518" s="5">
        <f t="shared" si="181"/>
        <v>44370</v>
      </c>
      <c r="CB518">
        <v>174</v>
      </c>
      <c r="CC518" s="7">
        <v>12</v>
      </c>
      <c r="CD518" t="s">
        <v>1286</v>
      </c>
      <c r="CE518">
        <f t="shared" si="175"/>
        <v>0.76136837713808925</v>
      </c>
      <c r="CF518">
        <f t="shared" si="176"/>
        <v>1.4704337779644998</v>
      </c>
      <c r="CG518">
        <f t="shared" si="182"/>
        <v>1.4817950889077057E-2</v>
      </c>
      <c r="CH518">
        <f t="shared" si="183"/>
        <v>5.090829979332101</v>
      </c>
      <c r="CI518">
        <f t="shared" si="184"/>
        <v>0.52789566297484725</v>
      </c>
      <c r="CJ518" s="1">
        <f t="shared" si="174"/>
        <v>0.77631715143359892</v>
      </c>
      <c r="CK518" s="7" t="s">
        <v>142</v>
      </c>
      <c r="CL518" s="7">
        <v>2</v>
      </c>
      <c r="CM518" s="7"/>
      <c r="CN518" s="7"/>
      <c r="CO518" s="7"/>
      <c r="CP518" s="7"/>
    </row>
    <row r="519" spans="1:99" x14ac:dyDescent="0.2">
      <c r="A519" s="7" t="s">
        <v>1293</v>
      </c>
      <c r="B519" s="7" t="s">
        <v>112</v>
      </c>
      <c r="C519" t="str">
        <f t="shared" si="177"/>
        <v>I</v>
      </c>
      <c r="D519" t="str">
        <f t="shared" si="178"/>
        <v>I</v>
      </c>
      <c r="E519" t="str">
        <f t="shared" si="179"/>
        <v>G</v>
      </c>
      <c r="F519" s="7">
        <v>94</v>
      </c>
      <c r="G519" s="7">
        <v>89</v>
      </c>
      <c r="H519" s="7">
        <v>15.752000000000001</v>
      </c>
      <c r="I519" s="7">
        <v>0.36499999999999999</v>
      </c>
      <c r="J519" s="7">
        <v>1.9410000000000001</v>
      </c>
      <c r="K519" s="7" t="s">
        <v>867</v>
      </c>
      <c r="L519" t="str">
        <f t="shared" si="180"/>
        <v>F</v>
      </c>
      <c r="M519" s="7">
        <v>30</v>
      </c>
      <c r="N519" s="7">
        <v>0.84799999999999998</v>
      </c>
      <c r="O519" s="7">
        <v>0.82499999999999996</v>
      </c>
      <c r="P519" s="7" t="s">
        <v>36</v>
      </c>
      <c r="Q519" t="str">
        <f t="shared" si="165"/>
        <v>MT</v>
      </c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  <c r="AM519" s="7"/>
      <c r="AN519" s="7"/>
      <c r="AO519" s="7"/>
      <c r="AP519" s="7"/>
      <c r="AQ519" s="7"/>
      <c r="AR519" s="7"/>
      <c r="AS519" s="7"/>
      <c r="AT519" s="7"/>
      <c r="AU519" s="7"/>
      <c r="AV519" s="7"/>
      <c r="AW519" s="7"/>
      <c r="AX519" s="7"/>
      <c r="AY519" s="7"/>
      <c r="AZ519" s="7"/>
      <c r="BA519" s="7"/>
      <c r="BB519" s="7"/>
      <c r="BC519" s="7"/>
      <c r="BD519" s="7"/>
      <c r="BE519" s="7"/>
      <c r="BF519" s="7"/>
      <c r="BG519" s="7"/>
      <c r="BH519" s="7"/>
      <c r="BI519" s="7"/>
      <c r="BJ519" s="7"/>
      <c r="BK519" s="7"/>
      <c r="BL519" s="7"/>
      <c r="BM519" s="7"/>
      <c r="BN519" s="7"/>
      <c r="BO519" s="7"/>
      <c r="BP519" s="7"/>
      <c r="BQ519" s="7"/>
      <c r="BR519" s="7"/>
      <c r="BS519" s="7"/>
      <c r="BT519" s="7"/>
      <c r="BU519" s="7"/>
      <c r="BW519" t="s">
        <v>1300</v>
      </c>
      <c r="BX519" t="str">
        <f t="shared" si="185"/>
        <v>24</v>
      </c>
      <c r="BY519" t="str">
        <f t="shared" si="186"/>
        <v>6</v>
      </c>
      <c r="BZ519" t="str">
        <f t="shared" si="187"/>
        <v>2021</v>
      </c>
      <c r="CA519" s="5">
        <f t="shared" si="181"/>
        <v>44371</v>
      </c>
      <c r="CB519">
        <v>175</v>
      </c>
      <c r="CC519" s="7">
        <v>12</v>
      </c>
      <c r="CE519">
        <f t="shared" si="175"/>
        <v>14.054014915646947</v>
      </c>
      <c r="CF519">
        <f t="shared" si="176"/>
        <v>2.3721323194904791</v>
      </c>
      <c r="CG519">
        <f t="shared" si="182"/>
        <v>2.7145619515097426E-2</v>
      </c>
      <c r="CH519">
        <f t="shared" si="183"/>
        <v>5.5268975681650696</v>
      </c>
      <c r="CI519">
        <f t="shared" si="184"/>
        <v>0.14601320467242268</v>
      </c>
      <c r="CJ519" s="1">
        <f t="shared" si="174"/>
        <v>0.14601320467242268</v>
      </c>
      <c r="CK519" s="7" t="s">
        <v>142</v>
      </c>
      <c r="CL519" s="7">
        <v>2</v>
      </c>
      <c r="CM519" s="7"/>
      <c r="CN519" s="7"/>
      <c r="CO519" s="7"/>
      <c r="CP519" s="7"/>
      <c r="CQ519" s="12">
        <v>0.23039999999999999</v>
      </c>
      <c r="CR519">
        <f>CQ519/(H519-I519-J519-N519)*1000</f>
        <v>18.288617240831879</v>
      </c>
      <c r="CT519">
        <v>126.3978967508435</v>
      </c>
      <c r="CU519">
        <v>212.88391199746945</v>
      </c>
    </row>
    <row r="520" spans="1:99" x14ac:dyDescent="0.2">
      <c r="A520" s="7" t="s">
        <v>1294</v>
      </c>
      <c r="B520" s="7" t="s">
        <v>112</v>
      </c>
      <c r="C520" t="str">
        <f t="shared" si="177"/>
        <v>I</v>
      </c>
      <c r="D520" t="str">
        <f t="shared" si="178"/>
        <v>I</v>
      </c>
      <c r="E520" t="str">
        <f t="shared" si="179"/>
        <v>G</v>
      </c>
      <c r="F520" s="7">
        <v>88</v>
      </c>
      <c r="G520" s="7">
        <v>83</v>
      </c>
      <c r="H520" s="7">
        <v>13.566000000000001</v>
      </c>
      <c r="I520" s="7">
        <v>0.254</v>
      </c>
      <c r="J520" s="7">
        <v>0.66400000000000003</v>
      </c>
      <c r="K520" s="7" t="s">
        <v>867</v>
      </c>
      <c r="L520" t="str">
        <f t="shared" si="180"/>
        <v>F</v>
      </c>
      <c r="M520" s="7">
        <v>30</v>
      </c>
      <c r="N520" s="7">
        <v>1.111</v>
      </c>
      <c r="O520" s="7">
        <v>0.96499999999999997</v>
      </c>
      <c r="P520" s="7" t="s">
        <v>1299</v>
      </c>
      <c r="Q520" t="str">
        <f t="shared" si="165"/>
        <v>F</v>
      </c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  <c r="AM520" s="7"/>
      <c r="AN520" s="7">
        <v>25</v>
      </c>
      <c r="AO520" s="7">
        <v>6.6000000000000003E-2</v>
      </c>
      <c r="AP520" s="7"/>
      <c r="AQ520" s="7"/>
      <c r="AR520" s="7"/>
      <c r="AS520" s="7"/>
      <c r="AT520" s="7"/>
      <c r="AU520" s="7"/>
      <c r="AV520" s="7"/>
      <c r="AW520" s="7"/>
      <c r="AX520" s="7"/>
      <c r="AY520" s="7"/>
      <c r="AZ520" s="7"/>
      <c r="BA520" s="7"/>
      <c r="BB520" s="7"/>
      <c r="BC520" s="7"/>
      <c r="BD520" s="7"/>
      <c r="BE520" s="7"/>
      <c r="BF520" s="7"/>
      <c r="BG520" s="7"/>
      <c r="BH520" s="7"/>
      <c r="BI520" s="7"/>
      <c r="BJ520" s="7"/>
      <c r="BK520" s="7"/>
      <c r="BL520" s="7"/>
      <c r="BM520" s="7"/>
      <c r="BN520" s="7"/>
      <c r="BO520" s="7"/>
      <c r="BP520" s="7"/>
      <c r="BQ520" s="7"/>
      <c r="BR520" s="7"/>
      <c r="BS520" s="7"/>
      <c r="BT520" s="7"/>
      <c r="BU520" s="7"/>
      <c r="BV520" s="7">
        <v>6.6000000000000003E-2</v>
      </c>
      <c r="BW520" t="s">
        <v>1300</v>
      </c>
      <c r="BX520" t="str">
        <f t="shared" si="185"/>
        <v>24</v>
      </c>
      <c r="BY520" t="str">
        <f t="shared" si="186"/>
        <v>6</v>
      </c>
      <c r="BZ520" t="str">
        <f t="shared" si="187"/>
        <v>2021</v>
      </c>
      <c r="CA520" s="5">
        <f t="shared" si="181"/>
        <v>44371</v>
      </c>
      <c r="CB520">
        <v>175</v>
      </c>
      <c r="CC520" s="7">
        <v>12</v>
      </c>
      <c r="CD520" t="s">
        <v>1301</v>
      </c>
      <c r="CE520">
        <f t="shared" si="175"/>
        <v>5.1464889164470629</v>
      </c>
      <c r="CF520">
        <f t="shared" si="176"/>
        <v>1.9080528846153844</v>
      </c>
      <c r="CG520">
        <f t="shared" si="182"/>
        <v>2.008222643896268E-2</v>
      </c>
      <c r="CH520">
        <f t="shared" si="183"/>
        <v>7.6581223712403768</v>
      </c>
      <c r="CI520">
        <f t="shared" si="184"/>
        <v>1.0762199616688781</v>
      </c>
      <c r="CJ520" s="1">
        <f t="shared" si="174"/>
        <v>1.5627303553000147</v>
      </c>
      <c r="CK520" s="7" t="s">
        <v>142</v>
      </c>
      <c r="CL520" s="7">
        <v>2</v>
      </c>
      <c r="CM520" s="7"/>
      <c r="CN520" s="7"/>
      <c r="CO520" s="7"/>
      <c r="CP520" s="7"/>
      <c r="CQ520" s="12">
        <v>0.17979999999999999</v>
      </c>
      <c r="CR520">
        <f>CQ520/(H520-I520-J520-N520)*1000</f>
        <v>15.58464072115801</v>
      </c>
      <c r="CT520">
        <v>121.88677378431947</v>
      </c>
      <c r="CU520">
        <v>206.98887922452511</v>
      </c>
    </row>
    <row r="521" spans="1:99" x14ac:dyDescent="0.2">
      <c r="A521" s="7" t="s">
        <v>1329</v>
      </c>
      <c r="B521" s="7" t="s">
        <v>112</v>
      </c>
      <c r="C521" t="str">
        <f t="shared" si="177"/>
        <v>I</v>
      </c>
      <c r="D521" t="str">
        <f t="shared" si="178"/>
        <v>I</v>
      </c>
      <c r="E521" t="str">
        <f t="shared" si="179"/>
        <v>G</v>
      </c>
      <c r="F521" s="7">
        <v>100</v>
      </c>
      <c r="G521" s="7">
        <v>95</v>
      </c>
      <c r="H521" s="7">
        <v>20.733000000000001</v>
      </c>
      <c r="I521" s="7">
        <v>0.378</v>
      </c>
      <c r="J521" s="7">
        <v>3.3000000000000002E-2</v>
      </c>
      <c r="K521" s="7" t="s">
        <v>1181</v>
      </c>
      <c r="L521" t="str">
        <f t="shared" si="180"/>
        <v>M</v>
      </c>
      <c r="M521" s="7">
        <v>40</v>
      </c>
      <c r="N521" s="7">
        <v>2.4260000000000002</v>
      </c>
      <c r="O521" s="7">
        <v>1.4670000000000001</v>
      </c>
      <c r="P521" s="7" t="s">
        <v>1373</v>
      </c>
      <c r="Q521" t="str">
        <f t="shared" si="165"/>
        <v>F</v>
      </c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  <c r="AN521" s="7"/>
      <c r="AO521" s="7"/>
      <c r="AP521" s="7"/>
      <c r="AQ521" s="7"/>
      <c r="AR521" s="7"/>
      <c r="AS521" s="7"/>
      <c r="AT521" s="7"/>
      <c r="AU521" s="7"/>
      <c r="AV521" s="7"/>
      <c r="AW521" s="7"/>
      <c r="AX521" s="7"/>
      <c r="AY521" s="7"/>
      <c r="AZ521" s="7"/>
      <c r="BA521" s="7"/>
      <c r="BB521" s="7"/>
      <c r="BC521" s="7"/>
      <c r="BD521" s="7"/>
      <c r="BE521" s="7"/>
      <c r="BF521" s="7"/>
      <c r="BG521" s="7"/>
      <c r="BH521" s="7"/>
      <c r="BI521" s="7"/>
      <c r="BJ521" s="7"/>
      <c r="BK521" s="7"/>
      <c r="BL521" s="7"/>
      <c r="BM521" s="7"/>
      <c r="BN521" s="7"/>
      <c r="BO521" s="7"/>
      <c r="BP521" s="7">
        <v>3</v>
      </c>
      <c r="BQ521" s="7">
        <v>0.79900000000000004</v>
      </c>
      <c r="BR521" s="7"/>
      <c r="BS521" s="7"/>
      <c r="BT521" s="7"/>
      <c r="BU521" s="7"/>
      <c r="BV521" s="7">
        <v>0.79900000000000004</v>
      </c>
      <c r="BW521" s="5">
        <v>44415</v>
      </c>
      <c r="BX521" s="7">
        <v>8</v>
      </c>
      <c r="BY521" s="7">
        <v>7</v>
      </c>
      <c r="BZ521" s="7">
        <v>2021</v>
      </c>
      <c r="CA521" s="5">
        <f t="shared" si="181"/>
        <v>44385</v>
      </c>
      <c r="CB521">
        <v>189</v>
      </c>
      <c r="CC521" s="7">
        <v>13</v>
      </c>
      <c r="CD521" t="s">
        <v>1301</v>
      </c>
      <c r="CE521">
        <f t="shared" si="175"/>
        <v>0.15942028985507248</v>
      </c>
      <c r="CF521">
        <f t="shared" si="176"/>
        <v>1.8570375829034635</v>
      </c>
      <c r="CG521">
        <f t="shared" si="182"/>
        <v>1.8600531443755536E-2</v>
      </c>
      <c r="CH521">
        <f t="shared" si="183"/>
        <v>7.6144503270009336</v>
      </c>
      <c r="CI521">
        <f t="shared" si="184"/>
        <v>4.6254762938310909</v>
      </c>
      <c r="CJ521" s="1">
        <f t="shared" si="174"/>
        <v>8.479236000578787</v>
      </c>
      <c r="CK521" s="7" t="s">
        <v>142</v>
      </c>
      <c r="CL521" s="7">
        <v>2</v>
      </c>
      <c r="CM521" s="7"/>
      <c r="CN521" s="7"/>
      <c r="CO521" s="7"/>
      <c r="CP521" s="7"/>
    </row>
    <row r="522" spans="1:99" x14ac:dyDescent="0.2">
      <c r="A522" s="7" t="s">
        <v>1330</v>
      </c>
      <c r="B522" s="7" t="s">
        <v>112</v>
      </c>
      <c r="C522" t="str">
        <f t="shared" si="177"/>
        <v>I</v>
      </c>
      <c r="D522" t="str">
        <f t="shared" si="178"/>
        <v>I</v>
      </c>
      <c r="E522" t="str">
        <f t="shared" si="179"/>
        <v>G</v>
      </c>
      <c r="F522" s="7">
        <v>102</v>
      </c>
      <c r="G522" s="7">
        <v>97</v>
      </c>
      <c r="H522" s="7">
        <v>21.998999999999999</v>
      </c>
      <c r="I522" s="7">
        <v>0.307</v>
      </c>
      <c r="J522" s="7">
        <v>6.0999999999999999E-2</v>
      </c>
      <c r="K522" s="7" t="s">
        <v>1181</v>
      </c>
      <c r="L522" t="str">
        <f t="shared" si="180"/>
        <v>M</v>
      </c>
      <c r="M522" s="7">
        <v>40</v>
      </c>
      <c r="N522" s="7">
        <v>3.411</v>
      </c>
      <c r="O522" s="7">
        <v>1.4550000000000001</v>
      </c>
      <c r="P522" s="7" t="s">
        <v>1374</v>
      </c>
      <c r="Q522" t="str">
        <f t="shared" si="165"/>
        <v>F</v>
      </c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  <c r="AN522" s="7"/>
      <c r="AO522" s="7"/>
      <c r="AP522" s="7"/>
      <c r="AQ522" s="7"/>
      <c r="AR522" s="7"/>
      <c r="AS522" s="7"/>
      <c r="AT522" s="7"/>
      <c r="AU522" s="7"/>
      <c r="AV522" s="7"/>
      <c r="AW522" s="7"/>
      <c r="AX522" s="7"/>
      <c r="AY522" s="7"/>
      <c r="AZ522" s="7"/>
      <c r="BA522" s="7"/>
      <c r="BB522" s="7"/>
      <c r="BC522" s="7"/>
      <c r="BD522" s="7"/>
      <c r="BE522" s="7"/>
      <c r="BF522" s="7"/>
      <c r="BG522" s="7"/>
      <c r="BH522" s="7"/>
      <c r="BI522" s="7"/>
      <c r="BJ522" s="7"/>
      <c r="BK522" s="7"/>
      <c r="BL522" s="7"/>
      <c r="BM522" s="7"/>
      <c r="BN522" s="7"/>
      <c r="BO522" s="7"/>
      <c r="BP522" s="7">
        <v>6</v>
      </c>
      <c r="BQ522" s="7">
        <v>1.8240000000000001</v>
      </c>
      <c r="BR522" s="7"/>
      <c r="BS522" s="7"/>
      <c r="BT522" s="7"/>
      <c r="BU522" s="7"/>
      <c r="BV522" s="7">
        <v>1.8240000000000001</v>
      </c>
      <c r="BW522" s="5">
        <v>44415</v>
      </c>
      <c r="BX522" s="7">
        <v>8</v>
      </c>
      <c r="BY522" s="7">
        <v>7</v>
      </c>
      <c r="BZ522" s="7">
        <v>2021</v>
      </c>
      <c r="CA522" s="5">
        <f t="shared" si="181"/>
        <v>44385</v>
      </c>
      <c r="CB522">
        <v>189</v>
      </c>
      <c r="CC522" s="7">
        <v>13</v>
      </c>
      <c r="CD522" t="s">
        <v>1301</v>
      </c>
      <c r="CE522">
        <f t="shared" si="175"/>
        <v>0.27805634059622575</v>
      </c>
      <c r="CF522">
        <f t="shared" si="176"/>
        <v>1.4152683016780381</v>
      </c>
      <c r="CG522">
        <f t="shared" si="182"/>
        <v>1.4192593962368822E-2</v>
      </c>
      <c r="CH522">
        <f t="shared" si="183"/>
        <v>7.0823598130841132</v>
      </c>
      <c r="CI522">
        <f t="shared" si="184"/>
        <v>8.8913132415109786</v>
      </c>
      <c r="CJ522" s="1">
        <f t="shared" si="174"/>
        <v>17.182599209054956</v>
      </c>
      <c r="CK522" s="7" t="s">
        <v>142</v>
      </c>
      <c r="CL522" s="7">
        <v>3</v>
      </c>
      <c r="CM522" s="7"/>
      <c r="CN522" s="7"/>
      <c r="CO522" s="7"/>
      <c r="CP522" s="7"/>
    </row>
    <row r="523" spans="1:99" x14ac:dyDescent="0.2">
      <c r="A523" s="7" t="s">
        <v>1331</v>
      </c>
      <c r="B523" s="7" t="s">
        <v>112</v>
      </c>
      <c r="C523" t="str">
        <f t="shared" si="177"/>
        <v>I</v>
      </c>
      <c r="D523" t="str">
        <f t="shared" si="178"/>
        <v>I</v>
      </c>
      <c r="E523" t="str">
        <f t="shared" si="179"/>
        <v>G</v>
      </c>
      <c r="F523" s="7">
        <v>98</v>
      </c>
      <c r="G523" s="7">
        <v>93</v>
      </c>
      <c r="H523" s="7">
        <v>21.863</v>
      </c>
      <c r="I523" s="7">
        <v>0.26100000000000001</v>
      </c>
      <c r="J523" s="7">
        <v>5.8999999999999997E-2</v>
      </c>
      <c r="K523" s="7" t="s">
        <v>1181</v>
      </c>
      <c r="L523" t="str">
        <f t="shared" si="180"/>
        <v>M</v>
      </c>
      <c r="M523" s="7">
        <v>40</v>
      </c>
      <c r="N523" s="7">
        <v>2.1070000000000002</v>
      </c>
      <c r="O523" s="7">
        <v>1.0589999999999999</v>
      </c>
      <c r="P523" s="7" t="s">
        <v>1375</v>
      </c>
      <c r="Q523" t="str">
        <f t="shared" si="165"/>
        <v>F</v>
      </c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  <c r="AM523" s="7"/>
      <c r="AN523" s="7"/>
      <c r="AO523" s="7"/>
      <c r="AP523" s="7"/>
      <c r="AQ523" s="7"/>
      <c r="AR523" s="7"/>
      <c r="AS523" s="7"/>
      <c r="AT523" s="7"/>
      <c r="AU523" s="7"/>
      <c r="AV523" s="7"/>
      <c r="AW523" s="7"/>
      <c r="AX523" s="7"/>
      <c r="AY523" s="7"/>
      <c r="AZ523" s="7"/>
      <c r="BA523" s="7"/>
      <c r="BB523" s="7"/>
      <c r="BC523" s="7"/>
      <c r="BD523" s="7"/>
      <c r="BE523" s="7"/>
      <c r="BF523" s="7"/>
      <c r="BG523" s="7"/>
      <c r="BH523" s="7"/>
      <c r="BI523" s="7"/>
      <c r="BJ523" s="7"/>
      <c r="BK523" s="7"/>
      <c r="BL523" s="7"/>
      <c r="BM523" s="7"/>
      <c r="BN523" s="7"/>
      <c r="BO523" s="7"/>
      <c r="BP523" s="7">
        <v>2</v>
      </c>
      <c r="BQ523" s="7">
        <v>0.97599999999999998</v>
      </c>
      <c r="BR523" s="7"/>
      <c r="BS523" s="7"/>
      <c r="BT523" s="7"/>
      <c r="BU523" s="7"/>
      <c r="BV523" s="7">
        <v>0.97599999999999998</v>
      </c>
      <c r="BW523" s="5">
        <v>44415</v>
      </c>
      <c r="BX523" s="7">
        <v>8</v>
      </c>
      <c r="BY523" s="7">
        <v>7</v>
      </c>
      <c r="BZ523" s="7">
        <v>2021</v>
      </c>
      <c r="CA523" s="5">
        <f t="shared" si="181"/>
        <v>44385</v>
      </c>
      <c r="CB523">
        <v>189</v>
      </c>
      <c r="CC523" s="7">
        <v>13</v>
      </c>
      <c r="CD523" t="s">
        <v>1301</v>
      </c>
      <c r="CE523">
        <f t="shared" si="175"/>
        <v>0.27059255182535313</v>
      </c>
      <c r="CF523">
        <f t="shared" si="176"/>
        <v>1.2082214609758355</v>
      </c>
      <c r="CG523">
        <f t="shared" si="182"/>
        <v>1.211530427517059E-2</v>
      </c>
      <c r="CH523">
        <f t="shared" si="183"/>
        <v>5.0903672370697945</v>
      </c>
      <c r="CI523">
        <f t="shared" si="184"/>
        <v>4.7934867127109735</v>
      </c>
      <c r="CJ523" s="1">
        <f t="shared" si="174"/>
        <v>9.2576499108082153</v>
      </c>
      <c r="CK523" s="7" t="s">
        <v>142</v>
      </c>
      <c r="CL523" s="7">
        <v>3</v>
      </c>
      <c r="CM523" s="7"/>
      <c r="CN523" s="7"/>
      <c r="CO523" s="7"/>
      <c r="CP523" s="7"/>
    </row>
    <row r="524" spans="1:99" x14ac:dyDescent="0.2">
      <c r="A524" s="7" t="s">
        <v>1332</v>
      </c>
      <c r="B524" s="7" t="s">
        <v>112</v>
      </c>
      <c r="C524" t="str">
        <f t="shared" si="177"/>
        <v>I</v>
      </c>
      <c r="D524" t="str">
        <f t="shared" si="178"/>
        <v>I</v>
      </c>
      <c r="E524" t="str">
        <f t="shared" si="179"/>
        <v>G</v>
      </c>
      <c r="F524" s="7">
        <v>97</v>
      </c>
      <c r="G524" s="7">
        <v>92</v>
      </c>
      <c r="H524" s="7">
        <v>18.148</v>
      </c>
      <c r="I524" s="7">
        <v>0.23899999999999999</v>
      </c>
      <c r="J524" s="7">
        <v>0.442</v>
      </c>
      <c r="K524" s="7" t="s">
        <v>1210</v>
      </c>
      <c r="L524" t="str">
        <f t="shared" si="180"/>
        <v>F</v>
      </c>
      <c r="M524" s="7">
        <v>40</v>
      </c>
      <c r="N524" s="7">
        <v>1.286</v>
      </c>
      <c r="O524" s="7">
        <v>1.2709999999999999</v>
      </c>
      <c r="P524" s="7" t="s">
        <v>36</v>
      </c>
      <c r="Q524" t="str">
        <f t="shared" si="165"/>
        <v>MT</v>
      </c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7"/>
      <c r="AN524" s="7"/>
      <c r="AO524" s="7"/>
      <c r="AP524" s="7"/>
      <c r="AQ524" s="7"/>
      <c r="AR524" s="7"/>
      <c r="AS524" s="7"/>
      <c r="AT524" s="7"/>
      <c r="AU524" s="7"/>
      <c r="AV524" s="7"/>
      <c r="AW524" s="7"/>
      <c r="AX524" s="7"/>
      <c r="AY524" s="7"/>
      <c r="AZ524" s="7"/>
      <c r="BA524" s="7"/>
      <c r="BB524" s="7"/>
      <c r="BC524" s="7"/>
      <c r="BD524" s="7"/>
      <c r="BE524" s="7"/>
      <c r="BF524" s="7"/>
      <c r="BG524" s="7"/>
      <c r="BH524" s="7"/>
      <c r="BI524" s="7"/>
      <c r="BJ524" s="7"/>
      <c r="BK524" s="7"/>
      <c r="BL524" s="7"/>
      <c r="BM524" s="7"/>
      <c r="BN524" s="7"/>
      <c r="BO524" s="7"/>
      <c r="BP524" s="7"/>
      <c r="BQ524" s="7"/>
      <c r="BR524" s="7"/>
      <c r="BS524" s="7"/>
      <c r="BT524" s="7"/>
      <c r="BU524" s="7"/>
      <c r="BW524" s="5">
        <v>44415</v>
      </c>
      <c r="BX524" s="7">
        <v>8</v>
      </c>
      <c r="BY524" s="7">
        <v>7</v>
      </c>
      <c r="BZ524" s="7">
        <v>2021</v>
      </c>
      <c r="CA524" s="5">
        <f t="shared" si="181"/>
        <v>44385</v>
      </c>
      <c r="CB524">
        <v>189</v>
      </c>
      <c r="CC524" s="7">
        <v>13</v>
      </c>
      <c r="CE524">
        <f t="shared" si="175"/>
        <v>2.4963289280469896</v>
      </c>
      <c r="CF524">
        <f t="shared" si="176"/>
        <v>1.3345245407337094</v>
      </c>
      <c r="CG524">
        <f t="shared" si="182"/>
        <v>1.3682944981965994E-2</v>
      </c>
      <c r="CH524">
        <f t="shared" si="183"/>
        <v>7.5309592937133383</v>
      </c>
      <c r="CI524">
        <f t="shared" si="184"/>
        <v>8.2653735948865575E-2</v>
      </c>
      <c r="CJ524" s="1">
        <f t="shared" si="174"/>
        <v>8.2653735948865575E-2</v>
      </c>
      <c r="CK524" s="7" t="s">
        <v>142</v>
      </c>
      <c r="CL524" s="7">
        <v>2</v>
      </c>
      <c r="CM524" s="7"/>
      <c r="CN524" s="7"/>
      <c r="CO524" s="7"/>
      <c r="CP524" s="7"/>
      <c r="CQ524" s="12">
        <v>0.38669999999999999</v>
      </c>
      <c r="CR524">
        <f>CQ524/(H524-I524-J524-N524)*1000</f>
        <v>23.898399357270875</v>
      </c>
      <c r="CT524">
        <v>118.0297267787399</v>
      </c>
      <c r="CU524">
        <v>157.1598432671513</v>
      </c>
    </row>
    <row r="525" spans="1:99" x14ac:dyDescent="0.2">
      <c r="A525" s="7" t="s">
        <v>1390</v>
      </c>
      <c r="B525" s="7" t="s">
        <v>112</v>
      </c>
      <c r="C525" t="str">
        <f t="shared" si="177"/>
        <v>I</v>
      </c>
      <c r="D525" t="str">
        <f t="shared" si="178"/>
        <v>I</v>
      </c>
      <c r="E525" t="str">
        <f t="shared" si="179"/>
        <v>G</v>
      </c>
      <c r="F525" s="7">
        <v>100</v>
      </c>
      <c r="G525" s="7">
        <v>95</v>
      </c>
      <c r="H525" s="7">
        <v>20.562999999999999</v>
      </c>
      <c r="I525" s="7">
        <v>0.308</v>
      </c>
      <c r="J525" s="7">
        <v>8.6999999999999994E-2</v>
      </c>
      <c r="K525" s="7" t="s">
        <v>1181</v>
      </c>
      <c r="L525" t="str">
        <f t="shared" si="180"/>
        <v>M</v>
      </c>
      <c r="M525" s="7">
        <v>40</v>
      </c>
      <c r="N525" s="7">
        <v>2.8969999999999998</v>
      </c>
      <c r="O525" s="7">
        <v>0.997</v>
      </c>
      <c r="P525" s="7" t="s">
        <v>1401</v>
      </c>
      <c r="Q525" t="str">
        <f t="shared" si="165"/>
        <v>F</v>
      </c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  <c r="AM525" s="7"/>
      <c r="AN525" s="7"/>
      <c r="AO525" s="7"/>
      <c r="AP525" s="7"/>
      <c r="AQ525" s="7"/>
      <c r="AR525" s="7"/>
      <c r="AS525" s="7"/>
      <c r="AT525" s="7"/>
      <c r="AU525" s="7"/>
      <c r="AV525" s="7"/>
      <c r="AW525" s="7"/>
      <c r="AX525" s="7"/>
      <c r="AY525" s="7"/>
      <c r="AZ525" s="7"/>
      <c r="BA525" s="7"/>
      <c r="BB525" s="7"/>
      <c r="BC525" s="7"/>
      <c r="BD525" s="7"/>
      <c r="BE525" s="7"/>
      <c r="BF525" s="7"/>
      <c r="BG525" s="7"/>
      <c r="BH525" s="7"/>
      <c r="BI525" s="7"/>
      <c r="BJ525" s="7"/>
      <c r="BK525" s="7"/>
      <c r="BL525" s="7"/>
      <c r="BM525" s="7"/>
      <c r="BN525" s="7"/>
      <c r="BO525" s="7"/>
      <c r="BP525" s="7">
        <v>4</v>
      </c>
      <c r="BQ525" s="7">
        <v>1.855</v>
      </c>
      <c r="BR525" s="7"/>
      <c r="BS525" s="7"/>
      <c r="BT525" s="7"/>
      <c r="BU525" s="7"/>
      <c r="BV525" s="7">
        <v>1.855</v>
      </c>
      <c r="BW525" s="5" t="s">
        <v>1403</v>
      </c>
      <c r="BX525" t="str">
        <f t="shared" ref="BX525:BX527" si="188">LEFT(BW525,2)</f>
        <v>16</v>
      </c>
      <c r="BY525" t="str">
        <f t="shared" ref="BY525:BY527" si="189">MID(BW525,4,1)</f>
        <v>7</v>
      </c>
      <c r="BZ525" t="str">
        <f t="shared" ref="BZ525:BZ527" si="190">20&amp;RIGHT(BW525,2)</f>
        <v>2021</v>
      </c>
      <c r="CA525" s="5">
        <f t="shared" si="181"/>
        <v>44393</v>
      </c>
      <c r="CB525">
        <v>197</v>
      </c>
      <c r="CC525" s="7">
        <v>14</v>
      </c>
      <c r="CE525">
        <f t="shared" si="175"/>
        <v>0.42488767337370575</v>
      </c>
      <c r="CF525">
        <f t="shared" si="176"/>
        <v>1.5206121945198718</v>
      </c>
      <c r="CG525">
        <f t="shared" si="182"/>
        <v>1.5271717572391909E-2</v>
      </c>
      <c r="CH525">
        <f t="shared" si="183"/>
        <v>5.0955739548195851</v>
      </c>
      <c r="CI525">
        <f t="shared" si="184"/>
        <v>9.239896902202986</v>
      </c>
      <c r="CJ525" s="1">
        <f t="shared" si="174"/>
        <v>18.260954140932746</v>
      </c>
      <c r="CK525" s="7" t="s">
        <v>142</v>
      </c>
      <c r="CL525" s="7">
        <v>3</v>
      </c>
      <c r="CM525" s="7"/>
      <c r="CN525" s="7"/>
      <c r="CO525" s="7"/>
      <c r="CP525" s="7"/>
    </row>
    <row r="526" spans="1:99" x14ac:dyDescent="0.2">
      <c r="A526" s="7" t="s">
        <v>1391</v>
      </c>
      <c r="B526" s="7" t="s">
        <v>112</v>
      </c>
      <c r="C526" t="str">
        <f t="shared" si="177"/>
        <v>I</v>
      </c>
      <c r="D526" t="str">
        <f t="shared" si="178"/>
        <v>I</v>
      </c>
      <c r="E526" t="str">
        <f t="shared" si="179"/>
        <v>G</v>
      </c>
      <c r="F526" s="7">
        <v>95</v>
      </c>
      <c r="G526" s="7">
        <v>90</v>
      </c>
      <c r="H526" s="7">
        <v>16.884</v>
      </c>
      <c r="I526" s="7">
        <v>0.23400000000000001</v>
      </c>
      <c r="J526" s="7">
        <v>1.8029999999999999</v>
      </c>
      <c r="K526" s="7" t="s">
        <v>867</v>
      </c>
      <c r="L526" t="str">
        <f t="shared" si="180"/>
        <v>F</v>
      </c>
      <c r="M526" s="7">
        <v>30</v>
      </c>
      <c r="N526" s="7">
        <v>1.014</v>
      </c>
      <c r="O526" s="7">
        <v>0.997</v>
      </c>
      <c r="P526" s="7" t="s">
        <v>36</v>
      </c>
      <c r="Q526" t="str">
        <f t="shared" si="165"/>
        <v>MT</v>
      </c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  <c r="AM526" s="7"/>
      <c r="AN526" s="7"/>
      <c r="AO526" s="7"/>
      <c r="AP526" s="7"/>
      <c r="AQ526" s="7"/>
      <c r="AR526" s="7"/>
      <c r="AS526" s="7"/>
      <c r="AT526" s="7"/>
      <c r="AU526" s="7"/>
      <c r="AV526" s="7"/>
      <c r="AW526" s="7"/>
      <c r="AX526" s="7"/>
      <c r="AY526" s="7"/>
      <c r="AZ526" s="7"/>
      <c r="BA526" s="7"/>
      <c r="BB526" s="7"/>
      <c r="BC526" s="7"/>
      <c r="BD526" s="7"/>
      <c r="BE526" s="7"/>
      <c r="BF526" s="7"/>
      <c r="BG526" s="7"/>
      <c r="BH526" s="7"/>
      <c r="BI526" s="7"/>
      <c r="BJ526" s="7"/>
      <c r="BK526" s="7"/>
      <c r="BL526" s="7"/>
      <c r="BM526" s="7"/>
      <c r="BN526" s="7"/>
      <c r="BO526" s="7"/>
      <c r="BP526" s="7"/>
      <c r="BQ526" s="7"/>
      <c r="BR526" s="7"/>
      <c r="BS526" s="7"/>
      <c r="BT526" s="7"/>
      <c r="BU526" s="7"/>
      <c r="BW526" s="5" t="s">
        <v>1403</v>
      </c>
      <c r="BX526" t="str">
        <f t="shared" si="188"/>
        <v>16</v>
      </c>
      <c r="BY526" t="str">
        <f t="shared" si="189"/>
        <v>7</v>
      </c>
      <c r="BZ526" t="str">
        <f t="shared" si="190"/>
        <v>2021</v>
      </c>
      <c r="CA526" s="5">
        <f t="shared" si="181"/>
        <v>44393</v>
      </c>
      <c r="CB526">
        <v>197</v>
      </c>
      <c r="CC526" s="7">
        <v>14</v>
      </c>
      <c r="CE526">
        <f t="shared" si="175"/>
        <v>11.955440620648499</v>
      </c>
      <c r="CF526">
        <f t="shared" si="176"/>
        <v>1.4054054054054057</v>
      </c>
      <c r="CG526">
        <f t="shared" si="182"/>
        <v>1.5760759749444336E-2</v>
      </c>
      <c r="CH526">
        <f t="shared" si="183"/>
        <v>6.2755712217536352</v>
      </c>
      <c r="CI526">
        <f t="shared" si="184"/>
        <v>0.10068704098554852</v>
      </c>
      <c r="CJ526" s="1">
        <f t="shared" si="174"/>
        <v>0.10068704098554852</v>
      </c>
      <c r="CK526" s="7" t="s">
        <v>142</v>
      </c>
      <c r="CL526" s="7">
        <v>2</v>
      </c>
      <c r="CM526" s="7"/>
      <c r="CN526" s="7"/>
      <c r="CO526" s="7"/>
      <c r="CP526" s="7"/>
      <c r="CQ526" s="12">
        <v>0.28889999999999999</v>
      </c>
      <c r="CR526">
        <f>CQ526/(H526-I526-J526-N526)*1000</f>
        <v>20.884840598568641</v>
      </c>
      <c r="CT526">
        <v>119.74287681914576</v>
      </c>
      <c r="CU526">
        <v>151.08535702124783</v>
      </c>
    </row>
    <row r="527" spans="1:99" x14ac:dyDescent="0.2">
      <c r="A527" s="7" t="s">
        <v>1392</v>
      </c>
      <c r="B527" s="7" t="s">
        <v>112</v>
      </c>
      <c r="C527" t="str">
        <f t="shared" si="177"/>
        <v>I</v>
      </c>
      <c r="D527" t="str">
        <f t="shared" si="178"/>
        <v>I</v>
      </c>
      <c r="E527" t="str">
        <f t="shared" si="179"/>
        <v>G</v>
      </c>
      <c r="F527" s="7">
        <v>99</v>
      </c>
      <c r="G527" s="7">
        <v>94</v>
      </c>
      <c r="H527" s="7">
        <v>20.556999999999999</v>
      </c>
      <c r="I527" s="7">
        <v>0.29899999999999999</v>
      </c>
      <c r="J527" s="7">
        <v>0.54600000000000004</v>
      </c>
      <c r="K527" s="7" t="s">
        <v>867</v>
      </c>
      <c r="L527" t="str">
        <f t="shared" si="180"/>
        <v>F</v>
      </c>
      <c r="M527" s="7">
        <v>30</v>
      </c>
      <c r="N527" s="7">
        <v>1.9339999999999999</v>
      </c>
      <c r="O527" s="7">
        <v>1.5429999999999999</v>
      </c>
      <c r="P527" s="7" t="s">
        <v>1402</v>
      </c>
      <c r="Q527" t="str">
        <f t="shared" si="165"/>
        <v>F</v>
      </c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>
        <v>20</v>
      </c>
      <c r="AK527" s="7">
        <v>0.35199999999999998</v>
      </c>
      <c r="AL527" s="7"/>
      <c r="AM527" s="7"/>
      <c r="AN527" s="7"/>
      <c r="AO527" s="7"/>
      <c r="AP527" s="7"/>
      <c r="AQ527" s="7"/>
      <c r="AR527" s="7"/>
      <c r="AS527" s="7"/>
      <c r="AT527" s="7"/>
      <c r="AU527" s="7"/>
      <c r="AV527" s="7"/>
      <c r="AW527" s="7"/>
      <c r="AX527" s="7"/>
      <c r="AY527" s="7"/>
      <c r="AZ527" s="7"/>
      <c r="BA527" s="7"/>
      <c r="BB527" s="7"/>
      <c r="BC527" s="7"/>
      <c r="BD527" s="7"/>
      <c r="BE527" s="7"/>
      <c r="BF527" s="7"/>
      <c r="BG527" s="7"/>
      <c r="BH527" s="7"/>
      <c r="BI527" s="7"/>
      <c r="BJ527" s="7"/>
      <c r="BK527" s="7"/>
      <c r="BL527" s="7"/>
      <c r="BM527" s="7"/>
      <c r="BN527" s="7"/>
      <c r="BO527" s="7"/>
      <c r="BP527" s="7"/>
      <c r="BQ527" s="7"/>
      <c r="BR527" s="7"/>
      <c r="BS527" s="7"/>
      <c r="BT527" s="7"/>
      <c r="BU527" s="7"/>
      <c r="BV527" s="7">
        <v>0.35199999999999998</v>
      </c>
      <c r="BW527" s="5" t="s">
        <v>1403</v>
      </c>
      <c r="BX527" t="str">
        <f t="shared" si="188"/>
        <v>16</v>
      </c>
      <c r="BY527" t="str">
        <f t="shared" si="189"/>
        <v>7</v>
      </c>
      <c r="BZ527" t="str">
        <f t="shared" si="190"/>
        <v>2021</v>
      </c>
      <c r="CA527" s="5">
        <f t="shared" si="181"/>
        <v>44393</v>
      </c>
      <c r="CB527">
        <v>197</v>
      </c>
      <c r="CC527" s="7">
        <v>14</v>
      </c>
      <c r="CE527">
        <f t="shared" si="175"/>
        <v>2.7284993253710463</v>
      </c>
      <c r="CF527">
        <f t="shared" si="176"/>
        <v>1.4759601145226577</v>
      </c>
      <c r="CG527">
        <f t="shared" si="182"/>
        <v>1.5168425324675324E-2</v>
      </c>
      <c r="CH527">
        <f t="shared" si="183"/>
        <v>8.1150731040286104</v>
      </c>
      <c r="CI527">
        <f t="shared" si="184"/>
        <v>1.9020285061049766</v>
      </c>
      <c r="CJ527" s="1">
        <f t="shared" si="174"/>
        <v>3.6143406139028071</v>
      </c>
      <c r="CK527" s="7" t="s">
        <v>142</v>
      </c>
      <c r="CL527" s="7">
        <v>3</v>
      </c>
      <c r="CM527" s="7"/>
      <c r="CN527" s="7"/>
      <c r="CO527" s="7"/>
      <c r="CP527" s="7"/>
      <c r="CQ527" s="12">
        <v>0.36759999999999998</v>
      </c>
      <c r="CR527">
        <f>CQ527/(H527-I527-J527-N527)*1000</f>
        <v>20.677241534480821</v>
      </c>
      <c r="CT527">
        <v>111.6208956516905</v>
      </c>
      <c r="CU527">
        <v>195.24404762673424</v>
      </c>
    </row>
    <row r="528" spans="1:99" x14ac:dyDescent="0.2">
      <c r="A528" s="7" t="s">
        <v>1404</v>
      </c>
      <c r="B528" s="7" t="s">
        <v>112</v>
      </c>
      <c r="C528" t="str">
        <f t="shared" si="177"/>
        <v>I</v>
      </c>
      <c r="D528" t="str">
        <f t="shared" si="178"/>
        <v>B</v>
      </c>
      <c r="E528" t="str">
        <f t="shared" si="179"/>
        <v>N</v>
      </c>
      <c r="F528" s="7">
        <v>111</v>
      </c>
      <c r="G528" s="7">
        <v>105</v>
      </c>
      <c r="H528" s="7">
        <v>22.468</v>
      </c>
      <c r="I528" s="7">
        <v>0.29099999999999998</v>
      </c>
      <c r="J528" s="7">
        <v>2.9000000000000001E-2</v>
      </c>
      <c r="K528" s="7" t="s">
        <v>1181</v>
      </c>
      <c r="L528" t="str">
        <f t="shared" si="180"/>
        <v>M</v>
      </c>
      <c r="M528" s="7">
        <v>40</v>
      </c>
      <c r="N528" s="7">
        <v>1.03</v>
      </c>
      <c r="O528" s="7">
        <v>1.0249999999999999</v>
      </c>
      <c r="P528" s="7" t="s">
        <v>1372</v>
      </c>
      <c r="Q528" t="s">
        <v>27</v>
      </c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  <c r="AM528" s="7"/>
      <c r="AN528" s="7"/>
      <c r="AO528" s="7"/>
      <c r="AP528" s="7"/>
      <c r="AQ528" s="7"/>
      <c r="AR528" s="7"/>
      <c r="AS528" s="7"/>
      <c r="AT528" s="7"/>
      <c r="AU528" s="7"/>
      <c r="AV528" s="7"/>
      <c r="AW528" s="7"/>
      <c r="AX528" s="7"/>
      <c r="AY528" s="7"/>
      <c r="AZ528" s="7"/>
      <c r="BA528" s="7"/>
      <c r="BB528" s="7"/>
      <c r="BC528" s="7"/>
      <c r="BD528" s="7"/>
      <c r="BE528" s="7"/>
      <c r="BF528" s="7"/>
      <c r="BG528" s="7"/>
      <c r="BH528" s="7"/>
      <c r="BI528" s="7"/>
      <c r="BJ528" s="7"/>
      <c r="BK528" s="7"/>
      <c r="BL528" s="7"/>
      <c r="BM528" s="7"/>
      <c r="BN528" s="7"/>
      <c r="BO528" s="7"/>
      <c r="BP528" s="7"/>
      <c r="BQ528" s="7"/>
      <c r="BR528" s="7"/>
      <c r="BS528" s="7"/>
      <c r="BT528" s="7"/>
      <c r="BU528" s="7"/>
      <c r="BW528" s="5">
        <v>44204</v>
      </c>
      <c r="BX528">
        <v>1</v>
      </c>
      <c r="BY528">
        <v>8</v>
      </c>
      <c r="BZ528">
        <v>2021</v>
      </c>
      <c r="CA528" s="5">
        <f t="shared" si="181"/>
        <v>44409</v>
      </c>
      <c r="CB528">
        <v>213</v>
      </c>
      <c r="CC528" s="7">
        <v>15</v>
      </c>
      <c r="CE528">
        <f t="shared" si="175"/>
        <v>0.12923927091225099</v>
      </c>
      <c r="CF528">
        <f t="shared" si="176"/>
        <v>1.3121702664923118</v>
      </c>
      <c r="CG528">
        <f t="shared" si="182"/>
        <v>1.3138883872132924E-2</v>
      </c>
      <c r="CH528">
        <f t="shared" si="183"/>
        <v>4.7801147227533454</v>
      </c>
      <c r="CI528">
        <f t="shared" si="184"/>
        <v>2.2253872173758748E-2</v>
      </c>
      <c r="CJ528" s="1">
        <f t="shared" si="174"/>
        <v>2.2253872173758748E-2</v>
      </c>
      <c r="CK528" s="7" t="s">
        <v>142</v>
      </c>
      <c r="CL528" s="7">
        <v>1</v>
      </c>
      <c r="CM528" s="7"/>
      <c r="CN528" s="7"/>
      <c r="CO528" s="7"/>
      <c r="CP528" s="7"/>
    </row>
    <row r="529" spans="1:99" x14ac:dyDescent="0.2">
      <c r="A529" s="7" t="s">
        <v>1405</v>
      </c>
      <c r="B529" s="7" t="s">
        <v>112</v>
      </c>
      <c r="C529" t="str">
        <f t="shared" si="177"/>
        <v>I</v>
      </c>
      <c r="D529" t="str">
        <f t="shared" si="178"/>
        <v>I</v>
      </c>
      <c r="E529" t="str">
        <f t="shared" si="179"/>
        <v>G</v>
      </c>
      <c r="F529" s="7">
        <v>108</v>
      </c>
      <c r="G529" s="7">
        <v>103</v>
      </c>
      <c r="H529" s="7">
        <v>23.565999999999999</v>
      </c>
      <c r="I529" s="7">
        <v>0.28499999999999998</v>
      </c>
      <c r="J529" s="7">
        <v>0.04</v>
      </c>
      <c r="K529" s="7" t="s">
        <v>1181</v>
      </c>
      <c r="L529" t="str">
        <f t="shared" si="180"/>
        <v>M</v>
      </c>
      <c r="M529" s="7">
        <v>40</v>
      </c>
      <c r="N529" s="7">
        <v>1.45</v>
      </c>
      <c r="O529" s="7">
        <v>1.429</v>
      </c>
      <c r="P529" s="7" t="s">
        <v>36</v>
      </c>
      <c r="Q529" t="str">
        <f t="shared" ref="Q529:Q568" si="191">IF(P529="MT","MT","F")</f>
        <v>MT</v>
      </c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  <c r="AM529" s="7"/>
      <c r="AN529" s="7"/>
      <c r="AO529" s="7"/>
      <c r="AP529" s="7"/>
      <c r="AQ529" s="7"/>
      <c r="AR529" s="7"/>
      <c r="AS529" s="7"/>
      <c r="AT529" s="7"/>
      <c r="AU529" s="7"/>
      <c r="AV529" s="7"/>
      <c r="AW529" s="7"/>
      <c r="AX529" s="7"/>
      <c r="AY529" s="7"/>
      <c r="AZ529" s="7"/>
      <c r="BA529" s="7"/>
      <c r="BB529" s="7"/>
      <c r="BC529" s="7"/>
      <c r="BD529" s="7"/>
      <c r="BE529" s="7"/>
      <c r="BF529" s="7"/>
      <c r="BG529" s="7"/>
      <c r="BH529" s="7"/>
      <c r="BI529" s="7"/>
      <c r="BJ529" s="7"/>
      <c r="BK529" s="7"/>
      <c r="BL529" s="7"/>
      <c r="BM529" s="7"/>
      <c r="BN529" s="7"/>
      <c r="BO529" s="7"/>
      <c r="BP529" s="7"/>
      <c r="BQ529" s="7"/>
      <c r="BR529" s="7"/>
      <c r="BS529" s="7"/>
      <c r="BT529" s="7"/>
      <c r="BU529" s="7"/>
      <c r="BW529" s="5">
        <v>44204</v>
      </c>
      <c r="BX529">
        <v>1</v>
      </c>
      <c r="BY529">
        <v>8</v>
      </c>
      <c r="BZ529">
        <v>2021</v>
      </c>
      <c r="CA529" s="5">
        <f t="shared" si="181"/>
        <v>44409</v>
      </c>
      <c r="CB529">
        <v>213</v>
      </c>
      <c r="CC529" s="7">
        <v>15</v>
      </c>
      <c r="CE529">
        <f t="shared" si="175"/>
        <v>0.17002465357476834</v>
      </c>
      <c r="CF529">
        <f t="shared" si="176"/>
        <v>1.2241742193204759</v>
      </c>
      <c r="CG529">
        <f t="shared" si="182"/>
        <v>1.2262811410868723E-2</v>
      </c>
      <c r="CH529">
        <f t="shared" si="183"/>
        <v>6.4552559064010486</v>
      </c>
      <c r="CI529">
        <f t="shared" si="184"/>
        <v>8.9111431723669296E-2</v>
      </c>
      <c r="CJ529" s="1">
        <f t="shared" si="174"/>
        <v>8.9111431723669296E-2</v>
      </c>
      <c r="CK529" s="7" t="s">
        <v>142</v>
      </c>
      <c r="CL529" s="7">
        <v>3</v>
      </c>
      <c r="CM529" s="7"/>
      <c r="CN529" s="7"/>
      <c r="CO529" s="7"/>
      <c r="CP529" s="7"/>
      <c r="CQ529"/>
    </row>
    <row r="530" spans="1:99" x14ac:dyDescent="0.2">
      <c r="A530" s="7" t="s">
        <v>1406</v>
      </c>
      <c r="B530" s="7" t="s">
        <v>112</v>
      </c>
      <c r="C530" t="str">
        <f t="shared" si="177"/>
        <v>I</v>
      </c>
      <c r="D530" t="str">
        <f t="shared" si="178"/>
        <v>I</v>
      </c>
      <c r="E530" t="str">
        <f t="shared" si="179"/>
        <v>G</v>
      </c>
      <c r="F530" s="7">
        <v>104</v>
      </c>
      <c r="G530" s="7">
        <v>99</v>
      </c>
      <c r="H530" s="7">
        <v>20.353999999999999</v>
      </c>
      <c r="I530" s="7">
        <v>0.19600000000000001</v>
      </c>
      <c r="J530" s="7">
        <v>5.1999999999999998E-2</v>
      </c>
      <c r="K530" s="7" t="s">
        <v>1181</v>
      </c>
      <c r="L530" t="str">
        <f t="shared" si="180"/>
        <v>M</v>
      </c>
      <c r="M530" s="7">
        <v>40</v>
      </c>
      <c r="N530" s="7">
        <v>0.85099999999999998</v>
      </c>
      <c r="O530" s="7">
        <v>0.83499999999999996</v>
      </c>
      <c r="P530" s="7" t="s">
        <v>36</v>
      </c>
      <c r="Q530" t="str">
        <f t="shared" si="191"/>
        <v>MT</v>
      </c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  <c r="AM530" s="7"/>
      <c r="AN530" s="7"/>
      <c r="AO530" s="7"/>
      <c r="AP530" s="7"/>
      <c r="AQ530" s="7"/>
      <c r="AR530" s="7"/>
      <c r="AS530" s="7"/>
      <c r="AT530" s="7"/>
      <c r="AU530" s="7"/>
      <c r="AV530" s="7"/>
      <c r="AW530" s="7"/>
      <c r="AX530" s="7"/>
      <c r="AY530" s="7"/>
      <c r="AZ530" s="7"/>
      <c r="BA530" s="7"/>
      <c r="BB530" s="7"/>
      <c r="BC530" s="7"/>
      <c r="BD530" s="7"/>
      <c r="BE530" s="7"/>
      <c r="BF530" s="7"/>
      <c r="BG530" s="7"/>
      <c r="BH530" s="7"/>
      <c r="BI530" s="7"/>
      <c r="BJ530" s="7"/>
      <c r="BK530" s="7"/>
      <c r="BL530" s="7"/>
      <c r="BM530" s="7"/>
      <c r="BN530" s="7"/>
      <c r="BO530" s="7"/>
      <c r="BP530" s="7"/>
      <c r="BQ530" s="7"/>
      <c r="BR530" s="7"/>
      <c r="BS530" s="7"/>
      <c r="BT530" s="7"/>
      <c r="BU530" s="7"/>
      <c r="BW530" s="5">
        <v>44204</v>
      </c>
      <c r="BX530">
        <v>1</v>
      </c>
      <c r="BY530">
        <v>8</v>
      </c>
      <c r="BZ530">
        <v>2021</v>
      </c>
      <c r="CA530" s="5">
        <f t="shared" si="181"/>
        <v>44409</v>
      </c>
      <c r="CB530">
        <v>213</v>
      </c>
      <c r="CC530" s="7">
        <v>15</v>
      </c>
      <c r="CE530">
        <f t="shared" si="175"/>
        <v>0.2561324007486947</v>
      </c>
      <c r="CF530">
        <f t="shared" si="176"/>
        <v>0.97231868240896924</v>
      </c>
      <c r="CG530">
        <f t="shared" si="182"/>
        <v>9.7483338306973057E-3</v>
      </c>
      <c r="CH530">
        <f t="shared" si="183"/>
        <v>4.277883088272965</v>
      </c>
      <c r="CI530">
        <f t="shared" si="184"/>
        <v>7.8608627296845895E-2</v>
      </c>
      <c r="CJ530" s="1">
        <f t="shared" si="174"/>
        <v>7.8608627296845895E-2</v>
      </c>
      <c r="CK530" s="7" t="s">
        <v>142</v>
      </c>
      <c r="CL530" s="7">
        <v>3</v>
      </c>
      <c r="CM530" s="7"/>
      <c r="CN530" s="7"/>
      <c r="CO530" s="7"/>
      <c r="CP530" s="7"/>
    </row>
    <row r="531" spans="1:99" x14ac:dyDescent="0.2">
      <c r="A531" s="7" t="s">
        <v>1407</v>
      </c>
      <c r="B531" s="7" t="s">
        <v>112</v>
      </c>
      <c r="C531" t="str">
        <f t="shared" si="177"/>
        <v>I</v>
      </c>
      <c r="D531" t="str">
        <f t="shared" si="178"/>
        <v>I</v>
      </c>
      <c r="E531" t="str">
        <f t="shared" si="179"/>
        <v>G</v>
      </c>
      <c r="F531" s="7">
        <v>104</v>
      </c>
      <c r="G531" s="7">
        <v>98</v>
      </c>
      <c r="H531" s="7">
        <v>21.302</v>
      </c>
      <c r="I531" s="7">
        <v>0.24299999999999999</v>
      </c>
      <c r="J531" s="7">
        <v>4.2000000000000003E-2</v>
      </c>
      <c r="K531" s="7" t="s">
        <v>1181</v>
      </c>
      <c r="L531" t="str">
        <f t="shared" si="180"/>
        <v>M</v>
      </c>
      <c r="M531" s="7">
        <v>40</v>
      </c>
      <c r="N531" s="7">
        <v>1.175</v>
      </c>
      <c r="O531" s="7">
        <v>1.08</v>
      </c>
      <c r="P531" s="7" t="s">
        <v>1427</v>
      </c>
      <c r="Q531" t="str">
        <f t="shared" si="191"/>
        <v>F</v>
      </c>
      <c r="R531" s="7"/>
      <c r="S531" s="7"/>
      <c r="T531" s="7"/>
      <c r="U531" s="7">
        <v>3.6999999999999998E-2</v>
      </c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  <c r="AM531" s="7"/>
      <c r="AN531" s="7"/>
      <c r="AO531" s="7"/>
      <c r="AP531" s="7"/>
      <c r="AQ531" s="7"/>
      <c r="AR531" s="7"/>
      <c r="AS531" s="7"/>
      <c r="AT531" s="7"/>
      <c r="AU531" s="7"/>
      <c r="AV531" s="7"/>
      <c r="AW531" s="7"/>
      <c r="AX531" s="7"/>
      <c r="AY531" s="7"/>
      <c r="AZ531" s="7"/>
      <c r="BA531" s="7"/>
      <c r="BB531" s="7"/>
      <c r="BC531" s="7"/>
      <c r="BD531" s="7"/>
      <c r="BE531" s="7"/>
      <c r="BF531" s="7"/>
      <c r="BG531" s="7"/>
      <c r="BH531" s="7"/>
      <c r="BI531" s="7"/>
      <c r="BJ531" s="7"/>
      <c r="BK531" s="7"/>
      <c r="BL531" s="7"/>
      <c r="BM531" s="7"/>
      <c r="BN531" s="7"/>
      <c r="BO531" s="7"/>
      <c r="BP531" s="7"/>
      <c r="BQ531" s="7"/>
      <c r="BR531" s="7"/>
      <c r="BS531" s="7"/>
      <c r="BT531" s="7"/>
      <c r="BU531" s="7"/>
      <c r="BV531" s="7">
        <v>3.6999999999999998E-2</v>
      </c>
      <c r="BW531" s="5">
        <v>44204</v>
      </c>
      <c r="BX531">
        <v>1</v>
      </c>
      <c r="BY531">
        <v>8</v>
      </c>
      <c r="BZ531">
        <v>2021</v>
      </c>
      <c r="CA531" s="5">
        <f t="shared" si="181"/>
        <v>44409</v>
      </c>
      <c r="CB531">
        <v>213</v>
      </c>
      <c r="CC531" s="7">
        <v>15</v>
      </c>
      <c r="CE531">
        <f t="shared" si="175"/>
        <v>0.1975540921919097</v>
      </c>
      <c r="CF531">
        <f t="shared" si="176"/>
        <v>1.1539009449641484</v>
      </c>
      <c r="CG531">
        <f t="shared" si="182"/>
        <v>1.1562068801446447E-2</v>
      </c>
      <c r="CH531">
        <f t="shared" si="183"/>
        <v>5.3407180298684604</v>
      </c>
      <c r="CI531">
        <f t="shared" si="184"/>
        <v>0.44596751478734381</v>
      </c>
      <c r="CJ531" s="1">
        <f t="shared" si="174"/>
        <v>0.61966012580978302</v>
      </c>
      <c r="CK531" s="7" t="s">
        <v>142</v>
      </c>
      <c r="CL531" s="7">
        <v>3</v>
      </c>
      <c r="CM531" s="7"/>
      <c r="CN531" s="7"/>
      <c r="CO531" s="7"/>
      <c r="CP531" s="7"/>
    </row>
    <row r="532" spans="1:99" x14ac:dyDescent="0.2">
      <c r="A532" s="7" t="s">
        <v>1408</v>
      </c>
      <c r="B532" s="7" t="s">
        <v>112</v>
      </c>
      <c r="C532" t="str">
        <f t="shared" si="177"/>
        <v>I</v>
      </c>
      <c r="D532" t="str">
        <f t="shared" si="178"/>
        <v>B</v>
      </c>
      <c r="E532" t="str">
        <f t="shared" si="179"/>
        <v>N</v>
      </c>
      <c r="F532" s="7">
        <v>112</v>
      </c>
      <c r="G532" s="7">
        <v>106</v>
      </c>
      <c r="H532" s="7">
        <v>25.58</v>
      </c>
      <c r="I532" s="7">
        <v>0.32600000000000001</v>
      </c>
      <c r="J532" s="7">
        <v>0.14399999999999999</v>
      </c>
      <c r="K532" s="7" t="s">
        <v>868</v>
      </c>
      <c r="L532" t="str">
        <f t="shared" si="180"/>
        <v>M</v>
      </c>
      <c r="M532" s="7">
        <v>30</v>
      </c>
      <c r="N532" s="7">
        <v>1.367</v>
      </c>
      <c r="O532" s="7">
        <v>1.26</v>
      </c>
      <c r="P532" s="7" t="s">
        <v>1428</v>
      </c>
      <c r="Q532" t="str">
        <f t="shared" si="191"/>
        <v>F</v>
      </c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  <c r="AM532" s="7"/>
      <c r="AN532" s="7"/>
      <c r="AO532" s="7"/>
      <c r="AP532" s="7"/>
      <c r="AQ532" s="7"/>
      <c r="AR532" s="7"/>
      <c r="AS532" s="7"/>
      <c r="AT532" s="7"/>
      <c r="AU532" s="7"/>
      <c r="AV532" s="7"/>
      <c r="AW532" s="7"/>
      <c r="AX532" s="7"/>
      <c r="AY532" s="7"/>
      <c r="AZ532" s="7"/>
      <c r="BA532" s="7"/>
      <c r="BB532" s="7"/>
      <c r="BC532" s="7"/>
      <c r="BD532" s="7"/>
      <c r="BE532" s="7"/>
      <c r="BF532" s="7"/>
      <c r="BG532" s="7"/>
      <c r="BH532" s="7"/>
      <c r="BI532" s="7"/>
      <c r="BJ532" s="7"/>
      <c r="BK532" s="7"/>
      <c r="BL532" s="7"/>
      <c r="BM532" s="7"/>
      <c r="BN532" s="7"/>
      <c r="BO532" s="7"/>
      <c r="BP532" s="7">
        <v>1</v>
      </c>
      <c r="BQ532" s="7">
        <v>6.2E-2</v>
      </c>
      <c r="BR532" s="7"/>
      <c r="BS532" s="7"/>
      <c r="BT532" s="7"/>
      <c r="BU532" s="7"/>
      <c r="BV532" s="7">
        <v>6.2E-2</v>
      </c>
      <c r="BW532" s="5">
        <v>44204</v>
      </c>
      <c r="BX532">
        <v>1</v>
      </c>
      <c r="BY532">
        <v>8</v>
      </c>
      <c r="BZ532">
        <v>2021</v>
      </c>
      <c r="CA532" s="5">
        <f t="shared" si="181"/>
        <v>44409</v>
      </c>
      <c r="CB532">
        <v>213</v>
      </c>
      <c r="CC532" s="7">
        <v>15</v>
      </c>
      <c r="CE532">
        <f t="shared" si="175"/>
        <v>0.56612674948891328</v>
      </c>
      <c r="CF532">
        <f t="shared" si="176"/>
        <v>1.2908846123386397</v>
      </c>
      <c r="CG532">
        <f t="shared" si="182"/>
        <v>1.2982875348466746E-2</v>
      </c>
      <c r="CH532">
        <f t="shared" si="183"/>
        <v>5.1809210526315796</v>
      </c>
      <c r="CI532">
        <f t="shared" si="184"/>
        <v>0.41829554339327601</v>
      </c>
      <c r="CJ532" s="1">
        <f t="shared" si="174"/>
        <v>0.66067240031274432</v>
      </c>
      <c r="CK532" s="7" t="s">
        <v>142</v>
      </c>
      <c r="CL532" s="7">
        <v>3</v>
      </c>
      <c r="CM532" s="7"/>
      <c r="CN532" s="7"/>
      <c r="CO532" s="7"/>
      <c r="CP532" s="7"/>
    </row>
    <row r="533" spans="1:99" x14ac:dyDescent="0.2">
      <c r="A533" s="7" t="s">
        <v>1409</v>
      </c>
      <c r="B533" s="7" t="s">
        <v>112</v>
      </c>
      <c r="C533" t="str">
        <f t="shared" si="177"/>
        <v>I</v>
      </c>
      <c r="D533" t="str">
        <f t="shared" si="178"/>
        <v>I</v>
      </c>
      <c r="E533" t="str">
        <f t="shared" si="179"/>
        <v>G</v>
      </c>
      <c r="F533" s="7">
        <v>103</v>
      </c>
      <c r="G533" s="7">
        <v>96</v>
      </c>
      <c r="H533" s="7">
        <v>20.265999999999998</v>
      </c>
      <c r="I533" s="7">
        <v>0.21299999999999999</v>
      </c>
      <c r="J533" s="7">
        <v>0.23100000000000001</v>
      </c>
      <c r="K533" s="7" t="s">
        <v>867</v>
      </c>
      <c r="L533" t="str">
        <f t="shared" si="180"/>
        <v>F</v>
      </c>
      <c r="M533" s="7">
        <v>30</v>
      </c>
      <c r="N533" s="7">
        <v>1.3160000000000001</v>
      </c>
      <c r="O533" s="7">
        <v>1.298</v>
      </c>
      <c r="P533" s="7" t="s">
        <v>36</v>
      </c>
      <c r="Q533" t="str">
        <f t="shared" si="191"/>
        <v>MT</v>
      </c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  <c r="AM533" s="7"/>
      <c r="AN533" s="7"/>
      <c r="AO533" s="7"/>
      <c r="AP533" s="7"/>
      <c r="AQ533" s="7"/>
      <c r="AR533" s="7"/>
      <c r="AS533" s="7"/>
      <c r="AT533" s="7"/>
      <c r="AU533" s="7"/>
      <c r="AV533" s="7"/>
      <c r="AW533" s="7"/>
      <c r="AX533" s="7"/>
      <c r="AY533" s="7"/>
      <c r="AZ533" s="7"/>
      <c r="BA533" s="7"/>
      <c r="BB533" s="7"/>
      <c r="BC533" s="7"/>
      <c r="BD533" s="7"/>
      <c r="BE533" s="7"/>
      <c r="BF533" s="7"/>
      <c r="BG533" s="7"/>
      <c r="BH533" s="7"/>
      <c r="BI533" s="7"/>
      <c r="BJ533" s="7"/>
      <c r="BK533" s="7"/>
      <c r="BL533" s="7"/>
      <c r="BM533" s="7"/>
      <c r="BN533" s="7"/>
      <c r="BO533" s="7"/>
      <c r="BP533" s="7"/>
      <c r="BQ533" s="7"/>
      <c r="BR533" s="7"/>
      <c r="BS533" s="7"/>
      <c r="BT533" s="7"/>
      <c r="BU533" s="7"/>
      <c r="BW533" s="5">
        <v>44204</v>
      </c>
      <c r="BX533">
        <v>1</v>
      </c>
      <c r="BY533">
        <v>8</v>
      </c>
      <c r="BZ533">
        <v>2021</v>
      </c>
      <c r="CA533" s="5">
        <f t="shared" si="181"/>
        <v>44409</v>
      </c>
      <c r="CB533">
        <v>213</v>
      </c>
      <c r="CC533" s="7">
        <v>15</v>
      </c>
      <c r="CE533">
        <f t="shared" si="175"/>
        <v>1.152982281008236</v>
      </c>
      <c r="CF533">
        <f t="shared" si="176"/>
        <v>1.0621852091956316</v>
      </c>
      <c r="CG533">
        <f t="shared" si="182"/>
        <v>1.0745636161840381E-2</v>
      </c>
      <c r="CH533">
        <f t="shared" si="183"/>
        <v>6.8431041754533961</v>
      </c>
      <c r="CI533">
        <f t="shared" si="184"/>
        <v>8.8818711141813958E-2</v>
      </c>
      <c r="CJ533" s="1">
        <f t="shared" si="174"/>
        <v>8.8818711141813958E-2</v>
      </c>
      <c r="CK533" s="7" t="s">
        <v>142</v>
      </c>
      <c r="CL533" s="7">
        <v>3</v>
      </c>
      <c r="CM533" s="7"/>
      <c r="CN533" s="7"/>
      <c r="CO533" s="7"/>
      <c r="CP533" s="7"/>
      <c r="CQ533" s="12">
        <f>1.9082-1.2563</f>
        <v>0.65189999999999992</v>
      </c>
      <c r="CR533">
        <f>CQ533/(H533-I533-J533-N533)*1000</f>
        <v>35.226413055225336</v>
      </c>
      <c r="CT533">
        <v>126.82816184350037</v>
      </c>
      <c r="CU533">
        <v>99.46831843684852</v>
      </c>
    </row>
    <row r="534" spans="1:99" x14ac:dyDescent="0.2">
      <c r="A534" s="7" t="s">
        <v>1410</v>
      </c>
      <c r="B534" s="7" t="s">
        <v>112</v>
      </c>
      <c r="C534" t="str">
        <f t="shared" si="177"/>
        <v>I</v>
      </c>
      <c r="D534" t="str">
        <f t="shared" si="178"/>
        <v>I</v>
      </c>
      <c r="E534" t="str">
        <f t="shared" si="179"/>
        <v>G</v>
      </c>
      <c r="F534" s="7">
        <v>106</v>
      </c>
      <c r="G534" s="7">
        <v>101</v>
      </c>
      <c r="H534" s="7">
        <v>22.02</v>
      </c>
      <c r="I534" s="7">
        <v>0.245</v>
      </c>
      <c r="J534" s="7">
        <v>0.64100000000000001</v>
      </c>
      <c r="K534" s="7" t="s">
        <v>867</v>
      </c>
      <c r="L534" t="str">
        <f t="shared" si="180"/>
        <v>F</v>
      </c>
      <c r="M534" s="7">
        <v>30</v>
      </c>
      <c r="N534" s="7">
        <v>1.1719999999999999</v>
      </c>
      <c r="O534" s="7">
        <v>1.159</v>
      </c>
      <c r="P534" s="7" t="s">
        <v>36</v>
      </c>
      <c r="Q534" t="str">
        <f t="shared" si="191"/>
        <v>MT</v>
      </c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  <c r="AM534" s="7"/>
      <c r="AN534" s="7"/>
      <c r="AO534" s="7"/>
      <c r="AP534" s="7"/>
      <c r="AQ534" s="7"/>
      <c r="AR534" s="7"/>
      <c r="AS534" s="7"/>
      <c r="AT534" s="7"/>
      <c r="AU534" s="7"/>
      <c r="AV534" s="7"/>
      <c r="AW534" s="7"/>
      <c r="AX534" s="7"/>
      <c r="AY534" s="7"/>
      <c r="AZ534" s="7"/>
      <c r="BA534" s="7"/>
      <c r="BB534" s="7"/>
      <c r="BC534" s="7"/>
      <c r="BD534" s="7"/>
      <c r="BE534" s="7"/>
      <c r="BF534" s="7"/>
      <c r="BG534" s="7"/>
      <c r="BH534" s="7"/>
      <c r="BI534" s="7"/>
      <c r="BJ534" s="7"/>
      <c r="BK534" s="7"/>
      <c r="BL534" s="7"/>
      <c r="BM534" s="7"/>
      <c r="BN534" s="7"/>
      <c r="BO534" s="7"/>
      <c r="BP534" s="7"/>
      <c r="BQ534" s="7"/>
      <c r="BR534" s="7"/>
      <c r="BS534" s="7"/>
      <c r="BT534" s="7"/>
      <c r="BU534" s="7"/>
      <c r="BW534" s="5">
        <v>44204</v>
      </c>
      <c r="BX534">
        <v>1</v>
      </c>
      <c r="BY534">
        <v>8</v>
      </c>
      <c r="BZ534">
        <v>2021</v>
      </c>
      <c r="CA534" s="5">
        <f t="shared" si="181"/>
        <v>44409</v>
      </c>
      <c r="CB534">
        <v>213</v>
      </c>
      <c r="CC534" s="7">
        <v>15</v>
      </c>
      <c r="CE534">
        <f t="shared" si="175"/>
        <v>2.9982693297160767</v>
      </c>
      <c r="CF534">
        <f t="shared" si="176"/>
        <v>1.1251435132032148</v>
      </c>
      <c r="CG534">
        <f t="shared" si="182"/>
        <v>1.1592694236774864E-2</v>
      </c>
      <c r="CH534">
        <f t="shared" si="183"/>
        <v>5.5558218685585539</v>
      </c>
      <c r="CI534">
        <f t="shared" si="184"/>
        <v>5.9037238873750682E-2</v>
      </c>
      <c r="CJ534" s="1">
        <f t="shared" si="174"/>
        <v>5.9037238873750682E-2</v>
      </c>
      <c r="CK534" s="7" t="s">
        <v>142</v>
      </c>
      <c r="CL534" s="7">
        <v>2</v>
      </c>
      <c r="CM534" s="7"/>
      <c r="CN534" s="7"/>
      <c r="CO534" s="7"/>
      <c r="CP534" s="7"/>
      <c r="CQ534" s="12">
        <f>1.7233-1.2855</f>
        <v>0.43779999999999997</v>
      </c>
      <c r="CR534">
        <f>CQ534/(H534-I534-J534-N534)*1000</f>
        <v>21.931670173329323</v>
      </c>
      <c r="CT534">
        <v>114.18150443174949</v>
      </c>
      <c r="CU534">
        <v>145.82709489001712</v>
      </c>
    </row>
    <row r="535" spans="1:99" x14ac:dyDescent="0.2">
      <c r="A535" s="7" t="s">
        <v>1411</v>
      </c>
      <c r="B535" s="7" t="s">
        <v>112</v>
      </c>
      <c r="C535" t="str">
        <f t="shared" si="177"/>
        <v>I</v>
      </c>
      <c r="D535" t="str">
        <f t="shared" si="178"/>
        <v>I</v>
      </c>
      <c r="E535" t="str">
        <f t="shared" si="179"/>
        <v>G</v>
      </c>
      <c r="F535" s="7">
        <v>104</v>
      </c>
      <c r="G535" s="7">
        <v>99</v>
      </c>
      <c r="H535" s="7">
        <v>19.808</v>
      </c>
      <c r="I535" s="7">
        <v>0.20899999999999999</v>
      </c>
      <c r="J535" s="7">
        <v>0.35199999999999998</v>
      </c>
      <c r="K535" s="7" t="s">
        <v>867</v>
      </c>
      <c r="L535" t="str">
        <f t="shared" si="180"/>
        <v>F</v>
      </c>
      <c r="M535" s="7">
        <v>30</v>
      </c>
      <c r="N535" s="7">
        <v>0.98899999999999999</v>
      </c>
      <c r="O535" s="7">
        <v>0.97599999999999998</v>
      </c>
      <c r="P535" s="7" t="s">
        <v>36</v>
      </c>
      <c r="Q535" t="str">
        <f t="shared" si="191"/>
        <v>MT</v>
      </c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  <c r="AM535" s="7"/>
      <c r="AN535" s="7"/>
      <c r="AO535" s="7"/>
      <c r="AP535" s="7"/>
      <c r="AQ535" s="7"/>
      <c r="AR535" s="7"/>
      <c r="AS535" s="7"/>
      <c r="AT535" s="7"/>
      <c r="AU535" s="7"/>
      <c r="AV535" s="7"/>
      <c r="AW535" s="7"/>
      <c r="AX535" s="7"/>
      <c r="AY535" s="7"/>
      <c r="AZ535" s="7"/>
      <c r="BA535" s="7"/>
      <c r="BB535" s="7"/>
      <c r="BC535" s="7"/>
      <c r="BD535" s="7"/>
      <c r="BE535" s="7"/>
      <c r="BF535" s="7"/>
      <c r="BG535" s="7"/>
      <c r="BH535" s="7"/>
      <c r="BI535" s="7"/>
      <c r="BJ535" s="7"/>
      <c r="BK535" s="7"/>
      <c r="BL535" s="7"/>
      <c r="BM535" s="7"/>
      <c r="BN535" s="7"/>
      <c r="BO535" s="7"/>
      <c r="BP535" s="7"/>
      <c r="BQ535" s="7"/>
      <c r="BR535" s="7"/>
      <c r="BS535" s="7"/>
      <c r="BT535" s="7"/>
      <c r="BU535" s="7"/>
      <c r="BW535" s="5">
        <v>44204</v>
      </c>
      <c r="BX535">
        <v>1</v>
      </c>
      <c r="BY535">
        <v>8</v>
      </c>
      <c r="BZ535">
        <v>2021</v>
      </c>
      <c r="CA535" s="5">
        <f t="shared" si="181"/>
        <v>44409</v>
      </c>
      <c r="CB535">
        <v>213</v>
      </c>
      <c r="CC535" s="7">
        <v>15</v>
      </c>
      <c r="CE535">
        <f t="shared" si="175"/>
        <v>1.8092105263157896</v>
      </c>
      <c r="CF535">
        <f t="shared" si="176"/>
        <v>1.0663809378029492</v>
      </c>
      <c r="CG535">
        <f t="shared" si="182"/>
        <v>1.085883514313919E-2</v>
      </c>
      <c r="CH535">
        <f t="shared" si="183"/>
        <v>5.182667799490229</v>
      </c>
      <c r="CI535">
        <f t="shared" si="184"/>
        <v>6.5630048465266613E-2</v>
      </c>
      <c r="CJ535" s="1">
        <f t="shared" si="174"/>
        <v>6.5630048465266613E-2</v>
      </c>
      <c r="CK535" s="7" t="s">
        <v>142</v>
      </c>
      <c r="CL535" s="7">
        <v>2</v>
      </c>
      <c r="CM535" s="7"/>
      <c r="CN535" s="7"/>
      <c r="CO535" s="7"/>
      <c r="CP535" s="7"/>
      <c r="CQ535" s="12">
        <f>1.6249-1.2776</f>
        <v>0.34729999999999994</v>
      </c>
      <c r="CR535">
        <f>CQ535/(H535-I535-J535-N535)*1000</f>
        <v>19.021798663599515</v>
      </c>
      <c r="CT535">
        <v>115.67699059829977</v>
      </c>
      <c r="CU535">
        <v>124.20526316615981</v>
      </c>
    </row>
    <row r="536" spans="1:99" x14ac:dyDescent="0.2">
      <c r="A536" s="7" t="s">
        <v>1412</v>
      </c>
      <c r="B536" s="7" t="s">
        <v>112</v>
      </c>
      <c r="C536" t="str">
        <f t="shared" si="177"/>
        <v>I</v>
      </c>
      <c r="D536" t="str">
        <f t="shared" si="178"/>
        <v>I</v>
      </c>
      <c r="E536" t="str">
        <f t="shared" si="179"/>
        <v>G</v>
      </c>
      <c r="F536" s="7">
        <v>95</v>
      </c>
      <c r="G536" s="7">
        <v>89</v>
      </c>
      <c r="H536" s="7">
        <v>13.87</v>
      </c>
      <c r="I536" s="7">
        <v>0.14499999999999999</v>
      </c>
      <c r="J536" s="7">
        <v>0.03</v>
      </c>
      <c r="K536" s="7" t="s">
        <v>1181</v>
      </c>
      <c r="L536" t="str">
        <f t="shared" si="180"/>
        <v>M</v>
      </c>
      <c r="M536" s="7">
        <v>40</v>
      </c>
      <c r="N536" s="7">
        <v>0.81399999999999995</v>
      </c>
      <c r="O536" s="7">
        <v>0.79800000000000004</v>
      </c>
      <c r="P536" s="7" t="s">
        <v>36</v>
      </c>
      <c r="Q536" t="str">
        <f t="shared" si="191"/>
        <v>MT</v>
      </c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  <c r="AM536" s="7"/>
      <c r="AN536" s="7"/>
      <c r="AO536" s="7"/>
      <c r="AP536" s="7"/>
      <c r="AQ536" s="7"/>
      <c r="AR536" s="7"/>
      <c r="AS536" s="7"/>
      <c r="AT536" s="7"/>
      <c r="AU536" s="7"/>
      <c r="AV536" s="7"/>
      <c r="AW536" s="7"/>
      <c r="AX536" s="7"/>
      <c r="AY536" s="7"/>
      <c r="AZ536" s="7"/>
      <c r="BA536" s="7"/>
      <c r="BB536" s="7"/>
      <c r="BC536" s="7"/>
      <c r="BD536" s="7"/>
      <c r="BE536" s="7"/>
      <c r="BF536" s="7"/>
      <c r="BG536" s="7"/>
      <c r="BH536" s="7"/>
      <c r="BI536" s="7"/>
      <c r="BJ536" s="7"/>
      <c r="BK536" s="7"/>
      <c r="BL536" s="7"/>
      <c r="BM536" s="7"/>
      <c r="BN536" s="7"/>
      <c r="BO536" s="7"/>
      <c r="BP536" s="7"/>
      <c r="BQ536" s="7"/>
      <c r="BR536" s="7"/>
      <c r="BS536" s="7"/>
      <c r="BT536" s="7"/>
      <c r="BU536" s="7"/>
      <c r="BW536" s="5">
        <v>44204</v>
      </c>
      <c r="BX536">
        <v>1</v>
      </c>
      <c r="BY536">
        <v>8</v>
      </c>
      <c r="BZ536">
        <v>2021</v>
      </c>
      <c r="CA536" s="5">
        <f t="shared" si="181"/>
        <v>44409</v>
      </c>
      <c r="CB536">
        <v>213</v>
      </c>
      <c r="CC536" s="7">
        <v>15</v>
      </c>
      <c r="CE536">
        <f t="shared" si="175"/>
        <v>0.2167630057803468</v>
      </c>
      <c r="CF536">
        <f t="shared" si="176"/>
        <v>1.0564663023679417</v>
      </c>
      <c r="CG536">
        <f t="shared" si="182"/>
        <v>1.058780576852866E-2</v>
      </c>
      <c r="CH536">
        <f t="shared" si="183"/>
        <v>6.1046511627906979</v>
      </c>
      <c r="CI536">
        <f t="shared" si="184"/>
        <v>0.11535688536409448</v>
      </c>
      <c r="CJ536" s="1">
        <f t="shared" si="174"/>
        <v>0.11535688536409448</v>
      </c>
      <c r="CK536" s="7" t="s">
        <v>142</v>
      </c>
      <c r="CL536" s="7">
        <v>3</v>
      </c>
      <c r="CM536" s="7"/>
      <c r="CN536" s="7"/>
      <c r="CO536" s="7"/>
      <c r="CP536" s="7"/>
    </row>
    <row r="537" spans="1:99" x14ac:dyDescent="0.2">
      <c r="A537" s="7" t="s">
        <v>1413</v>
      </c>
      <c r="B537" s="7" t="s">
        <v>112</v>
      </c>
      <c r="C537" t="str">
        <f t="shared" si="177"/>
        <v>I</v>
      </c>
      <c r="D537" t="str">
        <f t="shared" si="178"/>
        <v>I</v>
      </c>
      <c r="E537" t="str">
        <f t="shared" si="179"/>
        <v>G</v>
      </c>
      <c r="F537" s="7">
        <v>104</v>
      </c>
      <c r="G537" s="7">
        <v>98</v>
      </c>
      <c r="H537" s="7">
        <v>20.257999999999999</v>
      </c>
      <c r="I537" s="7">
        <v>0.33300000000000002</v>
      </c>
      <c r="J537" s="7">
        <v>0.68</v>
      </c>
      <c r="K537" s="7" t="s">
        <v>867</v>
      </c>
      <c r="L537" t="str">
        <f t="shared" si="180"/>
        <v>F</v>
      </c>
      <c r="M537" s="7">
        <v>30</v>
      </c>
      <c r="N537" s="7">
        <v>2.028</v>
      </c>
      <c r="O537" s="7">
        <v>1.284</v>
      </c>
      <c r="P537" s="7" t="s">
        <v>1429</v>
      </c>
      <c r="Q537" t="str">
        <f t="shared" si="191"/>
        <v>F</v>
      </c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  <c r="AM537" s="7"/>
      <c r="AN537" s="7"/>
      <c r="AO537" s="7"/>
      <c r="AP537" s="7"/>
      <c r="AQ537" s="7"/>
      <c r="AR537" s="7"/>
      <c r="AS537" s="7"/>
      <c r="AT537" s="7"/>
      <c r="AU537" s="7"/>
      <c r="AV537" s="7"/>
      <c r="AW537" s="7"/>
      <c r="AX537" s="7"/>
      <c r="AY537" s="7"/>
      <c r="AZ537" s="7"/>
      <c r="BA537" s="7"/>
      <c r="BB537" s="7"/>
      <c r="BC537" s="7"/>
      <c r="BD537" s="7"/>
      <c r="BE537" s="7"/>
      <c r="BF537" s="7"/>
      <c r="BG537" s="7"/>
      <c r="BH537" s="7"/>
      <c r="BI537" s="7"/>
      <c r="BJ537" s="7"/>
      <c r="BK537" s="7"/>
      <c r="BL537" s="7"/>
      <c r="BM537" s="7"/>
      <c r="BN537" s="7"/>
      <c r="BO537" s="7"/>
      <c r="BP537" s="7">
        <v>2</v>
      </c>
      <c r="BQ537" s="7">
        <v>0.62</v>
      </c>
      <c r="BR537" s="7"/>
      <c r="BS537" s="7"/>
      <c r="BT537" s="7"/>
      <c r="BU537" s="7"/>
      <c r="BV537" s="7">
        <v>0.62</v>
      </c>
      <c r="BW537" s="5">
        <v>44204</v>
      </c>
      <c r="BX537">
        <v>1</v>
      </c>
      <c r="BY537">
        <v>8</v>
      </c>
      <c r="BZ537">
        <v>2021</v>
      </c>
      <c r="CA537" s="5">
        <f t="shared" si="181"/>
        <v>44409</v>
      </c>
      <c r="CB537">
        <v>213</v>
      </c>
      <c r="CC537" s="7">
        <v>15</v>
      </c>
      <c r="CE537">
        <f t="shared" si="175"/>
        <v>3.4732863418122388</v>
      </c>
      <c r="CF537">
        <f t="shared" si="176"/>
        <v>1.6712672521957339</v>
      </c>
      <c r="CG537">
        <f t="shared" si="182"/>
        <v>1.7303195635229932E-2</v>
      </c>
      <c r="CH537">
        <f t="shared" si="183"/>
        <v>6.7671550542848111</v>
      </c>
      <c r="CI537">
        <f t="shared" si="184"/>
        <v>3.6726231612202587</v>
      </c>
      <c r="CJ537" s="1">
        <f t="shared" si="174"/>
        <v>6.7331424622371401</v>
      </c>
      <c r="CK537" s="7" t="s">
        <v>142</v>
      </c>
      <c r="CL537" s="7">
        <v>3</v>
      </c>
      <c r="CM537" s="7"/>
      <c r="CN537" s="7"/>
      <c r="CO537" s="7"/>
      <c r="CP537" s="7"/>
      <c r="CQ537" s="12">
        <f>1.5168-1.2752</f>
        <v>0.24160000000000004</v>
      </c>
      <c r="CR537">
        <f>CQ537/(H537-I537-J537-N537)*1000</f>
        <v>14.032642156008597</v>
      </c>
      <c r="CT537">
        <v>92.96045740000514</v>
      </c>
      <c r="CU537">
        <v>177.0249539811156</v>
      </c>
    </row>
    <row r="538" spans="1:99" x14ac:dyDescent="0.2">
      <c r="A538" s="7" t="s">
        <v>1414</v>
      </c>
      <c r="B538" s="7" t="s">
        <v>112</v>
      </c>
      <c r="C538" t="str">
        <f t="shared" si="177"/>
        <v>I</v>
      </c>
      <c r="D538" t="str">
        <f t="shared" si="178"/>
        <v>I</v>
      </c>
      <c r="E538" t="str">
        <f t="shared" si="179"/>
        <v>G</v>
      </c>
      <c r="F538" s="7">
        <v>106</v>
      </c>
      <c r="G538" s="7">
        <v>100</v>
      </c>
      <c r="H538" s="7">
        <v>24.538</v>
      </c>
      <c r="I538" s="7">
        <v>0.32300000000000001</v>
      </c>
      <c r="J538" s="7">
        <v>4.1000000000000002E-2</v>
      </c>
      <c r="K538" s="7" t="s">
        <v>1181</v>
      </c>
      <c r="L538" t="str">
        <f t="shared" si="180"/>
        <v>M</v>
      </c>
      <c r="M538" s="7">
        <v>40</v>
      </c>
      <c r="N538" s="7">
        <v>2.8050000000000002</v>
      </c>
      <c r="O538" s="7">
        <v>1.3480000000000001</v>
      </c>
      <c r="P538" s="7" t="s">
        <v>1430</v>
      </c>
      <c r="Q538" t="str">
        <f t="shared" si="191"/>
        <v>F</v>
      </c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  <c r="AM538" s="7"/>
      <c r="AN538" s="7"/>
      <c r="AO538" s="7"/>
      <c r="AP538" s="7"/>
      <c r="AQ538" s="7"/>
      <c r="AR538" s="7"/>
      <c r="AS538" s="7"/>
      <c r="AT538" s="7"/>
      <c r="AU538" s="7"/>
      <c r="AV538" s="7"/>
      <c r="AW538" s="7"/>
      <c r="AX538" s="7"/>
      <c r="AY538" s="7"/>
      <c r="AZ538" s="7"/>
      <c r="BA538" s="7"/>
      <c r="BB538" s="7"/>
      <c r="BC538" s="7"/>
      <c r="BD538" s="7"/>
      <c r="BE538" s="7"/>
      <c r="BF538" s="7"/>
      <c r="BG538" s="7"/>
      <c r="BH538" s="7"/>
      <c r="BI538" s="7"/>
      <c r="BJ538" s="7"/>
      <c r="BK538" s="7"/>
      <c r="BL538" s="7"/>
      <c r="BM538" s="7"/>
      <c r="BN538" s="7"/>
      <c r="BO538" s="7"/>
      <c r="BP538" s="7">
        <v>2</v>
      </c>
      <c r="BQ538" s="7">
        <v>1.2290000000000001</v>
      </c>
      <c r="BR538" s="7"/>
      <c r="BS538" s="7"/>
      <c r="BT538" s="7"/>
      <c r="BU538" s="7"/>
      <c r="BV538" s="7">
        <v>1.2290000000000001</v>
      </c>
      <c r="BW538" s="5">
        <v>44204</v>
      </c>
      <c r="BX538">
        <v>1</v>
      </c>
      <c r="BY538">
        <v>8</v>
      </c>
      <c r="BZ538">
        <v>2021</v>
      </c>
      <c r="CA538" s="5">
        <f t="shared" si="181"/>
        <v>44409</v>
      </c>
      <c r="CB538">
        <v>213</v>
      </c>
      <c r="CC538" s="7">
        <v>15</v>
      </c>
      <c r="CE538">
        <f t="shared" si="175"/>
        <v>0.16736743274686697</v>
      </c>
      <c r="CF538">
        <f t="shared" si="176"/>
        <v>1.3338839562254801</v>
      </c>
      <c r="CG538">
        <f t="shared" si="182"/>
        <v>1.3361462728551337E-2</v>
      </c>
      <c r="CH538">
        <f t="shared" si="183"/>
        <v>5.8128503665373001</v>
      </c>
      <c r="CI538">
        <f t="shared" si="184"/>
        <v>5.9377292362865761</v>
      </c>
      <c r="CJ538" s="1">
        <f t="shared" si="174"/>
        <v>10.946287390985409</v>
      </c>
      <c r="CK538" s="7" t="s">
        <v>142</v>
      </c>
      <c r="CL538" s="7">
        <v>2</v>
      </c>
      <c r="CM538" s="7"/>
      <c r="CN538" s="7"/>
      <c r="CO538" s="7"/>
      <c r="CP538" s="7"/>
    </row>
    <row r="539" spans="1:99" x14ac:dyDescent="0.2">
      <c r="A539" t="s">
        <v>59</v>
      </c>
      <c r="B539" t="s">
        <v>60</v>
      </c>
      <c r="C539" t="str">
        <f t="shared" si="177"/>
        <v>B</v>
      </c>
      <c r="D539" t="str">
        <f t="shared" si="178"/>
        <v>B</v>
      </c>
      <c r="E539" t="str">
        <f t="shared" si="179"/>
        <v>N</v>
      </c>
      <c r="F539">
        <v>201</v>
      </c>
      <c r="G539">
        <v>192</v>
      </c>
      <c r="H539">
        <v>181.53</v>
      </c>
      <c r="I539">
        <v>2.5619999999999998</v>
      </c>
      <c r="J539">
        <v>1.026</v>
      </c>
      <c r="K539" t="s">
        <v>24</v>
      </c>
      <c r="L539" t="str">
        <f t="shared" si="180"/>
        <v>F</v>
      </c>
      <c r="M539">
        <v>22</v>
      </c>
      <c r="N539">
        <v>6.6950000000000003</v>
      </c>
      <c r="O539">
        <v>6.6130000000000004</v>
      </c>
      <c r="P539" t="s">
        <v>36</v>
      </c>
      <c r="Q539" t="str">
        <f t="shared" si="191"/>
        <v>MT</v>
      </c>
      <c r="BV539" s="1"/>
      <c r="BW539" t="s">
        <v>26</v>
      </c>
      <c r="BX539" t="str">
        <f t="shared" ref="BX539" si="192">LEFT(BW539,2)</f>
        <v>18</v>
      </c>
      <c r="BY539" t="str">
        <f>MID(BW539,4,2)</f>
        <v>12</v>
      </c>
      <c r="BZ539" t="str">
        <f t="shared" ref="BZ539" si="193">20&amp;RIGHT(BW539,2)</f>
        <v>2020</v>
      </c>
      <c r="CA539" s="5">
        <f t="shared" si="181"/>
        <v>44183</v>
      </c>
      <c r="CB539">
        <v>353</v>
      </c>
      <c r="CC539">
        <v>1</v>
      </c>
      <c r="CD539" t="s">
        <v>27</v>
      </c>
      <c r="CE539">
        <f t="shared" si="175"/>
        <v>0.56840845632229764</v>
      </c>
      <c r="CF539">
        <f t="shared" si="176"/>
        <v>1.4315408341155962</v>
      </c>
      <c r="CG539">
        <f t="shared" ref="CG539:CG570" si="194">I539/(H539-I539-J539)*100</f>
        <v>1.4397949893785618</v>
      </c>
      <c r="CH539">
        <f t="shared" ref="CH539:CH570" si="195">O539/H539*100</f>
        <v>3.6429240345948326</v>
      </c>
      <c r="CI539">
        <f t="shared" si="184"/>
        <v>4.5171596981215145E-2</v>
      </c>
      <c r="CJ539" s="1"/>
      <c r="CK539" s="6"/>
      <c r="CL539" s="6"/>
      <c r="CM539" s="6"/>
      <c r="CN539" s="6"/>
      <c r="CO539" s="6"/>
      <c r="CP539" s="6"/>
    </row>
    <row r="540" spans="1:99" x14ac:dyDescent="0.2">
      <c r="A540" t="s">
        <v>61</v>
      </c>
      <c r="B540" t="s">
        <v>60</v>
      </c>
      <c r="C540" t="str">
        <f t="shared" si="177"/>
        <v>I</v>
      </c>
      <c r="D540" t="str">
        <f t="shared" si="178"/>
        <v>B</v>
      </c>
      <c r="E540" t="str">
        <f t="shared" si="179"/>
        <v>N</v>
      </c>
      <c r="F540">
        <v>132</v>
      </c>
      <c r="G540">
        <v>126</v>
      </c>
      <c r="H540">
        <v>42.06</v>
      </c>
      <c r="I540">
        <v>0.57899999999999996</v>
      </c>
      <c r="J540">
        <v>6.8000000000000005E-2</v>
      </c>
      <c r="K540" t="s">
        <v>38</v>
      </c>
      <c r="L540" t="str">
        <f t="shared" si="180"/>
        <v>M</v>
      </c>
      <c r="M540">
        <v>22</v>
      </c>
      <c r="N540">
        <v>1.853</v>
      </c>
      <c r="O540">
        <v>1.68</v>
      </c>
      <c r="P540" t="s">
        <v>29</v>
      </c>
      <c r="Q540" t="str">
        <f t="shared" si="191"/>
        <v>F</v>
      </c>
      <c r="BV540" s="1"/>
      <c r="BW540" t="s">
        <v>26</v>
      </c>
      <c r="BX540" t="str">
        <f t="shared" ref="BX540:BX573" si="196">LEFT(BW540,2)</f>
        <v>18</v>
      </c>
      <c r="BY540" t="str">
        <f t="shared" ref="BY540:BY573" si="197">MID(BW540,4,2)</f>
        <v>12</v>
      </c>
      <c r="BZ540" t="str">
        <f t="shared" ref="BZ540:BZ573" si="198">20&amp;RIGHT(BW540,2)</f>
        <v>2020</v>
      </c>
      <c r="CA540" s="5">
        <f t="shared" si="181"/>
        <v>44183</v>
      </c>
      <c r="CB540">
        <v>353</v>
      </c>
      <c r="CC540">
        <v>1</v>
      </c>
      <c r="CD540" t="s">
        <v>27</v>
      </c>
      <c r="CE540">
        <f t="shared" si="175"/>
        <v>0.16193560678224422</v>
      </c>
      <c r="CF540">
        <f t="shared" si="176"/>
        <v>1.3958197729080781</v>
      </c>
      <c r="CG540">
        <f t="shared" si="194"/>
        <v>1.3981117040542823</v>
      </c>
      <c r="CH540">
        <f t="shared" si="195"/>
        <v>3.9942938659058487</v>
      </c>
      <c r="CI540">
        <f t="shared" si="184"/>
        <v>0.41131716595340001</v>
      </c>
      <c r="CJ540" s="1"/>
      <c r="CK540" s="6"/>
      <c r="CL540" s="6"/>
      <c r="CM540" s="6"/>
      <c r="CN540" s="6"/>
      <c r="CO540" s="6"/>
      <c r="CP540" s="6"/>
    </row>
    <row r="541" spans="1:99" x14ac:dyDescent="0.2">
      <c r="A541" t="s">
        <v>62</v>
      </c>
      <c r="B541" t="s">
        <v>60</v>
      </c>
      <c r="C541" t="str">
        <f t="shared" si="177"/>
        <v>I</v>
      </c>
      <c r="D541" t="str">
        <f t="shared" si="178"/>
        <v>B</v>
      </c>
      <c r="E541" t="str">
        <f t="shared" si="179"/>
        <v>N</v>
      </c>
      <c r="F541">
        <v>144</v>
      </c>
      <c r="G541">
        <v>138</v>
      </c>
      <c r="H541">
        <v>53.354999999999997</v>
      </c>
      <c r="I541">
        <v>0.79700000000000004</v>
      </c>
      <c r="J541">
        <v>0.72899999999999998</v>
      </c>
      <c r="K541" t="s">
        <v>24</v>
      </c>
      <c r="L541" t="str">
        <f t="shared" si="180"/>
        <v>F</v>
      </c>
      <c r="M541">
        <v>22</v>
      </c>
      <c r="N541">
        <v>2.7280000000000002</v>
      </c>
      <c r="O541">
        <v>2.4780000000000002</v>
      </c>
      <c r="P541" t="s">
        <v>63</v>
      </c>
      <c r="Q541" t="str">
        <f t="shared" si="191"/>
        <v>F</v>
      </c>
      <c r="BV541" s="1"/>
      <c r="BW541" t="s">
        <v>26</v>
      </c>
      <c r="BX541" t="str">
        <f t="shared" si="196"/>
        <v>18</v>
      </c>
      <c r="BY541" t="str">
        <f t="shared" si="197"/>
        <v>12</v>
      </c>
      <c r="BZ541" t="str">
        <f t="shared" si="198"/>
        <v>2020</v>
      </c>
      <c r="CA541" s="5">
        <f t="shared" si="181"/>
        <v>44183</v>
      </c>
      <c r="CB541">
        <v>353</v>
      </c>
      <c r="CC541">
        <v>1</v>
      </c>
      <c r="CD541" t="s">
        <v>27</v>
      </c>
      <c r="CE541">
        <f t="shared" si="175"/>
        <v>1.3852468361646335</v>
      </c>
      <c r="CF541">
        <f t="shared" si="176"/>
        <v>1.5164199550972262</v>
      </c>
      <c r="CG541">
        <f t="shared" si="194"/>
        <v>1.5377491365837659</v>
      </c>
      <c r="CH541">
        <f t="shared" si="195"/>
        <v>4.6443632274388538</v>
      </c>
      <c r="CI541">
        <f t="shared" si="184"/>
        <v>0.46855964764314501</v>
      </c>
      <c r="CJ541" s="1"/>
      <c r="CK541" s="6"/>
      <c r="CL541" s="6"/>
      <c r="CM541" s="6"/>
      <c r="CN541" s="6"/>
      <c r="CO541" s="6"/>
      <c r="CP541" s="6"/>
    </row>
    <row r="542" spans="1:99" x14ac:dyDescent="0.2">
      <c r="A542" t="s">
        <v>64</v>
      </c>
      <c r="B542" t="s">
        <v>60</v>
      </c>
      <c r="C542" t="str">
        <f t="shared" si="177"/>
        <v>I</v>
      </c>
      <c r="D542" t="str">
        <f t="shared" si="178"/>
        <v>B</v>
      </c>
      <c r="E542" t="str">
        <f t="shared" si="179"/>
        <v>N</v>
      </c>
      <c r="F542">
        <v>126</v>
      </c>
      <c r="G542">
        <v>120</v>
      </c>
      <c r="H542">
        <v>39.960999999999999</v>
      </c>
      <c r="I542">
        <v>0.54</v>
      </c>
      <c r="J542">
        <v>5.2999999999999999E-2</v>
      </c>
      <c r="K542" t="s">
        <v>38</v>
      </c>
      <c r="L542" t="str">
        <f t="shared" si="180"/>
        <v>M</v>
      </c>
      <c r="M542">
        <v>22</v>
      </c>
      <c r="N542">
        <v>1.87</v>
      </c>
      <c r="O542">
        <v>1.518</v>
      </c>
      <c r="P542" t="s">
        <v>65</v>
      </c>
      <c r="Q542" t="str">
        <f t="shared" si="191"/>
        <v>F</v>
      </c>
      <c r="BV542" s="1"/>
      <c r="BW542" t="s">
        <v>26</v>
      </c>
      <c r="BX542" t="str">
        <f t="shared" si="196"/>
        <v>18</v>
      </c>
      <c r="BY542" t="str">
        <f t="shared" si="197"/>
        <v>12</v>
      </c>
      <c r="BZ542" t="str">
        <f t="shared" si="198"/>
        <v>2020</v>
      </c>
      <c r="CA542" s="5">
        <f t="shared" si="181"/>
        <v>44183</v>
      </c>
      <c r="CB542">
        <v>353</v>
      </c>
      <c r="CC542">
        <v>1</v>
      </c>
      <c r="CD542" t="s">
        <v>66</v>
      </c>
      <c r="CE542">
        <f t="shared" si="175"/>
        <v>0.13280545254084394</v>
      </c>
      <c r="CF542">
        <f t="shared" si="176"/>
        <v>1.3698282641231831</v>
      </c>
      <c r="CG542">
        <f t="shared" si="194"/>
        <v>1.3716724243040033</v>
      </c>
      <c r="CH542">
        <f t="shared" si="195"/>
        <v>3.7987037361427398</v>
      </c>
      <c r="CI542">
        <f t="shared" si="184"/>
        <v>0.88085883736643256</v>
      </c>
      <c r="CJ542" s="1"/>
      <c r="CK542" s="6"/>
      <c r="CL542" s="6"/>
      <c r="CM542" s="6"/>
      <c r="CN542" s="6"/>
      <c r="CO542" s="6"/>
      <c r="CP542" s="6"/>
    </row>
    <row r="543" spans="1:99" x14ac:dyDescent="0.2">
      <c r="A543" t="s">
        <v>67</v>
      </c>
      <c r="B543" t="s">
        <v>60</v>
      </c>
      <c r="C543" t="str">
        <f t="shared" si="177"/>
        <v>B</v>
      </c>
      <c r="D543" t="str">
        <f t="shared" si="178"/>
        <v>B</v>
      </c>
      <c r="E543" t="str">
        <f t="shared" si="179"/>
        <v>N</v>
      </c>
      <c r="F543">
        <v>153</v>
      </c>
      <c r="G543">
        <v>144</v>
      </c>
      <c r="H543">
        <v>69.599000000000004</v>
      </c>
      <c r="I543">
        <v>0.84499999999999997</v>
      </c>
      <c r="J543">
        <v>0.47899999999999998</v>
      </c>
      <c r="K543" t="s">
        <v>24</v>
      </c>
      <c r="L543" t="str">
        <f t="shared" si="180"/>
        <v>F</v>
      </c>
      <c r="M543">
        <v>22</v>
      </c>
      <c r="N543">
        <v>3.03</v>
      </c>
      <c r="O543">
        <v>2.5489999999999999</v>
      </c>
      <c r="P543" t="s">
        <v>68</v>
      </c>
      <c r="Q543" t="str">
        <f t="shared" si="191"/>
        <v>F</v>
      </c>
      <c r="BV543" s="1"/>
      <c r="BW543" t="s">
        <v>26</v>
      </c>
      <c r="BX543" t="str">
        <f t="shared" si="196"/>
        <v>18</v>
      </c>
      <c r="BY543" t="str">
        <f t="shared" si="197"/>
        <v>12</v>
      </c>
      <c r="BZ543" t="str">
        <f t="shared" si="198"/>
        <v>2020</v>
      </c>
      <c r="CA543" s="5">
        <f t="shared" si="181"/>
        <v>44183</v>
      </c>
      <c r="CB543">
        <v>353</v>
      </c>
      <c r="CC543">
        <v>1</v>
      </c>
      <c r="CD543" t="s">
        <v>69</v>
      </c>
      <c r="CE543">
        <f t="shared" si="175"/>
        <v>0.69299768518518512</v>
      </c>
      <c r="CF543">
        <f t="shared" si="176"/>
        <v>1.2290194025074903</v>
      </c>
      <c r="CG543">
        <f t="shared" si="194"/>
        <v>1.2376418894177956</v>
      </c>
      <c r="CH543">
        <f t="shared" si="195"/>
        <v>3.6624089426572222</v>
      </c>
      <c r="CI543">
        <f t="shared" si="184"/>
        <v>0.69110188364775338</v>
      </c>
      <c r="CJ543" s="1"/>
      <c r="CK543" s="6"/>
      <c r="CL543" s="6"/>
      <c r="CM543" s="6"/>
      <c r="CN543" s="6"/>
      <c r="CO543" s="6"/>
      <c r="CP543" s="6"/>
    </row>
    <row r="544" spans="1:99" x14ac:dyDescent="0.2">
      <c r="A544" t="s">
        <v>70</v>
      </c>
      <c r="B544" t="s">
        <v>60</v>
      </c>
      <c r="C544" t="str">
        <f t="shared" si="177"/>
        <v>I</v>
      </c>
      <c r="D544" t="str">
        <f t="shared" si="178"/>
        <v>I</v>
      </c>
      <c r="E544" t="str">
        <f t="shared" si="179"/>
        <v>G</v>
      </c>
      <c r="F544">
        <v>92</v>
      </c>
      <c r="G544">
        <v>85</v>
      </c>
      <c r="H544">
        <v>12.739000000000001</v>
      </c>
      <c r="I544">
        <v>0.219</v>
      </c>
      <c r="J544">
        <v>0.156</v>
      </c>
      <c r="K544" t="s">
        <v>24</v>
      </c>
      <c r="L544" t="str">
        <f t="shared" si="180"/>
        <v>F</v>
      </c>
      <c r="M544">
        <v>22</v>
      </c>
      <c r="N544">
        <v>0.53900000000000003</v>
      </c>
      <c r="O544">
        <v>0.52800000000000002</v>
      </c>
      <c r="P544" t="s">
        <v>36</v>
      </c>
      <c r="Q544" t="str">
        <f t="shared" si="191"/>
        <v>MT</v>
      </c>
      <c r="BV544" s="1"/>
      <c r="BW544" s="1" t="s">
        <v>26</v>
      </c>
      <c r="BX544" t="str">
        <f t="shared" si="196"/>
        <v>18</v>
      </c>
      <c r="BY544" t="str">
        <f t="shared" si="197"/>
        <v>12</v>
      </c>
      <c r="BZ544" t="str">
        <f t="shared" si="198"/>
        <v>2020</v>
      </c>
      <c r="CA544" s="5">
        <f t="shared" si="181"/>
        <v>44183</v>
      </c>
      <c r="CB544">
        <v>353</v>
      </c>
      <c r="CC544">
        <v>1</v>
      </c>
      <c r="CD544" t="s">
        <v>27</v>
      </c>
      <c r="CE544">
        <f t="shared" si="175"/>
        <v>1.2397679408726059</v>
      </c>
      <c r="CF544">
        <f t="shared" si="176"/>
        <v>1.7492012779552715</v>
      </c>
      <c r="CG544">
        <f t="shared" si="194"/>
        <v>1.7712714331931414</v>
      </c>
      <c r="CH544">
        <f t="shared" si="195"/>
        <v>4.1447523353481435</v>
      </c>
      <c r="CI544">
        <f t="shared" si="184"/>
        <v>8.634900698641973E-2</v>
      </c>
      <c r="CJ544" s="1"/>
      <c r="CK544" s="6"/>
      <c r="CL544" s="6"/>
      <c r="CM544" s="6"/>
      <c r="CN544" s="6"/>
      <c r="CO544" s="6"/>
      <c r="CP544" s="6"/>
    </row>
    <row r="545" spans="1:99" x14ac:dyDescent="0.2">
      <c r="A545" t="s">
        <v>71</v>
      </c>
      <c r="B545" t="s">
        <v>60</v>
      </c>
      <c r="C545" t="str">
        <f t="shared" si="177"/>
        <v>I</v>
      </c>
      <c r="D545" t="str">
        <f t="shared" si="178"/>
        <v>I</v>
      </c>
      <c r="E545" t="str">
        <f t="shared" si="179"/>
        <v>G</v>
      </c>
      <c r="F545">
        <v>87</v>
      </c>
      <c r="G545">
        <v>82</v>
      </c>
      <c r="H545">
        <v>11.138999999999999</v>
      </c>
      <c r="I545">
        <v>0.186</v>
      </c>
      <c r="J545">
        <v>0.183</v>
      </c>
      <c r="K545" t="s">
        <v>24</v>
      </c>
      <c r="L545" t="str">
        <f t="shared" si="180"/>
        <v>F</v>
      </c>
      <c r="M545">
        <v>22</v>
      </c>
      <c r="N545">
        <v>0.41699999999999998</v>
      </c>
      <c r="O545">
        <v>0.40699999999999997</v>
      </c>
      <c r="P545" t="s">
        <v>36</v>
      </c>
      <c r="Q545" t="str">
        <f t="shared" si="191"/>
        <v>MT</v>
      </c>
      <c r="BV545" s="1"/>
      <c r="BW545" s="1" t="s">
        <v>26</v>
      </c>
      <c r="BX545" t="str">
        <f t="shared" si="196"/>
        <v>18</v>
      </c>
      <c r="BY545" t="str">
        <f t="shared" si="197"/>
        <v>12</v>
      </c>
      <c r="BZ545" t="str">
        <f t="shared" si="198"/>
        <v>2020</v>
      </c>
      <c r="CA545" s="5">
        <f t="shared" si="181"/>
        <v>44183</v>
      </c>
      <c r="CB545">
        <v>353</v>
      </c>
      <c r="CC545">
        <v>1</v>
      </c>
      <c r="CD545" t="s">
        <v>27</v>
      </c>
      <c r="CE545">
        <f t="shared" si="175"/>
        <v>1.6703176341730561</v>
      </c>
      <c r="CF545">
        <f t="shared" si="176"/>
        <v>1.6981648863325118</v>
      </c>
      <c r="CG545">
        <f t="shared" si="194"/>
        <v>1.7270194986072425</v>
      </c>
      <c r="CH545">
        <f t="shared" si="195"/>
        <v>3.6538288894873863</v>
      </c>
      <c r="CI545">
        <f t="shared" si="184"/>
        <v>8.9774665589370764E-2</v>
      </c>
      <c r="CJ545" s="1"/>
      <c r="CK545" s="6"/>
      <c r="CL545" s="6"/>
      <c r="CM545" s="6"/>
      <c r="CN545" s="6"/>
      <c r="CO545" s="6"/>
      <c r="CP545" s="6"/>
    </row>
    <row r="546" spans="1:99" x14ac:dyDescent="0.2">
      <c r="A546" t="s">
        <v>72</v>
      </c>
      <c r="B546" t="s">
        <v>60</v>
      </c>
      <c r="C546" t="str">
        <f t="shared" si="177"/>
        <v>I</v>
      </c>
      <c r="D546" t="str">
        <f t="shared" si="178"/>
        <v>I</v>
      </c>
      <c r="E546" t="str">
        <f t="shared" si="179"/>
        <v>G</v>
      </c>
      <c r="F546">
        <v>91</v>
      </c>
      <c r="G546">
        <v>86</v>
      </c>
      <c r="H546">
        <v>13.618</v>
      </c>
      <c r="I546">
        <v>0.23599999999999999</v>
      </c>
      <c r="J546">
        <v>0.20300000000000001</v>
      </c>
      <c r="K546" t="s">
        <v>24</v>
      </c>
      <c r="L546" t="str">
        <f t="shared" si="180"/>
        <v>F</v>
      </c>
      <c r="M546">
        <v>22</v>
      </c>
      <c r="N546">
        <v>0.61499999999999999</v>
      </c>
      <c r="O546">
        <v>0.47099999999999997</v>
      </c>
      <c r="P546" t="s">
        <v>29</v>
      </c>
      <c r="Q546" t="str">
        <f t="shared" si="191"/>
        <v>F</v>
      </c>
      <c r="BV546" s="1"/>
      <c r="BW546" s="1" t="s">
        <v>26</v>
      </c>
      <c r="BX546" t="str">
        <f t="shared" si="196"/>
        <v>18</v>
      </c>
      <c r="BY546" t="str">
        <f t="shared" si="197"/>
        <v>12</v>
      </c>
      <c r="BZ546" t="str">
        <f t="shared" si="198"/>
        <v>2020</v>
      </c>
      <c r="CA546" s="5">
        <f t="shared" si="181"/>
        <v>44183</v>
      </c>
      <c r="CB546">
        <v>353</v>
      </c>
      <c r="CC546">
        <v>1</v>
      </c>
      <c r="CD546" t="s">
        <v>27</v>
      </c>
      <c r="CE546">
        <f t="shared" si="175"/>
        <v>1.5132314573238912</v>
      </c>
      <c r="CF546">
        <f t="shared" si="176"/>
        <v>1.7635629950680016</v>
      </c>
      <c r="CG546">
        <f t="shared" si="194"/>
        <v>1.7907276728128081</v>
      </c>
      <c r="CH546">
        <f t="shared" si="195"/>
        <v>3.4586576589807607</v>
      </c>
      <c r="CI546">
        <f t="shared" si="184"/>
        <v>1.0574239976501689</v>
      </c>
      <c r="CJ546" s="1"/>
      <c r="CK546" s="6"/>
      <c r="CL546" s="6"/>
      <c r="CM546" s="6"/>
      <c r="CN546" s="6"/>
      <c r="CO546" s="6"/>
      <c r="CP546" s="6"/>
    </row>
    <row r="547" spans="1:99" x14ac:dyDescent="0.2">
      <c r="A547" t="s">
        <v>73</v>
      </c>
      <c r="B547" t="s">
        <v>60</v>
      </c>
      <c r="C547" t="str">
        <f t="shared" si="177"/>
        <v>I</v>
      </c>
      <c r="D547" t="str">
        <f t="shared" si="178"/>
        <v>I</v>
      </c>
      <c r="E547" t="str">
        <f t="shared" si="179"/>
        <v>G</v>
      </c>
      <c r="F547">
        <v>94</v>
      </c>
      <c r="G547">
        <v>89</v>
      </c>
      <c r="H547">
        <v>13.477</v>
      </c>
      <c r="I547">
        <v>0.22</v>
      </c>
      <c r="J547">
        <v>1.9E-2</v>
      </c>
      <c r="K547" t="s">
        <v>38</v>
      </c>
      <c r="L547" t="str">
        <f t="shared" si="180"/>
        <v>M</v>
      </c>
      <c r="M547">
        <v>22</v>
      </c>
      <c r="N547">
        <v>0.60499999999999998</v>
      </c>
      <c r="O547">
        <v>0.55900000000000005</v>
      </c>
      <c r="P547" t="s">
        <v>29</v>
      </c>
      <c r="Q547" t="str">
        <f t="shared" si="191"/>
        <v>F</v>
      </c>
      <c r="BV547" s="1"/>
      <c r="BW547" s="1" t="s">
        <v>26</v>
      </c>
      <c r="BX547" t="str">
        <f t="shared" si="196"/>
        <v>18</v>
      </c>
      <c r="BY547" t="str">
        <f t="shared" si="197"/>
        <v>12</v>
      </c>
      <c r="BZ547" t="str">
        <f t="shared" si="198"/>
        <v>2020</v>
      </c>
      <c r="CA547" s="5">
        <f t="shared" si="181"/>
        <v>44183</v>
      </c>
      <c r="CB547">
        <v>353</v>
      </c>
      <c r="CC547">
        <v>1</v>
      </c>
      <c r="CD547" t="s">
        <v>27</v>
      </c>
      <c r="CE547">
        <f t="shared" si="175"/>
        <v>0.14117996730569177</v>
      </c>
      <c r="CF547">
        <f t="shared" si="176"/>
        <v>1.6595006411707021</v>
      </c>
      <c r="CG547">
        <f t="shared" si="194"/>
        <v>1.6618824595860404</v>
      </c>
      <c r="CH547">
        <f t="shared" si="195"/>
        <v>4.1478073755286786</v>
      </c>
      <c r="CI547">
        <f t="shared" si="184"/>
        <v>0.34132225272686745</v>
      </c>
      <c r="CJ547" s="1"/>
      <c r="CK547" s="6"/>
      <c r="CL547" s="6"/>
      <c r="CM547" s="6"/>
      <c r="CN547" s="6"/>
      <c r="CO547" s="6"/>
      <c r="CP547" s="6"/>
    </row>
    <row r="548" spans="1:99" x14ac:dyDescent="0.2">
      <c r="A548" t="s">
        <v>74</v>
      </c>
      <c r="B548" t="s">
        <v>60</v>
      </c>
      <c r="C548" t="str">
        <f t="shared" si="177"/>
        <v>I</v>
      </c>
      <c r="D548" t="str">
        <f t="shared" si="178"/>
        <v>I</v>
      </c>
      <c r="E548" t="str">
        <f t="shared" si="179"/>
        <v>G</v>
      </c>
      <c r="F548">
        <v>96</v>
      </c>
      <c r="G548">
        <v>90</v>
      </c>
      <c r="H548">
        <v>13.984</v>
      </c>
      <c r="I548">
        <v>0.22900000000000001</v>
      </c>
      <c r="J548">
        <v>0.02</v>
      </c>
      <c r="K548" t="s">
        <v>38</v>
      </c>
      <c r="L548" t="str">
        <f t="shared" si="180"/>
        <v>M</v>
      </c>
      <c r="M548">
        <v>22</v>
      </c>
      <c r="N548">
        <v>0.52500000000000002</v>
      </c>
      <c r="O548">
        <v>0.50600000000000001</v>
      </c>
      <c r="P548" t="s">
        <v>36</v>
      </c>
      <c r="Q548" t="str">
        <f t="shared" si="191"/>
        <v>MT</v>
      </c>
      <c r="BV548" s="1"/>
      <c r="BW548" s="1" t="s">
        <v>26</v>
      </c>
      <c r="BX548" t="str">
        <f t="shared" si="196"/>
        <v>18</v>
      </c>
      <c r="BY548" t="str">
        <f t="shared" si="197"/>
        <v>12</v>
      </c>
      <c r="BZ548" t="str">
        <f t="shared" si="198"/>
        <v>2020</v>
      </c>
      <c r="CA548" s="5">
        <f t="shared" si="181"/>
        <v>44183</v>
      </c>
      <c r="CB548">
        <v>353</v>
      </c>
      <c r="CC548">
        <v>1</v>
      </c>
      <c r="CD548" t="s">
        <v>27</v>
      </c>
      <c r="CE548">
        <f t="shared" si="175"/>
        <v>0.14322543683758235</v>
      </c>
      <c r="CF548">
        <f t="shared" si="176"/>
        <v>1.6648491457651762</v>
      </c>
      <c r="CG548">
        <f t="shared" si="194"/>
        <v>1.6672733891518017</v>
      </c>
      <c r="CH548">
        <f t="shared" si="195"/>
        <v>3.6184210526315792</v>
      </c>
      <c r="CI548">
        <f t="shared" si="184"/>
        <v>0.13586956521739144</v>
      </c>
      <c r="CJ548" s="1"/>
      <c r="CK548" s="6"/>
      <c r="CL548" s="6"/>
      <c r="CM548" s="6"/>
      <c r="CN548" s="6"/>
      <c r="CO548" s="6"/>
      <c r="CP548" s="6"/>
    </row>
    <row r="549" spans="1:99" x14ac:dyDescent="0.2">
      <c r="A549" t="s">
        <v>75</v>
      </c>
      <c r="B549" t="s">
        <v>60</v>
      </c>
      <c r="C549" t="str">
        <f t="shared" si="177"/>
        <v>I</v>
      </c>
      <c r="D549" t="str">
        <f t="shared" si="178"/>
        <v>B</v>
      </c>
      <c r="E549" t="str">
        <f t="shared" si="179"/>
        <v>N</v>
      </c>
      <c r="F549">
        <v>129</v>
      </c>
      <c r="G549">
        <v>123</v>
      </c>
      <c r="H549">
        <v>38.223999999999997</v>
      </c>
      <c r="I549">
        <v>0.76300000000000001</v>
      </c>
      <c r="J549">
        <v>0.51400000000000001</v>
      </c>
      <c r="K549" t="s">
        <v>24</v>
      </c>
      <c r="L549" t="str">
        <f t="shared" si="180"/>
        <v>F</v>
      </c>
      <c r="M549">
        <v>22</v>
      </c>
      <c r="N549">
        <v>1.571</v>
      </c>
      <c r="O549">
        <v>1.5369999999999999</v>
      </c>
      <c r="P549" t="s">
        <v>36</v>
      </c>
      <c r="Q549" t="str">
        <f t="shared" si="191"/>
        <v>MT</v>
      </c>
      <c r="BV549" s="1"/>
      <c r="BW549" s="1" t="s">
        <v>26</v>
      </c>
      <c r="BX549" t="str">
        <f t="shared" si="196"/>
        <v>18</v>
      </c>
      <c r="BY549" t="str">
        <f t="shared" si="197"/>
        <v>12</v>
      </c>
      <c r="BZ549" t="str">
        <f t="shared" si="198"/>
        <v>2020</v>
      </c>
      <c r="CA549" s="5">
        <f t="shared" si="181"/>
        <v>44183</v>
      </c>
      <c r="CB549">
        <v>353</v>
      </c>
      <c r="CC549">
        <v>1</v>
      </c>
      <c r="CD549" t="s">
        <v>27</v>
      </c>
      <c r="CE549">
        <f t="shared" si="175"/>
        <v>1.3630336780694778</v>
      </c>
      <c r="CF549">
        <f t="shared" si="176"/>
        <v>2.0367849229865729</v>
      </c>
      <c r="CG549">
        <f t="shared" si="194"/>
        <v>2.0651203074674536</v>
      </c>
      <c r="CH549">
        <f t="shared" si="195"/>
        <v>4.021033905399749</v>
      </c>
      <c r="CI549">
        <f t="shared" ref="CI549:CI560" si="199">(N549-O549)/H549*100</f>
        <v>8.894935119296786E-2</v>
      </c>
      <c r="CJ549" s="1"/>
      <c r="CK549" s="6"/>
      <c r="CL549" s="6"/>
      <c r="CM549" s="6"/>
      <c r="CN549" s="6"/>
      <c r="CO549" s="6"/>
      <c r="CP549" s="6"/>
    </row>
    <row r="550" spans="1:99" x14ac:dyDescent="0.2">
      <c r="A550" t="s">
        <v>76</v>
      </c>
      <c r="B550" t="s">
        <v>60</v>
      </c>
      <c r="C550" t="str">
        <f t="shared" si="177"/>
        <v>I</v>
      </c>
      <c r="D550" t="str">
        <f t="shared" si="178"/>
        <v>I</v>
      </c>
      <c r="E550" t="str">
        <f t="shared" si="179"/>
        <v>G</v>
      </c>
      <c r="F550">
        <v>90</v>
      </c>
      <c r="G550">
        <v>86</v>
      </c>
      <c r="H550">
        <v>11.832000000000001</v>
      </c>
      <c r="I550">
        <v>0.248</v>
      </c>
      <c r="J550">
        <v>2.1000000000000001E-2</v>
      </c>
      <c r="K550" t="s">
        <v>38</v>
      </c>
      <c r="L550" t="str">
        <f t="shared" si="180"/>
        <v>M</v>
      </c>
      <c r="M550">
        <v>22</v>
      </c>
      <c r="N550">
        <v>0.74099999999999999</v>
      </c>
      <c r="O550">
        <v>0.623</v>
      </c>
      <c r="P550" t="s">
        <v>77</v>
      </c>
      <c r="Q550" t="str">
        <f t="shared" si="191"/>
        <v>F</v>
      </c>
      <c r="BV550" s="1"/>
      <c r="BW550" s="1" t="s">
        <v>26</v>
      </c>
      <c r="BX550" t="str">
        <f t="shared" si="196"/>
        <v>18</v>
      </c>
      <c r="BY550" t="str">
        <f t="shared" si="197"/>
        <v>12</v>
      </c>
      <c r="BZ550" t="str">
        <f t="shared" si="198"/>
        <v>2020</v>
      </c>
      <c r="CA550" s="5">
        <f t="shared" si="181"/>
        <v>44183</v>
      </c>
      <c r="CB550">
        <v>353</v>
      </c>
      <c r="CC550">
        <v>1</v>
      </c>
      <c r="CD550" s="1" t="s">
        <v>27</v>
      </c>
      <c r="CE550">
        <f t="shared" si="175"/>
        <v>0.17780035560071122</v>
      </c>
      <c r="CF550">
        <f t="shared" si="176"/>
        <v>2.1408839779005522</v>
      </c>
      <c r="CG550">
        <f t="shared" si="194"/>
        <v>2.1447721179624666</v>
      </c>
      <c r="CH550">
        <f t="shared" si="195"/>
        <v>5.2653820148749153</v>
      </c>
      <c r="CI550">
        <f t="shared" si="199"/>
        <v>0.99729546991210261</v>
      </c>
      <c r="CJ550" s="1"/>
      <c r="CK550" s="6"/>
      <c r="CL550" s="6"/>
      <c r="CM550" s="6"/>
      <c r="CN550" s="6"/>
      <c r="CO550" s="6"/>
      <c r="CP550" s="6"/>
    </row>
    <row r="551" spans="1:99" x14ac:dyDescent="0.2">
      <c r="A551" t="s">
        <v>78</v>
      </c>
      <c r="B551" t="s">
        <v>60</v>
      </c>
      <c r="C551" t="str">
        <f t="shared" si="177"/>
        <v>I</v>
      </c>
      <c r="D551" t="str">
        <f t="shared" si="178"/>
        <v>I</v>
      </c>
      <c r="E551" t="str">
        <f t="shared" si="179"/>
        <v>G</v>
      </c>
      <c r="F551">
        <v>94</v>
      </c>
      <c r="G551">
        <v>89</v>
      </c>
      <c r="H551">
        <v>13.984</v>
      </c>
      <c r="I551">
        <v>0.26300000000000001</v>
      </c>
      <c r="J551">
        <v>2.1999999999999999E-2</v>
      </c>
      <c r="K551" t="s">
        <v>38</v>
      </c>
      <c r="L551" t="str">
        <f t="shared" si="180"/>
        <v>M</v>
      </c>
      <c r="M551">
        <v>22</v>
      </c>
      <c r="N551">
        <v>0.504</v>
      </c>
      <c r="O551">
        <v>0.44700000000000001</v>
      </c>
      <c r="P551" t="s">
        <v>29</v>
      </c>
      <c r="Q551" t="str">
        <f t="shared" si="191"/>
        <v>F</v>
      </c>
      <c r="BV551" s="1"/>
      <c r="BW551" s="1" t="s">
        <v>26</v>
      </c>
      <c r="BX551" t="str">
        <f t="shared" si="196"/>
        <v>18</v>
      </c>
      <c r="BY551" t="str">
        <f t="shared" si="197"/>
        <v>12</v>
      </c>
      <c r="BZ551" t="str">
        <f t="shared" si="198"/>
        <v>2020</v>
      </c>
      <c r="CA551" s="5">
        <f t="shared" si="181"/>
        <v>44183</v>
      </c>
      <c r="CB551">
        <v>353</v>
      </c>
      <c r="CC551">
        <v>1</v>
      </c>
      <c r="CD551" s="1" t="s">
        <v>27</v>
      </c>
      <c r="CE551">
        <f t="shared" si="175"/>
        <v>0.15757054863200112</v>
      </c>
      <c r="CF551">
        <f t="shared" si="176"/>
        <v>1.9167699147292474</v>
      </c>
      <c r="CG551">
        <f t="shared" si="194"/>
        <v>1.9198481640995695</v>
      </c>
      <c r="CH551">
        <f t="shared" si="195"/>
        <v>3.1965102974828374</v>
      </c>
      <c r="CI551">
        <f t="shared" si="199"/>
        <v>0.40760869565217389</v>
      </c>
      <c r="CJ551" s="1"/>
      <c r="CK551" s="6"/>
      <c r="CL551" s="6"/>
      <c r="CM551" s="6"/>
      <c r="CN551" s="6"/>
      <c r="CO551" s="6"/>
      <c r="CP551" s="6"/>
    </row>
    <row r="552" spans="1:99" x14ac:dyDescent="0.2">
      <c r="A552" t="s">
        <v>79</v>
      </c>
      <c r="B552" t="s">
        <v>60</v>
      </c>
      <c r="C552" t="str">
        <f t="shared" si="177"/>
        <v>I</v>
      </c>
      <c r="D552" t="str">
        <f t="shared" si="178"/>
        <v>B</v>
      </c>
      <c r="E552" t="str">
        <f t="shared" si="179"/>
        <v>N</v>
      </c>
      <c r="F552">
        <v>130</v>
      </c>
      <c r="G552">
        <v>123</v>
      </c>
      <c r="H552">
        <v>44.478000000000002</v>
      </c>
      <c r="I552">
        <v>0.72199999999999998</v>
      </c>
      <c r="J552">
        <v>0.61699999999999999</v>
      </c>
      <c r="K552" t="s">
        <v>24</v>
      </c>
      <c r="L552" t="str">
        <f t="shared" si="180"/>
        <v>F</v>
      </c>
      <c r="M552">
        <v>22</v>
      </c>
      <c r="N552">
        <v>2.169</v>
      </c>
      <c r="O552">
        <v>2.0390000000000001</v>
      </c>
      <c r="P552" t="s">
        <v>29</v>
      </c>
      <c r="Q552" t="str">
        <f t="shared" si="191"/>
        <v>F</v>
      </c>
      <c r="BV552" s="1"/>
      <c r="BW552" s="1" t="s">
        <v>26</v>
      </c>
      <c r="BX552" t="str">
        <f t="shared" si="196"/>
        <v>18</v>
      </c>
      <c r="BY552" t="str">
        <f t="shared" si="197"/>
        <v>12</v>
      </c>
      <c r="BZ552" t="str">
        <f t="shared" si="198"/>
        <v>2020</v>
      </c>
      <c r="CA552" s="5">
        <f t="shared" si="181"/>
        <v>44183</v>
      </c>
      <c r="CB552">
        <v>353</v>
      </c>
      <c r="CC552">
        <v>1</v>
      </c>
      <c r="CD552" s="1" t="s">
        <v>27</v>
      </c>
      <c r="CE552">
        <f t="shared" si="175"/>
        <v>1.4067166731264675</v>
      </c>
      <c r="CF552">
        <f t="shared" si="176"/>
        <v>1.650059420422342</v>
      </c>
      <c r="CG552">
        <f t="shared" si="194"/>
        <v>1.6736595655903008</v>
      </c>
      <c r="CH552">
        <f t="shared" si="195"/>
        <v>4.5842888619092586</v>
      </c>
      <c r="CI552">
        <f t="shared" si="199"/>
        <v>0.29227932910652432</v>
      </c>
      <c r="CJ552" s="1"/>
      <c r="CK552" s="6"/>
      <c r="CL552" s="6"/>
      <c r="CM552" s="6"/>
      <c r="CN552" s="6"/>
      <c r="CO552" s="6"/>
      <c r="CP552" s="6"/>
    </row>
    <row r="553" spans="1:99" x14ac:dyDescent="0.2">
      <c r="A553" t="s">
        <v>80</v>
      </c>
      <c r="B553" t="s">
        <v>60</v>
      </c>
      <c r="C553" t="str">
        <f t="shared" si="177"/>
        <v>I</v>
      </c>
      <c r="D553" t="str">
        <f t="shared" si="178"/>
        <v>S</v>
      </c>
      <c r="E553" t="str">
        <f t="shared" si="179"/>
        <v>G</v>
      </c>
      <c r="F553">
        <v>73</v>
      </c>
      <c r="G553">
        <v>68</v>
      </c>
      <c r="H553">
        <v>6.1890000000000001</v>
      </c>
      <c r="I553">
        <v>0.11600000000000001</v>
      </c>
      <c r="J553">
        <v>0.04</v>
      </c>
      <c r="K553" t="s">
        <v>38</v>
      </c>
      <c r="L553" t="str">
        <f t="shared" si="180"/>
        <v>M</v>
      </c>
      <c r="M553">
        <v>22</v>
      </c>
      <c r="N553">
        <v>0.30399999999999999</v>
      </c>
      <c r="O553">
        <v>0.28699999999999998</v>
      </c>
      <c r="P553" t="s">
        <v>36</v>
      </c>
      <c r="Q553" t="str">
        <f t="shared" si="191"/>
        <v>MT</v>
      </c>
      <c r="BV553" s="1"/>
      <c r="BW553" s="1" t="s">
        <v>26</v>
      </c>
      <c r="BX553" t="str">
        <f t="shared" si="196"/>
        <v>18</v>
      </c>
      <c r="BY553" t="str">
        <f t="shared" si="197"/>
        <v>12</v>
      </c>
      <c r="BZ553" t="str">
        <f t="shared" si="198"/>
        <v>2020</v>
      </c>
      <c r="CA553" s="5">
        <f t="shared" si="181"/>
        <v>44183</v>
      </c>
      <c r="CB553">
        <v>353</v>
      </c>
      <c r="CC553">
        <v>1</v>
      </c>
      <c r="CD553" s="1" t="s">
        <v>39</v>
      </c>
      <c r="CE553">
        <f t="shared" si="175"/>
        <v>0.65051227841925519</v>
      </c>
      <c r="CF553">
        <f t="shared" si="176"/>
        <v>1.9100938580602669</v>
      </c>
      <c r="CG553">
        <f t="shared" si="194"/>
        <v>1.9227581634344439</v>
      </c>
      <c r="CH553">
        <f t="shared" si="195"/>
        <v>4.6372596542252378</v>
      </c>
      <c r="CI553">
        <f t="shared" si="199"/>
        <v>0.27468088544191333</v>
      </c>
      <c r="CJ553" s="1"/>
      <c r="CK553" s="6"/>
      <c r="CL553" s="6"/>
      <c r="CM553" s="6"/>
      <c r="CN553" s="6"/>
      <c r="CO553" s="6"/>
      <c r="CP553" s="6"/>
    </row>
    <row r="554" spans="1:99" x14ac:dyDescent="0.2">
      <c r="A554" t="s">
        <v>81</v>
      </c>
      <c r="B554" t="s">
        <v>60</v>
      </c>
      <c r="C554" t="str">
        <f t="shared" si="177"/>
        <v>I</v>
      </c>
      <c r="D554" t="str">
        <f t="shared" si="178"/>
        <v>I</v>
      </c>
      <c r="E554" t="str">
        <f t="shared" si="179"/>
        <v>G</v>
      </c>
      <c r="F554">
        <v>96</v>
      </c>
      <c r="G554">
        <v>89</v>
      </c>
      <c r="H554">
        <v>13.691000000000001</v>
      </c>
      <c r="I554">
        <v>0.217</v>
      </c>
      <c r="J554">
        <v>0.19500000000000001</v>
      </c>
      <c r="K554" t="s">
        <v>24</v>
      </c>
      <c r="L554" t="str">
        <f t="shared" si="180"/>
        <v>F</v>
      </c>
      <c r="M554">
        <v>22</v>
      </c>
      <c r="N554">
        <v>0.58099999999999996</v>
      </c>
      <c r="O554">
        <v>0.53800000000000003</v>
      </c>
      <c r="P554" t="s">
        <v>36</v>
      </c>
      <c r="Q554" t="str">
        <f t="shared" si="191"/>
        <v>MT</v>
      </c>
      <c r="BV554" s="1"/>
      <c r="BW554" s="1" t="s">
        <v>26</v>
      </c>
      <c r="BX554" t="str">
        <f t="shared" si="196"/>
        <v>18</v>
      </c>
      <c r="BY554" t="str">
        <f t="shared" si="197"/>
        <v>12</v>
      </c>
      <c r="BZ554" t="str">
        <f t="shared" si="198"/>
        <v>2020</v>
      </c>
      <c r="CA554" s="5">
        <f t="shared" si="181"/>
        <v>44183</v>
      </c>
      <c r="CB554">
        <v>353</v>
      </c>
      <c r="CC554">
        <v>1</v>
      </c>
      <c r="CD554" s="1" t="s">
        <v>27</v>
      </c>
      <c r="CE554">
        <f t="shared" si="175"/>
        <v>1.444872554831061</v>
      </c>
      <c r="CF554">
        <f t="shared" si="176"/>
        <v>1.6105091286922963</v>
      </c>
      <c r="CG554">
        <f t="shared" si="194"/>
        <v>1.6341591987348445</v>
      </c>
      <c r="CH554">
        <f t="shared" si="195"/>
        <v>3.92958878095099</v>
      </c>
      <c r="CI554">
        <f t="shared" si="199"/>
        <v>0.31407493974143547</v>
      </c>
      <c r="CJ554" s="1"/>
      <c r="CK554" s="6"/>
      <c r="CL554" s="6"/>
      <c r="CM554" s="6"/>
      <c r="CN554" s="6"/>
      <c r="CO554" s="6"/>
      <c r="CP554" s="6"/>
    </row>
    <row r="555" spans="1:99" x14ac:dyDescent="0.2">
      <c r="A555" t="s">
        <v>82</v>
      </c>
      <c r="B555" t="s">
        <v>60</v>
      </c>
      <c r="C555" t="str">
        <f t="shared" si="177"/>
        <v>I</v>
      </c>
      <c r="D555" t="str">
        <f t="shared" si="178"/>
        <v>I</v>
      </c>
      <c r="E555" t="str">
        <f t="shared" si="179"/>
        <v>G</v>
      </c>
      <c r="F555">
        <v>106</v>
      </c>
      <c r="G555">
        <v>95</v>
      </c>
      <c r="H555">
        <v>18.916</v>
      </c>
      <c r="I555">
        <v>0.313</v>
      </c>
      <c r="J555">
        <v>2.1000000000000001E-2</v>
      </c>
      <c r="K555" t="s">
        <v>38</v>
      </c>
      <c r="L555" t="str">
        <f t="shared" si="180"/>
        <v>M</v>
      </c>
      <c r="M555">
        <v>22</v>
      </c>
      <c r="N555">
        <v>0.92400000000000004</v>
      </c>
      <c r="O555">
        <v>0.80400000000000005</v>
      </c>
      <c r="P555" t="s">
        <v>25</v>
      </c>
      <c r="Q555" t="str">
        <f t="shared" si="191"/>
        <v>F</v>
      </c>
      <c r="BV555" s="1"/>
      <c r="BW555" s="1" t="s">
        <v>26</v>
      </c>
      <c r="BX555" t="str">
        <f t="shared" si="196"/>
        <v>18</v>
      </c>
      <c r="BY555" t="str">
        <f t="shared" si="197"/>
        <v>12</v>
      </c>
      <c r="BZ555" t="str">
        <f t="shared" si="198"/>
        <v>2020</v>
      </c>
      <c r="CA555" s="5">
        <f t="shared" si="181"/>
        <v>44183</v>
      </c>
      <c r="CB555">
        <v>353</v>
      </c>
      <c r="CC555">
        <v>1</v>
      </c>
      <c r="CD555" s="1" t="s">
        <v>27</v>
      </c>
      <c r="CE555">
        <f t="shared" si="175"/>
        <v>0.11114051336332365</v>
      </c>
      <c r="CF555">
        <f t="shared" si="176"/>
        <v>1.682524324033758</v>
      </c>
      <c r="CG555">
        <f t="shared" si="194"/>
        <v>1.6844257883973737</v>
      </c>
      <c r="CH555">
        <f t="shared" si="195"/>
        <v>4.2503700570945231</v>
      </c>
      <c r="CI555">
        <f t="shared" si="199"/>
        <v>0.63438359061112282</v>
      </c>
      <c r="CJ555" s="1"/>
      <c r="CK555" s="6"/>
      <c r="CL555" s="6"/>
      <c r="CM555" s="6"/>
      <c r="CN555" s="6"/>
      <c r="CO555" s="6"/>
      <c r="CP555" s="6"/>
    </row>
    <row r="556" spans="1:99" ht="17" x14ac:dyDescent="0.2">
      <c r="A556" t="s">
        <v>138</v>
      </c>
      <c r="B556" t="s">
        <v>60</v>
      </c>
      <c r="C556" t="str">
        <f t="shared" si="177"/>
        <v>I</v>
      </c>
      <c r="D556" t="str">
        <f t="shared" si="178"/>
        <v>I</v>
      </c>
      <c r="E556" t="str">
        <f t="shared" si="179"/>
        <v>G</v>
      </c>
      <c r="F556">
        <v>87</v>
      </c>
      <c r="G556">
        <v>82</v>
      </c>
      <c r="H556">
        <v>8.2100000000000009</v>
      </c>
      <c r="I556">
        <v>0.11700000000000001</v>
      </c>
      <c r="J556">
        <v>0.01</v>
      </c>
      <c r="K556" t="s">
        <v>38</v>
      </c>
      <c r="L556" t="str">
        <f t="shared" si="180"/>
        <v>M</v>
      </c>
      <c r="M556">
        <v>22</v>
      </c>
      <c r="N556">
        <v>0.41499999999999998</v>
      </c>
      <c r="O556">
        <v>0.35299999999999998</v>
      </c>
      <c r="P556" t="s">
        <v>139</v>
      </c>
      <c r="Q556" t="str">
        <f t="shared" si="191"/>
        <v>F</v>
      </c>
      <c r="BV556" s="1"/>
      <c r="BW556" t="s">
        <v>140</v>
      </c>
      <c r="BX556" t="str">
        <f t="shared" si="196"/>
        <v>16</v>
      </c>
      <c r="BY556" t="str">
        <f t="shared" si="197"/>
        <v>01</v>
      </c>
      <c r="BZ556" t="str">
        <f t="shared" si="198"/>
        <v>2021</v>
      </c>
      <c r="CA556" s="5">
        <f t="shared" si="181"/>
        <v>44212</v>
      </c>
      <c r="CB556">
        <v>16</v>
      </c>
      <c r="CC556">
        <v>2</v>
      </c>
      <c r="CD556" t="s">
        <v>141</v>
      </c>
      <c r="CE556">
        <f t="shared" si="175"/>
        <v>0.12195121951219511</v>
      </c>
      <c r="CF556">
        <f t="shared" si="176"/>
        <v>1.4456938094649698</v>
      </c>
      <c r="CG556">
        <f t="shared" si="194"/>
        <v>1.4474823704070272</v>
      </c>
      <c r="CH556">
        <f t="shared" si="195"/>
        <v>4.2996345919610226</v>
      </c>
      <c r="CI556">
        <f t="shared" si="199"/>
        <v>0.75517661388550539</v>
      </c>
      <c r="CJ556" s="1"/>
      <c r="CK556" s="6" t="s">
        <v>142</v>
      </c>
      <c r="CL556" s="6"/>
      <c r="CM556" s="6"/>
      <c r="CN556" s="6"/>
      <c r="CO556" s="6"/>
      <c r="CP556" s="6"/>
    </row>
    <row r="557" spans="1:99" ht="17" x14ac:dyDescent="0.2">
      <c r="A557" t="s">
        <v>143</v>
      </c>
      <c r="B557" t="s">
        <v>60</v>
      </c>
      <c r="C557" t="str">
        <f t="shared" si="177"/>
        <v>I</v>
      </c>
      <c r="D557" t="str">
        <f t="shared" si="178"/>
        <v>B</v>
      </c>
      <c r="E557" t="str">
        <f t="shared" si="179"/>
        <v>G</v>
      </c>
      <c r="F557">
        <v>110</v>
      </c>
      <c r="G557">
        <v>105</v>
      </c>
      <c r="H557">
        <v>22.722000000000001</v>
      </c>
      <c r="I557">
        <v>0.47799999999999998</v>
      </c>
      <c r="J557">
        <v>0.40200000000000002</v>
      </c>
      <c r="K557" t="s">
        <v>24</v>
      </c>
      <c r="L557" t="str">
        <f t="shared" si="180"/>
        <v>F</v>
      </c>
      <c r="M557">
        <v>22</v>
      </c>
      <c r="N557">
        <v>1.121</v>
      </c>
      <c r="O557">
        <v>1.087</v>
      </c>
      <c r="P557" t="s">
        <v>36</v>
      </c>
      <c r="Q557" t="str">
        <f t="shared" si="191"/>
        <v>MT</v>
      </c>
      <c r="BV557" s="1"/>
      <c r="BW557" t="s">
        <v>140</v>
      </c>
      <c r="BX557" t="str">
        <f t="shared" si="196"/>
        <v>16</v>
      </c>
      <c r="BY557" t="str">
        <f t="shared" si="197"/>
        <v>01</v>
      </c>
      <c r="BZ557" t="str">
        <f t="shared" si="198"/>
        <v>2021</v>
      </c>
      <c r="CA557" s="5">
        <f t="shared" si="181"/>
        <v>44212</v>
      </c>
      <c r="CB557">
        <v>16</v>
      </c>
      <c r="CC557">
        <v>2</v>
      </c>
      <c r="CD557" t="s">
        <v>144</v>
      </c>
      <c r="CE557">
        <f t="shared" si="175"/>
        <v>1.8010752688172045</v>
      </c>
      <c r="CF557">
        <f t="shared" si="176"/>
        <v>2.1488940837978783</v>
      </c>
      <c r="CG557">
        <f t="shared" si="194"/>
        <v>2.1884442816591889</v>
      </c>
      <c r="CH557">
        <f t="shared" si="195"/>
        <v>4.7839098670891644</v>
      </c>
      <c r="CI557">
        <f t="shared" si="199"/>
        <v>0.14963471525393904</v>
      </c>
      <c r="CJ557" s="1"/>
      <c r="CK557" s="6" t="s">
        <v>105</v>
      </c>
      <c r="CL557" s="6"/>
      <c r="CM557" s="6">
        <v>0</v>
      </c>
      <c r="CN557" s="6">
        <v>136</v>
      </c>
      <c r="CO557" s="6">
        <v>21</v>
      </c>
      <c r="CP557" s="6">
        <v>0</v>
      </c>
      <c r="CQ557" s="12">
        <v>2.3999999999999998E-3</v>
      </c>
      <c r="CR557">
        <f>CQ557/(H557-I557-J557-N557)*1000</f>
        <v>0.11582452584334732</v>
      </c>
      <c r="CS557">
        <v>4.5209999999999999</v>
      </c>
      <c r="CT557">
        <v>84.306704046447152</v>
      </c>
      <c r="CU557">
        <v>103.42883622407382</v>
      </c>
    </row>
    <row r="558" spans="1:99" ht="17" x14ac:dyDescent="0.2">
      <c r="A558" t="s">
        <v>145</v>
      </c>
      <c r="B558" t="s">
        <v>60</v>
      </c>
      <c r="C558" t="str">
        <f t="shared" si="177"/>
        <v>I</v>
      </c>
      <c r="D558" t="str">
        <f t="shared" si="178"/>
        <v>B</v>
      </c>
      <c r="E558" t="str">
        <f t="shared" si="179"/>
        <v>N</v>
      </c>
      <c r="F558">
        <v>127</v>
      </c>
      <c r="G558">
        <v>121</v>
      </c>
      <c r="H558">
        <v>35.207000000000001</v>
      </c>
      <c r="I558">
        <v>0.58199999999999996</v>
      </c>
      <c r="J558">
        <v>0.498</v>
      </c>
      <c r="K558" t="s">
        <v>24</v>
      </c>
      <c r="L558" t="str">
        <f t="shared" si="180"/>
        <v>F</v>
      </c>
      <c r="M558">
        <v>22</v>
      </c>
      <c r="N558">
        <v>1.4490000000000001</v>
      </c>
      <c r="O558">
        <v>1.41</v>
      </c>
      <c r="P558" t="s">
        <v>146</v>
      </c>
      <c r="Q558" t="str">
        <f t="shared" si="191"/>
        <v>F</v>
      </c>
      <c r="BV558" s="1"/>
      <c r="BW558" t="s">
        <v>140</v>
      </c>
      <c r="BX558" t="str">
        <f t="shared" si="196"/>
        <v>16</v>
      </c>
      <c r="BY558" t="str">
        <f t="shared" si="197"/>
        <v>01</v>
      </c>
      <c r="BZ558" t="str">
        <f t="shared" si="198"/>
        <v>2021</v>
      </c>
      <c r="CA558" s="5">
        <f t="shared" si="181"/>
        <v>44212</v>
      </c>
      <c r="CB558">
        <v>16</v>
      </c>
      <c r="CC558">
        <v>2</v>
      </c>
      <c r="CD558" t="s">
        <v>144</v>
      </c>
      <c r="CE558">
        <f t="shared" si="175"/>
        <v>1.4347863666484197</v>
      </c>
      <c r="CF558">
        <f t="shared" si="176"/>
        <v>1.6808664259927795</v>
      </c>
      <c r="CG558">
        <f t="shared" si="194"/>
        <v>1.7053945556304388</v>
      </c>
      <c r="CH558">
        <f t="shared" si="195"/>
        <v>4.0048853921095233</v>
      </c>
      <c r="CI558">
        <f t="shared" si="199"/>
        <v>0.1107734257392</v>
      </c>
      <c r="CJ558" s="1"/>
      <c r="CK558" s="6" t="s">
        <v>105</v>
      </c>
      <c r="CL558" s="6"/>
      <c r="CM558" s="6"/>
      <c r="CN558" s="6"/>
      <c r="CO558" s="6"/>
      <c r="CP558" s="6"/>
    </row>
    <row r="559" spans="1:99" ht="17" x14ac:dyDescent="0.2">
      <c r="A559" t="s">
        <v>147</v>
      </c>
      <c r="B559" t="s">
        <v>60</v>
      </c>
      <c r="C559" t="str">
        <f t="shared" si="177"/>
        <v>I</v>
      </c>
      <c r="D559" t="str">
        <f t="shared" si="178"/>
        <v>S</v>
      </c>
      <c r="E559" t="str">
        <f t="shared" si="179"/>
        <v>G</v>
      </c>
      <c r="F559">
        <v>80</v>
      </c>
      <c r="G559">
        <v>75</v>
      </c>
      <c r="H559">
        <v>7.601</v>
      </c>
      <c r="I559">
        <v>0.183</v>
      </c>
      <c r="J559">
        <v>0.154</v>
      </c>
      <c r="K559" t="s">
        <v>24</v>
      </c>
      <c r="L559" t="str">
        <f t="shared" si="180"/>
        <v>F</v>
      </c>
      <c r="M559">
        <v>22</v>
      </c>
      <c r="N559">
        <v>0.30099999999999999</v>
      </c>
      <c r="O559">
        <v>0.28499999999999998</v>
      </c>
      <c r="P559" t="s">
        <v>29</v>
      </c>
      <c r="Q559" t="str">
        <f t="shared" si="191"/>
        <v>F</v>
      </c>
      <c r="BV559" s="1"/>
      <c r="BW559" t="s">
        <v>140</v>
      </c>
      <c r="BX559" t="str">
        <f t="shared" si="196"/>
        <v>16</v>
      </c>
      <c r="BY559" t="str">
        <f t="shared" si="197"/>
        <v>01</v>
      </c>
      <c r="BZ559" t="str">
        <f t="shared" si="198"/>
        <v>2021</v>
      </c>
      <c r="CA559" s="5">
        <f t="shared" si="181"/>
        <v>44212</v>
      </c>
      <c r="CB559">
        <v>16</v>
      </c>
      <c r="CC559">
        <v>2</v>
      </c>
      <c r="CD559" t="s">
        <v>144</v>
      </c>
      <c r="CE559">
        <f t="shared" si="175"/>
        <v>2.0679468242245198</v>
      </c>
      <c r="CF559">
        <f t="shared" si="176"/>
        <v>2.4669722297115126</v>
      </c>
      <c r="CG559">
        <f t="shared" si="194"/>
        <v>2.5192731277533036</v>
      </c>
      <c r="CH559">
        <f t="shared" si="195"/>
        <v>3.7495066438626496</v>
      </c>
      <c r="CI559">
        <f t="shared" si="199"/>
        <v>0.2104986186028156</v>
      </c>
      <c r="CJ559" s="1"/>
      <c r="CK559" s="6" t="s">
        <v>105</v>
      </c>
      <c r="CL559" s="6"/>
      <c r="CM559" s="6">
        <v>1</v>
      </c>
      <c r="CN559" s="6">
        <v>78</v>
      </c>
      <c r="CO559" s="6">
        <v>12</v>
      </c>
      <c r="CP559" s="6">
        <v>0</v>
      </c>
      <c r="CQ559" s="12">
        <v>1.5E-3</v>
      </c>
      <c r="CR559">
        <f>CQ559/(H559-I559-J559-N559)*1000</f>
        <v>0.21542438604049979</v>
      </c>
      <c r="CS559">
        <v>6.2670000000000003</v>
      </c>
      <c r="CT559">
        <v>80.227151439264617</v>
      </c>
      <c r="CU559">
        <v>98.427799849446345</v>
      </c>
    </row>
    <row r="560" spans="1:99" ht="17" x14ac:dyDescent="0.2">
      <c r="A560" t="s">
        <v>148</v>
      </c>
      <c r="B560" t="s">
        <v>60</v>
      </c>
      <c r="C560" t="str">
        <f t="shared" si="177"/>
        <v>I</v>
      </c>
      <c r="D560" t="str">
        <f t="shared" si="178"/>
        <v>S</v>
      </c>
      <c r="E560" t="str">
        <f t="shared" si="179"/>
        <v>G</v>
      </c>
      <c r="F560">
        <v>83</v>
      </c>
      <c r="G560">
        <v>79</v>
      </c>
      <c r="H560">
        <v>8.4220000000000006</v>
      </c>
      <c r="I560">
        <v>0.30099999999999999</v>
      </c>
      <c r="J560">
        <v>1.2E-2</v>
      </c>
      <c r="K560" t="s">
        <v>38</v>
      </c>
      <c r="L560" t="str">
        <f t="shared" si="180"/>
        <v>M</v>
      </c>
      <c r="M560">
        <v>22</v>
      </c>
      <c r="N560">
        <v>0.46500000000000002</v>
      </c>
      <c r="O560">
        <v>0.42899999999999999</v>
      </c>
      <c r="P560" t="s">
        <v>146</v>
      </c>
      <c r="Q560" t="str">
        <f t="shared" si="191"/>
        <v>F</v>
      </c>
      <c r="BV560" s="1"/>
      <c r="BW560" t="s">
        <v>140</v>
      </c>
      <c r="BX560" t="str">
        <f t="shared" si="196"/>
        <v>16</v>
      </c>
      <c r="BY560" t="str">
        <f t="shared" si="197"/>
        <v>01</v>
      </c>
      <c r="BZ560" t="str">
        <f t="shared" si="198"/>
        <v>2021</v>
      </c>
      <c r="CA560" s="5">
        <f t="shared" si="181"/>
        <v>44212</v>
      </c>
      <c r="CB560">
        <v>16</v>
      </c>
      <c r="CC560">
        <v>2</v>
      </c>
      <c r="CD560" t="s">
        <v>149</v>
      </c>
      <c r="CE560">
        <f t="shared" si="175"/>
        <v>0.1426872770511296</v>
      </c>
      <c r="CF560">
        <f t="shared" si="176"/>
        <v>3.7064400935845336</v>
      </c>
      <c r="CG560">
        <f t="shared" si="194"/>
        <v>3.7119250215809592</v>
      </c>
      <c r="CH560">
        <f t="shared" si="195"/>
        <v>5.0938019472809311</v>
      </c>
      <c r="CI560">
        <f t="shared" si="199"/>
        <v>0.42745191165993862</v>
      </c>
      <c r="CJ560" s="1"/>
      <c r="CK560" s="6" t="s">
        <v>105</v>
      </c>
      <c r="CL560" s="6"/>
      <c r="CM560" s="6"/>
      <c r="CN560" s="6"/>
      <c r="CO560" s="6"/>
      <c r="CP560" s="6"/>
    </row>
    <row r="561" spans="1:99" ht="17" x14ac:dyDescent="0.2">
      <c r="A561" t="s">
        <v>150</v>
      </c>
      <c r="B561" t="s">
        <v>60</v>
      </c>
      <c r="C561" t="str">
        <f t="shared" si="177"/>
        <v>I</v>
      </c>
      <c r="D561" t="str">
        <f t="shared" si="178"/>
        <v>B</v>
      </c>
      <c r="E561" t="str">
        <f t="shared" si="179"/>
        <v>G</v>
      </c>
      <c r="F561">
        <v>110</v>
      </c>
      <c r="G561">
        <v>104</v>
      </c>
      <c r="H561">
        <v>20.286999999999999</v>
      </c>
      <c r="I561">
        <v>0.41699999999999998</v>
      </c>
      <c r="J561">
        <v>0.34</v>
      </c>
      <c r="K561" t="s">
        <v>24</v>
      </c>
      <c r="L561" t="str">
        <f t="shared" si="180"/>
        <v>F</v>
      </c>
      <c r="M561">
        <v>22</v>
      </c>
      <c r="O561">
        <v>1.242</v>
      </c>
      <c r="P561" t="s">
        <v>36</v>
      </c>
      <c r="Q561" t="str">
        <f t="shared" si="191"/>
        <v>MT</v>
      </c>
      <c r="BV561" s="1"/>
      <c r="BW561" t="s">
        <v>140</v>
      </c>
      <c r="BX561" t="str">
        <f t="shared" si="196"/>
        <v>16</v>
      </c>
      <c r="BY561" t="str">
        <f t="shared" si="197"/>
        <v>01</v>
      </c>
      <c r="BZ561" t="str">
        <f t="shared" si="198"/>
        <v>2021</v>
      </c>
      <c r="CA561" s="5">
        <f t="shared" si="181"/>
        <v>44212</v>
      </c>
      <c r="CB561">
        <v>16</v>
      </c>
      <c r="CC561">
        <v>2</v>
      </c>
      <c r="CD561" t="s">
        <v>149</v>
      </c>
      <c r="CE561">
        <f t="shared" si="175"/>
        <v>1.7045169699704217</v>
      </c>
      <c r="CF561">
        <f t="shared" si="176"/>
        <v>2.0986411675893306</v>
      </c>
      <c r="CG561">
        <f t="shared" si="194"/>
        <v>2.1351766513056836</v>
      </c>
      <c r="CH561">
        <f t="shared" si="195"/>
        <v>6.1221471878542912</v>
      </c>
      <c r="CJ561" s="1"/>
      <c r="CK561" s="6" t="s">
        <v>105</v>
      </c>
      <c r="CL561" s="6"/>
      <c r="CM561" s="6">
        <v>0</v>
      </c>
      <c r="CN561" s="6">
        <v>422</v>
      </c>
      <c r="CO561" s="6">
        <v>115</v>
      </c>
      <c r="CP561" s="6">
        <v>0</v>
      </c>
      <c r="CQ561" s="12">
        <v>2.2000000000000001E-3</v>
      </c>
      <c r="CR561">
        <f>CQ561/(H561-I561-J561-N561)*1000</f>
        <v>0.11264720942140299</v>
      </c>
      <c r="CS561">
        <v>5.7279999999999998</v>
      </c>
      <c r="CT561">
        <v>78.702764504193837</v>
      </c>
      <c r="CU561">
        <v>90.829117011920204</v>
      </c>
    </row>
    <row r="562" spans="1:99" ht="17" x14ac:dyDescent="0.2">
      <c r="A562" t="s">
        <v>151</v>
      </c>
      <c r="B562" t="s">
        <v>60</v>
      </c>
      <c r="C562" t="str">
        <f t="shared" si="177"/>
        <v>I</v>
      </c>
      <c r="D562" t="str">
        <f t="shared" si="178"/>
        <v>I</v>
      </c>
      <c r="E562" t="str">
        <f t="shared" si="179"/>
        <v>G</v>
      </c>
      <c r="F562">
        <v>96</v>
      </c>
      <c r="G562">
        <v>91</v>
      </c>
      <c r="H562">
        <v>14.311</v>
      </c>
      <c r="I562">
        <v>0.29199999999999998</v>
      </c>
      <c r="J562">
        <v>2.7E-2</v>
      </c>
      <c r="K562" t="s">
        <v>38</v>
      </c>
      <c r="L562" t="str">
        <f t="shared" si="180"/>
        <v>M</v>
      </c>
      <c r="M562">
        <v>22</v>
      </c>
      <c r="N562">
        <v>0.55600000000000005</v>
      </c>
      <c r="O562">
        <v>0.54100000000000004</v>
      </c>
      <c r="P562" t="s">
        <v>36</v>
      </c>
      <c r="Q562" t="str">
        <f t="shared" si="191"/>
        <v>MT</v>
      </c>
      <c r="BV562" s="1"/>
      <c r="BW562" t="s">
        <v>140</v>
      </c>
      <c r="BX562" t="str">
        <f t="shared" si="196"/>
        <v>16</v>
      </c>
      <c r="BY562" t="str">
        <f t="shared" si="197"/>
        <v>01</v>
      </c>
      <c r="BZ562" t="str">
        <f t="shared" si="198"/>
        <v>2021</v>
      </c>
      <c r="CA562" s="5">
        <f t="shared" si="181"/>
        <v>44212</v>
      </c>
      <c r="CB562">
        <v>16</v>
      </c>
      <c r="CC562">
        <v>2</v>
      </c>
      <c r="CD562" t="s">
        <v>149</v>
      </c>
      <c r="CE562">
        <f t="shared" si="175"/>
        <v>0.18902268272192663</v>
      </c>
      <c r="CF562">
        <f t="shared" si="176"/>
        <v>2.0828875098081174</v>
      </c>
      <c r="CG562">
        <f t="shared" si="194"/>
        <v>2.0869068038879357</v>
      </c>
      <c r="CH562">
        <f t="shared" si="195"/>
        <v>3.7803088533296068</v>
      </c>
      <c r="CI562">
        <f t="shared" ref="CI562:CI583" si="200">(N562-O562)/H562*100</f>
        <v>0.1048144783732794</v>
      </c>
      <c r="CJ562" s="1"/>
      <c r="CK562" s="6" t="s">
        <v>144</v>
      </c>
      <c r="CL562" s="6"/>
      <c r="CM562" s="6"/>
      <c r="CN562" s="6"/>
      <c r="CO562" s="6"/>
      <c r="CP562" s="6"/>
    </row>
    <row r="563" spans="1:99" ht="17" x14ac:dyDescent="0.2">
      <c r="A563" t="s">
        <v>152</v>
      </c>
      <c r="B563" t="s">
        <v>60</v>
      </c>
      <c r="C563" t="str">
        <f t="shared" si="177"/>
        <v>I</v>
      </c>
      <c r="D563" t="str">
        <f t="shared" si="178"/>
        <v>I</v>
      </c>
      <c r="E563" t="str">
        <f t="shared" si="179"/>
        <v>G</v>
      </c>
      <c r="F563">
        <v>104</v>
      </c>
      <c r="G563">
        <v>99</v>
      </c>
      <c r="H563">
        <v>20.332999999999998</v>
      </c>
      <c r="I563">
        <v>0.45100000000000001</v>
      </c>
      <c r="J563">
        <v>0.03</v>
      </c>
      <c r="K563" t="s">
        <v>38</v>
      </c>
      <c r="L563" t="str">
        <f t="shared" si="180"/>
        <v>M</v>
      </c>
      <c r="M563">
        <v>22</v>
      </c>
      <c r="N563">
        <v>1.1459999999999999</v>
      </c>
      <c r="O563">
        <v>1.071</v>
      </c>
      <c r="P563" t="s">
        <v>153</v>
      </c>
      <c r="Q563" t="str">
        <f t="shared" si="191"/>
        <v>F</v>
      </c>
      <c r="BV563" s="1"/>
      <c r="BW563" t="s">
        <v>140</v>
      </c>
      <c r="BX563" t="str">
        <f t="shared" si="196"/>
        <v>16</v>
      </c>
      <c r="BY563" t="str">
        <f t="shared" si="197"/>
        <v>01</v>
      </c>
      <c r="BZ563" t="str">
        <f t="shared" si="198"/>
        <v>2021</v>
      </c>
      <c r="CA563" s="5">
        <f t="shared" si="181"/>
        <v>44212</v>
      </c>
      <c r="CB563">
        <v>16</v>
      </c>
      <c r="CC563">
        <v>2</v>
      </c>
      <c r="CD563" t="s">
        <v>149</v>
      </c>
      <c r="CE563">
        <f t="shared" si="175"/>
        <v>0.1477614145692755</v>
      </c>
      <c r="CF563">
        <f t="shared" si="176"/>
        <v>2.2683834624283272</v>
      </c>
      <c r="CG563">
        <f t="shared" si="194"/>
        <v>2.2718114043925048</v>
      </c>
      <c r="CH563">
        <f t="shared" si="195"/>
        <v>5.2672994639256387</v>
      </c>
      <c r="CI563">
        <f t="shared" si="200"/>
        <v>0.3688585058771453</v>
      </c>
      <c r="CJ563" s="1"/>
      <c r="CK563" s="6" t="s">
        <v>105</v>
      </c>
      <c r="CL563" s="6"/>
      <c r="CM563" s="6"/>
      <c r="CN563" s="6"/>
      <c r="CO563" s="6"/>
      <c r="CP563" s="6"/>
    </row>
    <row r="564" spans="1:99" ht="17" x14ac:dyDescent="0.2">
      <c r="A564" t="s">
        <v>154</v>
      </c>
      <c r="B564" t="s">
        <v>60</v>
      </c>
      <c r="C564" t="str">
        <f t="shared" si="177"/>
        <v>I</v>
      </c>
      <c r="D564" t="str">
        <f t="shared" si="178"/>
        <v>I</v>
      </c>
      <c r="E564" t="str">
        <f t="shared" si="179"/>
        <v>G</v>
      </c>
      <c r="F564">
        <v>101</v>
      </c>
      <c r="G564">
        <v>95</v>
      </c>
      <c r="H564">
        <v>16.57</v>
      </c>
      <c r="I564">
        <v>0.32900000000000001</v>
      </c>
      <c r="J564">
        <v>2.1000000000000001E-2</v>
      </c>
      <c r="K564" t="s">
        <v>38</v>
      </c>
      <c r="L564" t="str">
        <f t="shared" si="180"/>
        <v>M</v>
      </c>
      <c r="M564">
        <v>22</v>
      </c>
      <c r="N564">
        <v>1.329</v>
      </c>
      <c r="O564">
        <v>0.88800000000000001</v>
      </c>
      <c r="P564" t="s">
        <v>155</v>
      </c>
      <c r="Q564" t="str">
        <f t="shared" si="191"/>
        <v>F</v>
      </c>
      <c r="BV564" s="1"/>
      <c r="BW564" t="s">
        <v>140</v>
      </c>
      <c r="BX564" t="str">
        <f t="shared" si="196"/>
        <v>16</v>
      </c>
      <c r="BY564" t="str">
        <f t="shared" si="197"/>
        <v>01</v>
      </c>
      <c r="BZ564" t="str">
        <f t="shared" si="198"/>
        <v>2021</v>
      </c>
      <c r="CA564" s="5">
        <f t="shared" si="181"/>
        <v>44212</v>
      </c>
      <c r="CB564">
        <v>16</v>
      </c>
      <c r="CC564">
        <v>2</v>
      </c>
      <c r="CD564" t="s">
        <v>149</v>
      </c>
      <c r="CE564">
        <f t="shared" si="175"/>
        <v>0.12689588494773099</v>
      </c>
      <c r="CF564">
        <f t="shared" si="176"/>
        <v>2.0257373314451081</v>
      </c>
      <c r="CG564">
        <f t="shared" si="194"/>
        <v>2.028360049321825</v>
      </c>
      <c r="CH564">
        <f t="shared" si="195"/>
        <v>5.3590826795413395</v>
      </c>
      <c r="CI564">
        <f t="shared" si="200"/>
        <v>2.661436330718165</v>
      </c>
      <c r="CJ564" s="1"/>
      <c r="CK564" s="6" t="s">
        <v>105</v>
      </c>
      <c r="CL564" s="6"/>
      <c r="CM564" s="6"/>
      <c r="CN564" s="6"/>
      <c r="CO564" s="6"/>
      <c r="CP564" s="6"/>
    </row>
    <row r="565" spans="1:99" ht="17" x14ac:dyDescent="0.2">
      <c r="A565" t="s">
        <v>156</v>
      </c>
      <c r="B565" t="s">
        <v>60</v>
      </c>
      <c r="C565" t="str">
        <f t="shared" si="177"/>
        <v>I</v>
      </c>
      <c r="D565" t="str">
        <f t="shared" si="178"/>
        <v>S</v>
      </c>
      <c r="E565" t="str">
        <f t="shared" si="179"/>
        <v>G</v>
      </c>
      <c r="F565">
        <v>78</v>
      </c>
      <c r="G565">
        <v>74</v>
      </c>
      <c r="H565">
        <v>6.8810000000000002</v>
      </c>
      <c r="I565">
        <v>0.20200000000000001</v>
      </c>
      <c r="J565">
        <v>1.0999999999999999E-2</v>
      </c>
      <c r="K565" t="s">
        <v>38</v>
      </c>
      <c r="L565" t="str">
        <f t="shared" si="180"/>
        <v>M</v>
      </c>
      <c r="M565">
        <v>22</v>
      </c>
      <c r="N565">
        <v>0.33</v>
      </c>
      <c r="O565">
        <v>0.29299999999999998</v>
      </c>
      <c r="P565" t="s">
        <v>157</v>
      </c>
      <c r="Q565" t="str">
        <f t="shared" si="191"/>
        <v>F</v>
      </c>
      <c r="BV565" s="1"/>
      <c r="BW565" t="s">
        <v>140</v>
      </c>
      <c r="BX565" t="str">
        <f t="shared" si="196"/>
        <v>16</v>
      </c>
      <c r="BY565" t="str">
        <f t="shared" si="197"/>
        <v>01</v>
      </c>
      <c r="BZ565" t="str">
        <f t="shared" si="198"/>
        <v>2021</v>
      </c>
      <c r="CA565" s="5">
        <f t="shared" si="181"/>
        <v>44212</v>
      </c>
      <c r="CB565">
        <v>16</v>
      </c>
      <c r="CC565">
        <v>2</v>
      </c>
      <c r="CD565" t="s">
        <v>149</v>
      </c>
      <c r="CE565">
        <f t="shared" si="175"/>
        <v>0.16011644832605532</v>
      </c>
      <c r="CF565">
        <f t="shared" si="176"/>
        <v>3.0244048510256025</v>
      </c>
      <c r="CG565">
        <f t="shared" si="194"/>
        <v>3.0293941211757649</v>
      </c>
      <c r="CH565">
        <f t="shared" si="195"/>
        <v>4.2581020200552242</v>
      </c>
      <c r="CI565">
        <f t="shared" si="200"/>
        <v>0.53771254178171823</v>
      </c>
      <c r="CJ565" s="1"/>
      <c r="CK565" s="6" t="s">
        <v>105</v>
      </c>
      <c r="CL565" s="6"/>
      <c r="CM565" s="6"/>
      <c r="CN565" s="6"/>
      <c r="CO565" s="6"/>
      <c r="CP565" s="6"/>
    </row>
    <row r="566" spans="1:99" ht="17" x14ac:dyDescent="0.2">
      <c r="A566" t="s">
        <v>158</v>
      </c>
      <c r="B566" t="s">
        <v>60</v>
      </c>
      <c r="C566" t="str">
        <f t="shared" si="177"/>
        <v>I</v>
      </c>
      <c r="D566" t="str">
        <f t="shared" si="178"/>
        <v>B</v>
      </c>
      <c r="E566" t="str">
        <f t="shared" si="179"/>
        <v>N</v>
      </c>
      <c r="F566">
        <v>148</v>
      </c>
      <c r="G566">
        <v>141</v>
      </c>
      <c r="H566">
        <v>61.792000000000002</v>
      </c>
      <c r="I566">
        <v>0.89300000000000002</v>
      </c>
      <c r="J566">
        <v>0.871</v>
      </c>
      <c r="K566" t="s">
        <v>24</v>
      </c>
      <c r="L566" t="str">
        <f t="shared" si="180"/>
        <v>F</v>
      </c>
      <c r="M566">
        <v>22</v>
      </c>
      <c r="N566">
        <v>2.415</v>
      </c>
      <c r="O566">
        <v>2.3290000000000002</v>
      </c>
      <c r="P566" t="s">
        <v>36</v>
      </c>
      <c r="Q566" t="str">
        <f t="shared" si="191"/>
        <v>MT</v>
      </c>
      <c r="BV566" s="1"/>
      <c r="BW566" t="s">
        <v>140</v>
      </c>
      <c r="BX566" t="str">
        <f t="shared" si="196"/>
        <v>16</v>
      </c>
      <c r="BY566" t="str">
        <f t="shared" si="197"/>
        <v>01</v>
      </c>
      <c r="BZ566" t="str">
        <f t="shared" si="198"/>
        <v>2021</v>
      </c>
      <c r="CA566" s="5">
        <f t="shared" si="181"/>
        <v>44212</v>
      </c>
      <c r="CB566">
        <v>16</v>
      </c>
      <c r="CC566">
        <v>2</v>
      </c>
      <c r="CD566" t="s">
        <v>149</v>
      </c>
      <c r="CE566">
        <f t="shared" si="175"/>
        <v>1.4297204576418641</v>
      </c>
      <c r="CF566">
        <f t="shared" si="176"/>
        <v>1.4663623376410122</v>
      </c>
      <c r="CG566">
        <f t="shared" si="194"/>
        <v>1.4876391017525157</v>
      </c>
      <c r="CH566">
        <f t="shared" si="195"/>
        <v>3.7690963231486276</v>
      </c>
      <c r="CI566">
        <f t="shared" si="200"/>
        <v>0.13917659243915045</v>
      </c>
      <c r="CJ566" s="1"/>
      <c r="CK566" s="6" t="s">
        <v>105</v>
      </c>
      <c r="CL566" s="6"/>
      <c r="CM566" s="6"/>
      <c r="CN566" s="6"/>
      <c r="CO566" s="6"/>
      <c r="CP566" s="6"/>
    </row>
    <row r="567" spans="1:99" ht="17" x14ac:dyDescent="0.2">
      <c r="A567" t="s">
        <v>159</v>
      </c>
      <c r="B567" t="s">
        <v>60</v>
      </c>
      <c r="C567" t="str">
        <f t="shared" si="177"/>
        <v>I</v>
      </c>
      <c r="D567" t="str">
        <f t="shared" si="178"/>
        <v>S</v>
      </c>
      <c r="E567" t="str">
        <f t="shared" si="179"/>
        <v>G</v>
      </c>
      <c r="F567">
        <v>78</v>
      </c>
      <c r="G567">
        <v>74</v>
      </c>
      <c r="H567">
        <v>7.548</v>
      </c>
      <c r="I567">
        <v>0.17699999999999999</v>
      </c>
      <c r="J567">
        <v>1.4E-2</v>
      </c>
      <c r="K567" t="s">
        <v>38</v>
      </c>
      <c r="L567" t="str">
        <f t="shared" si="180"/>
        <v>M</v>
      </c>
      <c r="M567">
        <v>22</v>
      </c>
      <c r="N567">
        <v>0.376</v>
      </c>
      <c r="O567">
        <v>0.34499999999999997</v>
      </c>
      <c r="P567" t="s">
        <v>160</v>
      </c>
      <c r="Q567" t="str">
        <f t="shared" si="191"/>
        <v>F</v>
      </c>
      <c r="BV567" s="1"/>
      <c r="BW567" t="s">
        <v>140</v>
      </c>
      <c r="BX567" t="str">
        <f t="shared" si="196"/>
        <v>16</v>
      </c>
      <c r="BY567" t="str">
        <f t="shared" si="197"/>
        <v>01</v>
      </c>
      <c r="BZ567" t="str">
        <f t="shared" si="198"/>
        <v>2021</v>
      </c>
      <c r="CA567" s="5">
        <f t="shared" si="181"/>
        <v>44212</v>
      </c>
      <c r="CB567">
        <v>16</v>
      </c>
      <c r="CC567">
        <v>2</v>
      </c>
      <c r="CD567" t="s">
        <v>149</v>
      </c>
      <c r="CE567">
        <f t="shared" si="175"/>
        <v>0.18582426333952748</v>
      </c>
      <c r="CF567">
        <f t="shared" si="176"/>
        <v>2.4013024013024009</v>
      </c>
      <c r="CG567">
        <f t="shared" si="194"/>
        <v>2.4058719586788091</v>
      </c>
      <c r="CH567">
        <f t="shared" si="195"/>
        <v>4.5707472178060415</v>
      </c>
      <c r="CI567">
        <f t="shared" si="200"/>
        <v>0.41070482246952872</v>
      </c>
      <c r="CJ567" s="1"/>
      <c r="CK567" s="6" t="s">
        <v>105</v>
      </c>
      <c r="CL567" s="6"/>
      <c r="CM567" s="6"/>
      <c r="CN567" s="6"/>
      <c r="CO567" s="6"/>
      <c r="CP567" s="6"/>
    </row>
    <row r="568" spans="1:99" ht="17" x14ac:dyDescent="0.2">
      <c r="A568" t="s">
        <v>161</v>
      </c>
      <c r="B568" t="s">
        <v>60</v>
      </c>
      <c r="C568" t="str">
        <f t="shared" si="177"/>
        <v>I</v>
      </c>
      <c r="D568" t="str">
        <f t="shared" si="178"/>
        <v>S</v>
      </c>
      <c r="E568" t="str">
        <f t="shared" si="179"/>
        <v>G</v>
      </c>
      <c r="F568">
        <v>82</v>
      </c>
      <c r="G568">
        <v>75</v>
      </c>
      <c r="H568">
        <v>8.4760000000000009</v>
      </c>
      <c r="I568">
        <v>0.18</v>
      </c>
      <c r="J568">
        <v>1.7999999999999999E-2</v>
      </c>
      <c r="K568" t="s">
        <v>38</v>
      </c>
      <c r="L568" t="str">
        <f t="shared" si="180"/>
        <v>M</v>
      </c>
      <c r="M568">
        <v>22</v>
      </c>
      <c r="N568">
        <v>0.33500000000000002</v>
      </c>
      <c r="O568">
        <v>0.32300000000000001</v>
      </c>
      <c r="P568" t="s">
        <v>36</v>
      </c>
      <c r="Q568" t="str">
        <f t="shared" si="191"/>
        <v>MT</v>
      </c>
      <c r="BV568" s="1"/>
      <c r="BW568" t="s">
        <v>140</v>
      </c>
      <c r="BX568" t="str">
        <f t="shared" si="196"/>
        <v>16</v>
      </c>
      <c r="BY568" t="str">
        <f t="shared" si="197"/>
        <v>01</v>
      </c>
      <c r="BZ568" t="str">
        <f t="shared" si="198"/>
        <v>2021</v>
      </c>
      <c r="CA568" s="5">
        <f t="shared" si="181"/>
        <v>44212</v>
      </c>
      <c r="CB568">
        <v>16</v>
      </c>
      <c r="CC568">
        <v>2</v>
      </c>
      <c r="CD568" t="s">
        <v>149</v>
      </c>
      <c r="CE568">
        <f t="shared" si="175"/>
        <v>0.2128162686214235</v>
      </c>
      <c r="CF568">
        <f t="shared" si="176"/>
        <v>2.1697203471552551</v>
      </c>
      <c r="CG568">
        <f t="shared" si="194"/>
        <v>2.1744382701135536</v>
      </c>
      <c r="CH568">
        <f t="shared" si="195"/>
        <v>3.8107597923548839</v>
      </c>
      <c r="CI568">
        <f t="shared" si="200"/>
        <v>0.1415762151958472</v>
      </c>
      <c r="CJ568" s="1"/>
      <c r="CK568" s="6" t="s">
        <v>105</v>
      </c>
      <c r="CL568" s="6"/>
      <c r="CM568" s="6"/>
      <c r="CN568" s="6"/>
      <c r="CO568" s="6"/>
      <c r="CP568" s="6"/>
    </row>
    <row r="569" spans="1:99" ht="17" x14ac:dyDescent="0.2">
      <c r="A569" t="s">
        <v>162</v>
      </c>
      <c r="B569" t="s">
        <v>60</v>
      </c>
      <c r="C569" t="str">
        <f t="shared" si="177"/>
        <v>I</v>
      </c>
      <c r="D569" t="str">
        <f t="shared" si="178"/>
        <v>I</v>
      </c>
      <c r="E569" t="str">
        <f t="shared" si="179"/>
        <v>G</v>
      </c>
      <c r="F569">
        <v>107</v>
      </c>
      <c r="G569">
        <v>102</v>
      </c>
      <c r="H569">
        <v>19.765000000000001</v>
      </c>
      <c r="I569">
        <v>0.41799999999999998</v>
      </c>
      <c r="J569">
        <v>0.27200000000000002</v>
      </c>
      <c r="K569" t="s">
        <v>24</v>
      </c>
      <c r="L569" t="str">
        <f t="shared" si="180"/>
        <v>F</v>
      </c>
      <c r="M569">
        <v>22</v>
      </c>
      <c r="N569">
        <v>1.484</v>
      </c>
      <c r="O569">
        <v>1.4259999999999999</v>
      </c>
      <c r="P569" t="s">
        <v>163</v>
      </c>
      <c r="Q569" t="s">
        <v>36</v>
      </c>
      <c r="BV569" s="1"/>
      <c r="BW569" t="s">
        <v>140</v>
      </c>
      <c r="BX569" t="str">
        <f t="shared" si="196"/>
        <v>16</v>
      </c>
      <c r="BY569" t="str">
        <f t="shared" si="197"/>
        <v>01</v>
      </c>
      <c r="BZ569" t="str">
        <f t="shared" si="198"/>
        <v>2021</v>
      </c>
      <c r="CA569" s="5">
        <f t="shared" si="181"/>
        <v>44212</v>
      </c>
      <c r="CB569">
        <v>16</v>
      </c>
      <c r="CC569">
        <v>2</v>
      </c>
      <c r="CD569" t="s">
        <v>149</v>
      </c>
      <c r="CE569">
        <f t="shared" si="175"/>
        <v>1.3953726978915508</v>
      </c>
      <c r="CF569">
        <f t="shared" si="176"/>
        <v>2.1605416860495161</v>
      </c>
      <c r="CG569">
        <f t="shared" si="194"/>
        <v>2.1913499344692</v>
      </c>
      <c r="CH569">
        <f t="shared" si="195"/>
        <v>7.2147735896787246</v>
      </c>
      <c r="CI569">
        <f t="shared" si="200"/>
        <v>0.29344801416645611</v>
      </c>
      <c r="CJ569" s="1"/>
      <c r="CK569" s="6" t="s">
        <v>105</v>
      </c>
      <c r="CL569" s="6"/>
      <c r="CM569" s="6">
        <v>0</v>
      </c>
      <c r="CN569" s="6">
        <v>178</v>
      </c>
      <c r="CO569" s="6">
        <v>70</v>
      </c>
      <c r="CP569" s="6">
        <v>0</v>
      </c>
      <c r="CQ569" s="12">
        <v>2E-3</v>
      </c>
      <c r="CR569">
        <f>CQ569/(H568-I568-J568-N568)*1000</f>
        <v>0.25179403248143023</v>
      </c>
      <c r="CS569">
        <v>5.9649999999999999</v>
      </c>
      <c r="CT569">
        <v>74.955159164652912</v>
      </c>
      <c r="CU569">
        <v>102.26219154077999</v>
      </c>
    </row>
    <row r="570" spans="1:99" ht="17" x14ac:dyDescent="0.2">
      <c r="A570" t="s">
        <v>164</v>
      </c>
      <c r="B570" t="s">
        <v>60</v>
      </c>
      <c r="C570" t="str">
        <f t="shared" si="177"/>
        <v>I</v>
      </c>
      <c r="D570" t="str">
        <f t="shared" si="178"/>
        <v>S</v>
      </c>
      <c r="E570" t="str">
        <f t="shared" si="179"/>
        <v>G</v>
      </c>
      <c r="F570">
        <v>82</v>
      </c>
      <c r="G570">
        <v>77</v>
      </c>
      <c r="H570">
        <v>7.6020000000000003</v>
      </c>
      <c r="I570">
        <v>0.104</v>
      </c>
      <c r="J570">
        <v>1.7000000000000001E-2</v>
      </c>
      <c r="K570" t="s">
        <v>38</v>
      </c>
      <c r="L570" t="str">
        <f t="shared" si="180"/>
        <v>M</v>
      </c>
      <c r="M570">
        <v>22</v>
      </c>
      <c r="N570">
        <v>0.47099999999999997</v>
      </c>
      <c r="O570">
        <v>0.44800000000000001</v>
      </c>
      <c r="P570" t="s">
        <v>36</v>
      </c>
      <c r="Q570" t="str">
        <f t="shared" ref="Q570:Q608" si="201">IF(P570="MT","MT","F")</f>
        <v>MT</v>
      </c>
      <c r="BV570" s="1"/>
      <c r="BW570" t="s">
        <v>140</v>
      </c>
      <c r="BX570" t="str">
        <f t="shared" si="196"/>
        <v>16</v>
      </c>
      <c r="BY570" t="str">
        <f t="shared" si="197"/>
        <v>01</v>
      </c>
      <c r="BZ570" t="str">
        <f t="shared" si="198"/>
        <v>2021</v>
      </c>
      <c r="CA570" s="5">
        <f t="shared" si="181"/>
        <v>44212</v>
      </c>
      <c r="CB570">
        <v>16</v>
      </c>
      <c r="CC570">
        <v>2</v>
      </c>
      <c r="CD570" t="s">
        <v>149</v>
      </c>
      <c r="CE570">
        <f t="shared" si="175"/>
        <v>0.22412656558998023</v>
      </c>
      <c r="CF570">
        <f t="shared" si="176"/>
        <v>1.3870365430781542</v>
      </c>
      <c r="CG570">
        <f t="shared" si="194"/>
        <v>1.3901884774762732</v>
      </c>
      <c r="CH570">
        <f t="shared" si="195"/>
        <v>5.8931860036832413</v>
      </c>
      <c r="CI570">
        <f t="shared" si="200"/>
        <v>0.30255196001052309</v>
      </c>
      <c r="CJ570" s="1"/>
      <c r="CK570" s="6" t="s">
        <v>105</v>
      </c>
      <c r="CL570" s="6"/>
      <c r="CM570" s="6"/>
      <c r="CN570" s="6"/>
      <c r="CO570" s="6"/>
      <c r="CP570" s="6"/>
    </row>
    <row r="571" spans="1:99" ht="17" x14ac:dyDescent="0.2">
      <c r="A571" t="s">
        <v>165</v>
      </c>
      <c r="B571" t="s">
        <v>60</v>
      </c>
      <c r="C571" t="str">
        <f t="shared" si="177"/>
        <v>I</v>
      </c>
      <c r="D571" t="str">
        <f t="shared" si="178"/>
        <v>I</v>
      </c>
      <c r="E571" t="str">
        <f t="shared" si="179"/>
        <v>G</v>
      </c>
      <c r="F571">
        <v>96</v>
      </c>
      <c r="G571">
        <v>91</v>
      </c>
      <c r="H571">
        <v>12.577999999999999</v>
      </c>
      <c r="I571">
        <v>0.22800000000000001</v>
      </c>
      <c r="J571">
        <v>2.1999999999999999E-2</v>
      </c>
      <c r="K571" t="s">
        <v>38</v>
      </c>
      <c r="L571" t="str">
        <f t="shared" si="180"/>
        <v>M</v>
      </c>
      <c r="M571">
        <v>22</v>
      </c>
      <c r="N571">
        <v>0.54</v>
      </c>
      <c r="O571">
        <v>0.50800000000000001</v>
      </c>
      <c r="P571" t="s">
        <v>146</v>
      </c>
      <c r="Q571" t="str">
        <f t="shared" si="201"/>
        <v>F</v>
      </c>
      <c r="BV571" s="1"/>
      <c r="BW571" t="s">
        <v>140</v>
      </c>
      <c r="BX571" t="str">
        <f t="shared" si="196"/>
        <v>16</v>
      </c>
      <c r="BY571" t="str">
        <f t="shared" si="197"/>
        <v>01</v>
      </c>
      <c r="BZ571" t="str">
        <f t="shared" si="198"/>
        <v>2021</v>
      </c>
      <c r="CA571" s="5">
        <f t="shared" si="181"/>
        <v>44212</v>
      </c>
      <c r="CB571">
        <v>16</v>
      </c>
      <c r="CC571">
        <v>2</v>
      </c>
      <c r="CD571" t="s">
        <v>149</v>
      </c>
      <c r="CE571">
        <f t="shared" si="175"/>
        <v>0.17521503663587129</v>
      </c>
      <c r="CF571">
        <f t="shared" si="176"/>
        <v>1.8461538461538463</v>
      </c>
      <c r="CG571">
        <f t="shared" ref="CG571:CG596" si="202">I571/(H571-I571-J571)*100</f>
        <v>1.8494484101232969</v>
      </c>
      <c r="CH571">
        <f t="shared" ref="CH571:CH602" si="203">O571/H571*100</f>
        <v>4.038797901097154</v>
      </c>
      <c r="CI571">
        <f t="shared" si="200"/>
        <v>0.25441246621084457</v>
      </c>
      <c r="CJ571" s="1"/>
      <c r="CK571" s="6" t="s">
        <v>105</v>
      </c>
      <c r="CL571" s="6"/>
      <c r="CM571" s="6"/>
      <c r="CN571" s="6"/>
      <c r="CO571" s="6"/>
      <c r="CP571" s="6"/>
    </row>
    <row r="572" spans="1:99" ht="17" x14ac:dyDescent="0.2">
      <c r="A572" t="s">
        <v>166</v>
      </c>
      <c r="B572" t="s">
        <v>60</v>
      </c>
      <c r="C572" t="str">
        <f t="shared" si="177"/>
        <v>I</v>
      </c>
      <c r="D572" t="str">
        <f t="shared" si="178"/>
        <v>I</v>
      </c>
      <c r="E572" t="str">
        <f t="shared" si="179"/>
        <v>G</v>
      </c>
      <c r="F572">
        <v>93</v>
      </c>
      <c r="G572">
        <v>87</v>
      </c>
      <c r="H572">
        <v>12.227</v>
      </c>
      <c r="I572">
        <v>0.249</v>
      </c>
      <c r="J572">
        <v>2.9000000000000001E-2</v>
      </c>
      <c r="K572" t="s">
        <v>38</v>
      </c>
      <c r="L572" t="str">
        <f t="shared" si="180"/>
        <v>M</v>
      </c>
      <c r="M572">
        <v>22</v>
      </c>
      <c r="N572">
        <v>0.81499999999999995</v>
      </c>
      <c r="O572">
        <v>0.69199999999999995</v>
      </c>
      <c r="P572" t="s">
        <v>167</v>
      </c>
      <c r="Q572" t="str">
        <f t="shared" si="201"/>
        <v>F</v>
      </c>
      <c r="BV572" s="1"/>
      <c r="BW572" t="s">
        <v>140</v>
      </c>
      <c r="BX572" t="str">
        <f t="shared" si="196"/>
        <v>16</v>
      </c>
      <c r="BY572" t="str">
        <f t="shared" si="197"/>
        <v>01</v>
      </c>
      <c r="BZ572" t="str">
        <f t="shared" si="198"/>
        <v>2021</v>
      </c>
      <c r="CA572" s="5">
        <f t="shared" si="181"/>
        <v>44212</v>
      </c>
      <c r="CB572">
        <v>16</v>
      </c>
      <c r="CC572">
        <v>2</v>
      </c>
      <c r="CD572" t="s">
        <v>149</v>
      </c>
      <c r="CE572">
        <f t="shared" si="175"/>
        <v>0.23774389244138383</v>
      </c>
      <c r="CF572">
        <f t="shared" si="176"/>
        <v>2.0788111537819334</v>
      </c>
      <c r="CG572">
        <f t="shared" si="202"/>
        <v>2.083856389656038</v>
      </c>
      <c r="CH572">
        <f t="shared" si="203"/>
        <v>5.6596057904637274</v>
      </c>
      <c r="CI572">
        <f t="shared" si="200"/>
        <v>1.0059703933916742</v>
      </c>
      <c r="CJ572" s="1"/>
      <c r="CK572" s="6" t="s">
        <v>105</v>
      </c>
      <c r="CL572" s="6"/>
      <c r="CM572" s="6"/>
      <c r="CN572" s="6"/>
      <c r="CO572" s="6"/>
      <c r="CP572" s="6"/>
    </row>
    <row r="573" spans="1:99" ht="17" x14ac:dyDescent="0.2">
      <c r="A573" t="s">
        <v>168</v>
      </c>
      <c r="B573" t="s">
        <v>60</v>
      </c>
      <c r="C573" t="str">
        <f t="shared" si="177"/>
        <v>I</v>
      </c>
      <c r="D573" t="str">
        <f t="shared" si="178"/>
        <v>I</v>
      </c>
      <c r="E573" t="str">
        <f t="shared" si="179"/>
        <v>G</v>
      </c>
      <c r="F573">
        <v>85</v>
      </c>
      <c r="G573">
        <v>81</v>
      </c>
      <c r="H573">
        <v>9.6370000000000005</v>
      </c>
      <c r="I573">
        <v>0.193</v>
      </c>
      <c r="J573">
        <v>1.6E-2</v>
      </c>
      <c r="K573" t="s">
        <v>38</v>
      </c>
      <c r="L573" t="str">
        <f t="shared" si="180"/>
        <v>M</v>
      </c>
      <c r="M573">
        <v>22</v>
      </c>
      <c r="N573">
        <v>0.434</v>
      </c>
      <c r="O573">
        <v>0.375</v>
      </c>
      <c r="P573" t="s">
        <v>146</v>
      </c>
      <c r="Q573" t="str">
        <f t="shared" si="201"/>
        <v>F</v>
      </c>
      <c r="BV573" s="1"/>
      <c r="BW573" t="s">
        <v>140</v>
      </c>
      <c r="BX573" t="str">
        <f t="shared" si="196"/>
        <v>16</v>
      </c>
      <c r="BY573" t="str">
        <f t="shared" si="197"/>
        <v>01</v>
      </c>
      <c r="BZ573" t="str">
        <f t="shared" si="198"/>
        <v>2021</v>
      </c>
      <c r="CA573" s="5">
        <f t="shared" si="181"/>
        <v>44212</v>
      </c>
      <c r="CB573">
        <v>16</v>
      </c>
      <c r="CC573">
        <v>2</v>
      </c>
      <c r="CD573" t="s">
        <v>149</v>
      </c>
      <c r="CE573">
        <f t="shared" si="175"/>
        <v>0.16630287911859473</v>
      </c>
      <c r="CF573">
        <f t="shared" si="176"/>
        <v>2.0436255823803471</v>
      </c>
      <c r="CG573">
        <f t="shared" si="202"/>
        <v>2.0470937632583794</v>
      </c>
      <c r="CH573">
        <f t="shared" si="203"/>
        <v>3.8912524644598943</v>
      </c>
      <c r="CI573">
        <f t="shared" si="200"/>
        <v>0.61222372107502332</v>
      </c>
      <c r="CJ573" s="1"/>
      <c r="CK573" s="6" t="s">
        <v>105</v>
      </c>
      <c r="CL573" s="6"/>
      <c r="CM573" s="6"/>
      <c r="CN573" s="6"/>
      <c r="CO573" s="6"/>
      <c r="CP573" s="6"/>
    </row>
    <row r="574" spans="1:99" ht="17" x14ac:dyDescent="0.2">
      <c r="A574" t="s">
        <v>273</v>
      </c>
      <c r="B574" t="s">
        <v>60</v>
      </c>
      <c r="C574" t="str">
        <f t="shared" si="177"/>
        <v>I</v>
      </c>
      <c r="D574" t="str">
        <f t="shared" si="178"/>
        <v>B</v>
      </c>
      <c r="E574" t="str">
        <f t="shared" si="179"/>
        <v>N</v>
      </c>
      <c r="F574">
        <v>113</v>
      </c>
      <c r="G574">
        <v>107</v>
      </c>
      <c r="H574">
        <v>23.742000000000001</v>
      </c>
      <c r="I574">
        <v>0.45500000000000002</v>
      </c>
      <c r="J574">
        <v>4.5999999999999999E-2</v>
      </c>
      <c r="K574" t="s">
        <v>38</v>
      </c>
      <c r="L574" t="str">
        <f t="shared" si="180"/>
        <v>M</v>
      </c>
      <c r="M574">
        <v>22</v>
      </c>
      <c r="N574">
        <v>1.0029999999999999</v>
      </c>
      <c r="O574">
        <v>0.93100000000000005</v>
      </c>
      <c r="P574" t="s">
        <v>274</v>
      </c>
      <c r="Q574" t="str">
        <f t="shared" si="201"/>
        <v>F</v>
      </c>
      <c r="BB574">
        <v>1</v>
      </c>
      <c r="BC574">
        <v>0.05</v>
      </c>
      <c r="BV574" s="1">
        <v>0.05</v>
      </c>
      <c r="BW574" s="5">
        <v>44318</v>
      </c>
      <c r="BX574">
        <v>5</v>
      </c>
      <c r="BY574">
        <v>2</v>
      </c>
      <c r="BZ574">
        <v>2021</v>
      </c>
      <c r="CA574" s="5">
        <f t="shared" si="181"/>
        <v>44232</v>
      </c>
      <c r="CB574">
        <v>36</v>
      </c>
      <c r="CC574">
        <v>3</v>
      </c>
      <c r="CD574" t="s">
        <v>275</v>
      </c>
      <c r="CE574">
        <f t="shared" si="175"/>
        <v>0.19412559081701553</v>
      </c>
      <c r="CF574">
        <f t="shared" si="176"/>
        <v>1.9538798471250052</v>
      </c>
      <c r="CG574">
        <f t="shared" si="202"/>
        <v>1.9577470848930765</v>
      </c>
      <c r="CH574">
        <f t="shared" si="203"/>
        <v>3.921320865975908</v>
      </c>
      <c r="CI574">
        <f t="shared" si="200"/>
        <v>0.30326004548900615</v>
      </c>
      <c r="CJ574" s="1">
        <f t="shared" ref="CJ574:CJ583" si="204">(N574-O574+(BV574))/(H574)*100</f>
        <v>0.51385729930081647</v>
      </c>
      <c r="CK574" s="6" t="s">
        <v>105</v>
      </c>
      <c r="CL574" s="6">
        <v>2</v>
      </c>
      <c r="CM574" s="6"/>
      <c r="CN574" s="6"/>
      <c r="CO574" s="6"/>
      <c r="CP574" s="6"/>
    </row>
    <row r="575" spans="1:99" ht="17" x14ac:dyDescent="0.2">
      <c r="A575" t="s">
        <v>276</v>
      </c>
      <c r="B575" t="s">
        <v>60</v>
      </c>
      <c r="C575" t="str">
        <f t="shared" si="177"/>
        <v>I</v>
      </c>
      <c r="D575" t="str">
        <f t="shared" si="178"/>
        <v>I</v>
      </c>
      <c r="E575" t="str">
        <f t="shared" si="179"/>
        <v>G</v>
      </c>
      <c r="F575">
        <v>86</v>
      </c>
      <c r="G575">
        <v>81</v>
      </c>
      <c r="H575">
        <v>9.5660000000000007</v>
      </c>
      <c r="I575">
        <v>0.19500000000000001</v>
      </c>
      <c r="J575">
        <v>0.125</v>
      </c>
      <c r="K575" t="s">
        <v>24</v>
      </c>
      <c r="L575" t="str">
        <f t="shared" si="180"/>
        <v>F</v>
      </c>
      <c r="M575">
        <v>22</v>
      </c>
      <c r="N575">
        <v>0.48</v>
      </c>
      <c r="O575">
        <v>0.36699999999999999</v>
      </c>
      <c r="P575" t="s">
        <v>277</v>
      </c>
      <c r="Q575" t="str">
        <f t="shared" si="201"/>
        <v>F</v>
      </c>
      <c r="BV575" s="1">
        <v>8.8999999999999996E-2</v>
      </c>
      <c r="BW575" s="5">
        <v>44318</v>
      </c>
      <c r="BX575">
        <v>5</v>
      </c>
      <c r="BY575">
        <v>2</v>
      </c>
      <c r="BZ575">
        <v>2021</v>
      </c>
      <c r="CA575" s="5">
        <f t="shared" si="181"/>
        <v>44232</v>
      </c>
      <c r="CB575">
        <v>36</v>
      </c>
      <c r="CC575">
        <v>3</v>
      </c>
      <c r="CD575" t="s">
        <v>253</v>
      </c>
      <c r="CE575">
        <f t="shared" si="175"/>
        <v>1.3240122868340218</v>
      </c>
      <c r="CF575">
        <f t="shared" si="176"/>
        <v>2.0808878454807385</v>
      </c>
      <c r="CG575">
        <f t="shared" si="202"/>
        <v>2.109020116807268</v>
      </c>
      <c r="CH575">
        <f t="shared" si="203"/>
        <v>3.8365042860129623</v>
      </c>
      <c r="CI575">
        <f t="shared" si="200"/>
        <v>1.1812669872464978</v>
      </c>
      <c r="CJ575" s="1">
        <f t="shared" si="204"/>
        <v>2.1116454108300227</v>
      </c>
      <c r="CK575" s="6" t="s">
        <v>105</v>
      </c>
      <c r="CL575" s="6">
        <v>1</v>
      </c>
      <c r="CM575" s="6"/>
      <c r="CN575" s="6"/>
      <c r="CO575" s="6"/>
      <c r="CP575" s="6"/>
      <c r="CQ575" s="12">
        <v>8.2000000000000007E-3</v>
      </c>
      <c r="CR575">
        <f>CQ575/(H575-I575-J575-N575)*1000</f>
        <v>0.93543235227013466</v>
      </c>
    </row>
    <row r="576" spans="1:99" ht="17" x14ac:dyDescent="0.2">
      <c r="A576" t="s">
        <v>278</v>
      </c>
      <c r="B576" t="s">
        <v>60</v>
      </c>
      <c r="C576" t="str">
        <f t="shared" si="177"/>
        <v>I</v>
      </c>
      <c r="D576" t="str">
        <f t="shared" si="178"/>
        <v>S</v>
      </c>
      <c r="E576" t="str">
        <f t="shared" si="179"/>
        <v>G</v>
      </c>
      <c r="F576">
        <v>72</v>
      </c>
      <c r="G576">
        <v>69</v>
      </c>
      <c r="H576">
        <v>5.202</v>
      </c>
      <c r="I576">
        <v>9.7000000000000003E-2</v>
      </c>
      <c r="J576">
        <v>0.01</v>
      </c>
      <c r="K576" t="s">
        <v>38</v>
      </c>
      <c r="L576" t="str">
        <f t="shared" si="180"/>
        <v>M</v>
      </c>
      <c r="M576">
        <v>22</v>
      </c>
      <c r="N576">
        <v>0.27500000000000002</v>
      </c>
      <c r="O576">
        <v>0.25</v>
      </c>
      <c r="P576" t="s">
        <v>279</v>
      </c>
      <c r="Q576" t="str">
        <f t="shared" si="201"/>
        <v>F</v>
      </c>
      <c r="AV576">
        <v>3</v>
      </c>
      <c r="AW576">
        <v>3.0000000000000001E-3</v>
      </c>
      <c r="BV576" s="1">
        <v>3.0000000000000001E-3</v>
      </c>
      <c r="BW576" s="5">
        <v>44318</v>
      </c>
      <c r="BX576">
        <v>5</v>
      </c>
      <c r="BY576">
        <v>2</v>
      </c>
      <c r="BZ576">
        <v>2021</v>
      </c>
      <c r="CA576" s="5">
        <f t="shared" si="181"/>
        <v>44232</v>
      </c>
      <c r="CB576">
        <v>36</v>
      </c>
      <c r="CC576">
        <v>3</v>
      </c>
      <c r="CD576" t="s">
        <v>149</v>
      </c>
      <c r="CE576">
        <f t="shared" si="175"/>
        <v>0.19260400616332821</v>
      </c>
      <c r="CF576">
        <f t="shared" si="176"/>
        <v>1.9000979431929483</v>
      </c>
      <c r="CG576">
        <f t="shared" si="202"/>
        <v>1.9038272816486752</v>
      </c>
      <c r="CH576">
        <f t="shared" si="203"/>
        <v>4.805843906189927</v>
      </c>
      <c r="CI576">
        <f t="shared" si="200"/>
        <v>0.48058439061899311</v>
      </c>
      <c r="CJ576" s="1">
        <f t="shared" si="204"/>
        <v>0.53825451749327224</v>
      </c>
      <c r="CK576" s="6" t="s">
        <v>105</v>
      </c>
      <c r="CL576" s="6">
        <v>3</v>
      </c>
      <c r="CM576" s="6"/>
      <c r="CN576" s="6"/>
      <c r="CO576" s="6"/>
      <c r="CP576" s="6"/>
    </row>
    <row r="577" spans="1:99" ht="17" x14ac:dyDescent="0.2">
      <c r="A577" t="s">
        <v>280</v>
      </c>
      <c r="B577" t="s">
        <v>60</v>
      </c>
      <c r="C577" t="str">
        <f t="shared" si="177"/>
        <v>I</v>
      </c>
      <c r="D577" t="str">
        <f t="shared" si="178"/>
        <v>I</v>
      </c>
      <c r="E577" t="str">
        <f t="shared" si="179"/>
        <v>G</v>
      </c>
      <c r="F577">
        <v>89</v>
      </c>
      <c r="G577">
        <v>85</v>
      </c>
      <c r="H577">
        <v>10.445</v>
      </c>
      <c r="I577">
        <v>0.153</v>
      </c>
      <c r="J577">
        <v>1.0999999999999999E-2</v>
      </c>
      <c r="K577" t="s">
        <v>38</v>
      </c>
      <c r="L577" t="str">
        <f t="shared" si="180"/>
        <v>M</v>
      </c>
      <c r="M577">
        <v>22</v>
      </c>
      <c r="N577">
        <v>0.42099999999999999</v>
      </c>
      <c r="O577">
        <v>0.40699999999999997</v>
      </c>
      <c r="P577" t="s">
        <v>36</v>
      </c>
      <c r="Q577" t="str">
        <f t="shared" si="201"/>
        <v>MT</v>
      </c>
      <c r="BV577" s="1">
        <v>0</v>
      </c>
      <c r="BW577" s="5">
        <v>44318</v>
      </c>
      <c r="BX577">
        <v>5</v>
      </c>
      <c r="BY577">
        <v>2</v>
      </c>
      <c r="BZ577">
        <v>2021</v>
      </c>
      <c r="CA577" s="5">
        <f t="shared" si="181"/>
        <v>44232</v>
      </c>
      <c r="CB577">
        <v>36</v>
      </c>
      <c r="CC577">
        <v>3</v>
      </c>
      <c r="CD577" t="s">
        <v>149</v>
      </c>
      <c r="CE577">
        <f t="shared" ref="CE577:CE596" si="205">J577/(H577-J577)*100</f>
        <v>0.10542457350967989</v>
      </c>
      <c r="CF577">
        <f t="shared" ref="CF577:CF640" si="206">I577/(H577-I577)*100</f>
        <v>1.4865915273999224</v>
      </c>
      <c r="CG577">
        <f t="shared" si="202"/>
        <v>1.4881820834549169</v>
      </c>
      <c r="CH577">
        <f t="shared" si="203"/>
        <v>3.8966012446146476</v>
      </c>
      <c r="CI577">
        <f t="shared" si="200"/>
        <v>0.13403542364767843</v>
      </c>
      <c r="CJ577" s="1">
        <f t="shared" si="204"/>
        <v>0.13403542364767843</v>
      </c>
      <c r="CK577" s="6" t="s">
        <v>105</v>
      </c>
      <c r="CL577" s="6">
        <v>3</v>
      </c>
      <c r="CM577" s="6"/>
      <c r="CN577" s="6"/>
      <c r="CO577" s="6"/>
      <c r="CP577" s="6"/>
    </row>
    <row r="578" spans="1:99" ht="17" x14ac:dyDescent="0.2">
      <c r="A578" t="s">
        <v>281</v>
      </c>
      <c r="B578" t="s">
        <v>60</v>
      </c>
      <c r="C578" t="str">
        <f t="shared" ref="C578:C641" si="207">IF(F578&gt;=150,"B",IF(F578&lt;=60,"S","I"))</f>
        <v>I</v>
      </c>
      <c r="D578" t="str">
        <f t="shared" ref="D578:D641" si="208">IF(F578&gt;=110,"B",IF(F578&gt;=85,"I",IF(F578&gt;=65,"S","IMM")))</f>
        <v>I</v>
      </c>
      <c r="E578" t="str">
        <f t="shared" ref="E578:E641" si="209">IF(AND(F578&gt;=60,F578&lt;=110),"G","N")</f>
        <v>G</v>
      </c>
      <c r="F578">
        <v>100</v>
      </c>
      <c r="G578">
        <v>95</v>
      </c>
      <c r="H578">
        <v>16.885999999999999</v>
      </c>
      <c r="I578">
        <v>0.33600000000000002</v>
      </c>
      <c r="J578">
        <v>0.22800000000000001</v>
      </c>
      <c r="K578" t="s">
        <v>24</v>
      </c>
      <c r="L578" t="str">
        <f t="shared" ref="L578:L641" si="210">LEFT(K578,1)</f>
        <v>F</v>
      </c>
      <c r="M578">
        <v>22</v>
      </c>
      <c r="N578">
        <v>0.747</v>
      </c>
      <c r="O578">
        <v>0.72599999999999998</v>
      </c>
      <c r="P578" t="s">
        <v>36</v>
      </c>
      <c r="Q578" t="str">
        <f t="shared" si="201"/>
        <v>MT</v>
      </c>
      <c r="BV578" s="1">
        <v>0</v>
      </c>
      <c r="BW578" s="5">
        <v>44318</v>
      </c>
      <c r="BX578">
        <v>5</v>
      </c>
      <c r="BY578">
        <v>2</v>
      </c>
      <c r="BZ578">
        <v>2021</v>
      </c>
      <c r="CA578" s="5">
        <f t="shared" si="181"/>
        <v>44232</v>
      </c>
      <c r="CB578">
        <v>36</v>
      </c>
      <c r="CC578">
        <v>3</v>
      </c>
      <c r="CD578" t="s">
        <v>275</v>
      </c>
      <c r="CE578">
        <f t="shared" si="205"/>
        <v>1.3687117300996521</v>
      </c>
      <c r="CF578">
        <f t="shared" si="206"/>
        <v>2.0302114803625377</v>
      </c>
      <c r="CG578">
        <f t="shared" si="202"/>
        <v>2.0585712535228526</v>
      </c>
      <c r="CH578">
        <f t="shared" si="203"/>
        <v>4.2994196375695841</v>
      </c>
      <c r="CI578">
        <f t="shared" si="200"/>
        <v>0.12436337794622776</v>
      </c>
      <c r="CJ578" s="1">
        <f t="shared" si="204"/>
        <v>0.12436337794622776</v>
      </c>
      <c r="CK578" s="6" t="s">
        <v>105</v>
      </c>
      <c r="CL578" s="6">
        <v>2</v>
      </c>
      <c r="CM578" s="6"/>
      <c r="CN578" s="6"/>
      <c r="CO578" s="6"/>
      <c r="CP578" s="6"/>
      <c r="CQ578" s="12">
        <v>6.4600000000000005E-2</v>
      </c>
      <c r="CR578">
        <f>CQ578/(H578-I578-J578-N578)*1000</f>
        <v>4.1476725521669344</v>
      </c>
    </row>
    <row r="579" spans="1:99" ht="17" x14ac:dyDescent="0.2">
      <c r="A579" t="s">
        <v>282</v>
      </c>
      <c r="B579" t="s">
        <v>60</v>
      </c>
      <c r="C579" t="str">
        <f t="shared" si="207"/>
        <v>I</v>
      </c>
      <c r="D579" t="str">
        <f t="shared" si="208"/>
        <v>I</v>
      </c>
      <c r="E579" t="str">
        <f t="shared" si="209"/>
        <v>G</v>
      </c>
      <c r="F579">
        <v>85</v>
      </c>
      <c r="G579">
        <v>81</v>
      </c>
      <c r="H579">
        <v>9.5190000000000001</v>
      </c>
      <c r="I579">
        <v>0.34799999999999998</v>
      </c>
      <c r="J579">
        <v>2.5000000000000001E-2</v>
      </c>
      <c r="K579" t="s">
        <v>38</v>
      </c>
      <c r="L579" t="str">
        <f t="shared" si="210"/>
        <v>M</v>
      </c>
      <c r="M579">
        <v>22</v>
      </c>
      <c r="N579">
        <v>0.41599999999999998</v>
      </c>
      <c r="O579">
        <v>0.39500000000000002</v>
      </c>
      <c r="P579" t="s">
        <v>36</v>
      </c>
      <c r="Q579" t="str">
        <f t="shared" si="201"/>
        <v>MT</v>
      </c>
      <c r="BV579" s="1">
        <v>0</v>
      </c>
      <c r="BW579" s="5">
        <v>44318</v>
      </c>
      <c r="BX579">
        <v>5</v>
      </c>
      <c r="BY579">
        <v>2</v>
      </c>
      <c r="BZ579">
        <v>2021</v>
      </c>
      <c r="CA579" s="5">
        <f t="shared" ref="CA579:CA642" si="211">DATE(BZ579,BY579,BX579)</f>
        <v>44232</v>
      </c>
      <c r="CB579">
        <v>36</v>
      </c>
      <c r="CC579">
        <v>3</v>
      </c>
      <c r="CD579" t="s">
        <v>149</v>
      </c>
      <c r="CE579">
        <f t="shared" si="205"/>
        <v>0.26332420476090168</v>
      </c>
      <c r="CF579">
        <f t="shared" si="206"/>
        <v>3.7945698397121363</v>
      </c>
      <c r="CG579">
        <f t="shared" si="202"/>
        <v>3.8049420511699106</v>
      </c>
      <c r="CH579">
        <f t="shared" si="203"/>
        <v>4.1495955457506044</v>
      </c>
      <c r="CI579">
        <f t="shared" si="200"/>
        <v>0.22061140876142413</v>
      </c>
      <c r="CJ579" s="1">
        <f t="shared" si="204"/>
        <v>0.22061140876142413</v>
      </c>
      <c r="CK579" s="6" t="s">
        <v>105</v>
      </c>
      <c r="CL579" s="6">
        <v>3</v>
      </c>
      <c r="CM579" s="6"/>
      <c r="CN579" s="6"/>
      <c r="CO579" s="6"/>
      <c r="CP579" s="6"/>
    </row>
    <row r="580" spans="1:99" ht="17" x14ac:dyDescent="0.2">
      <c r="A580" t="s">
        <v>283</v>
      </c>
      <c r="B580" t="s">
        <v>60</v>
      </c>
      <c r="C580" t="str">
        <f t="shared" si="207"/>
        <v>I</v>
      </c>
      <c r="D580" t="str">
        <f t="shared" si="208"/>
        <v>B</v>
      </c>
      <c r="E580" t="str">
        <f t="shared" si="209"/>
        <v>N</v>
      </c>
      <c r="F580">
        <v>121</v>
      </c>
      <c r="G580">
        <v>115</v>
      </c>
      <c r="H580">
        <v>29.242000000000001</v>
      </c>
      <c r="I580">
        <v>0.61099999999999999</v>
      </c>
      <c r="J580">
        <v>0.44500000000000001</v>
      </c>
      <c r="K580" t="s">
        <v>24</v>
      </c>
      <c r="L580" t="str">
        <f t="shared" si="210"/>
        <v>F</v>
      </c>
      <c r="M580">
        <v>22</v>
      </c>
      <c r="N580">
        <v>2.1429999999999998</v>
      </c>
      <c r="O580">
        <v>1.766</v>
      </c>
      <c r="P580" t="s">
        <v>284</v>
      </c>
      <c r="Q580" t="str">
        <f t="shared" si="201"/>
        <v>F</v>
      </c>
      <c r="AP580">
        <v>2</v>
      </c>
      <c r="AQ580">
        <v>0.26600000000000001</v>
      </c>
      <c r="BV580" s="1">
        <v>0.26600000000000001</v>
      </c>
      <c r="BW580" s="5">
        <v>44318</v>
      </c>
      <c r="BX580">
        <v>5</v>
      </c>
      <c r="BY580">
        <v>2</v>
      </c>
      <c r="BZ580">
        <v>2021</v>
      </c>
      <c r="CA580" s="5">
        <f t="shared" si="211"/>
        <v>44232</v>
      </c>
      <c r="CB580">
        <v>36</v>
      </c>
      <c r="CC580">
        <v>3</v>
      </c>
      <c r="CD580" t="s">
        <v>285</v>
      </c>
      <c r="CE580">
        <f t="shared" si="205"/>
        <v>1.545299857624058</v>
      </c>
      <c r="CF580">
        <f t="shared" si="206"/>
        <v>2.1340505046977052</v>
      </c>
      <c r="CG580">
        <f t="shared" si="202"/>
        <v>2.1677428510608103</v>
      </c>
      <c r="CH580">
        <f t="shared" si="203"/>
        <v>6.0392586006429108</v>
      </c>
      <c r="CI580">
        <f t="shared" si="200"/>
        <v>1.2892415019492502</v>
      </c>
      <c r="CJ580" s="1">
        <f t="shared" si="204"/>
        <v>2.198892004650844</v>
      </c>
      <c r="CK580" s="6" t="s">
        <v>105</v>
      </c>
      <c r="CL580" s="6">
        <v>3</v>
      </c>
      <c r="CM580" s="6"/>
      <c r="CN580" s="6"/>
      <c r="CO580" s="6"/>
      <c r="CP580" s="6"/>
    </row>
    <row r="581" spans="1:99" ht="17" x14ac:dyDescent="0.2">
      <c r="A581" t="s">
        <v>299</v>
      </c>
      <c r="B581" t="s">
        <v>60</v>
      </c>
      <c r="C581" t="str">
        <f t="shared" si="207"/>
        <v>I</v>
      </c>
      <c r="D581" t="str">
        <f t="shared" si="208"/>
        <v>I</v>
      </c>
      <c r="E581" t="str">
        <f t="shared" si="209"/>
        <v>G</v>
      </c>
      <c r="F581">
        <v>86</v>
      </c>
      <c r="G581">
        <v>82</v>
      </c>
      <c r="H581">
        <v>9.2840000000000007</v>
      </c>
      <c r="I581">
        <v>0.20499999999999999</v>
      </c>
      <c r="J581">
        <v>1.7000000000000001E-2</v>
      </c>
      <c r="K581" t="s">
        <v>38</v>
      </c>
      <c r="L581" t="str">
        <f t="shared" si="210"/>
        <v>M</v>
      </c>
      <c r="M581">
        <v>22</v>
      </c>
      <c r="N581">
        <v>0.39</v>
      </c>
      <c r="O581">
        <v>0.33300000000000002</v>
      </c>
      <c r="P581" t="s">
        <v>36</v>
      </c>
      <c r="Q581" t="str">
        <f t="shared" si="201"/>
        <v>MT</v>
      </c>
      <c r="BV581" s="1">
        <v>0</v>
      </c>
      <c r="BW581" s="5">
        <v>44349</v>
      </c>
      <c r="BX581">
        <v>5</v>
      </c>
      <c r="BY581">
        <v>2</v>
      </c>
      <c r="BZ581">
        <v>2021</v>
      </c>
      <c r="CA581" s="5">
        <f t="shared" si="211"/>
        <v>44232</v>
      </c>
      <c r="CB581">
        <v>36</v>
      </c>
      <c r="CC581">
        <v>3</v>
      </c>
      <c r="CD581" t="s">
        <v>275</v>
      </c>
      <c r="CE581">
        <f t="shared" si="205"/>
        <v>0.18344663861012192</v>
      </c>
      <c r="CF581">
        <f t="shared" si="206"/>
        <v>2.2579579248815946</v>
      </c>
      <c r="CG581">
        <f t="shared" si="202"/>
        <v>2.2621937762083424</v>
      </c>
      <c r="CH581">
        <f t="shared" si="203"/>
        <v>3.5868160275743217</v>
      </c>
      <c r="CI581">
        <f t="shared" si="200"/>
        <v>0.61395950021542434</v>
      </c>
      <c r="CJ581" s="1">
        <f t="shared" si="204"/>
        <v>0.61395950021542434</v>
      </c>
      <c r="CK581" s="6" t="s">
        <v>105</v>
      </c>
      <c r="CL581" s="6">
        <v>2</v>
      </c>
      <c r="CM581" s="6"/>
      <c r="CN581" s="6"/>
      <c r="CO581" s="6"/>
      <c r="CP581" s="6"/>
    </row>
    <row r="582" spans="1:99" ht="17" x14ac:dyDescent="0.2">
      <c r="A582" t="s">
        <v>300</v>
      </c>
      <c r="B582" t="s">
        <v>60</v>
      </c>
      <c r="C582" t="str">
        <f t="shared" si="207"/>
        <v>I</v>
      </c>
      <c r="D582" t="str">
        <f t="shared" si="208"/>
        <v>I</v>
      </c>
      <c r="E582" t="str">
        <f t="shared" si="209"/>
        <v>G</v>
      </c>
      <c r="F582">
        <v>90</v>
      </c>
      <c r="G582">
        <v>86</v>
      </c>
      <c r="H582">
        <v>9.843</v>
      </c>
      <c r="I582">
        <v>0.12</v>
      </c>
      <c r="J582">
        <v>1.4E-2</v>
      </c>
      <c r="K582" t="s">
        <v>38</v>
      </c>
      <c r="L582" t="str">
        <f t="shared" si="210"/>
        <v>M</v>
      </c>
      <c r="M582">
        <v>22</v>
      </c>
      <c r="N582">
        <v>0.38200000000000001</v>
      </c>
      <c r="O582">
        <v>0.36599999999999999</v>
      </c>
      <c r="P582" t="s">
        <v>36</v>
      </c>
      <c r="Q582" t="str">
        <f t="shared" si="201"/>
        <v>MT</v>
      </c>
      <c r="BV582" s="1">
        <v>0</v>
      </c>
      <c r="BW582" s="5">
        <v>44349</v>
      </c>
      <c r="BX582">
        <v>5</v>
      </c>
      <c r="BY582">
        <v>2</v>
      </c>
      <c r="BZ582">
        <v>2021</v>
      </c>
      <c r="CA582" s="5">
        <f t="shared" si="211"/>
        <v>44232</v>
      </c>
      <c r="CB582">
        <v>36</v>
      </c>
      <c r="CC582">
        <v>3</v>
      </c>
      <c r="CD582" t="s">
        <v>149</v>
      </c>
      <c r="CE582">
        <f t="shared" si="205"/>
        <v>0.14243564960830196</v>
      </c>
      <c r="CF582">
        <f t="shared" si="206"/>
        <v>1.2341869793273679</v>
      </c>
      <c r="CG582">
        <f t="shared" si="202"/>
        <v>1.2359666289010194</v>
      </c>
      <c r="CH582">
        <f t="shared" si="203"/>
        <v>3.7183785431270953</v>
      </c>
      <c r="CI582">
        <f t="shared" si="200"/>
        <v>0.16255206745910813</v>
      </c>
      <c r="CJ582" s="1">
        <f t="shared" si="204"/>
        <v>0.16255206745910813</v>
      </c>
      <c r="CK582" s="6" t="s">
        <v>105</v>
      </c>
      <c r="CL582" s="6">
        <v>3</v>
      </c>
      <c r="CM582" s="6"/>
      <c r="CN582" s="6"/>
      <c r="CO582" s="6"/>
      <c r="CP582" s="6"/>
    </row>
    <row r="583" spans="1:99" ht="17" x14ac:dyDescent="0.2">
      <c r="A583" t="s">
        <v>301</v>
      </c>
      <c r="B583" t="s">
        <v>60</v>
      </c>
      <c r="C583" t="str">
        <f t="shared" si="207"/>
        <v>I</v>
      </c>
      <c r="D583" t="str">
        <f t="shared" si="208"/>
        <v>I</v>
      </c>
      <c r="E583" t="str">
        <f t="shared" si="209"/>
        <v>G</v>
      </c>
      <c r="F583">
        <v>87</v>
      </c>
      <c r="G583">
        <v>82</v>
      </c>
      <c r="H583">
        <v>10.141</v>
      </c>
      <c r="I583">
        <v>0.17299999999999999</v>
      </c>
      <c r="J583">
        <v>1.9E-2</v>
      </c>
      <c r="K583" t="s">
        <v>38</v>
      </c>
      <c r="L583" t="str">
        <f t="shared" si="210"/>
        <v>M</v>
      </c>
      <c r="M583">
        <v>22</v>
      </c>
      <c r="N583">
        <v>0.41499999999999998</v>
      </c>
      <c r="O583">
        <v>0.33700000000000002</v>
      </c>
      <c r="P583" t="s">
        <v>302</v>
      </c>
      <c r="Q583" t="str">
        <f t="shared" si="201"/>
        <v>F</v>
      </c>
      <c r="U583">
        <v>4.8000000000000001E-2</v>
      </c>
      <c r="BV583" s="1">
        <v>4.8000000000000001E-2</v>
      </c>
      <c r="BW583" s="5">
        <v>44349</v>
      </c>
      <c r="BX583">
        <v>5</v>
      </c>
      <c r="BY583">
        <v>2</v>
      </c>
      <c r="BZ583">
        <v>2021</v>
      </c>
      <c r="CA583" s="5">
        <f t="shared" si="211"/>
        <v>44232</v>
      </c>
      <c r="CB583">
        <v>36</v>
      </c>
      <c r="CC583">
        <v>3</v>
      </c>
      <c r="CD583" t="s">
        <v>149</v>
      </c>
      <c r="CE583">
        <f t="shared" si="205"/>
        <v>0.18770993874728314</v>
      </c>
      <c r="CF583">
        <f t="shared" si="206"/>
        <v>1.735553772070626</v>
      </c>
      <c r="CG583">
        <f t="shared" si="202"/>
        <v>1.7388682279626093</v>
      </c>
      <c r="CH583">
        <f t="shared" si="203"/>
        <v>3.3231436741938665</v>
      </c>
      <c r="CI583">
        <f t="shared" si="200"/>
        <v>0.76915491568878769</v>
      </c>
      <c r="CJ583" s="1">
        <f t="shared" si="204"/>
        <v>1.2424810176511187</v>
      </c>
      <c r="CK583" s="6" t="s">
        <v>105</v>
      </c>
      <c r="CL583" s="6">
        <v>3</v>
      </c>
      <c r="CM583" s="6"/>
      <c r="CN583" s="6"/>
      <c r="CO583" s="6"/>
      <c r="CP583" s="6"/>
    </row>
    <row r="584" spans="1:99" ht="17" x14ac:dyDescent="0.2">
      <c r="A584" t="s">
        <v>307</v>
      </c>
      <c r="B584" t="s">
        <v>60</v>
      </c>
      <c r="C584" t="str">
        <f t="shared" si="207"/>
        <v>I</v>
      </c>
      <c r="D584" t="str">
        <f t="shared" si="208"/>
        <v>I</v>
      </c>
      <c r="E584" t="str">
        <f t="shared" si="209"/>
        <v>G</v>
      </c>
      <c r="F584">
        <v>96</v>
      </c>
      <c r="G584">
        <v>91</v>
      </c>
      <c r="H584">
        <v>12.842000000000001</v>
      </c>
      <c r="I584">
        <v>0.23</v>
      </c>
      <c r="J584">
        <v>2.1000000000000001E-2</v>
      </c>
      <c r="K584" t="s">
        <v>38</v>
      </c>
      <c r="L584" t="str">
        <f t="shared" si="210"/>
        <v>M</v>
      </c>
      <c r="M584">
        <v>22</v>
      </c>
      <c r="N584">
        <v>0.497</v>
      </c>
      <c r="O584">
        <v>0.498</v>
      </c>
      <c r="P584" t="s">
        <v>36</v>
      </c>
      <c r="Q584" t="str">
        <f t="shared" si="201"/>
        <v>MT</v>
      </c>
      <c r="BV584" s="1">
        <v>0</v>
      </c>
      <c r="BW584" s="5">
        <v>44379</v>
      </c>
      <c r="BX584">
        <v>5</v>
      </c>
      <c r="BY584">
        <v>2</v>
      </c>
      <c r="BZ584">
        <v>2021</v>
      </c>
      <c r="CA584" s="5">
        <f t="shared" si="211"/>
        <v>44232</v>
      </c>
      <c r="CB584">
        <v>36</v>
      </c>
      <c r="CC584">
        <v>3</v>
      </c>
      <c r="CD584" t="s">
        <v>149</v>
      </c>
      <c r="CE584">
        <f t="shared" si="205"/>
        <v>0.16379377583651822</v>
      </c>
      <c r="CF584">
        <f t="shared" si="206"/>
        <v>1.8236600063431654</v>
      </c>
      <c r="CG584">
        <f t="shared" si="202"/>
        <v>1.8267016122627278</v>
      </c>
      <c r="CH584">
        <f t="shared" si="203"/>
        <v>3.8779006385298236</v>
      </c>
      <c r="CJ584" s="1"/>
      <c r="CK584" s="6" t="s">
        <v>105</v>
      </c>
      <c r="CL584" s="6">
        <v>3</v>
      </c>
      <c r="CM584" s="6"/>
      <c r="CN584" s="6"/>
      <c r="CO584" s="6"/>
      <c r="CP584" s="6"/>
    </row>
    <row r="585" spans="1:99" ht="17" x14ac:dyDescent="0.2">
      <c r="A585" t="s">
        <v>308</v>
      </c>
      <c r="B585" t="s">
        <v>60</v>
      </c>
      <c r="C585" t="str">
        <f t="shared" si="207"/>
        <v>I</v>
      </c>
      <c r="D585" t="str">
        <f t="shared" si="208"/>
        <v>I</v>
      </c>
      <c r="E585" t="str">
        <f t="shared" si="209"/>
        <v>G</v>
      </c>
      <c r="F585">
        <v>89</v>
      </c>
      <c r="G585">
        <v>85</v>
      </c>
      <c r="H585">
        <v>11.677</v>
      </c>
      <c r="I585">
        <v>0.22700000000000001</v>
      </c>
      <c r="J585">
        <v>0.16400000000000001</v>
      </c>
      <c r="K585" t="s">
        <v>24</v>
      </c>
      <c r="L585" t="str">
        <f t="shared" si="210"/>
        <v>F</v>
      </c>
      <c r="M585">
        <v>22</v>
      </c>
      <c r="N585">
        <v>0.47</v>
      </c>
      <c r="O585">
        <v>0.42699999999999999</v>
      </c>
      <c r="P585" t="s">
        <v>309</v>
      </c>
      <c r="Q585" t="str">
        <f t="shared" si="201"/>
        <v>F</v>
      </c>
      <c r="AR585">
        <v>2</v>
      </c>
      <c r="AS585">
        <v>1.7000000000000001E-2</v>
      </c>
      <c r="BV585" s="1">
        <v>1.7000000000000001E-2</v>
      </c>
      <c r="BW585" s="5">
        <v>44379</v>
      </c>
      <c r="BX585">
        <v>5</v>
      </c>
      <c r="BY585">
        <v>2</v>
      </c>
      <c r="BZ585">
        <v>2021</v>
      </c>
      <c r="CA585" s="5">
        <f t="shared" si="211"/>
        <v>44232</v>
      </c>
      <c r="CB585">
        <v>36</v>
      </c>
      <c r="CC585">
        <v>3</v>
      </c>
      <c r="CD585" t="s">
        <v>149</v>
      </c>
      <c r="CE585">
        <f t="shared" si="205"/>
        <v>1.4244766785373058</v>
      </c>
      <c r="CF585">
        <f t="shared" si="206"/>
        <v>1.982532751091703</v>
      </c>
      <c r="CG585">
        <f t="shared" si="202"/>
        <v>2.0113414850256959</v>
      </c>
      <c r="CH585">
        <f t="shared" si="203"/>
        <v>3.6567611544060976</v>
      </c>
      <c r="CI585">
        <f t="shared" ref="CI585:CI621" si="212">(N585-O585)/H585*100</f>
        <v>0.36824526847649208</v>
      </c>
      <c r="CJ585" s="1">
        <f t="shared" ref="CJ585:CJ621" si="213">(N585-O585+(BV585))/(H585)*100</f>
        <v>0.51383060717650064</v>
      </c>
      <c r="CK585" s="6" t="s">
        <v>105</v>
      </c>
      <c r="CL585" s="6">
        <v>3</v>
      </c>
      <c r="CM585" s="6"/>
      <c r="CN585" s="6"/>
      <c r="CO585" s="6"/>
      <c r="CP585" s="6"/>
      <c r="CQ585" s="12">
        <v>3.73E-2</v>
      </c>
      <c r="CR585">
        <f>CQ585/(H585-I585-J585-N585)*1000</f>
        <v>3.4485946745562135</v>
      </c>
    </row>
    <row r="586" spans="1:99" ht="17" x14ac:dyDescent="0.2">
      <c r="A586" t="s">
        <v>310</v>
      </c>
      <c r="B586" t="s">
        <v>60</v>
      </c>
      <c r="C586" t="str">
        <f t="shared" si="207"/>
        <v>I</v>
      </c>
      <c r="D586" t="str">
        <f t="shared" si="208"/>
        <v>S</v>
      </c>
      <c r="E586" t="str">
        <f t="shared" si="209"/>
        <v>G</v>
      </c>
      <c r="F586">
        <v>84</v>
      </c>
      <c r="G586">
        <v>79</v>
      </c>
      <c r="H586">
        <v>8.3209999999999997</v>
      </c>
      <c r="I586">
        <v>0.17599999999999999</v>
      </c>
      <c r="J586">
        <v>0.13</v>
      </c>
      <c r="K586" t="s">
        <v>24</v>
      </c>
      <c r="L586" t="str">
        <f t="shared" si="210"/>
        <v>F</v>
      </c>
      <c r="M586">
        <v>22</v>
      </c>
      <c r="N586">
        <v>0.26400000000000001</v>
      </c>
      <c r="O586">
        <v>0.24299999999999999</v>
      </c>
      <c r="P586" t="s">
        <v>311</v>
      </c>
      <c r="Q586" t="str">
        <f t="shared" si="201"/>
        <v>F</v>
      </c>
      <c r="AV586">
        <v>1</v>
      </c>
      <c r="AW586">
        <v>4.0000000000000001E-3</v>
      </c>
      <c r="BV586" s="1">
        <v>4.0000000000000001E-3</v>
      </c>
      <c r="BW586" s="5">
        <v>44379</v>
      </c>
      <c r="BX586">
        <v>5</v>
      </c>
      <c r="BY586">
        <v>2</v>
      </c>
      <c r="BZ586">
        <v>2021</v>
      </c>
      <c r="CA586" s="5">
        <f t="shared" si="211"/>
        <v>44232</v>
      </c>
      <c r="CB586">
        <v>36</v>
      </c>
      <c r="CC586">
        <v>3</v>
      </c>
      <c r="CD586" t="s">
        <v>149</v>
      </c>
      <c r="CE586">
        <f t="shared" si="205"/>
        <v>1.5871078012452695</v>
      </c>
      <c r="CF586">
        <f t="shared" si="206"/>
        <v>2.1608348680171883</v>
      </c>
      <c r="CG586">
        <f t="shared" si="202"/>
        <v>2.1958827199001876</v>
      </c>
      <c r="CH586">
        <f t="shared" si="203"/>
        <v>2.920322076673477</v>
      </c>
      <c r="CI586">
        <f t="shared" si="212"/>
        <v>0.25237351279894266</v>
      </c>
      <c r="CJ586" s="1">
        <f t="shared" si="213"/>
        <v>0.3004446580939793</v>
      </c>
      <c r="CK586" s="6" t="s">
        <v>105</v>
      </c>
      <c r="CL586" s="6">
        <v>3</v>
      </c>
      <c r="CM586" s="6"/>
      <c r="CN586" s="6"/>
      <c r="CO586" s="6"/>
      <c r="CP586" s="6"/>
      <c r="CQ586" s="12">
        <v>5.7999999999999996E-3</v>
      </c>
      <c r="CR586">
        <f>CQ586/(H586-I586-J586-N586)*1000</f>
        <v>0.74829054315572185</v>
      </c>
    </row>
    <row r="587" spans="1:99" ht="17" x14ac:dyDescent="0.2">
      <c r="A587" t="s">
        <v>312</v>
      </c>
      <c r="B587" t="s">
        <v>60</v>
      </c>
      <c r="C587" t="str">
        <f t="shared" si="207"/>
        <v>I</v>
      </c>
      <c r="D587" t="str">
        <f t="shared" si="208"/>
        <v>S</v>
      </c>
      <c r="E587" t="str">
        <f t="shared" si="209"/>
        <v>G</v>
      </c>
      <c r="F587">
        <v>82</v>
      </c>
      <c r="G587">
        <v>77</v>
      </c>
      <c r="H587">
        <v>7.9329999999999998</v>
      </c>
      <c r="I587">
        <v>0.191</v>
      </c>
      <c r="J587">
        <v>1.2999999999999999E-2</v>
      </c>
      <c r="K587" t="s">
        <v>38</v>
      </c>
      <c r="L587" t="str">
        <f t="shared" si="210"/>
        <v>M</v>
      </c>
      <c r="M587">
        <v>22</v>
      </c>
      <c r="N587">
        <v>0.38800000000000001</v>
      </c>
      <c r="O587">
        <v>0.28100000000000003</v>
      </c>
      <c r="P587" t="s">
        <v>313</v>
      </c>
      <c r="Q587" t="str">
        <f t="shared" si="201"/>
        <v>F</v>
      </c>
      <c r="T587">
        <v>1</v>
      </c>
      <c r="U587">
        <v>7.4999999999999997E-2</v>
      </c>
      <c r="BV587" s="1">
        <v>7.4999999999999997E-2</v>
      </c>
      <c r="BW587" s="5">
        <v>44379</v>
      </c>
      <c r="BX587">
        <v>5</v>
      </c>
      <c r="BY587">
        <v>2</v>
      </c>
      <c r="BZ587">
        <v>2021</v>
      </c>
      <c r="CA587" s="5">
        <f t="shared" si="211"/>
        <v>44232</v>
      </c>
      <c r="CB587">
        <v>36</v>
      </c>
      <c r="CC587">
        <v>3</v>
      </c>
      <c r="CD587" t="s">
        <v>149</v>
      </c>
      <c r="CE587">
        <f t="shared" si="205"/>
        <v>0.16414141414141414</v>
      </c>
      <c r="CF587">
        <f t="shared" si="206"/>
        <v>2.4670627744768794</v>
      </c>
      <c r="CG587">
        <f t="shared" si="202"/>
        <v>2.4712123172467333</v>
      </c>
      <c r="CH587">
        <f t="shared" si="203"/>
        <v>3.5421656372116481</v>
      </c>
      <c r="CI587">
        <f t="shared" si="212"/>
        <v>1.3487961679062144</v>
      </c>
      <c r="CJ587" s="1">
        <f t="shared" si="213"/>
        <v>2.2942140426068325</v>
      </c>
      <c r="CK587" s="6" t="s">
        <v>105</v>
      </c>
      <c r="CL587" s="6">
        <v>3</v>
      </c>
      <c r="CM587" s="6"/>
      <c r="CN587" s="6"/>
      <c r="CO587" s="6"/>
      <c r="CP587" s="6"/>
    </row>
    <row r="588" spans="1:99" ht="17" x14ac:dyDescent="0.2">
      <c r="A588" t="s">
        <v>418</v>
      </c>
      <c r="B588" t="s">
        <v>60</v>
      </c>
      <c r="C588" t="str">
        <f t="shared" si="207"/>
        <v>I</v>
      </c>
      <c r="D588" t="str">
        <f t="shared" si="208"/>
        <v>S</v>
      </c>
      <c r="E588" t="str">
        <f t="shared" si="209"/>
        <v>G</v>
      </c>
      <c r="F588">
        <v>71</v>
      </c>
      <c r="G588">
        <v>67</v>
      </c>
      <c r="H588">
        <v>5.1319999999999997</v>
      </c>
      <c r="I588">
        <v>0.151</v>
      </c>
      <c r="J588">
        <v>8.7999999999999995E-2</v>
      </c>
      <c r="K588" t="s">
        <v>24</v>
      </c>
      <c r="L588" t="str">
        <f t="shared" si="210"/>
        <v>F</v>
      </c>
      <c r="M588">
        <v>22</v>
      </c>
      <c r="N588">
        <v>0.23</v>
      </c>
      <c r="O588">
        <v>0.19500000000000001</v>
      </c>
      <c r="P588" t="s">
        <v>419</v>
      </c>
      <c r="Q588" t="str">
        <f t="shared" si="201"/>
        <v>F</v>
      </c>
      <c r="AV588" s="7">
        <v>10</v>
      </c>
      <c r="AW588" s="7">
        <v>0.02</v>
      </c>
      <c r="BV588" s="1">
        <v>0.02</v>
      </c>
      <c r="BW588" t="s">
        <v>420</v>
      </c>
      <c r="BX588" t="str">
        <f t="shared" ref="BX588" si="214">LEFT(BW588,2)</f>
        <v>20</v>
      </c>
      <c r="BY588" t="str">
        <f>MID(BW588,4,1)</f>
        <v>2</v>
      </c>
      <c r="BZ588" t="str">
        <f t="shared" ref="BZ588" si="215">20&amp;RIGHT(BW588,2)</f>
        <v>2021</v>
      </c>
      <c r="CA588" s="5">
        <f t="shared" si="211"/>
        <v>44247</v>
      </c>
      <c r="CB588">
        <v>51</v>
      </c>
      <c r="CC588">
        <v>4</v>
      </c>
      <c r="CD588" t="s">
        <v>290</v>
      </c>
      <c r="CE588">
        <f t="shared" si="205"/>
        <v>1.7446471054718478</v>
      </c>
      <c r="CF588">
        <f t="shared" si="206"/>
        <v>3.0315197751455534</v>
      </c>
      <c r="CG588">
        <f t="shared" si="202"/>
        <v>3.0860412834661766</v>
      </c>
      <c r="CH588">
        <f t="shared" si="203"/>
        <v>3.7996882307092759</v>
      </c>
      <c r="CI588">
        <f t="shared" si="212"/>
        <v>0.68199532346063929</v>
      </c>
      <c r="CJ588" s="1">
        <f t="shared" si="213"/>
        <v>1.0717069368667187</v>
      </c>
      <c r="CK588" s="6" t="s">
        <v>142</v>
      </c>
      <c r="CL588" s="6">
        <v>2</v>
      </c>
      <c r="CM588" s="6">
        <v>0</v>
      </c>
      <c r="CN588" s="6">
        <v>20</v>
      </c>
      <c r="CO588" s="6">
        <v>8</v>
      </c>
      <c r="CP588" s="6">
        <v>0</v>
      </c>
      <c r="CQ588" s="12">
        <v>5.9999999999999995E-4</v>
      </c>
      <c r="CR588">
        <f>CQ588/(H588-I588-J588-N588)*1000</f>
        <v>0.12867252841518337</v>
      </c>
      <c r="CS588">
        <v>8.6859999999999999</v>
      </c>
      <c r="CT588">
        <v>76.674824233397487</v>
      </c>
      <c r="CU588">
        <v>98.659513632018374</v>
      </c>
    </row>
    <row r="589" spans="1:99" ht="17" x14ac:dyDescent="0.2">
      <c r="A589" t="s">
        <v>421</v>
      </c>
      <c r="B589" t="s">
        <v>60</v>
      </c>
      <c r="C589" t="str">
        <f t="shared" si="207"/>
        <v>I</v>
      </c>
      <c r="D589" t="str">
        <f t="shared" si="208"/>
        <v>S</v>
      </c>
      <c r="E589" t="str">
        <f t="shared" si="209"/>
        <v>G</v>
      </c>
      <c r="F589">
        <v>75</v>
      </c>
      <c r="G589">
        <v>71</v>
      </c>
      <c r="H589">
        <v>5.2649999999999997</v>
      </c>
      <c r="I589">
        <v>8.5000000000000006E-2</v>
      </c>
      <c r="J589">
        <v>0.01</v>
      </c>
      <c r="K589" t="s">
        <v>38</v>
      </c>
      <c r="L589" t="str">
        <f t="shared" si="210"/>
        <v>M</v>
      </c>
      <c r="M589">
        <v>22</v>
      </c>
      <c r="N589">
        <v>0.255</v>
      </c>
      <c r="O589">
        <v>0.22500000000000001</v>
      </c>
      <c r="P589" t="s">
        <v>422</v>
      </c>
      <c r="Q589" t="str">
        <f t="shared" si="201"/>
        <v>F</v>
      </c>
      <c r="AV589" s="7">
        <v>7</v>
      </c>
      <c r="AW589" s="7">
        <v>1.9E-2</v>
      </c>
      <c r="BV589" s="1">
        <v>1.9E-2</v>
      </c>
      <c r="BW589" t="s">
        <v>420</v>
      </c>
      <c r="BX589" t="str">
        <f t="shared" ref="BX589:BX601" si="216">LEFT(BW589,2)</f>
        <v>20</v>
      </c>
      <c r="BY589" t="str">
        <f t="shared" ref="BY589:BY600" si="217">MID(BW589,4,1)</f>
        <v>2</v>
      </c>
      <c r="BZ589" t="str">
        <f t="shared" ref="BZ589:BZ601" si="218">20&amp;RIGHT(BW589,2)</f>
        <v>2021</v>
      </c>
      <c r="CA589" s="5">
        <f t="shared" si="211"/>
        <v>44247</v>
      </c>
      <c r="CB589">
        <v>51</v>
      </c>
      <c r="CC589">
        <v>4</v>
      </c>
      <c r="CD589" t="s">
        <v>256</v>
      </c>
      <c r="CE589">
        <f t="shared" si="205"/>
        <v>0.19029495718363465</v>
      </c>
      <c r="CF589">
        <f t="shared" si="206"/>
        <v>1.6409266409266412</v>
      </c>
      <c r="CG589">
        <f t="shared" si="202"/>
        <v>1.6441005802707933</v>
      </c>
      <c r="CH589">
        <f t="shared" si="203"/>
        <v>4.2735042735042734</v>
      </c>
      <c r="CI589">
        <f t="shared" si="212"/>
        <v>0.56980056980056981</v>
      </c>
      <c r="CJ589" s="1">
        <f t="shared" si="213"/>
        <v>0.93067426400759745</v>
      </c>
      <c r="CK589" s="6" t="s">
        <v>142</v>
      </c>
      <c r="CL589" s="6">
        <v>3</v>
      </c>
      <c r="CM589" s="6"/>
      <c r="CN589" s="6"/>
      <c r="CO589" s="6"/>
      <c r="CP589" s="6"/>
    </row>
    <row r="590" spans="1:99" ht="17" x14ac:dyDescent="0.2">
      <c r="A590" t="s">
        <v>423</v>
      </c>
      <c r="B590" t="s">
        <v>60</v>
      </c>
      <c r="C590" t="str">
        <f t="shared" si="207"/>
        <v>S</v>
      </c>
      <c r="D590" t="str">
        <f t="shared" si="208"/>
        <v>IMM</v>
      </c>
      <c r="E590" t="str">
        <f t="shared" si="209"/>
        <v>N</v>
      </c>
      <c r="F590">
        <v>59</v>
      </c>
      <c r="G590">
        <v>56</v>
      </c>
      <c r="H590">
        <v>2.9849999999999999</v>
      </c>
      <c r="I590">
        <v>0.12</v>
      </c>
      <c r="J590">
        <v>5.0000000000000001E-3</v>
      </c>
      <c r="K590" t="s">
        <v>38</v>
      </c>
      <c r="L590" t="str">
        <f t="shared" si="210"/>
        <v>M</v>
      </c>
      <c r="M590">
        <v>22</v>
      </c>
      <c r="N590">
        <v>0.16200000000000001</v>
      </c>
      <c r="O590">
        <v>0.158</v>
      </c>
      <c r="P590" t="s">
        <v>36</v>
      </c>
      <c r="Q590" t="str">
        <f t="shared" si="201"/>
        <v>MT</v>
      </c>
      <c r="BV590" s="1">
        <v>0</v>
      </c>
      <c r="BW590" t="s">
        <v>420</v>
      </c>
      <c r="BX590" t="str">
        <f t="shared" si="216"/>
        <v>20</v>
      </c>
      <c r="BY590" t="str">
        <f t="shared" si="217"/>
        <v>2</v>
      </c>
      <c r="BZ590" t="str">
        <f t="shared" si="218"/>
        <v>2021</v>
      </c>
      <c r="CA590" s="5">
        <f t="shared" si="211"/>
        <v>44247</v>
      </c>
      <c r="CB590">
        <v>51</v>
      </c>
      <c r="CC590">
        <v>4</v>
      </c>
      <c r="CD590" t="s">
        <v>256</v>
      </c>
      <c r="CE590">
        <f t="shared" si="205"/>
        <v>0.16778523489932887</v>
      </c>
      <c r="CF590">
        <f t="shared" si="206"/>
        <v>4.1884816753926701</v>
      </c>
      <c r="CG590">
        <f t="shared" si="202"/>
        <v>4.1958041958041958</v>
      </c>
      <c r="CH590">
        <f t="shared" si="203"/>
        <v>5.2931323283082081</v>
      </c>
      <c r="CI590">
        <f t="shared" si="212"/>
        <v>0.13400335008375222</v>
      </c>
      <c r="CJ590" s="1">
        <f t="shared" si="213"/>
        <v>0.13400335008375222</v>
      </c>
      <c r="CK590" s="6" t="s">
        <v>142</v>
      </c>
      <c r="CL590" s="6">
        <v>3</v>
      </c>
      <c r="CM590" s="6"/>
      <c r="CN590" s="6"/>
      <c r="CO590" s="6"/>
      <c r="CP590" s="6"/>
    </row>
    <row r="591" spans="1:99" ht="17" x14ac:dyDescent="0.2">
      <c r="A591" t="s">
        <v>424</v>
      </c>
      <c r="B591" t="s">
        <v>60</v>
      </c>
      <c r="C591" t="str">
        <f t="shared" si="207"/>
        <v>I</v>
      </c>
      <c r="D591" t="str">
        <f t="shared" si="208"/>
        <v>IMM</v>
      </c>
      <c r="E591" t="str">
        <f t="shared" si="209"/>
        <v>G</v>
      </c>
      <c r="F591">
        <v>62</v>
      </c>
      <c r="G591">
        <v>59</v>
      </c>
      <c r="H591">
        <v>3.4420000000000002</v>
      </c>
      <c r="I591">
        <v>0.10299999999999999</v>
      </c>
      <c r="J591">
        <v>7.0000000000000001E-3</v>
      </c>
      <c r="K591" t="s">
        <v>38</v>
      </c>
      <c r="L591" t="str">
        <f t="shared" si="210"/>
        <v>M</v>
      </c>
      <c r="M591">
        <v>22</v>
      </c>
      <c r="N591">
        <v>0.15</v>
      </c>
      <c r="O591">
        <v>0.125</v>
      </c>
      <c r="P591" t="s">
        <v>425</v>
      </c>
      <c r="Q591" t="str">
        <f t="shared" si="201"/>
        <v>F</v>
      </c>
      <c r="AV591" s="7">
        <v>4</v>
      </c>
      <c r="AW591" s="7">
        <v>1.2999999999999999E-2</v>
      </c>
      <c r="BV591" s="1">
        <v>1.2999999999999999E-2</v>
      </c>
      <c r="BW591" t="s">
        <v>420</v>
      </c>
      <c r="BX591" t="str">
        <f t="shared" si="216"/>
        <v>20</v>
      </c>
      <c r="BY591" t="str">
        <f t="shared" si="217"/>
        <v>2</v>
      </c>
      <c r="BZ591" t="str">
        <f t="shared" si="218"/>
        <v>2021</v>
      </c>
      <c r="CA591" s="5">
        <f t="shared" si="211"/>
        <v>44247</v>
      </c>
      <c r="CB591">
        <v>51</v>
      </c>
      <c r="CC591">
        <v>4</v>
      </c>
      <c r="CD591" t="s">
        <v>256</v>
      </c>
      <c r="CE591">
        <f t="shared" si="205"/>
        <v>0.20378457059679767</v>
      </c>
      <c r="CF591">
        <f t="shared" si="206"/>
        <v>3.0847559149445942</v>
      </c>
      <c r="CG591">
        <f t="shared" si="202"/>
        <v>3.091236494597839</v>
      </c>
      <c r="CH591">
        <f t="shared" si="203"/>
        <v>3.6316095293434048</v>
      </c>
      <c r="CI591">
        <f t="shared" si="212"/>
        <v>0.72632190586868073</v>
      </c>
      <c r="CJ591" s="1">
        <f t="shared" si="213"/>
        <v>1.1040092969203947</v>
      </c>
      <c r="CK591" s="6" t="s">
        <v>142</v>
      </c>
      <c r="CL591" s="6">
        <v>3</v>
      </c>
      <c r="CM591" s="6"/>
      <c r="CN591" s="6"/>
      <c r="CO591" s="6"/>
      <c r="CP591" s="6"/>
    </row>
    <row r="592" spans="1:99" ht="17" x14ac:dyDescent="0.2">
      <c r="A592" t="s">
        <v>426</v>
      </c>
      <c r="B592" t="s">
        <v>60</v>
      </c>
      <c r="C592" t="str">
        <f t="shared" si="207"/>
        <v>S</v>
      </c>
      <c r="D592" t="str">
        <f t="shared" si="208"/>
        <v>IMM</v>
      </c>
      <c r="E592" t="str">
        <f t="shared" si="209"/>
        <v>G</v>
      </c>
      <c r="F592">
        <v>60</v>
      </c>
      <c r="G592">
        <v>56</v>
      </c>
      <c r="H592">
        <v>3.1040000000000001</v>
      </c>
      <c r="I592">
        <v>6.5000000000000002E-2</v>
      </c>
      <c r="J592">
        <v>1.0999999999999999E-2</v>
      </c>
      <c r="K592" t="s">
        <v>38</v>
      </c>
      <c r="L592" t="str">
        <f t="shared" si="210"/>
        <v>M</v>
      </c>
      <c r="M592">
        <v>22</v>
      </c>
      <c r="N592">
        <v>0.14799999999999999</v>
      </c>
      <c r="O592">
        <v>0.10100000000000001</v>
      </c>
      <c r="P592" t="s">
        <v>427</v>
      </c>
      <c r="Q592" t="str">
        <f t="shared" si="201"/>
        <v>F</v>
      </c>
      <c r="AP592">
        <v>1</v>
      </c>
      <c r="AQ592">
        <v>5.0000000000000001E-3</v>
      </c>
      <c r="AV592" s="7">
        <v>10</v>
      </c>
      <c r="AW592" s="7">
        <v>0.02</v>
      </c>
      <c r="BV592" s="1">
        <v>2.5000000000000001E-2</v>
      </c>
      <c r="BW592" t="s">
        <v>420</v>
      </c>
      <c r="BX592" t="str">
        <f t="shared" si="216"/>
        <v>20</v>
      </c>
      <c r="BY592" t="str">
        <f t="shared" si="217"/>
        <v>2</v>
      </c>
      <c r="BZ592" t="str">
        <f t="shared" si="218"/>
        <v>2021</v>
      </c>
      <c r="CA592" s="5">
        <f t="shared" si="211"/>
        <v>44247</v>
      </c>
      <c r="CB592">
        <v>51</v>
      </c>
      <c r="CC592">
        <v>4</v>
      </c>
      <c r="CD592" t="s">
        <v>256</v>
      </c>
      <c r="CE592">
        <f t="shared" si="205"/>
        <v>0.35564177174264466</v>
      </c>
      <c r="CF592">
        <f t="shared" si="206"/>
        <v>2.1388614675880224</v>
      </c>
      <c r="CG592">
        <f t="shared" si="202"/>
        <v>2.1466314398943198</v>
      </c>
      <c r="CH592">
        <f t="shared" si="203"/>
        <v>3.2538659793814437</v>
      </c>
      <c r="CI592">
        <f t="shared" si="212"/>
        <v>1.5141752577319583</v>
      </c>
      <c r="CJ592" s="1">
        <f t="shared" si="213"/>
        <v>2.3195876288659787</v>
      </c>
      <c r="CK592" s="6" t="s">
        <v>142</v>
      </c>
      <c r="CL592" s="6">
        <v>3</v>
      </c>
      <c r="CM592" s="6"/>
      <c r="CN592" s="6"/>
      <c r="CO592" s="6"/>
      <c r="CP592" s="6"/>
    </row>
    <row r="593" spans="1:99" ht="17" x14ac:dyDescent="0.2">
      <c r="A593" t="s">
        <v>428</v>
      </c>
      <c r="B593" t="s">
        <v>60</v>
      </c>
      <c r="C593" t="str">
        <f t="shared" si="207"/>
        <v>I</v>
      </c>
      <c r="D593" t="str">
        <f t="shared" si="208"/>
        <v>IMM</v>
      </c>
      <c r="E593" t="str">
        <f t="shared" si="209"/>
        <v>G</v>
      </c>
      <c r="F593">
        <v>64</v>
      </c>
      <c r="G593">
        <v>60</v>
      </c>
      <c r="H593">
        <v>3.9340000000000002</v>
      </c>
      <c r="I593">
        <v>8.5999999999999993E-2</v>
      </c>
      <c r="J593">
        <v>6.2E-2</v>
      </c>
      <c r="K593" t="s">
        <v>24</v>
      </c>
      <c r="L593" t="str">
        <f t="shared" si="210"/>
        <v>F</v>
      </c>
      <c r="M593">
        <v>22</v>
      </c>
      <c r="N593">
        <v>0.13800000000000001</v>
      </c>
      <c r="O593">
        <v>0.13300000000000001</v>
      </c>
      <c r="P593" t="s">
        <v>36</v>
      </c>
      <c r="Q593" t="str">
        <f t="shared" si="201"/>
        <v>MT</v>
      </c>
      <c r="BV593" s="11">
        <v>0</v>
      </c>
      <c r="BW593" t="s">
        <v>420</v>
      </c>
      <c r="BX593" t="str">
        <f t="shared" si="216"/>
        <v>20</v>
      </c>
      <c r="BY593" t="str">
        <f t="shared" si="217"/>
        <v>2</v>
      </c>
      <c r="BZ593" t="str">
        <f t="shared" si="218"/>
        <v>2021</v>
      </c>
      <c r="CA593" s="5">
        <f t="shared" si="211"/>
        <v>44247</v>
      </c>
      <c r="CB593">
        <v>51</v>
      </c>
      <c r="CC593">
        <v>4</v>
      </c>
      <c r="CD593" t="s">
        <v>429</v>
      </c>
      <c r="CE593">
        <f t="shared" si="205"/>
        <v>1.6012396694214874</v>
      </c>
      <c r="CF593">
        <f t="shared" si="206"/>
        <v>2.2349272349272349</v>
      </c>
      <c r="CG593">
        <f t="shared" si="202"/>
        <v>2.2715266772319063</v>
      </c>
      <c r="CH593">
        <f t="shared" si="203"/>
        <v>3.3807829181494666</v>
      </c>
      <c r="CI593">
        <f t="shared" si="212"/>
        <v>0.12709710218607026</v>
      </c>
      <c r="CJ593" s="1">
        <f t="shared" si="213"/>
        <v>0.12709710218607026</v>
      </c>
      <c r="CK593" s="6" t="s">
        <v>142</v>
      </c>
      <c r="CL593" s="6">
        <v>3</v>
      </c>
      <c r="CM593" s="6">
        <v>0</v>
      </c>
      <c r="CN593" s="6">
        <v>31</v>
      </c>
      <c r="CO593" s="6">
        <v>5</v>
      </c>
      <c r="CP593" s="6">
        <v>0</v>
      </c>
      <c r="CQ593" s="12">
        <v>1.5E-3</v>
      </c>
      <c r="CR593">
        <f>CQ593/(H593-I593-J593-N593)*1000</f>
        <v>0.41118421052631571</v>
      </c>
      <c r="CS593">
        <v>9.1280000000000001</v>
      </c>
      <c r="CT593">
        <v>87.842481685800053</v>
      </c>
    </row>
    <row r="594" spans="1:99" ht="17" x14ac:dyDescent="0.2">
      <c r="A594" t="s">
        <v>430</v>
      </c>
      <c r="B594" t="s">
        <v>60</v>
      </c>
      <c r="C594" t="str">
        <f t="shared" si="207"/>
        <v>I</v>
      </c>
      <c r="D594" t="str">
        <f t="shared" si="208"/>
        <v>IMM</v>
      </c>
      <c r="E594" t="str">
        <f t="shared" si="209"/>
        <v>G</v>
      </c>
      <c r="F594">
        <v>64</v>
      </c>
      <c r="G594">
        <v>60</v>
      </c>
      <c r="H594">
        <v>3.851</v>
      </c>
      <c r="I594">
        <v>0.107</v>
      </c>
      <c r="J594">
        <v>5.1999999999999998E-2</v>
      </c>
      <c r="K594" t="s">
        <v>24</v>
      </c>
      <c r="L594" t="str">
        <f t="shared" si="210"/>
        <v>F</v>
      </c>
      <c r="M594">
        <v>22</v>
      </c>
      <c r="N594">
        <v>0.192</v>
      </c>
      <c r="O594">
        <v>0.16</v>
      </c>
      <c r="P594" t="s">
        <v>431</v>
      </c>
      <c r="Q594" t="str">
        <f t="shared" si="201"/>
        <v>F</v>
      </c>
      <c r="AR594">
        <v>3</v>
      </c>
      <c r="AS594">
        <v>1.7999999999999999E-2</v>
      </c>
      <c r="BV594" s="11">
        <v>1.7999999999999999E-2</v>
      </c>
      <c r="BW594" t="s">
        <v>420</v>
      </c>
      <c r="BX594" t="str">
        <f t="shared" si="216"/>
        <v>20</v>
      </c>
      <c r="BY594" t="str">
        <f t="shared" si="217"/>
        <v>2</v>
      </c>
      <c r="BZ594" t="str">
        <f t="shared" si="218"/>
        <v>2021</v>
      </c>
      <c r="CA594" s="5">
        <f t="shared" si="211"/>
        <v>44247</v>
      </c>
      <c r="CB594">
        <v>51</v>
      </c>
      <c r="CC594">
        <v>4</v>
      </c>
      <c r="CD594" t="s">
        <v>290</v>
      </c>
      <c r="CE594">
        <f t="shared" si="205"/>
        <v>1.368781258225849</v>
      </c>
      <c r="CF594">
        <f t="shared" si="206"/>
        <v>2.857905982905983</v>
      </c>
      <c r="CG594">
        <f t="shared" si="202"/>
        <v>2.8981581798483211</v>
      </c>
      <c r="CH594">
        <f t="shared" si="203"/>
        <v>4.154764996104908</v>
      </c>
      <c r="CI594">
        <f t="shared" si="212"/>
        <v>0.83095299922098154</v>
      </c>
      <c r="CJ594" s="1">
        <f t="shared" si="213"/>
        <v>1.2983640612827838</v>
      </c>
      <c r="CK594" s="6" t="s">
        <v>142</v>
      </c>
      <c r="CL594" s="6">
        <v>2</v>
      </c>
      <c r="CM594" s="6">
        <v>0</v>
      </c>
      <c r="CN594" s="6">
        <v>22</v>
      </c>
      <c r="CO594" s="6">
        <v>6</v>
      </c>
      <c r="CP594" s="6">
        <v>0</v>
      </c>
      <c r="CQ594" s="12">
        <v>6.7999999999999996E-3</v>
      </c>
      <c r="CR594">
        <f>CQ594/(H594-I594-J594-N594)*1000</f>
        <v>1.9428571428571431</v>
      </c>
      <c r="CS594">
        <v>9.8089999999999993</v>
      </c>
      <c r="CT594">
        <v>90.77549445814671</v>
      </c>
    </row>
    <row r="595" spans="1:99" ht="17" x14ac:dyDescent="0.2">
      <c r="A595" t="s">
        <v>432</v>
      </c>
      <c r="B595" t="s">
        <v>60</v>
      </c>
      <c r="C595" t="str">
        <f t="shared" si="207"/>
        <v>I</v>
      </c>
      <c r="D595" t="str">
        <f t="shared" si="208"/>
        <v>S</v>
      </c>
      <c r="E595" t="str">
        <f t="shared" si="209"/>
        <v>G</v>
      </c>
      <c r="F595">
        <v>81</v>
      </c>
      <c r="G595">
        <v>76</v>
      </c>
      <c r="H595">
        <v>7.51</v>
      </c>
      <c r="I595">
        <v>0.16900000000000001</v>
      </c>
      <c r="J595">
        <v>1.4E-2</v>
      </c>
      <c r="K595" t="s">
        <v>38</v>
      </c>
      <c r="L595" t="str">
        <f t="shared" si="210"/>
        <v>M</v>
      </c>
      <c r="M595">
        <v>22</v>
      </c>
      <c r="N595">
        <v>0.33100000000000002</v>
      </c>
      <c r="O595">
        <v>0.28699999999999998</v>
      </c>
      <c r="P595" t="s">
        <v>433</v>
      </c>
      <c r="Q595" t="str">
        <f t="shared" si="201"/>
        <v>F</v>
      </c>
      <c r="AV595">
        <v>9</v>
      </c>
      <c r="AW595">
        <v>0.03</v>
      </c>
      <c r="BV595" s="11">
        <v>0.03</v>
      </c>
      <c r="BW595" t="s">
        <v>420</v>
      </c>
      <c r="BX595" t="str">
        <f t="shared" si="216"/>
        <v>20</v>
      </c>
      <c r="BY595" t="str">
        <f t="shared" si="217"/>
        <v>2</v>
      </c>
      <c r="BZ595" t="str">
        <f t="shared" si="218"/>
        <v>2021</v>
      </c>
      <c r="CA595" s="5">
        <f t="shared" si="211"/>
        <v>44247</v>
      </c>
      <c r="CB595">
        <v>51</v>
      </c>
      <c r="CC595">
        <v>4</v>
      </c>
      <c r="CD595" t="s">
        <v>256</v>
      </c>
      <c r="CE595">
        <f t="shared" si="205"/>
        <v>0.18676627534685167</v>
      </c>
      <c r="CF595">
        <f t="shared" si="206"/>
        <v>2.3021386732052855</v>
      </c>
      <c r="CG595">
        <f t="shared" si="202"/>
        <v>2.3065374641736045</v>
      </c>
      <c r="CH595">
        <f t="shared" si="203"/>
        <v>3.8215712383488678</v>
      </c>
      <c r="CI595">
        <f t="shared" si="212"/>
        <v>0.58588548601864232</v>
      </c>
      <c r="CJ595" s="1">
        <f t="shared" si="213"/>
        <v>0.98535286284953449</v>
      </c>
      <c r="CK595" s="6" t="s">
        <v>142</v>
      </c>
      <c r="CL595" s="6">
        <v>3</v>
      </c>
      <c r="CM595" s="6"/>
      <c r="CN595" s="6"/>
      <c r="CO595" s="6"/>
      <c r="CP595" s="6"/>
    </row>
    <row r="596" spans="1:99" ht="17" x14ac:dyDescent="0.2">
      <c r="A596" t="s">
        <v>434</v>
      </c>
      <c r="B596" t="s">
        <v>60</v>
      </c>
      <c r="C596" t="str">
        <f t="shared" si="207"/>
        <v>I</v>
      </c>
      <c r="D596" t="str">
        <f t="shared" si="208"/>
        <v>IMM</v>
      </c>
      <c r="E596" t="str">
        <f t="shared" si="209"/>
        <v>G</v>
      </c>
      <c r="F596">
        <v>62</v>
      </c>
      <c r="G596">
        <v>58</v>
      </c>
      <c r="H596">
        <v>3.415</v>
      </c>
      <c r="I596">
        <v>6.7000000000000004E-2</v>
      </c>
      <c r="J596">
        <v>8.9999999999999993E-3</v>
      </c>
      <c r="K596" t="s">
        <v>38</v>
      </c>
      <c r="L596" t="str">
        <f t="shared" si="210"/>
        <v>M</v>
      </c>
      <c r="M596">
        <v>22</v>
      </c>
      <c r="N596">
        <v>0.14799999999999999</v>
      </c>
      <c r="O596">
        <v>0.128</v>
      </c>
      <c r="P596" t="s">
        <v>435</v>
      </c>
      <c r="Q596" t="str">
        <f t="shared" si="201"/>
        <v>F</v>
      </c>
      <c r="AV596">
        <v>5</v>
      </c>
      <c r="AW596">
        <v>6.0000000000000001E-3</v>
      </c>
      <c r="BV596" s="11">
        <v>6.0000000000000001E-3</v>
      </c>
      <c r="BW596" t="s">
        <v>420</v>
      </c>
      <c r="BX596" t="str">
        <f t="shared" si="216"/>
        <v>20</v>
      </c>
      <c r="BY596" t="str">
        <f t="shared" si="217"/>
        <v>2</v>
      </c>
      <c r="BZ596" t="str">
        <f t="shared" si="218"/>
        <v>2021</v>
      </c>
      <c r="CA596" s="5">
        <f t="shared" si="211"/>
        <v>44247</v>
      </c>
      <c r="CB596">
        <v>51</v>
      </c>
      <c r="CC596">
        <v>4</v>
      </c>
      <c r="CD596" t="s">
        <v>256</v>
      </c>
      <c r="CE596">
        <f t="shared" si="205"/>
        <v>0.2642395772166764</v>
      </c>
      <c r="CF596">
        <f t="shared" si="206"/>
        <v>2.001194743130227</v>
      </c>
      <c r="CG596">
        <f t="shared" si="202"/>
        <v>2.0065887990416296</v>
      </c>
      <c r="CH596">
        <f t="shared" si="203"/>
        <v>3.7481698389458273</v>
      </c>
      <c r="CI596">
        <f t="shared" si="212"/>
        <v>0.58565153733528519</v>
      </c>
      <c r="CJ596" s="1">
        <f t="shared" si="213"/>
        <v>0.76134699853587084</v>
      </c>
      <c r="CK596" s="6" t="s">
        <v>142</v>
      </c>
      <c r="CL596" s="6">
        <v>3</v>
      </c>
      <c r="CM596" s="6"/>
      <c r="CN596" s="6"/>
      <c r="CO596" s="6"/>
      <c r="CP596" s="6"/>
    </row>
    <row r="597" spans="1:99" ht="17" x14ac:dyDescent="0.2">
      <c r="A597" t="s">
        <v>436</v>
      </c>
      <c r="B597" t="s">
        <v>60</v>
      </c>
      <c r="C597" t="str">
        <f t="shared" si="207"/>
        <v>S</v>
      </c>
      <c r="D597" t="str">
        <f t="shared" si="208"/>
        <v>IMM</v>
      </c>
      <c r="E597" t="str">
        <f t="shared" si="209"/>
        <v>N</v>
      </c>
      <c r="F597">
        <v>53</v>
      </c>
      <c r="G597">
        <v>50</v>
      </c>
      <c r="H597">
        <v>2.1469999999999998</v>
      </c>
      <c r="I597">
        <v>6.3E-2</v>
      </c>
      <c r="J597" t="s">
        <v>437</v>
      </c>
      <c r="K597" t="s">
        <v>316</v>
      </c>
      <c r="L597" t="str">
        <f t="shared" si="210"/>
        <v>M</v>
      </c>
      <c r="M597">
        <v>10</v>
      </c>
      <c r="N597">
        <v>0.1</v>
      </c>
      <c r="O597">
        <v>9.6000000000000002E-2</v>
      </c>
      <c r="P597" t="s">
        <v>438</v>
      </c>
      <c r="Q597" t="str">
        <f t="shared" si="201"/>
        <v>F</v>
      </c>
      <c r="AV597">
        <v>2</v>
      </c>
      <c r="AW597">
        <v>1E-3</v>
      </c>
      <c r="BV597" s="11">
        <v>1E-3</v>
      </c>
      <c r="BW597" t="s">
        <v>420</v>
      </c>
      <c r="BX597" t="str">
        <f t="shared" si="216"/>
        <v>20</v>
      </c>
      <c r="BY597" t="str">
        <f t="shared" si="217"/>
        <v>2</v>
      </c>
      <c r="BZ597" t="str">
        <f t="shared" si="218"/>
        <v>2021</v>
      </c>
      <c r="CA597" s="5">
        <f t="shared" si="211"/>
        <v>44247</v>
      </c>
      <c r="CB597">
        <v>51</v>
      </c>
      <c r="CC597">
        <v>4</v>
      </c>
      <c r="CD597" t="s">
        <v>370</v>
      </c>
      <c r="CF597">
        <f t="shared" si="206"/>
        <v>3.0230326295585419</v>
      </c>
      <c r="CH597">
        <f t="shared" si="203"/>
        <v>4.4713553795994416</v>
      </c>
      <c r="CI597">
        <f t="shared" si="212"/>
        <v>0.18630647414997689</v>
      </c>
      <c r="CJ597" s="1">
        <f t="shared" si="213"/>
        <v>0.23288309268747107</v>
      </c>
      <c r="CK597" s="6" t="s">
        <v>142</v>
      </c>
      <c r="CL597" s="6">
        <v>3</v>
      </c>
      <c r="CM597" s="6"/>
      <c r="CN597" s="6"/>
      <c r="CO597" s="6"/>
      <c r="CP597" s="6"/>
    </row>
    <row r="598" spans="1:99" ht="17" x14ac:dyDescent="0.2">
      <c r="A598" t="s">
        <v>439</v>
      </c>
      <c r="B598" t="s">
        <v>60</v>
      </c>
      <c r="C598" t="str">
        <f t="shared" si="207"/>
        <v>S</v>
      </c>
      <c r="D598" t="str">
        <f t="shared" si="208"/>
        <v>IMM</v>
      </c>
      <c r="E598" t="str">
        <f t="shared" si="209"/>
        <v>N</v>
      </c>
      <c r="F598">
        <v>34</v>
      </c>
      <c r="G598">
        <v>32</v>
      </c>
      <c r="H598">
        <v>0.48699999999999999</v>
      </c>
      <c r="I598">
        <v>1.0999999999999999E-2</v>
      </c>
      <c r="J598">
        <v>2E-3</v>
      </c>
      <c r="K598" t="s">
        <v>271</v>
      </c>
      <c r="L598" t="str">
        <f t="shared" si="210"/>
        <v>F</v>
      </c>
      <c r="M598">
        <v>10</v>
      </c>
      <c r="N598">
        <v>2.1000000000000001E-2</v>
      </c>
      <c r="O598">
        <v>1.4E-2</v>
      </c>
      <c r="P598" t="s">
        <v>440</v>
      </c>
      <c r="Q598" t="str">
        <f t="shared" si="201"/>
        <v>F</v>
      </c>
      <c r="AV598">
        <v>6</v>
      </c>
      <c r="AW598">
        <v>2E-3</v>
      </c>
      <c r="BV598" s="1">
        <v>2E-3</v>
      </c>
      <c r="BW598" t="s">
        <v>420</v>
      </c>
      <c r="BX598" t="str">
        <f t="shared" si="216"/>
        <v>20</v>
      </c>
      <c r="BY598" t="str">
        <f t="shared" si="217"/>
        <v>2</v>
      </c>
      <c r="BZ598" t="str">
        <f t="shared" si="218"/>
        <v>2021</v>
      </c>
      <c r="CA598" s="5">
        <f t="shared" si="211"/>
        <v>44247</v>
      </c>
      <c r="CB598">
        <v>51</v>
      </c>
      <c r="CC598">
        <v>4</v>
      </c>
      <c r="CD598" t="s">
        <v>290</v>
      </c>
      <c r="CE598">
        <f>J598/(H598-J598)*100</f>
        <v>0.41237113402061859</v>
      </c>
      <c r="CF598">
        <f t="shared" si="206"/>
        <v>2.3109243697478994</v>
      </c>
      <c r="CG598">
        <f>I598/(H598-I598-J598)*100</f>
        <v>2.3206751054852321</v>
      </c>
      <c r="CH598">
        <f t="shared" si="203"/>
        <v>2.8747433264887068</v>
      </c>
      <c r="CI598">
        <f t="shared" si="212"/>
        <v>1.4373716632443534</v>
      </c>
      <c r="CJ598" s="1">
        <f t="shared" si="213"/>
        <v>1.8480492813141687</v>
      </c>
      <c r="CK598" s="6" t="s">
        <v>142</v>
      </c>
      <c r="CL598" s="6">
        <v>2</v>
      </c>
      <c r="CM598" s="6"/>
      <c r="CN598" s="6"/>
      <c r="CO598" s="6"/>
      <c r="CP598" s="6"/>
    </row>
    <row r="599" spans="1:99" ht="17" x14ac:dyDescent="0.2">
      <c r="A599" t="s">
        <v>441</v>
      </c>
      <c r="B599" t="s">
        <v>60</v>
      </c>
      <c r="C599" t="str">
        <f t="shared" si="207"/>
        <v>S</v>
      </c>
      <c r="D599" t="str">
        <f t="shared" si="208"/>
        <v>IMM</v>
      </c>
      <c r="E599" t="str">
        <f t="shared" si="209"/>
        <v>N</v>
      </c>
      <c r="F599">
        <v>30</v>
      </c>
      <c r="G599">
        <v>29</v>
      </c>
      <c r="H599">
        <v>0.41499999999999998</v>
      </c>
      <c r="I599">
        <v>1.6E-2</v>
      </c>
      <c r="J599" t="s">
        <v>437</v>
      </c>
      <c r="K599" t="s">
        <v>316</v>
      </c>
      <c r="L599" t="str">
        <f t="shared" si="210"/>
        <v>M</v>
      </c>
      <c r="M599">
        <v>10</v>
      </c>
      <c r="N599">
        <v>1.7000000000000001E-2</v>
      </c>
      <c r="O599">
        <v>1.2E-2</v>
      </c>
      <c r="P599" t="s">
        <v>442</v>
      </c>
      <c r="Q599" t="str">
        <f t="shared" si="201"/>
        <v>F</v>
      </c>
      <c r="AN599">
        <v>4</v>
      </c>
      <c r="AO599">
        <v>0</v>
      </c>
      <c r="BV599" s="1">
        <v>0</v>
      </c>
      <c r="BW599" t="s">
        <v>420</v>
      </c>
      <c r="BX599" t="str">
        <f t="shared" si="216"/>
        <v>20</v>
      </c>
      <c r="BY599" t="str">
        <f t="shared" si="217"/>
        <v>2</v>
      </c>
      <c r="BZ599" t="str">
        <f t="shared" si="218"/>
        <v>2021</v>
      </c>
      <c r="CA599" s="5">
        <f t="shared" si="211"/>
        <v>44247</v>
      </c>
      <c r="CB599">
        <v>51</v>
      </c>
      <c r="CC599">
        <v>4</v>
      </c>
      <c r="CD599" t="s">
        <v>370</v>
      </c>
      <c r="CF599">
        <f t="shared" si="206"/>
        <v>4.0100250626566423</v>
      </c>
      <c r="CH599">
        <f t="shared" si="203"/>
        <v>2.8915662650602409</v>
      </c>
      <c r="CI599">
        <f t="shared" si="212"/>
        <v>1.2048192771084341</v>
      </c>
      <c r="CJ599" s="1">
        <f t="shared" si="213"/>
        <v>1.2048192771084341</v>
      </c>
      <c r="CK599" s="6" t="s">
        <v>142</v>
      </c>
      <c r="CL599" s="6">
        <v>3</v>
      </c>
      <c r="CM599" s="6"/>
      <c r="CN599" s="6"/>
      <c r="CO599" s="6"/>
      <c r="CP599" s="6"/>
    </row>
    <row r="600" spans="1:99" ht="17" x14ac:dyDescent="0.2">
      <c r="A600" t="s">
        <v>443</v>
      </c>
      <c r="B600" t="s">
        <v>60</v>
      </c>
      <c r="C600" t="str">
        <f t="shared" si="207"/>
        <v>S</v>
      </c>
      <c r="D600" t="str">
        <f t="shared" si="208"/>
        <v>IMM</v>
      </c>
      <c r="E600" t="str">
        <f t="shared" si="209"/>
        <v>N</v>
      </c>
      <c r="F600">
        <v>33</v>
      </c>
      <c r="G600">
        <v>31</v>
      </c>
      <c r="H600">
        <v>0.48499999999999999</v>
      </c>
      <c r="I600">
        <v>1.2E-2</v>
      </c>
      <c r="J600">
        <v>1E-3</v>
      </c>
      <c r="K600" t="s">
        <v>316</v>
      </c>
      <c r="L600" t="str">
        <f t="shared" si="210"/>
        <v>M</v>
      </c>
      <c r="M600">
        <v>10</v>
      </c>
      <c r="N600">
        <v>0.02</v>
      </c>
      <c r="O600">
        <v>1.6E-2</v>
      </c>
      <c r="P600" t="s">
        <v>444</v>
      </c>
      <c r="Q600" t="str">
        <f t="shared" si="201"/>
        <v>F</v>
      </c>
      <c r="AN600">
        <v>2</v>
      </c>
      <c r="AO600">
        <v>0</v>
      </c>
      <c r="BV600" s="1">
        <v>0</v>
      </c>
      <c r="BW600" t="s">
        <v>420</v>
      </c>
      <c r="BX600" t="str">
        <f t="shared" si="216"/>
        <v>20</v>
      </c>
      <c r="BY600" t="str">
        <f t="shared" si="217"/>
        <v>2</v>
      </c>
      <c r="BZ600" t="str">
        <f t="shared" si="218"/>
        <v>2021</v>
      </c>
      <c r="CA600" s="5">
        <f t="shared" si="211"/>
        <v>44247</v>
      </c>
      <c r="CB600">
        <v>51</v>
      </c>
      <c r="CC600">
        <v>4</v>
      </c>
      <c r="CD600" t="s">
        <v>361</v>
      </c>
      <c r="CE600">
        <f t="shared" ref="CE600:CE631" si="219">J600/(H600-J600)*100</f>
        <v>0.20661157024793389</v>
      </c>
      <c r="CF600">
        <f t="shared" si="206"/>
        <v>2.5369978858350954</v>
      </c>
      <c r="CG600">
        <f t="shared" ref="CG600:CG627" si="220">I600/(H600-I600-J600)*100</f>
        <v>2.5423728813559325</v>
      </c>
      <c r="CH600">
        <f t="shared" si="203"/>
        <v>3.2989690721649487</v>
      </c>
      <c r="CI600">
        <f t="shared" si="212"/>
        <v>0.82474226804123718</v>
      </c>
      <c r="CJ600" s="1">
        <f t="shared" si="213"/>
        <v>0.82474226804123718</v>
      </c>
      <c r="CK600" s="6" t="s">
        <v>142</v>
      </c>
      <c r="CL600" s="6">
        <v>2</v>
      </c>
      <c r="CM600" s="6"/>
      <c r="CN600" s="6"/>
      <c r="CO600" s="6"/>
      <c r="CP600" s="6"/>
    </row>
    <row r="601" spans="1:99" ht="17" x14ac:dyDescent="0.2">
      <c r="A601" t="s">
        <v>445</v>
      </c>
      <c r="B601" t="s">
        <v>60</v>
      </c>
      <c r="C601" t="str">
        <f t="shared" si="207"/>
        <v>I</v>
      </c>
      <c r="D601" t="str">
        <f t="shared" si="208"/>
        <v>S</v>
      </c>
      <c r="E601" t="str">
        <f t="shared" si="209"/>
        <v>G</v>
      </c>
      <c r="F601">
        <v>72</v>
      </c>
      <c r="G601">
        <v>68</v>
      </c>
      <c r="H601">
        <v>5.851</v>
      </c>
      <c r="I601">
        <v>0.13300000000000001</v>
      </c>
      <c r="J601">
        <v>8.2000000000000003E-2</v>
      </c>
      <c r="K601" t="s">
        <v>24</v>
      </c>
      <c r="L601" t="str">
        <f t="shared" si="210"/>
        <v>F</v>
      </c>
      <c r="M601">
        <v>22</v>
      </c>
      <c r="N601">
        <v>0.27</v>
      </c>
      <c r="O601">
        <v>0.19900000000000001</v>
      </c>
      <c r="P601" t="s">
        <v>446</v>
      </c>
      <c r="Q601" t="str">
        <f t="shared" si="201"/>
        <v>F</v>
      </c>
      <c r="AR601">
        <v>6</v>
      </c>
      <c r="AS601">
        <v>4.4999999999999998E-2</v>
      </c>
      <c r="BV601" s="1">
        <v>4.4999999999999998E-2</v>
      </c>
      <c r="BW601" t="s">
        <v>447</v>
      </c>
      <c r="BX601" t="str">
        <f t="shared" si="216"/>
        <v>21</v>
      </c>
      <c r="BY601" t="str">
        <f>MID(BW601,5,1)</f>
        <v>2</v>
      </c>
      <c r="BZ601" t="str">
        <f t="shared" si="218"/>
        <v>2021</v>
      </c>
      <c r="CA601" s="5">
        <f t="shared" si="211"/>
        <v>44248</v>
      </c>
      <c r="CB601">
        <v>52</v>
      </c>
      <c r="CC601">
        <v>4</v>
      </c>
      <c r="CD601" t="s">
        <v>256</v>
      </c>
      <c r="CE601">
        <f t="shared" si="219"/>
        <v>1.4213901889408911</v>
      </c>
      <c r="CF601">
        <f t="shared" si="206"/>
        <v>2.3259881077299758</v>
      </c>
      <c r="CG601">
        <f t="shared" si="220"/>
        <v>2.3598296664300924</v>
      </c>
      <c r="CH601">
        <f t="shared" si="203"/>
        <v>3.4011280123055889</v>
      </c>
      <c r="CI601">
        <f t="shared" si="212"/>
        <v>1.2134677832849086</v>
      </c>
      <c r="CJ601" s="1">
        <f t="shared" si="213"/>
        <v>1.9825670825499915</v>
      </c>
      <c r="CK601" s="6" t="s">
        <v>142</v>
      </c>
      <c r="CL601" s="6">
        <v>3</v>
      </c>
      <c r="CM601" s="6"/>
      <c r="CN601" s="6"/>
      <c r="CO601" s="6"/>
      <c r="CP601" s="6"/>
    </row>
    <row r="602" spans="1:99" ht="17" x14ac:dyDescent="0.2">
      <c r="A602" s="6" t="s">
        <v>448</v>
      </c>
      <c r="B602" t="s">
        <v>60</v>
      </c>
      <c r="C602" t="str">
        <f t="shared" si="207"/>
        <v>I</v>
      </c>
      <c r="D602" t="str">
        <f t="shared" si="208"/>
        <v>S</v>
      </c>
      <c r="E602" t="str">
        <f t="shared" si="209"/>
        <v>G</v>
      </c>
      <c r="F602" s="7">
        <v>74</v>
      </c>
      <c r="G602" s="7">
        <v>70</v>
      </c>
      <c r="H602" s="7">
        <v>5.67</v>
      </c>
      <c r="I602" s="7">
        <v>0.17799999999999999</v>
      </c>
      <c r="J602" s="7">
        <v>9.4E-2</v>
      </c>
      <c r="K602" s="7" t="s">
        <v>24</v>
      </c>
      <c r="L602" t="str">
        <f t="shared" si="210"/>
        <v>F</v>
      </c>
      <c r="M602">
        <v>22</v>
      </c>
      <c r="N602" s="7">
        <v>0.29499999999999998</v>
      </c>
      <c r="O602" s="7">
        <v>0.24099999999999999</v>
      </c>
      <c r="P602" s="7" t="s">
        <v>449</v>
      </c>
      <c r="Q602" t="str">
        <f t="shared" si="201"/>
        <v>F</v>
      </c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  <c r="AL602" s="7"/>
      <c r="AM602" s="7"/>
      <c r="AN602" s="7"/>
      <c r="AO602" s="7"/>
      <c r="AP602" s="7"/>
      <c r="AQ602" s="7"/>
      <c r="AR602" s="7"/>
      <c r="AS602" s="7"/>
      <c r="AT602" s="7"/>
      <c r="AU602" s="7"/>
      <c r="AV602" s="7">
        <v>9</v>
      </c>
      <c r="AW602" s="7">
        <v>3.9E-2</v>
      </c>
      <c r="AX602" s="7"/>
      <c r="AY602" s="7"/>
      <c r="AZ602" s="7"/>
      <c r="BA602" s="7"/>
      <c r="BB602" s="7"/>
      <c r="BC602" s="7"/>
      <c r="BD602" s="7"/>
      <c r="BE602" s="7"/>
      <c r="BF602" s="7"/>
      <c r="BG602" s="7"/>
      <c r="BH602" s="7"/>
      <c r="BI602" s="7"/>
      <c r="BJ602" s="7"/>
      <c r="BK602" s="7"/>
      <c r="BL602" s="7"/>
      <c r="BM602" s="7"/>
      <c r="BN602" s="7"/>
      <c r="BO602" s="7"/>
      <c r="BP602" s="7"/>
      <c r="BQ602" s="7"/>
      <c r="BR602" s="7"/>
      <c r="BS602" s="7"/>
      <c r="BT602" s="7"/>
      <c r="BU602" s="7"/>
      <c r="BV602" s="1">
        <v>3.9E-2</v>
      </c>
      <c r="BW602" s="7" t="s">
        <v>450</v>
      </c>
      <c r="BX602" t="str">
        <f t="shared" ref="BX602:BX610" si="221">LEFT(BW602,2)</f>
        <v>21</v>
      </c>
      <c r="BY602" t="str">
        <f t="shared" ref="BY602:BY610" si="222">MID(BW602,4,1)</f>
        <v>2</v>
      </c>
      <c r="BZ602" t="str">
        <f t="shared" ref="BZ602:BZ610" si="223">20&amp;RIGHT(BW602,2)</f>
        <v>2021</v>
      </c>
      <c r="CA602" s="5">
        <f t="shared" si="211"/>
        <v>44248</v>
      </c>
      <c r="CB602">
        <v>52</v>
      </c>
      <c r="CC602">
        <v>4</v>
      </c>
      <c r="CD602" s="7" t="s">
        <v>256</v>
      </c>
      <c r="CE602">
        <f t="shared" si="219"/>
        <v>1.6857962697274034</v>
      </c>
      <c r="CF602">
        <f t="shared" si="206"/>
        <v>3.2410779315367808</v>
      </c>
      <c r="CG602">
        <f t="shared" si="220"/>
        <v>3.2975175991107815</v>
      </c>
      <c r="CH602">
        <f t="shared" si="203"/>
        <v>4.250440917107583</v>
      </c>
      <c r="CI602">
        <f t="shared" si="212"/>
        <v>0.95238095238095233</v>
      </c>
      <c r="CJ602" s="1">
        <f t="shared" si="213"/>
        <v>1.64021164021164</v>
      </c>
      <c r="CK602" s="6" t="s">
        <v>142</v>
      </c>
      <c r="CL602" s="6">
        <v>3</v>
      </c>
      <c r="CM602" s="6"/>
      <c r="CN602" s="6"/>
      <c r="CO602" s="6"/>
      <c r="CP602" s="6"/>
    </row>
    <row r="603" spans="1:99" ht="17" x14ac:dyDescent="0.2">
      <c r="A603" s="6" t="s">
        <v>451</v>
      </c>
      <c r="B603" t="s">
        <v>60</v>
      </c>
      <c r="C603" t="str">
        <f t="shared" si="207"/>
        <v>I</v>
      </c>
      <c r="D603" t="str">
        <f t="shared" si="208"/>
        <v>S</v>
      </c>
      <c r="E603" t="str">
        <f t="shared" si="209"/>
        <v>G</v>
      </c>
      <c r="F603" s="7">
        <v>75</v>
      </c>
      <c r="G603" s="7">
        <v>70</v>
      </c>
      <c r="H603" s="7">
        <v>7.5609999999999999</v>
      </c>
      <c r="I603" s="7">
        <v>0.15</v>
      </c>
      <c r="J603" s="7">
        <v>0.124</v>
      </c>
      <c r="K603" s="7" t="s">
        <v>24</v>
      </c>
      <c r="L603" t="str">
        <f t="shared" si="210"/>
        <v>F</v>
      </c>
      <c r="M603">
        <v>22</v>
      </c>
      <c r="N603" s="7">
        <v>0.28799999999999998</v>
      </c>
      <c r="O603" s="7">
        <v>0.27100000000000002</v>
      </c>
      <c r="P603" s="7" t="s">
        <v>386</v>
      </c>
      <c r="Q603" t="str">
        <f t="shared" si="201"/>
        <v>F</v>
      </c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  <c r="AM603" s="7"/>
      <c r="AN603" s="7"/>
      <c r="AO603" s="7"/>
      <c r="AP603" s="7"/>
      <c r="AQ603" s="7"/>
      <c r="AR603" s="7"/>
      <c r="AS603" s="7"/>
      <c r="AT603" s="7"/>
      <c r="AU603" s="7"/>
      <c r="AV603" s="7">
        <v>1</v>
      </c>
      <c r="AW603" s="7">
        <v>0</v>
      </c>
      <c r="AX603" s="7"/>
      <c r="AY603" s="7"/>
      <c r="AZ603" s="7"/>
      <c r="BA603" s="7"/>
      <c r="BB603" s="7"/>
      <c r="BC603" s="7"/>
      <c r="BD603" s="7"/>
      <c r="BE603" s="7"/>
      <c r="BF603" s="7"/>
      <c r="BG603" s="7"/>
      <c r="BH603" s="7"/>
      <c r="BI603" s="7"/>
      <c r="BJ603" s="7"/>
      <c r="BK603" s="7"/>
      <c r="BL603" s="7"/>
      <c r="BM603" s="7"/>
      <c r="BN603" s="7"/>
      <c r="BO603" s="7"/>
      <c r="BP603" s="7"/>
      <c r="BQ603" s="7"/>
      <c r="BR603" s="7"/>
      <c r="BS603" s="7"/>
      <c r="BT603" s="7"/>
      <c r="BU603" s="7"/>
      <c r="BV603" s="1">
        <v>0</v>
      </c>
      <c r="BW603" s="7" t="s">
        <v>450</v>
      </c>
      <c r="BX603" t="str">
        <f t="shared" si="221"/>
        <v>21</v>
      </c>
      <c r="BY603" t="str">
        <f t="shared" si="222"/>
        <v>2</v>
      </c>
      <c r="BZ603" t="str">
        <f t="shared" si="223"/>
        <v>2021</v>
      </c>
      <c r="CA603" s="5">
        <f t="shared" si="211"/>
        <v>44248</v>
      </c>
      <c r="CB603">
        <v>52</v>
      </c>
      <c r="CC603">
        <v>4</v>
      </c>
      <c r="CD603" s="7" t="s">
        <v>256</v>
      </c>
      <c r="CE603">
        <f t="shared" si="219"/>
        <v>1.6673389807718166</v>
      </c>
      <c r="CF603">
        <f t="shared" si="206"/>
        <v>2.0240183510997167</v>
      </c>
      <c r="CG603">
        <f t="shared" si="220"/>
        <v>2.0584602717167559</v>
      </c>
      <c r="CH603">
        <f t="shared" ref="CH603:CH621" si="224">O603/H603*100</f>
        <v>3.5841819865097211</v>
      </c>
      <c r="CI603">
        <f t="shared" si="212"/>
        <v>0.2248379843935982</v>
      </c>
      <c r="CJ603" s="1">
        <f t="shared" si="213"/>
        <v>0.2248379843935982</v>
      </c>
      <c r="CK603" s="6" t="s">
        <v>142</v>
      </c>
      <c r="CL603" s="6">
        <v>3</v>
      </c>
      <c r="CM603" s="6">
        <v>0</v>
      </c>
      <c r="CN603" s="6">
        <v>123</v>
      </c>
      <c r="CO603" s="6">
        <v>28</v>
      </c>
      <c r="CP603" s="6">
        <v>0</v>
      </c>
      <c r="CQ603" s="12">
        <v>2.3999999999999998E-3</v>
      </c>
      <c r="CR603">
        <f>CQ603/(H603-I603-J603-N603)*1000</f>
        <v>0.34290612944706383</v>
      </c>
      <c r="CS603">
        <v>6.6790000000000003</v>
      </c>
      <c r="CT603">
        <v>74.248146494964018</v>
      </c>
      <c r="CU603">
        <v>108.23533936651751</v>
      </c>
    </row>
    <row r="604" spans="1:99" ht="17" x14ac:dyDescent="0.2">
      <c r="A604" s="6" t="s">
        <v>452</v>
      </c>
      <c r="B604" t="s">
        <v>60</v>
      </c>
      <c r="C604" t="str">
        <f t="shared" si="207"/>
        <v>S</v>
      </c>
      <c r="D604" t="str">
        <f t="shared" si="208"/>
        <v>IMM</v>
      </c>
      <c r="E604" t="str">
        <f t="shared" si="209"/>
        <v>G</v>
      </c>
      <c r="F604" s="7">
        <v>60</v>
      </c>
      <c r="G604" s="7">
        <v>56</v>
      </c>
      <c r="H604" s="7">
        <v>2.9740000000000002</v>
      </c>
      <c r="I604" s="7">
        <v>5.6000000000000001E-2</v>
      </c>
      <c r="J604" s="7">
        <v>4.2000000000000003E-2</v>
      </c>
      <c r="K604" s="7" t="s">
        <v>24</v>
      </c>
      <c r="L604" t="str">
        <f t="shared" si="210"/>
        <v>F</v>
      </c>
      <c r="M604">
        <v>22</v>
      </c>
      <c r="N604" s="7">
        <v>0.13</v>
      </c>
      <c r="O604" s="7">
        <v>0.11700000000000001</v>
      </c>
      <c r="P604" s="7" t="s">
        <v>453</v>
      </c>
      <c r="Q604" t="str">
        <f t="shared" si="201"/>
        <v>F</v>
      </c>
      <c r="R604" s="7"/>
      <c r="S604" s="7"/>
      <c r="T604" s="7">
        <v>3</v>
      </c>
      <c r="U604" s="7">
        <v>4.0000000000000001E-3</v>
      </c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  <c r="AL604" s="7"/>
      <c r="AM604" s="7"/>
      <c r="AN604" s="7"/>
      <c r="AO604" s="7"/>
      <c r="AP604" s="7"/>
      <c r="AQ604" s="7"/>
      <c r="AR604" s="7"/>
      <c r="AS604" s="7"/>
      <c r="AT604" s="7"/>
      <c r="AU604" s="7"/>
      <c r="AV604" s="7"/>
      <c r="AW604" s="7"/>
      <c r="AX604" s="7"/>
      <c r="AY604" s="7"/>
      <c r="AZ604" s="7"/>
      <c r="BA604" s="7"/>
      <c r="BB604" s="7"/>
      <c r="BC604" s="7"/>
      <c r="BD604" s="7"/>
      <c r="BE604" s="7"/>
      <c r="BF604" s="7"/>
      <c r="BG604" s="7"/>
      <c r="BH604" s="7"/>
      <c r="BI604" s="7"/>
      <c r="BJ604" s="7"/>
      <c r="BK604" s="7"/>
      <c r="BL604" s="7"/>
      <c r="BM604" s="7"/>
      <c r="BN604" s="7"/>
      <c r="BO604" s="7"/>
      <c r="BP604" s="7"/>
      <c r="BQ604" s="7"/>
      <c r="BR604" s="7"/>
      <c r="BS604" s="7"/>
      <c r="BT604" s="7"/>
      <c r="BU604" s="7"/>
      <c r="BV604" s="1">
        <v>4.0000000000000001E-3</v>
      </c>
      <c r="BW604" s="7" t="s">
        <v>450</v>
      </c>
      <c r="BX604" t="str">
        <f t="shared" si="221"/>
        <v>21</v>
      </c>
      <c r="BY604" t="str">
        <f t="shared" si="222"/>
        <v>2</v>
      </c>
      <c r="BZ604" t="str">
        <f t="shared" si="223"/>
        <v>2021</v>
      </c>
      <c r="CA604" s="5">
        <f t="shared" si="211"/>
        <v>44248</v>
      </c>
      <c r="CB604">
        <v>52</v>
      </c>
      <c r="CC604">
        <v>4</v>
      </c>
      <c r="CD604" s="7" t="s">
        <v>290</v>
      </c>
      <c r="CE604">
        <f t="shared" si="219"/>
        <v>1.4324693042291952</v>
      </c>
      <c r="CF604">
        <f t="shared" si="206"/>
        <v>1.9191226867717615</v>
      </c>
      <c r="CG604">
        <f t="shared" si="220"/>
        <v>1.9471488178025034</v>
      </c>
      <c r="CH604">
        <f t="shared" si="224"/>
        <v>3.9340954942837931</v>
      </c>
      <c r="CI604">
        <f t="shared" si="212"/>
        <v>0.43712172158708795</v>
      </c>
      <c r="CJ604" s="1">
        <f t="shared" si="213"/>
        <v>0.57162071284465354</v>
      </c>
      <c r="CK604" s="6" t="s">
        <v>142</v>
      </c>
      <c r="CL604" s="6">
        <v>2</v>
      </c>
      <c r="CM604" s="6"/>
      <c r="CN604" s="6"/>
      <c r="CO604" s="6"/>
      <c r="CP604" s="6"/>
    </row>
    <row r="605" spans="1:99" ht="32" x14ac:dyDescent="0.2">
      <c r="A605" s="6" t="s">
        <v>454</v>
      </c>
      <c r="B605" t="s">
        <v>60</v>
      </c>
      <c r="C605" t="str">
        <f t="shared" si="207"/>
        <v>I</v>
      </c>
      <c r="D605" t="str">
        <f t="shared" si="208"/>
        <v>S</v>
      </c>
      <c r="E605" t="str">
        <f t="shared" si="209"/>
        <v>G</v>
      </c>
      <c r="F605" s="7">
        <v>84</v>
      </c>
      <c r="G605" s="7">
        <v>79</v>
      </c>
      <c r="H605" s="7">
        <v>8.2520000000000007</v>
      </c>
      <c r="I605" s="7">
        <v>0.186</v>
      </c>
      <c r="J605" s="7">
        <v>2.3E-2</v>
      </c>
      <c r="K605" s="7" t="s">
        <v>38</v>
      </c>
      <c r="L605" t="str">
        <f t="shared" si="210"/>
        <v>M</v>
      </c>
      <c r="M605">
        <v>22</v>
      </c>
      <c r="N605" s="7">
        <v>0.34399999999999997</v>
      </c>
      <c r="O605" s="7">
        <v>0.28499999999999998</v>
      </c>
      <c r="P605" s="7" t="s">
        <v>455</v>
      </c>
      <c r="Q605" t="str">
        <f t="shared" si="201"/>
        <v>F</v>
      </c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  <c r="AL605" s="7"/>
      <c r="AM605" s="7"/>
      <c r="AN605" s="7"/>
      <c r="AO605" s="7"/>
      <c r="AP605" s="7"/>
      <c r="AQ605" s="7"/>
      <c r="AR605" s="7">
        <v>1</v>
      </c>
      <c r="AS605" s="7">
        <v>7.0000000000000001E-3</v>
      </c>
      <c r="AT605" s="7"/>
      <c r="AU605" s="7"/>
      <c r="AV605" s="7">
        <v>9</v>
      </c>
      <c r="AW605" s="7">
        <v>2.3E-2</v>
      </c>
      <c r="AX605" s="7"/>
      <c r="AY605" s="7"/>
      <c r="AZ605" s="7"/>
      <c r="BA605" s="7"/>
      <c r="BB605" s="7"/>
      <c r="BC605" s="7"/>
      <c r="BD605" s="7"/>
      <c r="BE605" s="7"/>
      <c r="BF605" s="7"/>
      <c r="BG605" s="7"/>
      <c r="BH605" s="7"/>
      <c r="BI605" s="7"/>
      <c r="BJ605" s="7"/>
      <c r="BK605" s="7"/>
      <c r="BL605" s="7"/>
      <c r="BM605" s="7"/>
      <c r="BN605" s="7"/>
      <c r="BO605" s="7"/>
      <c r="BP605" s="7"/>
      <c r="BQ605" s="7"/>
      <c r="BR605" s="7"/>
      <c r="BS605" s="7"/>
      <c r="BT605" s="7"/>
      <c r="BU605" s="7"/>
      <c r="BV605" s="1">
        <v>0.03</v>
      </c>
      <c r="BW605" s="7" t="s">
        <v>450</v>
      </c>
      <c r="BX605" t="str">
        <f t="shared" si="221"/>
        <v>21</v>
      </c>
      <c r="BY605" t="str">
        <f t="shared" si="222"/>
        <v>2</v>
      </c>
      <c r="BZ605" t="str">
        <f t="shared" si="223"/>
        <v>2021</v>
      </c>
      <c r="CA605" s="5">
        <f t="shared" si="211"/>
        <v>44248</v>
      </c>
      <c r="CB605">
        <v>52</v>
      </c>
      <c r="CC605">
        <v>4</v>
      </c>
      <c r="CD605" s="7" t="s">
        <v>256</v>
      </c>
      <c r="CE605">
        <f t="shared" si="219"/>
        <v>0.279499331632033</v>
      </c>
      <c r="CF605">
        <f t="shared" si="206"/>
        <v>2.3059757004711132</v>
      </c>
      <c r="CG605">
        <f t="shared" si="220"/>
        <v>2.3125699365908239</v>
      </c>
      <c r="CH605">
        <f t="shared" si="224"/>
        <v>3.4537081919534653</v>
      </c>
      <c r="CI605">
        <f t="shared" si="212"/>
        <v>0.71497818710615602</v>
      </c>
      <c r="CJ605" s="1">
        <f t="shared" si="213"/>
        <v>1.0785264178380998</v>
      </c>
      <c r="CK605" s="6" t="s">
        <v>142</v>
      </c>
      <c r="CL605" s="6">
        <v>3</v>
      </c>
      <c r="CM605" s="6"/>
      <c r="CN605" s="6"/>
      <c r="CO605" s="6"/>
      <c r="CP605" s="6"/>
    </row>
    <row r="606" spans="1:99" ht="17" x14ac:dyDescent="0.2">
      <c r="A606" s="6" t="s">
        <v>456</v>
      </c>
      <c r="B606" t="s">
        <v>60</v>
      </c>
      <c r="C606" t="str">
        <f t="shared" si="207"/>
        <v>I</v>
      </c>
      <c r="D606" t="str">
        <f t="shared" si="208"/>
        <v>S</v>
      </c>
      <c r="E606" t="str">
        <f t="shared" si="209"/>
        <v>G</v>
      </c>
      <c r="F606" s="7">
        <v>71</v>
      </c>
      <c r="G606" s="7">
        <v>64</v>
      </c>
      <c r="H606" s="7">
        <v>5.3</v>
      </c>
      <c r="I606" s="7">
        <v>0.14699999999999999</v>
      </c>
      <c r="J606" s="7">
        <v>7.5999999999999998E-2</v>
      </c>
      <c r="K606" s="7" t="s">
        <v>24</v>
      </c>
      <c r="L606" t="str">
        <f t="shared" si="210"/>
        <v>F</v>
      </c>
      <c r="M606">
        <v>22</v>
      </c>
      <c r="N606" s="7">
        <v>0.20100000000000001</v>
      </c>
      <c r="O606" s="7">
        <v>0.19500000000000001</v>
      </c>
      <c r="P606" s="7" t="s">
        <v>36</v>
      </c>
      <c r="Q606" t="str">
        <f t="shared" si="201"/>
        <v>MT</v>
      </c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  <c r="AL606" s="7"/>
      <c r="AM606" s="7"/>
      <c r="AN606" s="7"/>
      <c r="AO606" s="7"/>
      <c r="AP606" s="7"/>
      <c r="AQ606" s="7"/>
      <c r="AR606" s="7"/>
      <c r="AS606" s="7"/>
      <c r="AT606" s="7"/>
      <c r="AU606" s="7"/>
      <c r="AV606" s="7"/>
      <c r="AW606" s="7"/>
      <c r="AX606" s="7"/>
      <c r="AY606" s="7"/>
      <c r="AZ606" s="7"/>
      <c r="BA606" s="7"/>
      <c r="BB606" s="7"/>
      <c r="BC606" s="7"/>
      <c r="BD606" s="7"/>
      <c r="BE606" s="7"/>
      <c r="BF606" s="7"/>
      <c r="BG606" s="7"/>
      <c r="BH606" s="7"/>
      <c r="BI606" s="7"/>
      <c r="BJ606" s="7"/>
      <c r="BK606" s="7"/>
      <c r="BL606" s="7"/>
      <c r="BM606" s="7"/>
      <c r="BN606" s="7"/>
      <c r="BO606" s="7"/>
      <c r="BP606" s="7"/>
      <c r="BQ606" s="7"/>
      <c r="BR606" s="7"/>
      <c r="BS606" s="7"/>
      <c r="BT606" s="7"/>
      <c r="BU606" s="7"/>
      <c r="BV606" s="1">
        <v>0</v>
      </c>
      <c r="BW606" s="7" t="s">
        <v>450</v>
      </c>
      <c r="BX606" t="str">
        <f t="shared" si="221"/>
        <v>21</v>
      </c>
      <c r="BY606" t="str">
        <f t="shared" si="222"/>
        <v>2</v>
      </c>
      <c r="BZ606" t="str">
        <f t="shared" si="223"/>
        <v>2021</v>
      </c>
      <c r="CA606" s="5">
        <f t="shared" si="211"/>
        <v>44248</v>
      </c>
      <c r="CB606">
        <v>52</v>
      </c>
      <c r="CC606">
        <v>4</v>
      </c>
      <c r="CD606" s="7" t="s">
        <v>256</v>
      </c>
      <c r="CE606">
        <f t="shared" si="219"/>
        <v>1.454823889739663</v>
      </c>
      <c r="CF606">
        <f t="shared" si="206"/>
        <v>2.8527071608771588</v>
      </c>
      <c r="CG606">
        <f t="shared" si="220"/>
        <v>2.8954106755958242</v>
      </c>
      <c r="CH606">
        <f t="shared" si="224"/>
        <v>3.6792452830188687</v>
      </c>
      <c r="CI606">
        <f t="shared" si="212"/>
        <v>0.11320754716981143</v>
      </c>
      <c r="CJ606" s="1">
        <f t="shared" si="213"/>
        <v>0.11320754716981143</v>
      </c>
      <c r="CK606" s="6" t="s">
        <v>142</v>
      </c>
      <c r="CL606" s="6">
        <v>3</v>
      </c>
      <c r="CM606" s="6">
        <v>0</v>
      </c>
      <c r="CN606" s="6">
        <v>89</v>
      </c>
      <c r="CO606" s="6">
        <v>9</v>
      </c>
      <c r="CP606" s="6">
        <v>0</v>
      </c>
      <c r="CQ606" s="12">
        <v>1E-3</v>
      </c>
      <c r="CR606">
        <f>CQ606/(H606-I606-J606-N606)*1000</f>
        <v>0.2050861361771944</v>
      </c>
      <c r="CS606">
        <v>6.9130000000000003</v>
      </c>
      <c r="CT606">
        <v>80.176290939721625</v>
      </c>
    </row>
    <row r="607" spans="1:99" ht="17" x14ac:dyDescent="0.2">
      <c r="A607" s="6" t="s">
        <v>457</v>
      </c>
      <c r="B607" t="s">
        <v>60</v>
      </c>
      <c r="C607" t="str">
        <f t="shared" si="207"/>
        <v>I</v>
      </c>
      <c r="D607" t="str">
        <f t="shared" si="208"/>
        <v>S</v>
      </c>
      <c r="E607" t="str">
        <f t="shared" si="209"/>
        <v>G</v>
      </c>
      <c r="F607" s="7">
        <v>80</v>
      </c>
      <c r="G607" s="7">
        <v>75</v>
      </c>
      <c r="H607" s="7">
        <v>8.077</v>
      </c>
      <c r="I607" s="7">
        <v>0.151</v>
      </c>
      <c r="J607" s="7">
        <v>1.2E-2</v>
      </c>
      <c r="K607" s="7" t="s">
        <v>38</v>
      </c>
      <c r="L607" t="str">
        <f t="shared" si="210"/>
        <v>M</v>
      </c>
      <c r="M607">
        <v>22</v>
      </c>
      <c r="N607" s="7">
        <v>0.28899999999999998</v>
      </c>
      <c r="O607" s="7">
        <v>0.28000000000000003</v>
      </c>
      <c r="P607" s="7" t="s">
        <v>36</v>
      </c>
      <c r="Q607" t="str">
        <f t="shared" si="201"/>
        <v>MT</v>
      </c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  <c r="AL607" s="7"/>
      <c r="AM607" s="7"/>
      <c r="AN607" s="7"/>
      <c r="AO607" s="7"/>
      <c r="AP607" s="7"/>
      <c r="AQ607" s="7"/>
      <c r="AR607" s="7"/>
      <c r="AS607" s="7"/>
      <c r="AT607" s="7"/>
      <c r="AU607" s="7"/>
      <c r="AV607" s="7"/>
      <c r="AW607" s="7"/>
      <c r="AX607" s="7"/>
      <c r="AY607" s="7"/>
      <c r="AZ607" s="7"/>
      <c r="BA607" s="7"/>
      <c r="BB607" s="7"/>
      <c r="BC607" s="7"/>
      <c r="BD607" s="7"/>
      <c r="BE607" s="7"/>
      <c r="BF607" s="7"/>
      <c r="BG607" s="7"/>
      <c r="BH607" s="7"/>
      <c r="BI607" s="7"/>
      <c r="BJ607" s="7"/>
      <c r="BK607" s="7"/>
      <c r="BL607" s="7"/>
      <c r="BM607" s="7"/>
      <c r="BN607" s="7"/>
      <c r="BO607" s="7"/>
      <c r="BP607" s="7"/>
      <c r="BQ607" s="7"/>
      <c r="BR607" s="7"/>
      <c r="BS607" s="7"/>
      <c r="BT607" s="7"/>
      <c r="BU607" s="7"/>
      <c r="BV607" s="11">
        <v>0</v>
      </c>
      <c r="BW607" s="7" t="s">
        <v>450</v>
      </c>
      <c r="BX607" t="str">
        <f t="shared" si="221"/>
        <v>21</v>
      </c>
      <c r="BY607" t="str">
        <f t="shared" si="222"/>
        <v>2</v>
      </c>
      <c r="BZ607" t="str">
        <f t="shared" si="223"/>
        <v>2021</v>
      </c>
      <c r="CA607" s="5">
        <f t="shared" si="211"/>
        <v>44248</v>
      </c>
      <c r="CB607">
        <v>52</v>
      </c>
      <c r="CC607">
        <v>4</v>
      </c>
      <c r="CD607" s="7" t="s">
        <v>256</v>
      </c>
      <c r="CE607">
        <f t="shared" si="219"/>
        <v>0.14879107253564788</v>
      </c>
      <c r="CF607">
        <f t="shared" si="206"/>
        <v>1.9051223820338126</v>
      </c>
      <c r="CG607">
        <f t="shared" si="220"/>
        <v>1.9080111195350011</v>
      </c>
      <c r="CH607">
        <f t="shared" si="224"/>
        <v>3.4666336511080851</v>
      </c>
      <c r="CI607">
        <f t="shared" si="212"/>
        <v>0.11142751021418786</v>
      </c>
      <c r="CJ607" s="1">
        <f t="shared" si="213"/>
        <v>0.11142751021418786</v>
      </c>
      <c r="CK607" s="6" t="s">
        <v>142</v>
      </c>
      <c r="CL607" s="6">
        <v>3</v>
      </c>
      <c r="CM607" s="6"/>
      <c r="CN607" s="6"/>
      <c r="CO607" s="6"/>
      <c r="CP607" s="6"/>
    </row>
    <row r="608" spans="1:99" ht="17" x14ac:dyDescent="0.2">
      <c r="A608" s="6" t="s">
        <v>458</v>
      </c>
      <c r="B608" t="s">
        <v>60</v>
      </c>
      <c r="C608" t="str">
        <f t="shared" si="207"/>
        <v>I</v>
      </c>
      <c r="D608" t="str">
        <f t="shared" si="208"/>
        <v>S</v>
      </c>
      <c r="E608" t="str">
        <f t="shared" si="209"/>
        <v>G</v>
      </c>
      <c r="F608" s="7">
        <v>71</v>
      </c>
      <c r="G608" s="7">
        <v>65</v>
      </c>
      <c r="H608" s="7">
        <v>4.7969999999999997</v>
      </c>
      <c r="I608" s="7">
        <v>0.10299999999999999</v>
      </c>
      <c r="J608" s="7">
        <v>8.5000000000000006E-2</v>
      </c>
      <c r="K608" s="7" t="s">
        <v>24</v>
      </c>
      <c r="L608" t="str">
        <f t="shared" si="210"/>
        <v>F</v>
      </c>
      <c r="M608">
        <v>22</v>
      </c>
      <c r="N608" s="7">
        <v>0.214</v>
      </c>
      <c r="O608" s="7">
        <v>0.188</v>
      </c>
      <c r="P608" s="7" t="s">
        <v>459</v>
      </c>
      <c r="Q608" t="str">
        <f t="shared" si="201"/>
        <v>F</v>
      </c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  <c r="AL608" s="7"/>
      <c r="AM608" s="7"/>
      <c r="AN608" s="7"/>
      <c r="AO608" s="7"/>
      <c r="AP608" s="7"/>
      <c r="AQ608" s="7"/>
      <c r="AR608" s="7"/>
      <c r="AS608" s="7"/>
      <c r="AT608" s="7"/>
      <c r="AU608" s="7"/>
      <c r="AV608" s="7">
        <v>4</v>
      </c>
      <c r="AW608" s="7">
        <v>1.0999999999999999E-2</v>
      </c>
      <c r="AX608" s="7"/>
      <c r="AY608" s="7"/>
      <c r="AZ608" s="7"/>
      <c r="BA608" s="7"/>
      <c r="BB608" s="7"/>
      <c r="BC608" s="7"/>
      <c r="BD608" s="7"/>
      <c r="BE608" s="7"/>
      <c r="BF608" s="7"/>
      <c r="BG608" s="7"/>
      <c r="BH608" s="7"/>
      <c r="BI608" s="7"/>
      <c r="BJ608" s="7"/>
      <c r="BK608" s="7"/>
      <c r="BL608" s="7"/>
      <c r="BM608" s="7"/>
      <c r="BN608" s="7"/>
      <c r="BO608" s="7"/>
      <c r="BP608" s="7"/>
      <c r="BQ608" s="7"/>
      <c r="BR608" s="7"/>
      <c r="BS608" s="7"/>
      <c r="BT608" s="7"/>
      <c r="BU608" s="7"/>
      <c r="BV608" s="11">
        <v>1.0999999999999999E-2</v>
      </c>
      <c r="BW608" s="7" t="s">
        <v>450</v>
      </c>
      <c r="BX608" t="str">
        <f t="shared" si="221"/>
        <v>21</v>
      </c>
      <c r="BY608" t="str">
        <f t="shared" si="222"/>
        <v>2</v>
      </c>
      <c r="BZ608" t="str">
        <f t="shared" si="223"/>
        <v>2021</v>
      </c>
      <c r="CA608" s="5">
        <f t="shared" si="211"/>
        <v>44248</v>
      </c>
      <c r="CB608">
        <v>52</v>
      </c>
      <c r="CC608">
        <v>4</v>
      </c>
      <c r="CD608" s="7" t="s">
        <v>290</v>
      </c>
      <c r="CE608">
        <f t="shared" si="219"/>
        <v>1.8039049235993212</v>
      </c>
      <c r="CF608">
        <f t="shared" si="206"/>
        <v>2.1942905837239026</v>
      </c>
      <c r="CG608">
        <f t="shared" si="220"/>
        <v>2.2347580820134518</v>
      </c>
      <c r="CH608">
        <f t="shared" si="224"/>
        <v>3.9191161142380659</v>
      </c>
      <c r="CI608">
        <f t="shared" si="212"/>
        <v>0.54200542005420049</v>
      </c>
      <c r="CJ608" s="1">
        <f t="shared" si="213"/>
        <v>0.77131540546174671</v>
      </c>
      <c r="CK608" s="6" t="s">
        <v>142</v>
      </c>
      <c r="CL608" s="6">
        <v>2</v>
      </c>
      <c r="CM608" s="6"/>
      <c r="CN608" s="6"/>
      <c r="CO608" s="6"/>
      <c r="CP608" s="6"/>
    </row>
    <row r="609" spans="1:96" ht="17" x14ac:dyDescent="0.2">
      <c r="A609" s="6" t="s">
        <v>460</v>
      </c>
      <c r="B609" t="s">
        <v>60</v>
      </c>
      <c r="C609" t="str">
        <f t="shared" si="207"/>
        <v>I</v>
      </c>
      <c r="D609" t="str">
        <f t="shared" si="208"/>
        <v>S</v>
      </c>
      <c r="E609" t="str">
        <f t="shared" si="209"/>
        <v>G</v>
      </c>
      <c r="F609" s="7">
        <v>76</v>
      </c>
      <c r="G609" s="7">
        <v>71</v>
      </c>
      <c r="H609" s="7">
        <v>6.7050000000000001</v>
      </c>
      <c r="I609" s="7">
        <v>0.29699999999999999</v>
      </c>
      <c r="J609" s="7">
        <v>1.9E-2</v>
      </c>
      <c r="K609" s="7" t="s">
        <v>38</v>
      </c>
      <c r="L609" t="str">
        <f t="shared" si="210"/>
        <v>M</v>
      </c>
      <c r="M609">
        <v>22</v>
      </c>
      <c r="N609" s="7">
        <v>0.25900000000000001</v>
      </c>
      <c r="O609" s="7">
        <v>0.22900000000000001</v>
      </c>
      <c r="P609" s="7" t="s">
        <v>461</v>
      </c>
      <c r="Q609" t="s">
        <v>36</v>
      </c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  <c r="AL609" s="7"/>
      <c r="AM609" s="7"/>
      <c r="AN609" s="7"/>
      <c r="AO609" s="7"/>
      <c r="AP609" s="7"/>
      <c r="AQ609" s="7"/>
      <c r="AR609" s="7"/>
      <c r="AS609" s="7"/>
      <c r="AT609" s="7"/>
      <c r="AU609" s="7"/>
      <c r="AV609" s="7"/>
      <c r="AW609" s="7"/>
      <c r="AX609" s="7"/>
      <c r="AY609" s="7"/>
      <c r="AZ609" s="7"/>
      <c r="BA609" s="7"/>
      <c r="BB609" s="7"/>
      <c r="BC609" s="7"/>
      <c r="BD609" s="7"/>
      <c r="BE609" s="7"/>
      <c r="BF609" s="7"/>
      <c r="BG609" s="7"/>
      <c r="BH609" s="7"/>
      <c r="BI609" s="7"/>
      <c r="BJ609" s="7"/>
      <c r="BK609" s="7"/>
      <c r="BL609" s="7"/>
      <c r="BM609" s="7"/>
      <c r="BN609" s="7"/>
      <c r="BO609" s="7"/>
      <c r="BP609" s="7"/>
      <c r="BQ609" s="7"/>
      <c r="BR609" s="7"/>
      <c r="BS609" s="7"/>
      <c r="BT609" s="7"/>
      <c r="BU609" s="7"/>
      <c r="BV609" s="11">
        <v>0</v>
      </c>
      <c r="BW609" s="7" t="s">
        <v>450</v>
      </c>
      <c r="BX609" t="str">
        <f t="shared" si="221"/>
        <v>21</v>
      </c>
      <c r="BY609" t="str">
        <f t="shared" si="222"/>
        <v>2</v>
      </c>
      <c r="BZ609" t="str">
        <f t="shared" si="223"/>
        <v>2021</v>
      </c>
      <c r="CA609" s="5">
        <f t="shared" si="211"/>
        <v>44248</v>
      </c>
      <c r="CB609">
        <v>52</v>
      </c>
      <c r="CC609">
        <v>4</v>
      </c>
      <c r="CD609" s="7" t="s">
        <v>256</v>
      </c>
      <c r="CE609">
        <f t="shared" si="219"/>
        <v>0.28417588991923426</v>
      </c>
      <c r="CF609">
        <f t="shared" si="206"/>
        <v>4.6348314606741567</v>
      </c>
      <c r="CG609">
        <f t="shared" si="220"/>
        <v>4.6486148066990136</v>
      </c>
      <c r="CH609">
        <f t="shared" si="224"/>
        <v>3.4153616703952276</v>
      </c>
      <c r="CI609">
        <f t="shared" si="212"/>
        <v>0.44742729306487694</v>
      </c>
      <c r="CJ609" s="1">
        <f t="shared" si="213"/>
        <v>0.44742729306487694</v>
      </c>
      <c r="CK609" s="6" t="s">
        <v>142</v>
      </c>
      <c r="CL609" s="6">
        <v>3</v>
      </c>
      <c r="CM609" s="6"/>
      <c r="CN609" s="6"/>
      <c r="CO609" s="6"/>
      <c r="CP609" s="6"/>
    </row>
    <row r="610" spans="1:96" ht="17" x14ac:dyDescent="0.2">
      <c r="A610" s="6" t="s">
        <v>462</v>
      </c>
      <c r="B610" t="s">
        <v>60</v>
      </c>
      <c r="C610" t="str">
        <f t="shared" si="207"/>
        <v>I</v>
      </c>
      <c r="D610" t="str">
        <f t="shared" si="208"/>
        <v>IMM</v>
      </c>
      <c r="E610" t="str">
        <f t="shared" si="209"/>
        <v>G</v>
      </c>
      <c r="F610" s="7">
        <v>61</v>
      </c>
      <c r="G610" s="7">
        <v>57</v>
      </c>
      <c r="H610" s="7">
        <v>3.1819999999999999</v>
      </c>
      <c r="I610" s="7">
        <v>6.3E-2</v>
      </c>
      <c r="J610" s="7">
        <v>6.0000000000000001E-3</v>
      </c>
      <c r="K610" s="7" t="s">
        <v>38</v>
      </c>
      <c r="L610" t="str">
        <f t="shared" si="210"/>
        <v>M</v>
      </c>
      <c r="M610">
        <v>22</v>
      </c>
      <c r="N610" s="7">
        <v>0.11799999999999999</v>
      </c>
      <c r="O610" s="7">
        <v>0.105</v>
      </c>
      <c r="P610" s="7" t="s">
        <v>463</v>
      </c>
      <c r="Q610" t="str">
        <f t="shared" ref="Q610:Q653" si="225">IF(P610="MT","MT","F")</f>
        <v>F</v>
      </c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  <c r="AL610" s="7"/>
      <c r="AM610" s="7"/>
      <c r="AN610" s="7"/>
      <c r="AO610" s="7"/>
      <c r="AP610" s="7"/>
      <c r="AQ610" s="7"/>
      <c r="AR610" s="7"/>
      <c r="AS610" s="7"/>
      <c r="AT610" s="7"/>
      <c r="AU610" s="7"/>
      <c r="AV610" s="7">
        <v>2</v>
      </c>
      <c r="AW610" s="7">
        <v>4.0000000000000001E-3</v>
      </c>
      <c r="AX610" s="7"/>
      <c r="AY610" s="7"/>
      <c r="AZ610" s="7"/>
      <c r="BA610" s="7"/>
      <c r="BB610" s="7"/>
      <c r="BC610" s="7"/>
      <c r="BD610" s="7"/>
      <c r="BE610" s="7"/>
      <c r="BF610" s="7"/>
      <c r="BG610" s="7"/>
      <c r="BH610" s="7"/>
      <c r="BI610" s="7"/>
      <c r="BJ610" s="7"/>
      <c r="BK610" s="7"/>
      <c r="BL610" s="7"/>
      <c r="BM610" s="7"/>
      <c r="BN610" s="7"/>
      <c r="BO610" s="7"/>
      <c r="BP610" s="7"/>
      <c r="BQ610" s="7"/>
      <c r="BR610" s="7"/>
      <c r="BS610" s="7"/>
      <c r="BT610" s="7"/>
      <c r="BU610" s="7"/>
      <c r="BV610" s="11">
        <v>4.0000000000000001E-3</v>
      </c>
      <c r="BW610" s="7" t="s">
        <v>450</v>
      </c>
      <c r="BX610" t="str">
        <f t="shared" si="221"/>
        <v>21</v>
      </c>
      <c r="BY610" t="str">
        <f t="shared" si="222"/>
        <v>2</v>
      </c>
      <c r="BZ610" t="str">
        <f t="shared" si="223"/>
        <v>2021</v>
      </c>
      <c r="CA610" s="5">
        <f t="shared" si="211"/>
        <v>44248</v>
      </c>
      <c r="CB610">
        <v>52</v>
      </c>
      <c r="CC610">
        <v>4</v>
      </c>
      <c r="CD610" s="7" t="s">
        <v>290</v>
      </c>
      <c r="CE610">
        <f t="shared" si="219"/>
        <v>0.18891687657430731</v>
      </c>
      <c r="CF610">
        <f t="shared" si="206"/>
        <v>2.0198781660788714</v>
      </c>
      <c r="CG610">
        <f t="shared" si="220"/>
        <v>2.0237712817218116</v>
      </c>
      <c r="CH610">
        <f t="shared" si="224"/>
        <v>3.2998114393463229</v>
      </c>
      <c r="CI610">
        <f t="shared" si="212"/>
        <v>0.4085480829666876</v>
      </c>
      <c r="CJ610" s="1">
        <f t="shared" si="213"/>
        <v>0.53425518541797612</v>
      </c>
      <c r="CK610" s="6" t="s">
        <v>142</v>
      </c>
      <c r="CL610" s="6">
        <v>2</v>
      </c>
      <c r="CM610" s="6"/>
      <c r="CN610" s="6"/>
      <c r="CO610" s="6"/>
      <c r="CP610" s="6"/>
    </row>
    <row r="611" spans="1:96" x14ac:dyDescent="0.2">
      <c r="A611" s="7" t="s">
        <v>531</v>
      </c>
      <c r="B611" s="7" t="s">
        <v>60</v>
      </c>
      <c r="C611" t="str">
        <f t="shared" si="207"/>
        <v>I</v>
      </c>
      <c r="D611" t="str">
        <f t="shared" si="208"/>
        <v>S</v>
      </c>
      <c r="E611" t="str">
        <f t="shared" si="209"/>
        <v>G</v>
      </c>
      <c r="F611" s="7">
        <v>77</v>
      </c>
      <c r="G611" s="7">
        <v>68</v>
      </c>
      <c r="H611" s="7">
        <v>6.9379999999999997</v>
      </c>
      <c r="I611" s="7">
        <v>0.156</v>
      </c>
      <c r="J611" s="7">
        <v>1.2E-2</v>
      </c>
      <c r="K611" s="7" t="s">
        <v>38</v>
      </c>
      <c r="L611" t="str">
        <f t="shared" si="210"/>
        <v>M</v>
      </c>
      <c r="M611">
        <v>22</v>
      </c>
      <c r="N611" s="7">
        <v>0.311</v>
      </c>
      <c r="O611" s="7">
        <v>0.30299999999999999</v>
      </c>
      <c r="P611" s="7" t="s">
        <v>36</v>
      </c>
      <c r="Q611" t="str">
        <f t="shared" si="225"/>
        <v>MT</v>
      </c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  <c r="AL611" s="7"/>
      <c r="AM611" s="7"/>
      <c r="AN611" s="7"/>
      <c r="AO611" s="7"/>
      <c r="AP611" s="7"/>
      <c r="AQ611" s="7"/>
      <c r="AR611" s="7"/>
      <c r="AS611" s="7"/>
      <c r="AT611" s="7"/>
      <c r="AU611" s="7"/>
      <c r="AV611" s="7"/>
      <c r="AW611" s="7"/>
      <c r="AX611" s="7"/>
      <c r="AY611" s="7"/>
      <c r="AZ611" s="7"/>
      <c r="BA611" s="7"/>
      <c r="BB611" s="7"/>
      <c r="BC611" s="7"/>
      <c r="BD611" s="7"/>
      <c r="BE611" s="7"/>
      <c r="BF611" s="7"/>
      <c r="BG611" s="7"/>
      <c r="BH611" s="7"/>
      <c r="BI611" s="7"/>
      <c r="BJ611" s="7"/>
      <c r="BK611" s="7"/>
      <c r="BL611" s="7"/>
      <c r="BM611" s="7"/>
      <c r="BN611" s="7"/>
      <c r="BO611" s="7"/>
      <c r="BP611" s="7"/>
      <c r="BQ611" s="7"/>
      <c r="BR611" s="7"/>
      <c r="BS611" s="7"/>
      <c r="BT611" s="7"/>
      <c r="BU611" s="7"/>
      <c r="BV611" s="11">
        <v>0</v>
      </c>
      <c r="BW611" s="10">
        <v>44319</v>
      </c>
      <c r="BX611" s="7">
        <v>5</v>
      </c>
      <c r="BY611" s="7">
        <v>3</v>
      </c>
      <c r="BZ611" s="7">
        <v>2021</v>
      </c>
      <c r="CA611" s="5">
        <f t="shared" si="211"/>
        <v>44260</v>
      </c>
      <c r="CB611">
        <v>64</v>
      </c>
      <c r="CC611" s="7">
        <v>5</v>
      </c>
      <c r="CD611" s="7"/>
      <c r="CE611">
        <f t="shared" si="219"/>
        <v>0.17326017903551832</v>
      </c>
      <c r="CF611">
        <f t="shared" si="206"/>
        <v>2.30020642878207</v>
      </c>
      <c r="CG611">
        <f t="shared" si="220"/>
        <v>2.3042836041358936</v>
      </c>
      <c r="CH611">
        <f t="shared" si="224"/>
        <v>4.3672528106082442</v>
      </c>
      <c r="CI611">
        <f t="shared" si="212"/>
        <v>0.11530700490054782</v>
      </c>
      <c r="CJ611" s="1">
        <f t="shared" si="213"/>
        <v>0.11530700490054782</v>
      </c>
      <c r="CK611" s="7" t="s">
        <v>142</v>
      </c>
      <c r="CL611" s="7">
        <v>4</v>
      </c>
      <c r="CM611" s="7"/>
      <c r="CN611" s="7"/>
      <c r="CO611" s="7"/>
      <c r="CP611" s="7"/>
    </row>
    <row r="612" spans="1:96" x14ac:dyDescent="0.2">
      <c r="A612" s="7" t="s">
        <v>532</v>
      </c>
      <c r="B612" s="7" t="s">
        <v>60</v>
      </c>
      <c r="C612" t="str">
        <f t="shared" si="207"/>
        <v>I</v>
      </c>
      <c r="D612" t="str">
        <f t="shared" si="208"/>
        <v>S</v>
      </c>
      <c r="E612" t="str">
        <f t="shared" si="209"/>
        <v>G</v>
      </c>
      <c r="F612" s="7">
        <v>83</v>
      </c>
      <c r="G612" s="7">
        <v>80</v>
      </c>
      <c r="H612" s="7">
        <v>8.43</v>
      </c>
      <c r="I612" s="7">
        <v>0.154</v>
      </c>
      <c r="J612" s="7">
        <v>1.7000000000000001E-2</v>
      </c>
      <c r="K612" s="7" t="s">
        <v>38</v>
      </c>
      <c r="L612" t="str">
        <f t="shared" si="210"/>
        <v>M</v>
      </c>
      <c r="M612">
        <v>22</v>
      </c>
      <c r="N612" s="7">
        <v>0.33600000000000002</v>
      </c>
      <c r="O612" s="7">
        <v>0.32700000000000001</v>
      </c>
      <c r="P612" s="7" t="s">
        <v>36</v>
      </c>
      <c r="Q612" t="str">
        <f t="shared" si="225"/>
        <v>MT</v>
      </c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  <c r="AL612" s="7"/>
      <c r="AM612" s="7"/>
      <c r="AN612" s="7"/>
      <c r="AO612" s="7"/>
      <c r="AP612" s="7"/>
      <c r="AQ612" s="7"/>
      <c r="AR612" s="7"/>
      <c r="AS612" s="7"/>
      <c r="AT612" s="7"/>
      <c r="AU612" s="7"/>
      <c r="AV612" s="7"/>
      <c r="AW612" s="7"/>
      <c r="AX612" s="7"/>
      <c r="AY612" s="7"/>
      <c r="AZ612" s="7"/>
      <c r="BA612" s="7"/>
      <c r="BB612" s="7"/>
      <c r="BC612" s="7"/>
      <c r="BD612" s="7"/>
      <c r="BE612" s="7"/>
      <c r="BF612" s="7"/>
      <c r="BG612" s="7"/>
      <c r="BH612" s="7"/>
      <c r="BI612" s="7"/>
      <c r="BJ612" s="7"/>
      <c r="BK612" s="7"/>
      <c r="BL612" s="7"/>
      <c r="BM612" s="7"/>
      <c r="BN612" s="7"/>
      <c r="BO612" s="7"/>
      <c r="BP612" s="7"/>
      <c r="BQ612" s="7"/>
      <c r="BR612" s="7"/>
      <c r="BS612" s="7"/>
      <c r="BT612" s="7"/>
      <c r="BU612" s="7"/>
      <c r="BV612" s="11">
        <v>0</v>
      </c>
      <c r="BW612" s="10">
        <v>44319</v>
      </c>
      <c r="BX612" s="7">
        <v>5</v>
      </c>
      <c r="BY612" s="7">
        <v>3</v>
      </c>
      <c r="BZ612" s="7">
        <v>2021</v>
      </c>
      <c r="CA612" s="5">
        <f t="shared" si="211"/>
        <v>44260</v>
      </c>
      <c r="CB612">
        <v>64</v>
      </c>
      <c r="CC612" s="7">
        <v>5</v>
      </c>
      <c r="CD612" s="7" t="s">
        <v>533</v>
      </c>
      <c r="CE612">
        <f t="shared" si="219"/>
        <v>0.20206822774277905</v>
      </c>
      <c r="CF612">
        <f t="shared" si="206"/>
        <v>1.8608023199613342</v>
      </c>
      <c r="CG612">
        <f t="shared" si="220"/>
        <v>1.8646325220971058</v>
      </c>
      <c r="CH612">
        <f t="shared" si="224"/>
        <v>3.8790035587188618</v>
      </c>
      <c r="CI612">
        <f t="shared" si="212"/>
        <v>0.10676156583629903</v>
      </c>
      <c r="CJ612" s="1">
        <f t="shared" si="213"/>
        <v>0.10676156583629903</v>
      </c>
      <c r="CK612" s="7" t="s">
        <v>142</v>
      </c>
      <c r="CL612" s="7">
        <v>3</v>
      </c>
      <c r="CM612" s="7"/>
      <c r="CN612" s="7"/>
      <c r="CO612" s="7"/>
      <c r="CP612" s="7"/>
    </row>
    <row r="613" spans="1:96" x14ac:dyDescent="0.2">
      <c r="A613" s="7" t="s">
        <v>534</v>
      </c>
      <c r="B613" s="7" t="s">
        <v>60</v>
      </c>
      <c r="C613" t="str">
        <f t="shared" si="207"/>
        <v>I</v>
      </c>
      <c r="D613" t="str">
        <f t="shared" si="208"/>
        <v>S</v>
      </c>
      <c r="E613" t="str">
        <f t="shared" si="209"/>
        <v>G</v>
      </c>
      <c r="F613" s="7">
        <v>76</v>
      </c>
      <c r="G613" s="7">
        <v>70</v>
      </c>
      <c r="H613" s="7">
        <v>6.4850000000000003</v>
      </c>
      <c r="I613" s="7">
        <v>0.156</v>
      </c>
      <c r="J613" s="7">
        <v>1.2999999999999999E-2</v>
      </c>
      <c r="K613" s="7" t="s">
        <v>38</v>
      </c>
      <c r="L613" t="str">
        <f t="shared" si="210"/>
        <v>M</v>
      </c>
      <c r="M613">
        <v>22</v>
      </c>
      <c r="N613" s="7">
        <v>0.32600000000000001</v>
      </c>
      <c r="O613" s="7">
        <v>0.29599999999999999</v>
      </c>
      <c r="P613" s="7" t="s">
        <v>535</v>
      </c>
      <c r="Q613" t="str">
        <f t="shared" si="225"/>
        <v>F</v>
      </c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  <c r="AL613" s="7"/>
      <c r="AM613" s="7"/>
      <c r="AN613" s="7"/>
      <c r="AO613" s="7"/>
      <c r="AP613" s="7"/>
      <c r="AQ613" s="7"/>
      <c r="AT613" s="7"/>
      <c r="AU613" s="7"/>
      <c r="AV613" s="7">
        <v>3</v>
      </c>
      <c r="AW613" s="7">
        <v>1.2E-2</v>
      </c>
      <c r="AX613" s="7"/>
      <c r="AY613" s="7"/>
      <c r="AZ613" s="7"/>
      <c r="BA613" s="7"/>
      <c r="BB613" s="7"/>
      <c r="BC613" s="7"/>
      <c r="BD613" s="7"/>
      <c r="BE613" s="7"/>
      <c r="BF613" s="7"/>
      <c r="BG613" s="7"/>
      <c r="BH613" s="7"/>
      <c r="BI613" s="7"/>
      <c r="BJ613" s="7"/>
      <c r="BK613" s="7"/>
      <c r="BL613" s="7"/>
      <c r="BM613" s="7"/>
      <c r="BN613" s="7"/>
      <c r="BO613" s="7"/>
      <c r="BP613" s="7"/>
      <c r="BQ613" s="7"/>
      <c r="BR613" s="7"/>
      <c r="BS613" s="7"/>
      <c r="BT613" s="7"/>
      <c r="BU613" s="7"/>
      <c r="BV613" s="11">
        <v>1.2E-2</v>
      </c>
      <c r="BW613" s="10">
        <v>44319</v>
      </c>
      <c r="BX613" s="7">
        <v>5</v>
      </c>
      <c r="BY613" s="7">
        <v>3</v>
      </c>
      <c r="BZ613" s="7">
        <v>2021</v>
      </c>
      <c r="CA613" s="5">
        <f t="shared" si="211"/>
        <v>44260</v>
      </c>
      <c r="CB613">
        <v>64</v>
      </c>
      <c r="CC613" s="7">
        <v>5</v>
      </c>
      <c r="CD613" s="7"/>
      <c r="CE613">
        <f t="shared" si="219"/>
        <v>0.20086526576019778</v>
      </c>
      <c r="CF613">
        <f t="shared" si="206"/>
        <v>2.4648443671986096</v>
      </c>
      <c r="CG613">
        <f t="shared" si="220"/>
        <v>2.4699176694110192</v>
      </c>
      <c r="CH613">
        <f t="shared" si="224"/>
        <v>4.5643793369313794</v>
      </c>
      <c r="CI613">
        <f t="shared" si="212"/>
        <v>0.46260601387818079</v>
      </c>
      <c r="CJ613" s="1">
        <f t="shared" si="213"/>
        <v>0.64764841942945295</v>
      </c>
      <c r="CK613" s="7" t="s">
        <v>142</v>
      </c>
      <c r="CL613" s="7">
        <v>3</v>
      </c>
      <c r="CM613" s="7"/>
      <c r="CN613" s="7"/>
      <c r="CO613" s="7"/>
      <c r="CP613" s="7"/>
    </row>
    <row r="614" spans="1:96" x14ac:dyDescent="0.2">
      <c r="A614" s="7" t="s">
        <v>536</v>
      </c>
      <c r="B614" s="7" t="s">
        <v>60</v>
      </c>
      <c r="C614" t="str">
        <f t="shared" si="207"/>
        <v>I</v>
      </c>
      <c r="D614" t="str">
        <f t="shared" si="208"/>
        <v>S</v>
      </c>
      <c r="E614" t="str">
        <f t="shared" si="209"/>
        <v>G</v>
      </c>
      <c r="F614" s="7">
        <v>80</v>
      </c>
      <c r="G614" s="7">
        <v>76</v>
      </c>
      <c r="H614" s="7">
        <v>7.5720000000000001</v>
      </c>
      <c r="I614" s="7">
        <v>0.126</v>
      </c>
      <c r="J614" s="7">
        <v>1.2999999999999999E-2</v>
      </c>
      <c r="K614" s="7" t="s">
        <v>38</v>
      </c>
      <c r="L614" t="str">
        <f t="shared" si="210"/>
        <v>M</v>
      </c>
      <c r="M614">
        <v>22</v>
      </c>
      <c r="N614" s="7">
        <v>0.34300000000000003</v>
      </c>
      <c r="O614" s="7">
        <v>0.30399999999999999</v>
      </c>
      <c r="P614" s="7" t="s">
        <v>537</v>
      </c>
      <c r="Q614" t="str">
        <f t="shared" si="225"/>
        <v>F</v>
      </c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  <c r="AL614" s="7"/>
      <c r="AM614" s="7"/>
      <c r="AN614" s="7"/>
      <c r="AO614" s="7"/>
      <c r="AP614" s="7"/>
      <c r="AQ614" s="7"/>
      <c r="AT614" s="7"/>
      <c r="AU614" s="7"/>
      <c r="AV614" s="7">
        <v>5</v>
      </c>
      <c r="AW614" s="7">
        <v>1.9E-2</v>
      </c>
      <c r="AX614" s="7"/>
      <c r="AY614" s="7"/>
      <c r="AZ614" s="7"/>
      <c r="BA614" s="7"/>
      <c r="BB614" s="7"/>
      <c r="BC614" s="7"/>
      <c r="BD614" s="7"/>
      <c r="BE614" s="7"/>
      <c r="BF614" s="7"/>
      <c r="BG614" s="7"/>
      <c r="BH614" s="7"/>
      <c r="BI614" s="7"/>
      <c r="BJ614" s="7"/>
      <c r="BK614" s="7"/>
      <c r="BL614" s="7"/>
      <c r="BM614" s="7"/>
      <c r="BN614" s="7"/>
      <c r="BO614" s="7"/>
      <c r="BP614" s="7"/>
      <c r="BQ614" s="7"/>
      <c r="BR614" s="7"/>
      <c r="BS614" s="7"/>
      <c r="BT614" s="7"/>
      <c r="BU614" s="7"/>
      <c r="BV614" s="11">
        <v>1.9E-2</v>
      </c>
      <c r="BW614" s="10">
        <v>44319</v>
      </c>
      <c r="BX614" s="7">
        <v>5</v>
      </c>
      <c r="BY614" s="7">
        <v>3</v>
      </c>
      <c r="BZ614" s="7">
        <v>2021</v>
      </c>
      <c r="CA614" s="5">
        <f t="shared" si="211"/>
        <v>44260</v>
      </c>
      <c r="CB614">
        <v>64</v>
      </c>
      <c r="CC614" s="7">
        <v>5</v>
      </c>
      <c r="CD614" s="7"/>
      <c r="CE614">
        <f t="shared" si="219"/>
        <v>0.17198042069056751</v>
      </c>
      <c r="CF614">
        <f t="shared" si="206"/>
        <v>1.6921837228041903</v>
      </c>
      <c r="CG614">
        <f t="shared" si="220"/>
        <v>1.6951432799677115</v>
      </c>
      <c r="CH614">
        <f t="shared" si="224"/>
        <v>4.0147913365029053</v>
      </c>
      <c r="CI614">
        <f t="shared" si="212"/>
        <v>0.51505546751188636</v>
      </c>
      <c r="CJ614" s="1">
        <f t="shared" si="213"/>
        <v>0.76597992604331799</v>
      </c>
      <c r="CK614" s="7" t="s">
        <v>142</v>
      </c>
      <c r="CL614" s="7">
        <v>3</v>
      </c>
      <c r="CM614" s="7"/>
      <c r="CN614" s="7"/>
      <c r="CO614" s="7"/>
      <c r="CP614" s="7"/>
    </row>
    <row r="615" spans="1:96" x14ac:dyDescent="0.2">
      <c r="A615" s="7" t="s">
        <v>538</v>
      </c>
      <c r="B615" s="7" t="s">
        <v>60</v>
      </c>
      <c r="C615" t="str">
        <f t="shared" si="207"/>
        <v>I</v>
      </c>
      <c r="D615" t="str">
        <f t="shared" si="208"/>
        <v>S</v>
      </c>
      <c r="E615" t="str">
        <f t="shared" si="209"/>
        <v>G</v>
      </c>
      <c r="F615" s="7">
        <v>77</v>
      </c>
      <c r="G615" s="7">
        <v>73</v>
      </c>
      <c r="H615" s="7">
        <v>6.3689999999999998</v>
      </c>
      <c r="I615" s="7">
        <v>0.14299999999999999</v>
      </c>
      <c r="J615" s="7">
        <v>1.2E-2</v>
      </c>
      <c r="K615" s="7" t="s">
        <v>38</v>
      </c>
      <c r="L615" t="str">
        <f t="shared" si="210"/>
        <v>M</v>
      </c>
      <c r="M615">
        <v>22</v>
      </c>
      <c r="N615" s="7">
        <v>0.29899999999999999</v>
      </c>
      <c r="O615" s="7">
        <v>0.26700000000000002</v>
      </c>
      <c r="P615" s="7" t="s">
        <v>539</v>
      </c>
      <c r="Q615" t="str">
        <f t="shared" si="225"/>
        <v>F</v>
      </c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  <c r="AL615" s="7"/>
      <c r="AM615" s="7"/>
      <c r="AN615" s="7"/>
      <c r="AO615" s="7"/>
      <c r="AP615" s="7"/>
      <c r="AQ615" s="7"/>
      <c r="AT615" s="7"/>
      <c r="AU615" s="7"/>
      <c r="AV615" s="7">
        <v>3</v>
      </c>
      <c r="AW615" s="7">
        <v>1.4E-2</v>
      </c>
      <c r="AX615" s="7"/>
      <c r="AY615" s="7"/>
      <c r="AZ615" s="7"/>
      <c r="BA615" s="7"/>
      <c r="BB615" s="7"/>
      <c r="BC615" s="7"/>
      <c r="BD615" s="7"/>
      <c r="BE615" s="7"/>
      <c r="BF615" s="7"/>
      <c r="BG615" s="7"/>
      <c r="BH615" s="7"/>
      <c r="BI615" s="7"/>
      <c r="BJ615" s="7"/>
      <c r="BK615" s="7"/>
      <c r="BL615" s="7"/>
      <c r="BM615" s="7"/>
      <c r="BN615" s="7"/>
      <c r="BO615" s="7"/>
      <c r="BP615" s="7"/>
      <c r="BQ615" s="7"/>
      <c r="BR615" s="7"/>
      <c r="BS615" s="7"/>
      <c r="BT615" s="7"/>
      <c r="BU615" s="7"/>
      <c r="BV615" s="11">
        <v>1.4E-2</v>
      </c>
      <c r="BW615" s="10">
        <v>44319</v>
      </c>
      <c r="BX615" s="7">
        <v>5</v>
      </c>
      <c r="BY615" s="7">
        <v>3</v>
      </c>
      <c r="BZ615" s="7">
        <v>2021</v>
      </c>
      <c r="CA615" s="5">
        <f t="shared" si="211"/>
        <v>44260</v>
      </c>
      <c r="CB615">
        <v>64</v>
      </c>
      <c r="CC615" s="7">
        <v>5</v>
      </c>
      <c r="CD615" s="7"/>
      <c r="CE615">
        <f t="shared" si="219"/>
        <v>0.18876828692779613</v>
      </c>
      <c r="CF615">
        <f t="shared" si="206"/>
        <v>2.2968197879858652</v>
      </c>
      <c r="CG615">
        <f t="shared" si="220"/>
        <v>2.3012552301255229</v>
      </c>
      <c r="CH615">
        <f t="shared" si="224"/>
        <v>4.1921808761186998</v>
      </c>
      <c r="CI615">
        <f t="shared" si="212"/>
        <v>0.50243366305542436</v>
      </c>
      <c r="CJ615" s="1">
        <f t="shared" si="213"/>
        <v>0.72224839064217261</v>
      </c>
      <c r="CK615" s="7" t="s">
        <v>142</v>
      </c>
      <c r="CL615" s="7">
        <v>3</v>
      </c>
      <c r="CM615" s="7"/>
      <c r="CN615" s="7"/>
      <c r="CO615" s="7"/>
      <c r="CP615" s="7"/>
    </row>
    <row r="616" spans="1:96" x14ac:dyDescent="0.2">
      <c r="A616" s="7" t="s">
        <v>540</v>
      </c>
      <c r="B616" s="7" t="s">
        <v>60</v>
      </c>
      <c r="C616" t="str">
        <f t="shared" si="207"/>
        <v>I</v>
      </c>
      <c r="D616" t="str">
        <f t="shared" si="208"/>
        <v>S</v>
      </c>
      <c r="E616" t="str">
        <f t="shared" si="209"/>
        <v>G</v>
      </c>
      <c r="F616" s="7">
        <v>81</v>
      </c>
      <c r="G616" s="7">
        <v>77</v>
      </c>
      <c r="H616" s="7">
        <v>7.7690000000000001</v>
      </c>
      <c r="I616" s="7">
        <v>0.314</v>
      </c>
      <c r="J616" s="7">
        <v>1.6E-2</v>
      </c>
      <c r="K616" s="7" t="s">
        <v>38</v>
      </c>
      <c r="L616" t="str">
        <f t="shared" si="210"/>
        <v>M</v>
      </c>
      <c r="M616">
        <v>22</v>
      </c>
      <c r="N616" s="7">
        <v>0.35199999999999998</v>
      </c>
      <c r="O616" s="7">
        <v>0.34300000000000003</v>
      </c>
      <c r="P616" s="7" t="s">
        <v>36</v>
      </c>
      <c r="Q616" t="str">
        <f t="shared" si="225"/>
        <v>MT</v>
      </c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  <c r="AL616" s="7"/>
      <c r="AM616" s="7"/>
      <c r="AN616" s="7"/>
      <c r="AO616" s="7"/>
      <c r="AP616" s="7"/>
      <c r="AQ616" s="7"/>
      <c r="AT616" s="7"/>
      <c r="AU616" s="7"/>
      <c r="AV616" s="7"/>
      <c r="AW616" s="7"/>
      <c r="AX616" s="7"/>
      <c r="AY616" s="7"/>
      <c r="AZ616" s="7"/>
      <c r="BA616" s="7"/>
      <c r="BB616" s="7"/>
      <c r="BC616" s="7"/>
      <c r="BD616" s="7"/>
      <c r="BE616" s="7"/>
      <c r="BF616" s="7"/>
      <c r="BG616" s="7"/>
      <c r="BH616" s="7"/>
      <c r="BI616" s="7"/>
      <c r="BJ616" s="7"/>
      <c r="BK616" s="7"/>
      <c r="BL616" s="7"/>
      <c r="BM616" s="7"/>
      <c r="BN616" s="7"/>
      <c r="BO616" s="7"/>
      <c r="BP616" s="7"/>
      <c r="BQ616" s="7"/>
      <c r="BR616" s="7"/>
      <c r="BS616" s="7"/>
      <c r="BT616" s="7"/>
      <c r="BU616" s="7"/>
      <c r="BV616" s="11">
        <v>0</v>
      </c>
      <c r="BW616" s="10">
        <v>44319</v>
      </c>
      <c r="BX616" s="7">
        <v>5</v>
      </c>
      <c r="BY616" s="7">
        <v>3</v>
      </c>
      <c r="BZ616" s="7">
        <v>2021</v>
      </c>
      <c r="CA616" s="5">
        <f t="shared" si="211"/>
        <v>44260</v>
      </c>
      <c r="CB616">
        <v>64</v>
      </c>
      <c r="CC616" s="7">
        <v>5</v>
      </c>
      <c r="CD616" s="7"/>
      <c r="CE616">
        <f t="shared" si="219"/>
        <v>0.20637172707339094</v>
      </c>
      <c r="CF616">
        <f t="shared" si="206"/>
        <v>4.2119382964453393</v>
      </c>
      <c r="CG616">
        <f t="shared" si="220"/>
        <v>4.2209974458932651</v>
      </c>
      <c r="CH616">
        <f t="shared" si="224"/>
        <v>4.4149826232462352</v>
      </c>
      <c r="CI616">
        <f t="shared" si="212"/>
        <v>0.11584502509975482</v>
      </c>
      <c r="CJ616" s="1">
        <f t="shared" si="213"/>
        <v>0.11584502509975482</v>
      </c>
      <c r="CK616" s="7" t="s">
        <v>142</v>
      </c>
      <c r="CL616" s="7">
        <v>3</v>
      </c>
      <c r="CM616" s="7"/>
      <c r="CN616" s="7"/>
      <c r="CO616" s="7"/>
      <c r="CP616" s="7"/>
    </row>
    <row r="617" spans="1:96" x14ac:dyDescent="0.2">
      <c r="A617" s="7" t="s">
        <v>541</v>
      </c>
      <c r="B617" s="7" t="s">
        <v>60</v>
      </c>
      <c r="C617" t="str">
        <f t="shared" si="207"/>
        <v>I</v>
      </c>
      <c r="D617" t="str">
        <f t="shared" si="208"/>
        <v>S</v>
      </c>
      <c r="E617" t="str">
        <f t="shared" si="209"/>
        <v>G</v>
      </c>
      <c r="F617" s="7">
        <v>71</v>
      </c>
      <c r="G617" s="7">
        <v>68</v>
      </c>
      <c r="H617" s="7">
        <v>5.218</v>
      </c>
      <c r="I617" s="7">
        <v>0.16200000000000001</v>
      </c>
      <c r="J617" s="7">
        <v>1.4999999999999999E-2</v>
      </c>
      <c r="K617" s="7" t="s">
        <v>38</v>
      </c>
      <c r="L617" t="str">
        <f t="shared" si="210"/>
        <v>M</v>
      </c>
      <c r="M617">
        <v>22</v>
      </c>
      <c r="N617" s="7">
        <v>0.188</v>
      </c>
      <c r="O617" s="7">
        <v>0.185</v>
      </c>
      <c r="P617" s="7" t="s">
        <v>36</v>
      </c>
      <c r="Q617" t="str">
        <f t="shared" si="225"/>
        <v>MT</v>
      </c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  <c r="AL617" s="7"/>
      <c r="AM617" s="7"/>
      <c r="AN617" s="7"/>
      <c r="AO617" s="7"/>
      <c r="AP617" s="7"/>
      <c r="AQ617" s="7"/>
      <c r="AT617" s="7"/>
      <c r="AU617" s="7"/>
      <c r="AV617" s="7"/>
      <c r="AW617" s="7"/>
      <c r="AX617" s="7"/>
      <c r="AY617" s="7"/>
      <c r="AZ617" s="7"/>
      <c r="BA617" s="7"/>
      <c r="BB617" s="7"/>
      <c r="BC617" s="7"/>
      <c r="BD617" s="7"/>
      <c r="BE617" s="7"/>
      <c r="BF617" s="7"/>
      <c r="BG617" s="7"/>
      <c r="BH617" s="7"/>
      <c r="BI617" s="7"/>
      <c r="BJ617" s="7"/>
      <c r="BK617" s="7"/>
      <c r="BL617" s="7"/>
      <c r="BM617" s="7"/>
      <c r="BN617" s="7"/>
      <c r="BO617" s="7"/>
      <c r="BP617" s="7"/>
      <c r="BQ617" s="7"/>
      <c r="BR617" s="7"/>
      <c r="BS617" s="7"/>
      <c r="BT617" s="7"/>
      <c r="BU617" s="7"/>
      <c r="BV617" s="11">
        <v>0</v>
      </c>
      <c r="BW617" s="10">
        <v>44319</v>
      </c>
      <c r="BX617" s="7">
        <v>5</v>
      </c>
      <c r="BY617" s="7">
        <v>3</v>
      </c>
      <c r="BZ617" s="7">
        <v>2021</v>
      </c>
      <c r="CA617" s="5">
        <f t="shared" si="211"/>
        <v>44260</v>
      </c>
      <c r="CB617">
        <v>64</v>
      </c>
      <c r="CC617" s="7">
        <v>5</v>
      </c>
      <c r="CD617" s="7"/>
      <c r="CE617">
        <f t="shared" si="219"/>
        <v>0.2882952142994426</v>
      </c>
      <c r="CF617">
        <f t="shared" si="206"/>
        <v>3.2041139240506324</v>
      </c>
      <c r="CG617">
        <f t="shared" si="220"/>
        <v>3.2136480856972822</v>
      </c>
      <c r="CH617">
        <f t="shared" si="224"/>
        <v>3.5454197010348789</v>
      </c>
      <c r="CI617">
        <f t="shared" si="212"/>
        <v>5.7493292449214313E-2</v>
      </c>
      <c r="CJ617" s="1">
        <f t="shared" si="213"/>
        <v>5.7493292449214313E-2</v>
      </c>
      <c r="CK617" s="7" t="s">
        <v>142</v>
      </c>
      <c r="CL617" s="7">
        <v>4</v>
      </c>
      <c r="CM617" s="7"/>
      <c r="CN617" s="7"/>
      <c r="CO617" s="7"/>
      <c r="CP617" s="7"/>
    </row>
    <row r="618" spans="1:96" x14ac:dyDescent="0.2">
      <c r="A618" s="7" t="s">
        <v>542</v>
      </c>
      <c r="B618" s="7" t="s">
        <v>60</v>
      </c>
      <c r="C618" t="str">
        <f t="shared" si="207"/>
        <v>I</v>
      </c>
      <c r="D618" t="str">
        <f t="shared" si="208"/>
        <v>S</v>
      </c>
      <c r="E618" t="str">
        <f t="shared" si="209"/>
        <v>G</v>
      </c>
      <c r="F618" s="7">
        <v>72</v>
      </c>
      <c r="G618" s="7">
        <v>67</v>
      </c>
      <c r="H618" s="7">
        <v>5.593</v>
      </c>
      <c r="I618" s="7">
        <v>0.159</v>
      </c>
      <c r="J618" s="7">
        <v>9.2999999999999999E-2</v>
      </c>
      <c r="K618" s="7" t="s">
        <v>24</v>
      </c>
      <c r="L618" t="str">
        <f t="shared" si="210"/>
        <v>F</v>
      </c>
      <c r="M618">
        <v>22</v>
      </c>
      <c r="N618" s="7">
        <v>0.247</v>
      </c>
      <c r="O618" s="7">
        <v>0.216</v>
      </c>
      <c r="P618" s="7" t="s">
        <v>543</v>
      </c>
      <c r="Q618" t="str">
        <f t="shared" si="225"/>
        <v>F</v>
      </c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  <c r="AL618" s="7"/>
      <c r="AM618" s="7"/>
      <c r="AN618" s="7"/>
      <c r="AO618" s="7"/>
      <c r="AP618" s="7">
        <v>1</v>
      </c>
      <c r="AQ618" s="7">
        <v>3.0000000000000001E-3</v>
      </c>
      <c r="AT618" s="7"/>
      <c r="AU618" s="7"/>
      <c r="AV618" s="7">
        <v>3</v>
      </c>
      <c r="AW618" s="7">
        <v>8.9999999999999993E-3</v>
      </c>
      <c r="AX618" s="7"/>
      <c r="AY618" s="7"/>
      <c r="AZ618" s="7"/>
      <c r="BA618" s="7"/>
      <c r="BB618" s="7"/>
      <c r="BC618" s="7"/>
      <c r="BD618" s="7"/>
      <c r="BE618" s="7"/>
      <c r="BF618" s="7"/>
      <c r="BG618" s="7"/>
      <c r="BH618" s="7"/>
      <c r="BI618" s="7"/>
      <c r="BJ618" s="7"/>
      <c r="BK618" s="7"/>
      <c r="BL618" s="7"/>
      <c r="BM618" s="7"/>
      <c r="BN618" s="7"/>
      <c r="BO618" s="7"/>
      <c r="BP618" s="7"/>
      <c r="BQ618" s="7"/>
      <c r="BR618" s="7"/>
      <c r="BS618" s="7"/>
      <c r="BT618" s="7"/>
      <c r="BU618" s="7"/>
      <c r="BV618" s="11">
        <v>1.2E-2</v>
      </c>
      <c r="BW618" s="10">
        <v>44319</v>
      </c>
      <c r="BX618" s="7">
        <v>5</v>
      </c>
      <c r="BY618" s="7">
        <v>3</v>
      </c>
      <c r="BZ618" s="7">
        <v>2021</v>
      </c>
      <c r="CA618" s="5">
        <f t="shared" si="211"/>
        <v>44260</v>
      </c>
      <c r="CB618">
        <v>64</v>
      </c>
      <c r="CC618" s="7">
        <v>5</v>
      </c>
      <c r="CD618" s="7" t="s">
        <v>533</v>
      </c>
      <c r="CE618">
        <f t="shared" si="219"/>
        <v>1.6909090909090909</v>
      </c>
      <c r="CF618">
        <f t="shared" si="206"/>
        <v>2.9260213470739789</v>
      </c>
      <c r="CG618">
        <f t="shared" si="220"/>
        <v>2.9769706047556634</v>
      </c>
      <c r="CH618">
        <f t="shared" si="224"/>
        <v>3.8619703200429107</v>
      </c>
      <c r="CI618">
        <f t="shared" si="212"/>
        <v>0.55426425889504738</v>
      </c>
      <c r="CJ618" s="1">
        <f t="shared" si="213"/>
        <v>0.76881816556409799</v>
      </c>
      <c r="CK618" s="7" t="s">
        <v>142</v>
      </c>
      <c r="CL618" s="7">
        <v>3</v>
      </c>
      <c r="CM618" s="7"/>
      <c r="CN618" s="7"/>
      <c r="CO618" s="7"/>
      <c r="CP618" s="7"/>
      <c r="CQ618" s="12">
        <v>3.0999999999999999E-3</v>
      </c>
      <c r="CR618">
        <f>CQ618/(H618-I618-J618-N618)*1000</f>
        <v>0.60855908912446011</v>
      </c>
    </row>
    <row r="619" spans="1:96" x14ac:dyDescent="0.2">
      <c r="A619" s="7" t="s">
        <v>544</v>
      </c>
      <c r="B619" s="7" t="s">
        <v>60</v>
      </c>
      <c r="C619" t="str">
        <f t="shared" si="207"/>
        <v>I</v>
      </c>
      <c r="D619" t="str">
        <f t="shared" si="208"/>
        <v>S</v>
      </c>
      <c r="E619" t="str">
        <f t="shared" si="209"/>
        <v>G</v>
      </c>
      <c r="F619" s="7">
        <v>73</v>
      </c>
      <c r="G619" s="7"/>
      <c r="H619" s="7">
        <v>6.1159999999999997</v>
      </c>
      <c r="I619" s="7">
        <v>0.16800000000000001</v>
      </c>
      <c r="J619" s="7">
        <v>1.2999999999999999E-2</v>
      </c>
      <c r="K619" s="7" t="s">
        <v>38</v>
      </c>
      <c r="L619" t="str">
        <f t="shared" si="210"/>
        <v>M</v>
      </c>
      <c r="M619">
        <v>22</v>
      </c>
      <c r="N619" s="7">
        <v>0.29799999999999999</v>
      </c>
      <c r="O619" s="7">
        <v>0.245</v>
      </c>
      <c r="P619" s="7" t="s">
        <v>545</v>
      </c>
      <c r="Q619" t="str">
        <f t="shared" si="225"/>
        <v>F</v>
      </c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  <c r="AL619" s="7"/>
      <c r="AM619" s="7"/>
      <c r="AN619" s="7"/>
      <c r="AO619" s="7"/>
      <c r="AP619" s="7">
        <v>1</v>
      </c>
      <c r="AQ619" s="7">
        <v>8.0000000000000002E-3</v>
      </c>
      <c r="AR619" s="7"/>
      <c r="AS619" s="7"/>
      <c r="AT619" s="7"/>
      <c r="AU619" s="7"/>
      <c r="AV619" s="7">
        <v>4</v>
      </c>
      <c r="AW619" s="7">
        <v>2.1999999999999999E-2</v>
      </c>
      <c r="AX619" s="7"/>
      <c r="AY619" s="7"/>
      <c r="AZ619" s="7"/>
      <c r="BA619" s="7"/>
      <c r="BB619" s="7"/>
      <c r="BC619" s="7"/>
      <c r="BD619" s="7"/>
      <c r="BE619" s="7"/>
      <c r="BF619" s="7"/>
      <c r="BG619" s="7"/>
      <c r="BH619" s="7"/>
      <c r="BI619" s="7"/>
      <c r="BJ619" s="7"/>
      <c r="BK619" s="7"/>
      <c r="BL619" s="7"/>
      <c r="BM619" s="7"/>
      <c r="BN619" s="7"/>
      <c r="BO619" s="7"/>
      <c r="BP619" s="7"/>
      <c r="BQ619" s="7"/>
      <c r="BR619" s="7"/>
      <c r="BS619" s="7"/>
      <c r="BT619" s="7"/>
      <c r="BU619" s="7"/>
      <c r="BV619" s="11">
        <v>0.03</v>
      </c>
      <c r="BW619" s="10">
        <v>44319</v>
      </c>
      <c r="BX619" s="7">
        <v>5</v>
      </c>
      <c r="BY619" s="7">
        <v>3</v>
      </c>
      <c r="BZ619" s="7">
        <v>2021</v>
      </c>
      <c r="CA619" s="5">
        <f t="shared" si="211"/>
        <v>44260</v>
      </c>
      <c r="CB619">
        <v>64</v>
      </c>
      <c r="CC619" s="7">
        <v>5</v>
      </c>
      <c r="CD619" s="7"/>
      <c r="CE619">
        <f t="shared" si="219"/>
        <v>0.2130099950843847</v>
      </c>
      <c r="CF619">
        <f t="shared" si="206"/>
        <v>2.8244788164088774</v>
      </c>
      <c r="CG619">
        <f t="shared" si="220"/>
        <v>2.8306655433866892</v>
      </c>
      <c r="CH619">
        <f t="shared" si="224"/>
        <v>4.0058862001308047</v>
      </c>
      <c r="CI619">
        <f t="shared" si="212"/>
        <v>0.86657946370176586</v>
      </c>
      <c r="CJ619" s="1">
        <f t="shared" si="213"/>
        <v>1.3570961412688032</v>
      </c>
      <c r="CK619" s="7" t="s">
        <v>142</v>
      </c>
      <c r="CL619" s="7">
        <v>3</v>
      </c>
      <c r="CM619" s="7"/>
      <c r="CN619" s="7"/>
      <c r="CO619" s="7"/>
      <c r="CP619" s="7"/>
    </row>
    <row r="620" spans="1:96" x14ac:dyDescent="0.2">
      <c r="A620" s="7" t="s">
        <v>546</v>
      </c>
      <c r="B620" s="7" t="s">
        <v>60</v>
      </c>
      <c r="C620" t="str">
        <f t="shared" si="207"/>
        <v>I</v>
      </c>
      <c r="D620" t="str">
        <f t="shared" si="208"/>
        <v>S</v>
      </c>
      <c r="E620" t="str">
        <f t="shared" si="209"/>
        <v>G</v>
      </c>
      <c r="F620" s="7">
        <v>75</v>
      </c>
      <c r="G620" s="7">
        <v>71</v>
      </c>
      <c r="H620" s="7">
        <v>5.843</v>
      </c>
      <c r="I620" s="7">
        <v>0.123</v>
      </c>
      <c r="J620" s="7">
        <v>0.115</v>
      </c>
      <c r="K620" s="7" t="s">
        <v>24</v>
      </c>
      <c r="L620" t="str">
        <f t="shared" si="210"/>
        <v>F</v>
      </c>
      <c r="M620">
        <v>22</v>
      </c>
      <c r="N620" s="7">
        <v>0.22900000000000001</v>
      </c>
      <c r="O620" s="7">
        <v>0.222</v>
      </c>
      <c r="P620" s="7" t="s">
        <v>36</v>
      </c>
      <c r="Q620" t="str">
        <f t="shared" si="225"/>
        <v>MT</v>
      </c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  <c r="AL620" s="7"/>
      <c r="AM620" s="7"/>
      <c r="AN620" s="7"/>
      <c r="AO620" s="7"/>
      <c r="AP620" s="7"/>
      <c r="AQ620" s="7"/>
      <c r="AR620" s="7"/>
      <c r="AS620" s="7"/>
      <c r="AT620" s="7"/>
      <c r="AU620" s="7"/>
      <c r="AV620" s="7"/>
      <c r="AW620" s="7"/>
      <c r="AX620" s="7"/>
      <c r="AY620" s="7"/>
      <c r="AZ620" s="7"/>
      <c r="BA620" s="7"/>
      <c r="BB620" s="7"/>
      <c r="BC620" s="7"/>
      <c r="BD620" s="7"/>
      <c r="BE620" s="7"/>
      <c r="BF620" s="7"/>
      <c r="BG620" s="7"/>
      <c r="BH620" s="7"/>
      <c r="BI620" s="7"/>
      <c r="BJ620" s="7"/>
      <c r="BK620" s="7"/>
      <c r="BL620" s="7"/>
      <c r="BM620" s="7"/>
      <c r="BN620" s="7"/>
      <c r="BO620" s="7"/>
      <c r="BP620" s="7"/>
      <c r="BQ620" s="7"/>
      <c r="BR620" s="7"/>
      <c r="BS620" s="7"/>
      <c r="BT620" s="7"/>
      <c r="BU620" s="7"/>
      <c r="BV620" s="11">
        <v>0</v>
      </c>
      <c r="BW620" s="10">
        <v>44319</v>
      </c>
      <c r="BX620" s="7">
        <v>5</v>
      </c>
      <c r="BY620" s="7">
        <v>3</v>
      </c>
      <c r="BZ620" s="7">
        <v>2021</v>
      </c>
      <c r="CA620" s="5">
        <f t="shared" si="211"/>
        <v>44260</v>
      </c>
      <c r="CB620">
        <v>64</v>
      </c>
      <c r="CC620" s="7">
        <v>5</v>
      </c>
      <c r="CD620" s="7"/>
      <c r="CE620">
        <f t="shared" si="219"/>
        <v>2.0076815642458103</v>
      </c>
      <c r="CF620">
        <f t="shared" si="206"/>
        <v>2.1503496503496504</v>
      </c>
      <c r="CG620">
        <f t="shared" si="220"/>
        <v>2.1944692239072259</v>
      </c>
      <c r="CH620">
        <f t="shared" si="224"/>
        <v>3.799418107136745</v>
      </c>
      <c r="CI620">
        <f t="shared" si="212"/>
        <v>0.11980147184665421</v>
      </c>
      <c r="CJ620" s="1">
        <f t="shared" si="213"/>
        <v>0.11980147184665421</v>
      </c>
      <c r="CK620" s="7" t="s">
        <v>142</v>
      </c>
      <c r="CL620" s="7">
        <v>4</v>
      </c>
      <c r="CM620" s="7"/>
      <c r="CN620" s="7"/>
      <c r="CO620" s="7"/>
      <c r="CP620" s="7"/>
      <c r="CQ620" s="12">
        <v>2.9999999999999997E-4</v>
      </c>
      <c r="CR620">
        <f>CQ620/(H620-I620-J620-N620)*1000</f>
        <v>5.5803571428571425E-2</v>
      </c>
    </row>
    <row r="621" spans="1:96" x14ac:dyDescent="0.2">
      <c r="A621" s="7" t="s">
        <v>547</v>
      </c>
      <c r="B621" s="7" t="s">
        <v>60</v>
      </c>
      <c r="C621" t="str">
        <f t="shared" si="207"/>
        <v>I</v>
      </c>
      <c r="D621" t="str">
        <f t="shared" si="208"/>
        <v>S</v>
      </c>
      <c r="E621" t="str">
        <f t="shared" si="209"/>
        <v>G</v>
      </c>
      <c r="F621" s="7">
        <v>69</v>
      </c>
      <c r="G621" s="7">
        <v>66</v>
      </c>
      <c r="H621" s="7">
        <v>5.0960000000000001</v>
      </c>
      <c r="I621" s="7">
        <v>8.6999999999999994E-2</v>
      </c>
      <c r="J621" s="7">
        <v>7.9000000000000001E-2</v>
      </c>
      <c r="K621" s="7" t="s">
        <v>24</v>
      </c>
      <c r="L621" t="str">
        <f t="shared" si="210"/>
        <v>F</v>
      </c>
      <c r="M621">
        <v>22</v>
      </c>
      <c r="N621" s="7">
        <v>0.214</v>
      </c>
      <c r="O621" s="7">
        <v>0.17799999999999999</v>
      </c>
      <c r="P621" s="7" t="s">
        <v>548</v>
      </c>
      <c r="Q621" t="str">
        <f t="shared" si="225"/>
        <v>F</v>
      </c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7"/>
      <c r="AL621" s="7"/>
      <c r="AM621" s="7"/>
      <c r="AN621" s="7"/>
      <c r="AO621" s="7"/>
      <c r="AP621" s="7"/>
      <c r="AQ621" s="7"/>
      <c r="AR621" s="7"/>
      <c r="AS621" s="7"/>
      <c r="AT621" s="7"/>
      <c r="AU621" s="7"/>
      <c r="AV621" s="7">
        <v>2</v>
      </c>
      <c r="AW621" s="7">
        <v>1.2E-2</v>
      </c>
      <c r="AX621" s="7"/>
      <c r="AY621" s="7"/>
      <c r="AZ621" s="7"/>
      <c r="BA621" s="7"/>
      <c r="BB621" s="7"/>
      <c r="BC621" s="7"/>
      <c r="BD621" s="7"/>
      <c r="BE621" s="7"/>
      <c r="BF621" s="7"/>
      <c r="BG621" s="7"/>
      <c r="BH621" s="7"/>
      <c r="BI621" s="7"/>
      <c r="BJ621" s="7"/>
      <c r="BK621" s="7"/>
      <c r="BL621" s="7"/>
      <c r="BM621" s="7"/>
      <c r="BN621" s="7"/>
      <c r="BO621" s="7"/>
      <c r="BP621" s="7"/>
      <c r="BQ621" s="7"/>
      <c r="BR621" s="7"/>
      <c r="BS621" s="7"/>
      <c r="BT621" s="7"/>
      <c r="BU621" s="7"/>
      <c r="BV621" s="11">
        <v>1.2E-2</v>
      </c>
      <c r="BW621" s="10">
        <v>44319</v>
      </c>
      <c r="BX621" s="7">
        <v>5</v>
      </c>
      <c r="BY621" s="7">
        <v>3</v>
      </c>
      <c r="BZ621" s="7">
        <v>2021</v>
      </c>
      <c r="CA621" s="5">
        <f t="shared" si="211"/>
        <v>44260</v>
      </c>
      <c r="CB621">
        <v>64</v>
      </c>
      <c r="CC621" s="7">
        <v>5</v>
      </c>
      <c r="CD621" s="7"/>
      <c r="CE621">
        <f t="shared" si="219"/>
        <v>1.5746462029101054</v>
      </c>
      <c r="CF621">
        <f t="shared" si="206"/>
        <v>1.7368736274705527</v>
      </c>
      <c r="CG621">
        <f t="shared" si="220"/>
        <v>1.7647058823529409</v>
      </c>
      <c r="CH621">
        <f t="shared" si="224"/>
        <v>3.4929356357927785</v>
      </c>
      <c r="CI621">
        <f t="shared" si="212"/>
        <v>0.70643642072213508</v>
      </c>
      <c r="CJ621" s="1">
        <f t="shared" si="213"/>
        <v>0.9419152276295133</v>
      </c>
      <c r="CK621" s="7" t="s">
        <v>142</v>
      </c>
      <c r="CL621" s="7">
        <v>3</v>
      </c>
      <c r="CM621" s="7"/>
      <c r="CN621" s="7"/>
      <c r="CO621" s="7"/>
      <c r="CP621" s="7"/>
      <c r="CQ621" s="12">
        <v>2.2000000000000001E-3</v>
      </c>
      <c r="CR621">
        <f>CQ621/(H621-I621-J621-N621)*1000</f>
        <v>0.46649703138252757</v>
      </c>
    </row>
    <row r="622" spans="1:96" x14ac:dyDescent="0.2">
      <c r="A622" s="7" t="s">
        <v>549</v>
      </c>
      <c r="B622" s="7" t="s">
        <v>60</v>
      </c>
      <c r="C622" t="str">
        <f t="shared" si="207"/>
        <v>I</v>
      </c>
      <c r="D622" t="str">
        <f t="shared" si="208"/>
        <v>S</v>
      </c>
      <c r="E622" t="str">
        <f t="shared" si="209"/>
        <v>G</v>
      </c>
      <c r="F622" s="7">
        <v>65</v>
      </c>
      <c r="G622" s="7">
        <v>62</v>
      </c>
      <c r="H622" s="7">
        <v>4.3239999999999998</v>
      </c>
      <c r="I622" s="7">
        <v>9.2999999999999999E-2</v>
      </c>
      <c r="J622" s="7">
        <v>1.0999999999999999E-2</v>
      </c>
      <c r="K622" s="7" t="s">
        <v>38</v>
      </c>
      <c r="L622" t="str">
        <f t="shared" si="210"/>
        <v>M</v>
      </c>
      <c r="M622">
        <v>22</v>
      </c>
      <c r="N622" s="7">
        <v>0.23</v>
      </c>
      <c r="O622" s="7"/>
      <c r="P622" s="7" t="s">
        <v>550</v>
      </c>
      <c r="Q622" t="str">
        <f t="shared" si="225"/>
        <v>F</v>
      </c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  <c r="AL622" s="7"/>
      <c r="AM622" s="7"/>
      <c r="AN622" s="7"/>
      <c r="AO622" s="7"/>
      <c r="AP622" s="7">
        <v>1</v>
      </c>
      <c r="AQ622" s="7">
        <v>0.01</v>
      </c>
      <c r="AR622" s="7"/>
      <c r="AS622" s="7"/>
      <c r="AT622" s="7"/>
      <c r="AU622" s="7"/>
      <c r="AV622" s="7">
        <v>2</v>
      </c>
      <c r="AW622" s="7">
        <v>7.0000000000000001E-3</v>
      </c>
      <c r="AX622" s="7"/>
      <c r="AY622" s="7"/>
      <c r="AZ622" s="7"/>
      <c r="BA622" s="7"/>
      <c r="BB622" s="7"/>
      <c r="BC622" s="7"/>
      <c r="BD622" s="7"/>
      <c r="BE622" s="7"/>
      <c r="BF622" s="7"/>
      <c r="BG622" s="7"/>
      <c r="BH622" s="7"/>
      <c r="BI622" s="7"/>
      <c r="BJ622" s="7"/>
      <c r="BK622" s="7"/>
      <c r="BL622" s="7"/>
      <c r="BM622" s="7"/>
      <c r="BN622" s="7"/>
      <c r="BO622" s="7"/>
      <c r="BP622" s="7"/>
      <c r="BQ622" s="7"/>
      <c r="BR622" s="7"/>
      <c r="BS622" s="7"/>
      <c r="BT622" s="7"/>
      <c r="BU622" s="7"/>
      <c r="BV622" s="11">
        <v>1.7000000000000001E-2</v>
      </c>
      <c r="BW622" s="10">
        <v>44319</v>
      </c>
      <c r="BX622" s="7">
        <v>5</v>
      </c>
      <c r="BY622" s="7">
        <v>3</v>
      </c>
      <c r="BZ622" s="7">
        <v>2021</v>
      </c>
      <c r="CA622" s="5">
        <f t="shared" si="211"/>
        <v>44260</v>
      </c>
      <c r="CB622">
        <v>64</v>
      </c>
      <c r="CC622" s="7">
        <v>5</v>
      </c>
      <c r="CD622" s="7"/>
      <c r="CE622">
        <f t="shared" si="219"/>
        <v>0.25504289357755622</v>
      </c>
      <c r="CF622">
        <f t="shared" si="206"/>
        <v>2.1980619238950601</v>
      </c>
      <c r="CG622">
        <f t="shared" si="220"/>
        <v>2.203791469194313</v>
      </c>
      <c r="CJ622" s="1"/>
      <c r="CK622" s="7" t="s">
        <v>142</v>
      </c>
      <c r="CL622" s="7">
        <v>3</v>
      </c>
      <c r="CM622" s="7"/>
      <c r="CN622" s="7"/>
      <c r="CO622" s="7"/>
      <c r="CP622" s="7"/>
    </row>
    <row r="623" spans="1:96" x14ac:dyDescent="0.2">
      <c r="A623" s="7" t="s">
        <v>551</v>
      </c>
      <c r="B623" s="7" t="s">
        <v>60</v>
      </c>
      <c r="C623" t="str">
        <f t="shared" si="207"/>
        <v>I</v>
      </c>
      <c r="D623" t="str">
        <f t="shared" si="208"/>
        <v>S</v>
      </c>
      <c r="E623" t="str">
        <f t="shared" si="209"/>
        <v>G</v>
      </c>
      <c r="F623" s="7">
        <v>70</v>
      </c>
      <c r="G623" s="7">
        <v>66</v>
      </c>
      <c r="H623" s="7">
        <v>4.7489999999999997</v>
      </c>
      <c r="I623" s="7">
        <v>0.13</v>
      </c>
      <c r="J623" s="7">
        <v>1.0999999999999999E-2</v>
      </c>
      <c r="K623" s="7" t="s">
        <v>38</v>
      </c>
      <c r="L623" t="str">
        <f t="shared" si="210"/>
        <v>M</v>
      </c>
      <c r="M623">
        <v>22</v>
      </c>
      <c r="N623" s="7">
        <v>0.17499999999999999</v>
      </c>
      <c r="O623" s="7">
        <v>0.159</v>
      </c>
      <c r="P623" s="7" t="s">
        <v>485</v>
      </c>
      <c r="Q623" t="str">
        <f t="shared" si="225"/>
        <v>F</v>
      </c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  <c r="AL623" s="7"/>
      <c r="AM623" s="7"/>
      <c r="AN623" s="7"/>
      <c r="AO623" s="7"/>
      <c r="AP623" s="7"/>
      <c r="AQ623" s="7"/>
      <c r="AR623" s="7"/>
      <c r="AS623" s="7"/>
      <c r="AT623" s="7"/>
      <c r="AU623" s="7"/>
      <c r="AV623" s="7">
        <v>1</v>
      </c>
      <c r="AW623" s="7" t="s">
        <v>1495</v>
      </c>
      <c r="AX623" s="7"/>
      <c r="AY623" s="7"/>
      <c r="AZ623" s="7"/>
      <c r="BA623" s="7"/>
      <c r="BB623" s="7"/>
      <c r="BC623" s="7"/>
      <c r="BD623" s="7"/>
      <c r="BE623" s="7"/>
      <c r="BF623" s="7"/>
      <c r="BG623" s="7"/>
      <c r="BH623" s="7"/>
      <c r="BI623" s="7"/>
      <c r="BJ623" s="7"/>
      <c r="BK623" s="7"/>
      <c r="BL623" s="7"/>
      <c r="BM623" s="7"/>
      <c r="BN623" s="7"/>
      <c r="BO623" s="7"/>
      <c r="BP623" s="7"/>
      <c r="BQ623" s="7"/>
      <c r="BR623" s="7"/>
      <c r="BS623" s="7"/>
      <c r="BT623" s="7"/>
      <c r="BU623" s="7"/>
      <c r="BV623" s="11">
        <v>2E-3</v>
      </c>
      <c r="BW623" s="10">
        <v>44319</v>
      </c>
      <c r="BX623" s="7">
        <v>5</v>
      </c>
      <c r="BY623" s="7">
        <v>3</v>
      </c>
      <c r="BZ623" s="7">
        <v>2021</v>
      </c>
      <c r="CA623" s="5">
        <f t="shared" si="211"/>
        <v>44260</v>
      </c>
      <c r="CB623">
        <v>64</v>
      </c>
      <c r="CC623" s="7">
        <v>5</v>
      </c>
      <c r="CD623" s="7"/>
      <c r="CE623">
        <f t="shared" si="219"/>
        <v>0.23216547066272691</v>
      </c>
      <c r="CF623">
        <f t="shared" si="206"/>
        <v>2.8144620047629361</v>
      </c>
      <c r="CG623">
        <f t="shared" si="220"/>
        <v>2.8211805555555558</v>
      </c>
      <c r="CH623">
        <f>O623/H623*100</f>
        <v>3.3480732785849656</v>
      </c>
      <c r="CI623">
        <f t="shared" ref="CI623:CI653" si="226">(N623-O623)/H623*100</f>
        <v>0.33691303432301511</v>
      </c>
      <c r="CJ623" s="1">
        <f t="shared" ref="CJ623:CJ653" si="227">(N623-O623+(BV623))/(H623)*100</f>
        <v>0.37902716361339206</v>
      </c>
      <c r="CK623" s="7" t="s">
        <v>142</v>
      </c>
      <c r="CL623" s="7">
        <v>3</v>
      </c>
      <c r="CM623" s="7"/>
      <c r="CN623" s="7"/>
      <c r="CO623" s="7"/>
      <c r="CP623" s="7"/>
    </row>
    <row r="624" spans="1:96" x14ac:dyDescent="0.2">
      <c r="A624" s="7" t="s">
        <v>552</v>
      </c>
      <c r="B624" s="7" t="s">
        <v>60</v>
      </c>
      <c r="C624" t="str">
        <f t="shared" si="207"/>
        <v>I</v>
      </c>
      <c r="D624" t="str">
        <f t="shared" si="208"/>
        <v>S</v>
      </c>
      <c r="E624" t="str">
        <f t="shared" si="209"/>
        <v>G</v>
      </c>
      <c r="F624" s="7">
        <v>65</v>
      </c>
      <c r="G624" s="7">
        <v>63</v>
      </c>
      <c r="H624" s="7">
        <v>3.944</v>
      </c>
      <c r="I624" s="7">
        <v>0.10100000000000001</v>
      </c>
      <c r="J624" s="7">
        <v>5.3999999999999999E-2</v>
      </c>
      <c r="K624" s="7" t="s">
        <v>24</v>
      </c>
      <c r="L624" t="str">
        <f t="shared" si="210"/>
        <v>F</v>
      </c>
      <c r="M624">
        <v>22</v>
      </c>
      <c r="N624" s="7">
        <v>0.14499999999999999</v>
      </c>
      <c r="O624" s="7">
        <v>0.14000000000000001</v>
      </c>
      <c r="P624" s="7" t="s">
        <v>36</v>
      </c>
      <c r="Q624" t="str">
        <f t="shared" si="225"/>
        <v>MT</v>
      </c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  <c r="AL624" s="7"/>
      <c r="AM624" s="7"/>
      <c r="AN624" s="7"/>
      <c r="AO624" s="7"/>
      <c r="AP624" s="7"/>
      <c r="AQ624" s="7"/>
      <c r="AR624" s="7"/>
      <c r="AS624" s="7"/>
      <c r="AT624" s="7"/>
      <c r="AU624" s="7"/>
      <c r="AV624" s="7"/>
      <c r="AW624" s="7"/>
      <c r="AX624" s="7"/>
      <c r="AY624" s="7"/>
      <c r="AZ624" s="7"/>
      <c r="BA624" s="7"/>
      <c r="BB624" s="7"/>
      <c r="BC624" s="7"/>
      <c r="BD624" s="7"/>
      <c r="BE624" s="7"/>
      <c r="BF624" s="7"/>
      <c r="BG624" s="7"/>
      <c r="BH624" s="7"/>
      <c r="BI624" s="7"/>
      <c r="BJ624" s="7"/>
      <c r="BK624" s="7"/>
      <c r="BL624" s="7"/>
      <c r="BM624" s="7"/>
      <c r="BN624" s="7"/>
      <c r="BO624" s="7"/>
      <c r="BP624" s="7"/>
      <c r="BQ624" s="7"/>
      <c r="BR624" s="7"/>
      <c r="BS624" s="7"/>
      <c r="BT624" s="7"/>
      <c r="BU624" s="7"/>
      <c r="BV624" s="11">
        <v>0</v>
      </c>
      <c r="BW624" s="10">
        <v>44319</v>
      </c>
      <c r="BX624" s="7">
        <v>5</v>
      </c>
      <c r="BY624" s="7">
        <v>3</v>
      </c>
      <c r="BZ624" s="7">
        <v>2021</v>
      </c>
      <c r="CA624" s="5">
        <f t="shared" si="211"/>
        <v>44260</v>
      </c>
      <c r="CB624">
        <v>64</v>
      </c>
      <c r="CC624" s="7">
        <v>5</v>
      </c>
      <c r="CD624" s="7"/>
      <c r="CE624">
        <f t="shared" si="219"/>
        <v>1.3881748071979434</v>
      </c>
      <c r="CF624">
        <f t="shared" si="206"/>
        <v>2.6281550871714807</v>
      </c>
      <c r="CG624">
        <f t="shared" si="220"/>
        <v>2.6656109791501716</v>
      </c>
      <c r="CH624">
        <f>O624/H624*100</f>
        <v>3.5496957403651122</v>
      </c>
      <c r="CI624">
        <f t="shared" si="226"/>
        <v>0.12677484787018198</v>
      </c>
      <c r="CJ624" s="1">
        <f t="shared" si="227"/>
        <v>0.12677484787018198</v>
      </c>
      <c r="CK624" s="7" t="s">
        <v>142</v>
      </c>
      <c r="CL624" s="7">
        <v>2</v>
      </c>
      <c r="CM624" s="7"/>
      <c r="CN624" s="7"/>
      <c r="CO624" s="7"/>
      <c r="CP624" s="7"/>
      <c r="CQ624" s="12">
        <v>5.1999999999999998E-3</v>
      </c>
      <c r="CR624">
        <f>CQ624/(H624-I624-J624-N624)*1000</f>
        <v>1.4270032930845225</v>
      </c>
    </row>
    <row r="625" spans="1:99" x14ac:dyDescent="0.2">
      <c r="A625" s="7" t="s">
        <v>553</v>
      </c>
      <c r="B625" s="7" t="s">
        <v>60</v>
      </c>
      <c r="C625" t="str">
        <f t="shared" si="207"/>
        <v>I</v>
      </c>
      <c r="D625" t="str">
        <f t="shared" si="208"/>
        <v>IMM</v>
      </c>
      <c r="E625" t="str">
        <f t="shared" si="209"/>
        <v>G</v>
      </c>
      <c r="F625" s="7">
        <v>62</v>
      </c>
      <c r="G625" s="7">
        <v>59</v>
      </c>
      <c r="H625" s="7">
        <v>3.5</v>
      </c>
      <c r="I625" s="7">
        <v>8.8999999999999996E-2</v>
      </c>
      <c r="J625" s="7">
        <v>4.3999999999999997E-2</v>
      </c>
      <c r="K625" s="7" t="s">
        <v>24</v>
      </c>
      <c r="L625" t="str">
        <f t="shared" si="210"/>
        <v>F</v>
      </c>
      <c r="M625">
        <v>22</v>
      </c>
      <c r="N625" s="7">
        <v>0.11600000000000001</v>
      </c>
      <c r="O625" s="7">
        <v>0.112</v>
      </c>
      <c r="P625" s="7" t="s">
        <v>36</v>
      </c>
      <c r="Q625" t="str">
        <f t="shared" si="225"/>
        <v>MT</v>
      </c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  <c r="AL625" s="7"/>
      <c r="AM625" s="7"/>
      <c r="AN625" s="7"/>
      <c r="AO625" s="7"/>
      <c r="AP625" s="7"/>
      <c r="AQ625" s="7"/>
      <c r="AR625" s="7"/>
      <c r="AS625" s="7"/>
      <c r="AT625" s="7"/>
      <c r="AU625" s="7"/>
      <c r="AV625" s="7"/>
      <c r="AW625" s="7"/>
      <c r="AX625" s="7"/>
      <c r="AY625" s="7"/>
      <c r="AZ625" s="7"/>
      <c r="BA625" s="7"/>
      <c r="BB625" s="7"/>
      <c r="BC625" s="7"/>
      <c r="BD625" s="7"/>
      <c r="BE625" s="7"/>
      <c r="BF625" s="7"/>
      <c r="BG625" s="7"/>
      <c r="BH625" s="7"/>
      <c r="BI625" s="7"/>
      <c r="BJ625" s="7"/>
      <c r="BK625" s="7"/>
      <c r="BL625" s="7"/>
      <c r="BM625" s="7"/>
      <c r="BN625" s="7"/>
      <c r="BO625" s="7"/>
      <c r="BP625" s="7"/>
      <c r="BQ625" s="7"/>
      <c r="BR625" s="7"/>
      <c r="BS625" s="7"/>
      <c r="BT625" s="7"/>
      <c r="BU625" s="7"/>
      <c r="BV625" s="11">
        <v>0</v>
      </c>
      <c r="BW625" s="10">
        <v>44319</v>
      </c>
      <c r="BX625" s="7">
        <v>5</v>
      </c>
      <c r="BY625" s="7">
        <v>3</v>
      </c>
      <c r="BZ625" s="7">
        <v>2021</v>
      </c>
      <c r="CA625" s="5">
        <f t="shared" si="211"/>
        <v>44260</v>
      </c>
      <c r="CB625">
        <v>64</v>
      </c>
      <c r="CC625" s="7">
        <v>5</v>
      </c>
      <c r="CD625" s="7"/>
      <c r="CE625">
        <f t="shared" si="219"/>
        <v>1.2731481481481481</v>
      </c>
      <c r="CF625">
        <f t="shared" si="206"/>
        <v>2.6092055115801815</v>
      </c>
      <c r="CG625">
        <f t="shared" si="220"/>
        <v>2.6433026433026434</v>
      </c>
      <c r="CH625">
        <f>O625/H625*100</f>
        <v>3.2</v>
      </c>
      <c r="CI625">
        <f t="shared" si="226"/>
        <v>0.11428571428571438</v>
      </c>
      <c r="CJ625" s="1">
        <f t="shared" si="227"/>
        <v>0.11428571428571438</v>
      </c>
      <c r="CK625" s="7" t="s">
        <v>142</v>
      </c>
      <c r="CL625" s="7">
        <v>2</v>
      </c>
      <c r="CM625" s="7"/>
      <c r="CN625" s="7"/>
      <c r="CO625" s="7"/>
      <c r="CP625" s="7"/>
      <c r="CQ625" s="12">
        <v>5.1000000000000004E-3</v>
      </c>
      <c r="CR625">
        <f>CQ625/(H625-I625-J625-N625)*1000</f>
        <v>1.568748077514611</v>
      </c>
    </row>
    <row r="626" spans="1:99" x14ac:dyDescent="0.2">
      <c r="A626" s="7" t="s">
        <v>554</v>
      </c>
      <c r="B626" s="7" t="s">
        <v>60</v>
      </c>
      <c r="C626" t="str">
        <f t="shared" si="207"/>
        <v>S</v>
      </c>
      <c r="D626" t="str">
        <f t="shared" si="208"/>
        <v>IMM</v>
      </c>
      <c r="E626" t="str">
        <f t="shared" si="209"/>
        <v>N</v>
      </c>
      <c r="F626" s="7">
        <v>58</v>
      </c>
      <c r="G626" s="7">
        <v>54</v>
      </c>
      <c r="H626" s="7">
        <v>2.5750000000000002</v>
      </c>
      <c r="I626" s="7">
        <v>5.8999999999999997E-2</v>
      </c>
      <c r="J626" s="7">
        <v>0.04</v>
      </c>
      <c r="K626" s="7" t="s">
        <v>24</v>
      </c>
      <c r="L626" t="str">
        <f t="shared" si="210"/>
        <v>F</v>
      </c>
      <c r="M626">
        <v>22</v>
      </c>
      <c r="N626" s="7">
        <v>8.5000000000000006E-2</v>
      </c>
      <c r="O626" s="7">
        <v>7.9000000000000001E-2</v>
      </c>
      <c r="P626" s="7" t="s">
        <v>36</v>
      </c>
      <c r="Q626" t="str">
        <f t="shared" si="225"/>
        <v>MT</v>
      </c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  <c r="AL626" s="7"/>
      <c r="AM626" s="7"/>
      <c r="AN626" s="7"/>
      <c r="AO626" s="7"/>
      <c r="AP626" s="7"/>
      <c r="AQ626" s="7"/>
      <c r="AR626" s="7"/>
      <c r="AS626" s="7"/>
      <c r="AT626" s="7"/>
      <c r="AU626" s="7"/>
      <c r="AV626" s="7"/>
      <c r="AW626" s="7"/>
      <c r="AX626" s="7"/>
      <c r="AY626" s="7"/>
      <c r="AZ626" s="7"/>
      <c r="BA626" s="7"/>
      <c r="BB626" s="7"/>
      <c r="BC626" s="7"/>
      <c r="BD626" s="7"/>
      <c r="BE626" s="7"/>
      <c r="BF626" s="7"/>
      <c r="BG626" s="7"/>
      <c r="BH626" s="7"/>
      <c r="BI626" s="7"/>
      <c r="BJ626" s="7"/>
      <c r="BK626" s="7"/>
      <c r="BL626" s="7"/>
      <c r="BM626" s="7"/>
      <c r="BN626" s="7"/>
      <c r="BO626" s="7"/>
      <c r="BP626" s="7"/>
      <c r="BQ626" s="7"/>
      <c r="BR626" s="7"/>
      <c r="BS626" s="7"/>
      <c r="BT626" s="7"/>
      <c r="BU626" s="7"/>
      <c r="BV626" s="11">
        <v>0</v>
      </c>
      <c r="BW626" s="10">
        <v>44319</v>
      </c>
      <c r="BX626" s="7">
        <v>5</v>
      </c>
      <c r="BY626" s="7">
        <v>3</v>
      </c>
      <c r="BZ626" s="7">
        <v>2021</v>
      </c>
      <c r="CA626" s="5">
        <f t="shared" si="211"/>
        <v>44260</v>
      </c>
      <c r="CB626">
        <v>64</v>
      </c>
      <c r="CC626" s="7">
        <v>5</v>
      </c>
      <c r="CD626" s="7"/>
      <c r="CE626">
        <f t="shared" si="219"/>
        <v>1.5779092702169626</v>
      </c>
      <c r="CF626">
        <f t="shared" si="206"/>
        <v>2.3449920508744038</v>
      </c>
      <c r="CG626">
        <f t="shared" si="220"/>
        <v>2.3828756058158316</v>
      </c>
      <c r="CH626">
        <f>O626/H626*100</f>
        <v>3.0679611650485437</v>
      </c>
      <c r="CI626">
        <f t="shared" si="226"/>
        <v>0.23300970873786428</v>
      </c>
      <c r="CJ626" s="1">
        <f t="shared" si="227"/>
        <v>0.23300970873786428</v>
      </c>
      <c r="CK626" s="7" t="s">
        <v>142</v>
      </c>
      <c r="CL626" s="7">
        <v>3</v>
      </c>
      <c r="CM626" s="7"/>
      <c r="CN626" s="7"/>
      <c r="CO626" s="7"/>
      <c r="CP626" s="7"/>
    </row>
    <row r="627" spans="1:99" x14ac:dyDescent="0.2">
      <c r="A627" s="7" t="s">
        <v>555</v>
      </c>
      <c r="B627" s="7" t="s">
        <v>60</v>
      </c>
      <c r="C627" t="str">
        <f t="shared" si="207"/>
        <v>S</v>
      </c>
      <c r="D627" t="str">
        <f t="shared" si="208"/>
        <v>IMM</v>
      </c>
      <c r="E627" t="str">
        <f t="shared" si="209"/>
        <v>N</v>
      </c>
      <c r="F627" s="7">
        <v>57</v>
      </c>
      <c r="G627" s="7">
        <v>54</v>
      </c>
      <c r="H627" s="7">
        <v>2.82</v>
      </c>
      <c r="I627" s="7">
        <v>8.7999999999999995E-2</v>
      </c>
      <c r="J627" s="7">
        <v>5.0000000000000001E-3</v>
      </c>
      <c r="K627" s="7" t="s">
        <v>359</v>
      </c>
      <c r="L627" t="str">
        <f t="shared" si="210"/>
        <v>M</v>
      </c>
      <c r="M627">
        <v>20</v>
      </c>
      <c r="N627" s="7">
        <v>0.113</v>
      </c>
      <c r="O627" s="7">
        <v>0.105</v>
      </c>
      <c r="P627" s="7" t="s">
        <v>36</v>
      </c>
      <c r="Q627" t="str">
        <f t="shared" si="225"/>
        <v>MT</v>
      </c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  <c r="AK627" s="7"/>
      <c r="AL627" s="7"/>
      <c r="AM627" s="7"/>
      <c r="AN627" s="7"/>
      <c r="AO627" s="7"/>
      <c r="AP627" s="7"/>
      <c r="AQ627" s="7"/>
      <c r="AR627" s="7"/>
      <c r="AS627" s="7"/>
      <c r="AT627" s="7"/>
      <c r="AU627" s="7"/>
      <c r="AV627" s="7"/>
      <c r="AW627" s="7"/>
      <c r="AX627" s="7"/>
      <c r="AY627" s="7"/>
      <c r="AZ627" s="7"/>
      <c r="BA627" s="7"/>
      <c r="BB627" s="7"/>
      <c r="BC627" s="7"/>
      <c r="BD627" s="7"/>
      <c r="BE627" s="7"/>
      <c r="BF627" s="7"/>
      <c r="BG627" s="7"/>
      <c r="BH627" s="7"/>
      <c r="BI627" s="7"/>
      <c r="BJ627" s="7"/>
      <c r="BK627" s="7"/>
      <c r="BL627" s="7"/>
      <c r="BM627" s="7"/>
      <c r="BN627" s="7"/>
      <c r="BO627" s="7"/>
      <c r="BP627" s="7"/>
      <c r="BQ627" s="7"/>
      <c r="BR627" s="7"/>
      <c r="BS627" s="7"/>
      <c r="BT627" s="7"/>
      <c r="BU627" s="7"/>
      <c r="BV627" s="11">
        <v>0</v>
      </c>
      <c r="BW627" s="10">
        <v>44319</v>
      </c>
      <c r="BX627" s="7">
        <v>5</v>
      </c>
      <c r="BY627" s="7">
        <v>3</v>
      </c>
      <c r="BZ627" s="7">
        <v>2021</v>
      </c>
      <c r="CA627" s="5">
        <f t="shared" si="211"/>
        <v>44260</v>
      </c>
      <c r="CB627">
        <v>64</v>
      </c>
      <c r="CC627" s="7">
        <v>5</v>
      </c>
      <c r="CD627" s="7"/>
      <c r="CE627">
        <f t="shared" si="219"/>
        <v>0.17761989342806395</v>
      </c>
      <c r="CF627">
        <f t="shared" si="206"/>
        <v>3.2210834553440701</v>
      </c>
      <c r="CG627">
        <f t="shared" si="220"/>
        <v>3.2269893656032269</v>
      </c>
      <c r="CH627">
        <f>O627/H627*100</f>
        <v>3.7234042553191489</v>
      </c>
      <c r="CI627">
        <f t="shared" si="226"/>
        <v>0.28368794326241165</v>
      </c>
      <c r="CJ627" s="1">
        <f t="shared" si="227"/>
        <v>0.28368794326241165</v>
      </c>
      <c r="CK627" s="7" t="s">
        <v>142</v>
      </c>
      <c r="CL627" s="7">
        <v>3</v>
      </c>
      <c r="CM627" s="7"/>
      <c r="CN627" s="7"/>
      <c r="CO627" s="7"/>
      <c r="CP627" s="7"/>
    </row>
    <row r="628" spans="1:99" x14ac:dyDescent="0.2">
      <c r="A628" s="7" t="s">
        <v>707</v>
      </c>
      <c r="B628" s="7" t="s">
        <v>60</v>
      </c>
      <c r="C628" t="str">
        <f t="shared" si="207"/>
        <v>I</v>
      </c>
      <c r="D628" t="str">
        <f t="shared" si="208"/>
        <v>I</v>
      </c>
      <c r="E628" t="str">
        <f t="shared" si="209"/>
        <v>G</v>
      </c>
      <c r="F628" s="7">
        <v>88</v>
      </c>
      <c r="G628" s="7">
        <v>83</v>
      </c>
      <c r="H628" s="7">
        <v>11.516</v>
      </c>
      <c r="I628" s="7">
        <v>0.30199999999999999</v>
      </c>
      <c r="J628" s="7">
        <v>3.5000000000000003E-2</v>
      </c>
      <c r="K628" s="7" t="s">
        <v>38</v>
      </c>
      <c r="L628" t="str">
        <f t="shared" si="210"/>
        <v>M</v>
      </c>
      <c r="M628">
        <v>22</v>
      </c>
      <c r="N628" s="7">
        <v>0.84699999999999998</v>
      </c>
      <c r="O628" s="7">
        <v>0.70199999999999996</v>
      </c>
      <c r="P628" s="7" t="s">
        <v>731</v>
      </c>
      <c r="Q628" t="str">
        <f t="shared" si="225"/>
        <v>F</v>
      </c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  <c r="AL628" s="7"/>
      <c r="AM628" s="7"/>
      <c r="AN628" s="7"/>
      <c r="AO628" s="7"/>
      <c r="AP628" s="7"/>
      <c r="AQ628" s="7"/>
      <c r="AR628" s="7"/>
      <c r="AS628" s="7"/>
      <c r="AT628" s="7"/>
      <c r="AU628" s="7"/>
      <c r="AV628" s="7"/>
      <c r="AW628" s="7"/>
      <c r="AX628" s="7"/>
      <c r="AY628" s="7"/>
      <c r="AZ628" s="7"/>
      <c r="BA628" s="7"/>
      <c r="BB628" s="7"/>
      <c r="BC628" s="7"/>
      <c r="BD628" s="7"/>
      <c r="BE628" s="7"/>
      <c r="BF628" s="7"/>
      <c r="BG628" s="7"/>
      <c r="BH628" s="7"/>
      <c r="BI628" s="7"/>
      <c r="BJ628" s="7"/>
      <c r="BK628" s="7"/>
      <c r="BL628" s="7"/>
      <c r="BM628" s="7"/>
      <c r="BN628" s="7"/>
      <c r="BO628" s="7"/>
      <c r="BP628" s="7"/>
      <c r="BQ628" s="7"/>
      <c r="BR628" s="7">
        <v>1</v>
      </c>
      <c r="BS628" s="7">
        <v>0.11700000000000001</v>
      </c>
      <c r="BT628" s="7"/>
      <c r="BU628" s="7"/>
      <c r="BV628" s="7">
        <v>0.11700000000000001</v>
      </c>
      <c r="BW628" t="s">
        <v>732</v>
      </c>
      <c r="BX628" t="str">
        <f t="shared" ref="BX628:BX669" si="228">LEFT(BW628,2)</f>
        <v>18</v>
      </c>
      <c r="BY628" t="str">
        <f t="shared" ref="BY628:BY669" si="229">MID(BW628,4,1)</f>
        <v>3</v>
      </c>
      <c r="BZ628" t="str">
        <f t="shared" ref="BZ628:BZ669" si="230">20&amp;RIGHT(BW628,2)</f>
        <v>2021</v>
      </c>
      <c r="CA628" s="5">
        <f t="shared" si="211"/>
        <v>44273</v>
      </c>
      <c r="CB628">
        <v>77</v>
      </c>
      <c r="CC628" s="7">
        <v>6</v>
      </c>
      <c r="CE628">
        <f t="shared" si="219"/>
        <v>0.30485149377231952</v>
      </c>
      <c r="CF628">
        <f t="shared" si="206"/>
        <v>2.6930622436240412</v>
      </c>
      <c r="CG628">
        <f t="shared" ref="CG628:CG653" si="231">I628/(H628-I628-J628)</f>
        <v>2.701493872439395E-2</v>
      </c>
      <c r="CH628">
        <f t="shared" ref="CH628:CH653" si="232">O628/(H628-O628)*100</f>
        <v>6.491584982430183</v>
      </c>
      <c r="CI628">
        <f t="shared" si="226"/>
        <v>1.2591177492184789</v>
      </c>
      <c r="CJ628" s="1">
        <f t="shared" si="227"/>
        <v>2.2750955192775271</v>
      </c>
      <c r="CK628" s="7" t="s">
        <v>142</v>
      </c>
      <c r="CL628" s="7">
        <v>3</v>
      </c>
      <c r="CM628" s="7"/>
      <c r="CN628" s="7"/>
      <c r="CO628" s="7"/>
      <c r="CP628" s="7"/>
    </row>
    <row r="629" spans="1:99" x14ac:dyDescent="0.2">
      <c r="A629" s="7" t="s">
        <v>708</v>
      </c>
      <c r="B629" s="7" t="s">
        <v>60</v>
      </c>
      <c r="C629" t="str">
        <f t="shared" si="207"/>
        <v>I</v>
      </c>
      <c r="D629" t="str">
        <f t="shared" si="208"/>
        <v>S</v>
      </c>
      <c r="E629" t="str">
        <f t="shared" si="209"/>
        <v>G</v>
      </c>
      <c r="F629" s="7">
        <v>68</v>
      </c>
      <c r="G629" s="7">
        <v>63</v>
      </c>
      <c r="H629" s="7">
        <v>4.1929999999999996</v>
      </c>
      <c r="I629" s="7">
        <v>0.11799999999999999</v>
      </c>
      <c r="J629" s="7">
        <v>6.9000000000000006E-2</v>
      </c>
      <c r="K629" s="7" t="s">
        <v>24</v>
      </c>
      <c r="L629" t="str">
        <f t="shared" si="210"/>
        <v>F</v>
      </c>
      <c r="M629">
        <v>22</v>
      </c>
      <c r="N629" s="7">
        <v>0.17100000000000001</v>
      </c>
      <c r="O629" s="7">
        <v>0.16600000000000001</v>
      </c>
      <c r="P629" s="7" t="s">
        <v>36</v>
      </c>
      <c r="Q629" t="str">
        <f t="shared" si="225"/>
        <v>MT</v>
      </c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  <c r="AL629" s="7"/>
      <c r="AM629" s="7"/>
      <c r="AN629" s="7"/>
      <c r="AO629" s="7"/>
      <c r="AP629" s="7"/>
      <c r="AQ629" s="7"/>
      <c r="AR629" s="7"/>
      <c r="AS629" s="7"/>
      <c r="AT629" s="7"/>
      <c r="AU629" s="7"/>
      <c r="AV629" s="7"/>
      <c r="AW629" s="7"/>
      <c r="AX629" s="7"/>
      <c r="AY629" s="7"/>
      <c r="AZ629" s="7"/>
      <c r="BA629" s="7"/>
      <c r="BB629" s="7"/>
      <c r="BC629" s="7"/>
      <c r="BD629" s="7"/>
      <c r="BE629" s="7"/>
      <c r="BF629" s="7"/>
      <c r="BG629" s="7"/>
      <c r="BH629" s="7"/>
      <c r="BI629" s="7"/>
      <c r="BJ629" s="7"/>
      <c r="BK629" s="7"/>
      <c r="BL629" s="7"/>
      <c r="BM629" s="7"/>
      <c r="BN629" s="7"/>
      <c r="BO629" s="7"/>
      <c r="BP629" s="7"/>
      <c r="BQ629" s="7"/>
      <c r="BR629" s="7"/>
      <c r="BS629" s="7"/>
      <c r="BT629" s="7"/>
      <c r="BU629" s="7"/>
      <c r="BV629" s="7">
        <v>0</v>
      </c>
      <c r="BW629" t="s">
        <v>732</v>
      </c>
      <c r="BX629" t="str">
        <f t="shared" si="228"/>
        <v>18</v>
      </c>
      <c r="BY629" t="str">
        <f t="shared" si="229"/>
        <v>3</v>
      </c>
      <c r="BZ629" t="str">
        <f t="shared" si="230"/>
        <v>2021</v>
      </c>
      <c r="CA629" s="5">
        <f t="shared" si="211"/>
        <v>44273</v>
      </c>
      <c r="CB629">
        <v>77</v>
      </c>
      <c r="CC629" s="7">
        <v>6</v>
      </c>
      <c r="CE629">
        <f t="shared" si="219"/>
        <v>1.6731328806983514</v>
      </c>
      <c r="CF629">
        <f t="shared" si="206"/>
        <v>2.8957055214723928</v>
      </c>
      <c r="CG629">
        <f t="shared" si="231"/>
        <v>2.9455816275586622E-2</v>
      </c>
      <c r="CH629">
        <f t="shared" si="232"/>
        <v>4.1221753166128643</v>
      </c>
      <c r="CI629">
        <f t="shared" si="226"/>
        <v>0.11924636298592906</v>
      </c>
      <c r="CJ629" s="1">
        <f t="shared" si="227"/>
        <v>0.11924636298592906</v>
      </c>
      <c r="CK629" s="7" t="s">
        <v>142</v>
      </c>
      <c r="CL629" s="7">
        <v>3</v>
      </c>
      <c r="CM629" s="7">
        <v>0</v>
      </c>
      <c r="CN629" s="7">
        <v>58</v>
      </c>
      <c r="CO629" s="7">
        <v>12</v>
      </c>
      <c r="CP629" s="7">
        <v>0</v>
      </c>
      <c r="CQ629" s="12">
        <v>1.6000000000000001E-3</v>
      </c>
      <c r="CR629">
        <f>CQ629/(H629-I629-J629-N629)*1000</f>
        <v>0.41720990873533254</v>
      </c>
      <c r="CS629">
        <v>9.3160000000000007</v>
      </c>
      <c r="CT629">
        <v>73.128402302353535</v>
      </c>
      <c r="CU629">
        <v>102.26219154077999</v>
      </c>
    </row>
    <row r="630" spans="1:99" x14ac:dyDescent="0.2">
      <c r="A630" s="7" t="s">
        <v>709</v>
      </c>
      <c r="B630" s="7" t="s">
        <v>60</v>
      </c>
      <c r="C630" t="str">
        <f t="shared" si="207"/>
        <v>I</v>
      </c>
      <c r="D630" t="str">
        <f t="shared" si="208"/>
        <v>I</v>
      </c>
      <c r="E630" t="str">
        <f t="shared" si="209"/>
        <v>G</v>
      </c>
      <c r="F630" s="7">
        <v>105</v>
      </c>
      <c r="G630" s="7">
        <v>100</v>
      </c>
      <c r="H630" s="7">
        <v>19.23</v>
      </c>
      <c r="I630" s="7">
        <v>0.318</v>
      </c>
      <c r="J630" s="7">
        <v>4.2999999999999997E-2</v>
      </c>
      <c r="K630" s="7" t="s">
        <v>38</v>
      </c>
      <c r="L630" t="str">
        <f t="shared" si="210"/>
        <v>M</v>
      </c>
      <c r="M630">
        <v>22</v>
      </c>
      <c r="N630" s="7">
        <v>0.97799999999999998</v>
      </c>
      <c r="O630" s="7">
        <v>0.96199999999999997</v>
      </c>
      <c r="P630" s="7" t="s">
        <v>36</v>
      </c>
      <c r="Q630" t="str">
        <f t="shared" si="225"/>
        <v>MT</v>
      </c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  <c r="AL630" s="7"/>
      <c r="AM630" s="7"/>
      <c r="AN630" s="7"/>
      <c r="AO630" s="7"/>
      <c r="AP630" s="7"/>
      <c r="AQ630" s="7"/>
      <c r="AR630" s="7"/>
      <c r="AS630" s="7"/>
      <c r="AT630" s="7"/>
      <c r="AU630" s="7"/>
      <c r="AV630" s="7"/>
      <c r="AW630" s="7"/>
      <c r="AX630" s="7"/>
      <c r="AY630" s="7"/>
      <c r="AZ630" s="7"/>
      <c r="BA630" s="7"/>
      <c r="BB630" s="7"/>
      <c r="BC630" s="7"/>
      <c r="BD630" s="7"/>
      <c r="BE630" s="7"/>
      <c r="BF630" s="7"/>
      <c r="BG630" s="7"/>
      <c r="BH630" s="7"/>
      <c r="BI630" s="7"/>
      <c r="BJ630" s="7"/>
      <c r="BK630" s="7"/>
      <c r="BL630" s="7"/>
      <c r="BM630" s="7"/>
      <c r="BN630" s="7"/>
      <c r="BO630" s="7"/>
      <c r="BP630" s="7"/>
      <c r="BQ630" s="7"/>
      <c r="BR630" s="7"/>
      <c r="BS630" s="7"/>
      <c r="BT630" s="7"/>
      <c r="BU630" s="7"/>
      <c r="BV630" s="7">
        <v>0</v>
      </c>
      <c r="BW630" t="s">
        <v>732</v>
      </c>
      <c r="BX630" t="str">
        <f t="shared" si="228"/>
        <v>18</v>
      </c>
      <c r="BY630" t="str">
        <f t="shared" si="229"/>
        <v>3</v>
      </c>
      <c r="BZ630" t="str">
        <f t="shared" si="230"/>
        <v>2021</v>
      </c>
      <c r="CA630" s="5">
        <f t="shared" si="211"/>
        <v>44273</v>
      </c>
      <c r="CB630">
        <v>77</v>
      </c>
      <c r="CC630" s="7">
        <v>6</v>
      </c>
      <c r="CE630">
        <f t="shared" si="219"/>
        <v>0.22411007452962942</v>
      </c>
      <c r="CF630">
        <f t="shared" si="206"/>
        <v>1.6814720812182742</v>
      </c>
      <c r="CG630">
        <f t="shared" si="231"/>
        <v>1.6853039376755526E-2</v>
      </c>
      <c r="CH630">
        <f t="shared" si="232"/>
        <v>5.2660389752572794</v>
      </c>
      <c r="CI630">
        <f t="shared" si="226"/>
        <v>8.3203328133125407E-2</v>
      </c>
      <c r="CJ630" s="1">
        <f t="shared" si="227"/>
        <v>8.3203328133125407E-2</v>
      </c>
      <c r="CK630" s="7" t="s">
        <v>142</v>
      </c>
      <c r="CL630" s="7">
        <v>2</v>
      </c>
      <c r="CM630" s="7"/>
      <c r="CN630" s="7"/>
      <c r="CO630" s="7"/>
      <c r="CP630" s="7"/>
    </row>
    <row r="631" spans="1:99" x14ac:dyDescent="0.2">
      <c r="A631" s="7" t="s">
        <v>710</v>
      </c>
      <c r="B631" s="7" t="s">
        <v>60</v>
      </c>
      <c r="C631" t="str">
        <f t="shared" si="207"/>
        <v>I</v>
      </c>
      <c r="D631" t="str">
        <f t="shared" si="208"/>
        <v>I</v>
      </c>
      <c r="E631" t="str">
        <f t="shared" si="209"/>
        <v>G</v>
      </c>
      <c r="F631" s="7">
        <v>92</v>
      </c>
      <c r="G631" s="7">
        <v>86</v>
      </c>
      <c r="H631" s="7">
        <v>11.992000000000001</v>
      </c>
      <c r="I631" s="7">
        <v>0.24199999999999999</v>
      </c>
      <c r="J631" s="7">
        <v>2.7E-2</v>
      </c>
      <c r="K631" s="7" t="s">
        <v>38</v>
      </c>
      <c r="L631" t="str">
        <f t="shared" si="210"/>
        <v>M</v>
      </c>
      <c r="M631">
        <v>22</v>
      </c>
      <c r="N631" s="7">
        <v>0.64900000000000002</v>
      </c>
      <c r="O631" s="7">
        <v>0.59499999999999997</v>
      </c>
      <c r="P631" s="7" t="s">
        <v>733</v>
      </c>
      <c r="Q631" t="str">
        <f t="shared" si="225"/>
        <v>F</v>
      </c>
      <c r="R631" s="7"/>
      <c r="S631" s="7"/>
      <c r="T631" s="7"/>
      <c r="U631" s="7">
        <v>0.01</v>
      </c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  <c r="AL631" s="7"/>
      <c r="AM631" s="7"/>
      <c r="AN631" s="7"/>
      <c r="AO631" s="7"/>
      <c r="AP631" s="7"/>
      <c r="AQ631" s="7"/>
      <c r="AR631" s="7"/>
      <c r="AS631" s="7"/>
      <c r="AT631" s="7"/>
      <c r="AU631" s="7"/>
      <c r="AV631" s="7">
        <v>7</v>
      </c>
      <c r="AW631" s="7">
        <v>2.5999999999999999E-2</v>
      </c>
      <c r="AX631" s="7"/>
      <c r="AY631" s="7"/>
      <c r="AZ631" s="7"/>
      <c r="BA631" s="7"/>
      <c r="BB631" s="7"/>
      <c r="BC631" s="7"/>
      <c r="BD631" s="7"/>
      <c r="BE631" s="7"/>
      <c r="BF631" s="7"/>
      <c r="BG631" s="7"/>
      <c r="BH631" s="7"/>
      <c r="BI631" s="7"/>
      <c r="BJ631" s="7"/>
      <c r="BK631" s="7"/>
      <c r="BL631" s="7"/>
      <c r="BM631" s="7"/>
      <c r="BN631" s="7"/>
      <c r="BO631" s="7"/>
      <c r="BP631" s="7"/>
      <c r="BQ631" s="7"/>
      <c r="BR631" s="7"/>
      <c r="BS631" s="7"/>
      <c r="BT631" s="7"/>
      <c r="BU631" s="7"/>
      <c r="BV631" s="7">
        <v>2.7E-2</v>
      </c>
      <c r="BW631" t="s">
        <v>732</v>
      </c>
      <c r="BX631" t="str">
        <f t="shared" si="228"/>
        <v>18</v>
      </c>
      <c r="BY631" t="str">
        <f t="shared" si="229"/>
        <v>3</v>
      </c>
      <c r="BZ631" t="str">
        <f t="shared" si="230"/>
        <v>2021</v>
      </c>
      <c r="CA631" s="5">
        <f t="shared" si="211"/>
        <v>44273</v>
      </c>
      <c r="CB631">
        <v>77</v>
      </c>
      <c r="CC631" s="7">
        <v>6</v>
      </c>
      <c r="CE631">
        <f t="shared" si="219"/>
        <v>0.22565816966151273</v>
      </c>
      <c r="CF631">
        <f t="shared" si="206"/>
        <v>2.0595744680851062</v>
      </c>
      <c r="CG631">
        <f t="shared" si="231"/>
        <v>2.0643180073360058E-2</v>
      </c>
      <c r="CH631">
        <f t="shared" si="232"/>
        <v>5.2206721066947441</v>
      </c>
      <c r="CI631">
        <f t="shared" si="226"/>
        <v>0.4503002001334227</v>
      </c>
      <c r="CJ631" s="1">
        <f t="shared" si="227"/>
        <v>0.67545030020013375</v>
      </c>
      <c r="CK631" s="7" t="s">
        <v>142</v>
      </c>
      <c r="CL631" s="7">
        <v>3</v>
      </c>
      <c r="CM631" s="7"/>
      <c r="CN631" s="7"/>
      <c r="CO631" s="7"/>
      <c r="CP631" s="7"/>
    </row>
    <row r="632" spans="1:99" ht="32" x14ac:dyDescent="0.2">
      <c r="A632" s="7" t="s">
        <v>711</v>
      </c>
      <c r="B632" s="7" t="s">
        <v>60</v>
      </c>
      <c r="C632" t="str">
        <f t="shared" si="207"/>
        <v>I</v>
      </c>
      <c r="D632" t="str">
        <f t="shared" si="208"/>
        <v>I</v>
      </c>
      <c r="E632" t="str">
        <f t="shared" si="209"/>
        <v>G</v>
      </c>
      <c r="F632" s="7">
        <v>85</v>
      </c>
      <c r="G632" s="7">
        <v>80</v>
      </c>
      <c r="H632" s="7">
        <v>8.6509999999999998</v>
      </c>
      <c r="I632" s="7">
        <v>0.21299999999999999</v>
      </c>
      <c r="J632" s="7">
        <v>2.3E-2</v>
      </c>
      <c r="K632" s="7" t="s">
        <v>38</v>
      </c>
      <c r="L632" t="str">
        <f t="shared" si="210"/>
        <v>M</v>
      </c>
      <c r="M632">
        <v>22</v>
      </c>
      <c r="N632" s="7">
        <v>0.51500000000000001</v>
      </c>
      <c r="O632" s="7">
        <v>0.44600000000000001</v>
      </c>
      <c r="P632" s="7" t="s">
        <v>734</v>
      </c>
      <c r="Q632" t="str">
        <f t="shared" si="225"/>
        <v>F</v>
      </c>
      <c r="R632" s="7"/>
      <c r="S632" s="7"/>
      <c r="T632" s="7"/>
      <c r="U632" s="7">
        <v>1.2999999999999999E-2</v>
      </c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  <c r="AL632" s="7"/>
      <c r="AM632" s="7"/>
      <c r="AN632" s="7"/>
      <c r="AO632" s="7"/>
      <c r="AP632" s="7"/>
      <c r="AQ632" s="7"/>
      <c r="AR632" s="7"/>
      <c r="AS632" s="7"/>
      <c r="AT632" s="7"/>
      <c r="AU632" s="7"/>
      <c r="AV632" s="7">
        <v>11</v>
      </c>
      <c r="AW632" s="7">
        <v>3.4000000000000002E-2</v>
      </c>
      <c r="AX632" s="7"/>
      <c r="AY632" s="7"/>
      <c r="AZ632" s="7"/>
      <c r="BA632" s="7"/>
      <c r="BB632" s="7"/>
      <c r="BC632" s="7"/>
      <c r="BD632" s="7"/>
      <c r="BE632" s="7"/>
      <c r="BF632" s="7"/>
      <c r="BG632" s="7"/>
      <c r="BH632" s="7"/>
      <c r="BI632" s="7"/>
      <c r="BJ632" s="7"/>
      <c r="BK632" s="7"/>
      <c r="BL632" s="7"/>
      <c r="BM632" s="7"/>
      <c r="BN632" s="7"/>
      <c r="BO632" s="7"/>
      <c r="BP632" s="7"/>
      <c r="BQ632" s="7"/>
      <c r="BR632" s="7"/>
      <c r="BS632" s="7"/>
      <c r="BT632" s="7"/>
      <c r="BU632" s="7"/>
      <c r="BV632" s="7">
        <v>4.7E-2</v>
      </c>
      <c r="BW632" t="s">
        <v>732</v>
      </c>
      <c r="BX632" t="str">
        <f t="shared" si="228"/>
        <v>18</v>
      </c>
      <c r="BY632" t="str">
        <f t="shared" si="229"/>
        <v>3</v>
      </c>
      <c r="BZ632" t="str">
        <f t="shared" si="230"/>
        <v>2021</v>
      </c>
      <c r="CA632" s="5">
        <f t="shared" si="211"/>
        <v>44273</v>
      </c>
      <c r="CB632">
        <v>77</v>
      </c>
      <c r="CC632" s="7">
        <v>6</v>
      </c>
      <c r="CE632">
        <f t="shared" ref="CE632:CE653" si="233">J632/(H632-J632)*100</f>
        <v>0.26657394529439038</v>
      </c>
      <c r="CF632">
        <f t="shared" si="206"/>
        <v>2.5242948566010899</v>
      </c>
      <c r="CG632">
        <f t="shared" si="231"/>
        <v>2.5311942959001778E-2</v>
      </c>
      <c r="CH632">
        <f t="shared" si="232"/>
        <v>5.4357099329677023</v>
      </c>
      <c r="CI632">
        <f t="shared" si="226"/>
        <v>0.79759565368165541</v>
      </c>
      <c r="CJ632" s="1">
        <f t="shared" si="227"/>
        <v>1.3408854467691598</v>
      </c>
      <c r="CK632" s="7" t="s">
        <v>142</v>
      </c>
      <c r="CL632" s="7">
        <v>3</v>
      </c>
      <c r="CM632" s="7"/>
      <c r="CN632" s="7"/>
      <c r="CO632" s="7"/>
      <c r="CP632" s="7"/>
    </row>
    <row r="633" spans="1:99" ht="32" x14ac:dyDescent="0.2">
      <c r="A633" s="7" t="s">
        <v>712</v>
      </c>
      <c r="B633" s="7" t="s">
        <v>60</v>
      </c>
      <c r="C633" t="str">
        <f t="shared" si="207"/>
        <v>I</v>
      </c>
      <c r="D633" t="str">
        <f t="shared" si="208"/>
        <v>I</v>
      </c>
      <c r="E633" t="str">
        <f t="shared" si="209"/>
        <v>G</v>
      </c>
      <c r="F633" s="7">
        <v>90</v>
      </c>
      <c r="G633" s="7">
        <v>84</v>
      </c>
      <c r="H633" s="7">
        <v>10.723000000000001</v>
      </c>
      <c r="I633" s="7">
        <v>0.22800000000000001</v>
      </c>
      <c r="J633" s="7">
        <v>0.17399999999999999</v>
      </c>
      <c r="K633" s="7" t="s">
        <v>24</v>
      </c>
      <c r="L633" t="str">
        <f t="shared" si="210"/>
        <v>F</v>
      </c>
      <c r="M633">
        <v>22</v>
      </c>
      <c r="N633" s="7">
        <v>0.66600000000000004</v>
      </c>
      <c r="O633" s="7">
        <v>0.51900000000000002</v>
      </c>
      <c r="P633" s="7" t="s">
        <v>735</v>
      </c>
      <c r="Q633" t="str">
        <f t="shared" si="225"/>
        <v>F</v>
      </c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7"/>
      <c r="AL633" s="7"/>
      <c r="AM633" s="7"/>
      <c r="AN633" s="7"/>
      <c r="AO633" s="7"/>
      <c r="AP633" s="7"/>
      <c r="AQ633" s="7"/>
      <c r="AR633" s="7"/>
      <c r="AS633" s="7"/>
      <c r="AT633" s="7"/>
      <c r="AU633" s="7"/>
      <c r="AV633" s="7">
        <v>13</v>
      </c>
      <c r="AW633" s="7">
        <v>5.0999999999999997E-2</v>
      </c>
      <c r="AX633" s="7">
        <v>2</v>
      </c>
      <c r="AY633" s="7">
        <v>6.3E-2</v>
      </c>
      <c r="AZ633" s="7"/>
      <c r="BA633" s="7"/>
      <c r="BB633" s="7"/>
      <c r="BC633" s="7"/>
      <c r="BD633" s="7"/>
      <c r="BE633" s="7"/>
      <c r="BF633" s="7"/>
      <c r="BG633" s="7"/>
      <c r="BH633" s="7"/>
      <c r="BI633" s="7"/>
      <c r="BJ633" s="7"/>
      <c r="BK633" s="7"/>
      <c r="BL633" s="7"/>
      <c r="BM633" s="7"/>
      <c r="BN633" s="7"/>
      <c r="BO633" s="7"/>
      <c r="BP633" s="7"/>
      <c r="BQ633" s="7"/>
      <c r="BR633" s="7"/>
      <c r="BS633" s="7"/>
      <c r="BT633" s="7"/>
      <c r="BU633" s="7"/>
      <c r="BV633" s="7">
        <v>0.114</v>
      </c>
      <c r="BW633" t="s">
        <v>732</v>
      </c>
      <c r="BX633" t="str">
        <f t="shared" si="228"/>
        <v>18</v>
      </c>
      <c r="BY633" t="str">
        <f t="shared" si="229"/>
        <v>3</v>
      </c>
      <c r="BZ633" t="str">
        <f t="shared" si="230"/>
        <v>2021</v>
      </c>
      <c r="CA633" s="5">
        <f t="shared" si="211"/>
        <v>44273</v>
      </c>
      <c r="CB633">
        <v>77</v>
      </c>
      <c r="CC633" s="7">
        <v>6</v>
      </c>
      <c r="CE633">
        <f t="shared" si="233"/>
        <v>1.6494454450658829</v>
      </c>
      <c r="CF633">
        <f t="shared" si="206"/>
        <v>2.1724630776560265</v>
      </c>
      <c r="CG633">
        <f t="shared" si="231"/>
        <v>2.2090882666408292E-2</v>
      </c>
      <c r="CH633">
        <f t="shared" si="232"/>
        <v>5.0862406899255186</v>
      </c>
      <c r="CI633">
        <f t="shared" si="226"/>
        <v>1.3708850135223354</v>
      </c>
      <c r="CJ633" s="1">
        <f t="shared" si="227"/>
        <v>2.4340203301314931</v>
      </c>
      <c r="CK633" s="7" t="s">
        <v>142</v>
      </c>
      <c r="CL633" s="7">
        <v>3</v>
      </c>
      <c r="CM633" s="7">
        <v>0</v>
      </c>
      <c r="CN633" s="7">
        <v>135</v>
      </c>
      <c r="CO633" s="7">
        <v>58</v>
      </c>
      <c r="CP633" s="7">
        <v>0</v>
      </c>
      <c r="CQ633" s="12">
        <v>8.9999999999999998E-4</v>
      </c>
      <c r="CR633">
        <f>CQ633/(H633-I633-J633-N633)*1000</f>
        <v>9.3215950284826501E-2</v>
      </c>
      <c r="CS633">
        <v>8.0540000000000003</v>
      </c>
      <c r="CT633">
        <v>68.45586060830243</v>
      </c>
      <c r="CU633">
        <v>101.7961501252196</v>
      </c>
    </row>
    <row r="634" spans="1:99" ht="32" x14ac:dyDescent="0.2">
      <c r="A634" s="7" t="s">
        <v>713</v>
      </c>
      <c r="B634" s="7" t="s">
        <v>60</v>
      </c>
      <c r="C634" t="str">
        <f t="shared" si="207"/>
        <v>I</v>
      </c>
      <c r="D634" t="str">
        <f t="shared" si="208"/>
        <v>I</v>
      </c>
      <c r="E634" t="str">
        <f t="shared" si="209"/>
        <v>G</v>
      </c>
      <c r="F634" s="7">
        <v>91</v>
      </c>
      <c r="G634" s="7">
        <v>86</v>
      </c>
      <c r="H634" s="7">
        <v>11.068</v>
      </c>
      <c r="I634" s="7">
        <v>0.22800000000000001</v>
      </c>
      <c r="J634" s="7">
        <v>1.4999999999999999E-2</v>
      </c>
      <c r="K634" s="7" t="s">
        <v>38</v>
      </c>
      <c r="L634" t="str">
        <f t="shared" si="210"/>
        <v>M</v>
      </c>
      <c r="M634">
        <v>22</v>
      </c>
      <c r="N634" s="7">
        <v>0.875</v>
      </c>
      <c r="O634" s="7">
        <v>0.60799999999999998</v>
      </c>
      <c r="P634" s="7" t="s">
        <v>736</v>
      </c>
      <c r="Q634" t="str">
        <f t="shared" si="225"/>
        <v>F</v>
      </c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  <c r="AL634" s="7"/>
      <c r="AM634" s="7"/>
      <c r="AN634" s="7"/>
      <c r="AO634" s="7"/>
      <c r="AP634" s="7"/>
      <c r="AQ634" s="7"/>
      <c r="AR634" s="7"/>
      <c r="AS634" s="7"/>
      <c r="AT634" s="7"/>
      <c r="AU634" s="7"/>
      <c r="AV634" s="7">
        <v>24</v>
      </c>
      <c r="AW634" s="7">
        <v>0.13400000000000001</v>
      </c>
      <c r="AX634" s="7">
        <v>1</v>
      </c>
      <c r="AY634" s="7">
        <v>2.3E-2</v>
      </c>
      <c r="AZ634" s="7"/>
      <c r="BA634" s="7"/>
      <c r="BB634" s="7"/>
      <c r="BC634" s="7"/>
      <c r="BD634" s="7"/>
      <c r="BE634" s="7"/>
      <c r="BF634" s="7"/>
      <c r="BG634" s="7"/>
      <c r="BH634" s="7"/>
      <c r="BI634" s="7"/>
      <c r="BJ634" s="7"/>
      <c r="BK634" s="7"/>
      <c r="BL634" s="7"/>
      <c r="BM634" s="7"/>
      <c r="BN634" s="7"/>
      <c r="BO634" s="7"/>
      <c r="BP634" s="7"/>
      <c r="BQ634" s="7"/>
      <c r="BR634" s="7"/>
      <c r="BS634" s="7"/>
      <c r="BT634" s="7"/>
      <c r="BU634" s="7"/>
      <c r="BV634" s="7">
        <v>0.157</v>
      </c>
      <c r="BW634" t="s">
        <v>732</v>
      </c>
      <c r="BX634" t="str">
        <f t="shared" si="228"/>
        <v>18</v>
      </c>
      <c r="BY634" t="str">
        <f t="shared" si="229"/>
        <v>3</v>
      </c>
      <c r="BZ634" t="str">
        <f t="shared" si="230"/>
        <v>2021</v>
      </c>
      <c r="CA634" s="5">
        <f t="shared" si="211"/>
        <v>44273</v>
      </c>
      <c r="CB634">
        <v>77</v>
      </c>
      <c r="CC634" s="7">
        <v>6</v>
      </c>
      <c r="CE634">
        <f t="shared" si="233"/>
        <v>0.13570976205555055</v>
      </c>
      <c r="CF634">
        <f t="shared" si="206"/>
        <v>2.103321033210332</v>
      </c>
      <c r="CG634">
        <f t="shared" si="231"/>
        <v>2.1062355658198615E-2</v>
      </c>
      <c r="CH634">
        <f t="shared" si="232"/>
        <v>5.8126195028680696</v>
      </c>
      <c r="CI634">
        <f t="shared" si="226"/>
        <v>2.4123599566317315</v>
      </c>
      <c r="CJ634" s="1">
        <f t="shared" si="227"/>
        <v>3.8308637513552588</v>
      </c>
      <c r="CK634" s="7" t="s">
        <v>142</v>
      </c>
      <c r="CL634" s="7">
        <v>2</v>
      </c>
      <c r="CM634" s="7"/>
      <c r="CN634" s="7"/>
      <c r="CO634" s="7"/>
      <c r="CP634" s="7"/>
    </row>
    <row r="635" spans="1:99" x14ac:dyDescent="0.2">
      <c r="A635" s="7" t="s">
        <v>714</v>
      </c>
      <c r="B635" s="7" t="s">
        <v>60</v>
      </c>
      <c r="C635" t="str">
        <f t="shared" si="207"/>
        <v>I</v>
      </c>
      <c r="D635" t="str">
        <f t="shared" si="208"/>
        <v>I</v>
      </c>
      <c r="E635" t="str">
        <f t="shared" si="209"/>
        <v>G</v>
      </c>
      <c r="F635" s="7">
        <v>90</v>
      </c>
      <c r="G635" s="7">
        <v>85</v>
      </c>
      <c r="H635" s="7">
        <v>11.105</v>
      </c>
      <c r="I635" s="7">
        <v>0.25600000000000001</v>
      </c>
      <c r="J635" s="7">
        <v>0.02</v>
      </c>
      <c r="K635" s="7" t="s">
        <v>38</v>
      </c>
      <c r="L635" t="str">
        <f t="shared" si="210"/>
        <v>M</v>
      </c>
      <c r="M635">
        <v>22</v>
      </c>
      <c r="N635" s="7">
        <v>0.623</v>
      </c>
      <c r="O635" s="7">
        <v>0.57499999999999996</v>
      </c>
      <c r="P635" s="7" t="s">
        <v>737</v>
      </c>
      <c r="Q635" t="str">
        <f t="shared" si="225"/>
        <v>F</v>
      </c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7"/>
      <c r="AL635" s="7"/>
      <c r="AM635" s="7"/>
      <c r="AN635" s="7"/>
      <c r="AO635" s="7"/>
      <c r="AP635" s="7"/>
      <c r="AQ635" s="7"/>
      <c r="AR635" s="7"/>
      <c r="AS635" s="7"/>
      <c r="AT635" s="7"/>
      <c r="AU635" s="7"/>
      <c r="AV635" s="7">
        <v>2</v>
      </c>
      <c r="AW635" s="7">
        <v>1.2999999999999999E-2</v>
      </c>
      <c r="AX635" s="7"/>
      <c r="AY635" s="7"/>
      <c r="AZ635" s="7"/>
      <c r="BA635" s="7"/>
      <c r="BB635" s="7"/>
      <c r="BC635" s="7"/>
      <c r="BD635" s="7"/>
      <c r="BE635" s="7"/>
      <c r="BF635" s="7"/>
      <c r="BG635" s="7"/>
      <c r="BH635" s="7"/>
      <c r="BI635" s="7"/>
      <c r="BJ635" s="7"/>
      <c r="BK635" s="7"/>
      <c r="BL635" s="7"/>
      <c r="BM635" s="7"/>
      <c r="BN635" s="7"/>
      <c r="BO635" s="7"/>
      <c r="BP635" s="7"/>
      <c r="BQ635" s="7"/>
      <c r="BR635" s="7"/>
      <c r="BS635" s="7"/>
      <c r="BT635" s="7"/>
      <c r="BU635" s="7"/>
      <c r="BV635" s="7">
        <v>1.2999999999999999E-2</v>
      </c>
      <c r="BW635" t="s">
        <v>732</v>
      </c>
      <c r="BX635" t="str">
        <f t="shared" si="228"/>
        <v>18</v>
      </c>
      <c r="BY635" t="str">
        <f t="shared" si="229"/>
        <v>3</v>
      </c>
      <c r="BZ635" t="str">
        <f t="shared" si="230"/>
        <v>2021</v>
      </c>
      <c r="CA635" s="5">
        <f t="shared" si="211"/>
        <v>44273</v>
      </c>
      <c r="CB635">
        <v>77</v>
      </c>
      <c r="CC635" s="7">
        <v>6</v>
      </c>
      <c r="CE635">
        <f t="shared" si="233"/>
        <v>0.18042399639152007</v>
      </c>
      <c r="CF635">
        <f t="shared" si="206"/>
        <v>2.3596644852060096</v>
      </c>
      <c r="CG635">
        <f t="shared" si="231"/>
        <v>2.3640225320897591E-2</v>
      </c>
      <c r="CH635">
        <f t="shared" si="232"/>
        <v>5.4605887939221258</v>
      </c>
      <c r="CI635">
        <f t="shared" si="226"/>
        <v>0.43223773075191391</v>
      </c>
      <c r="CJ635" s="1">
        <f t="shared" si="227"/>
        <v>0.54930211616389057</v>
      </c>
      <c r="CK635" s="7" t="s">
        <v>142</v>
      </c>
      <c r="CL635" s="7">
        <v>3</v>
      </c>
      <c r="CM635" s="7"/>
      <c r="CN635" s="7"/>
      <c r="CO635" s="7"/>
      <c r="CP635" s="7"/>
    </row>
    <row r="636" spans="1:99" x14ac:dyDescent="0.2">
      <c r="A636" s="7" t="s">
        <v>715</v>
      </c>
      <c r="B636" s="7" t="s">
        <v>60</v>
      </c>
      <c r="C636" t="str">
        <f t="shared" si="207"/>
        <v>I</v>
      </c>
      <c r="D636" t="str">
        <f t="shared" si="208"/>
        <v>I</v>
      </c>
      <c r="E636" t="str">
        <f t="shared" si="209"/>
        <v>G</v>
      </c>
      <c r="F636" s="7">
        <v>88</v>
      </c>
      <c r="G636" s="7">
        <v>82</v>
      </c>
      <c r="H636" s="7">
        <v>9.5109999999999992</v>
      </c>
      <c r="I636" s="7">
        <v>0.32</v>
      </c>
      <c r="J636" s="7">
        <v>2.1000000000000001E-2</v>
      </c>
      <c r="K636" s="7" t="s">
        <v>38</v>
      </c>
      <c r="L636" t="str">
        <f t="shared" si="210"/>
        <v>M</v>
      </c>
      <c r="M636">
        <v>22</v>
      </c>
      <c r="N636" s="7">
        <v>0.52800000000000002</v>
      </c>
      <c r="O636" s="7">
        <v>0.44700000000000001</v>
      </c>
      <c r="P636" s="7" t="s">
        <v>738</v>
      </c>
      <c r="Q636" t="str">
        <f t="shared" si="225"/>
        <v>F</v>
      </c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  <c r="AL636" s="7"/>
      <c r="AM636" s="7"/>
      <c r="AN636" s="7"/>
      <c r="AO636" s="7"/>
      <c r="AP636" s="7"/>
      <c r="AQ636" s="7"/>
      <c r="AR636" s="7"/>
      <c r="AS636" s="7"/>
      <c r="AT636" s="7"/>
      <c r="AU636" s="7"/>
      <c r="AV636" s="7">
        <v>9</v>
      </c>
      <c r="AW636" s="7">
        <v>4.2000000000000003E-2</v>
      </c>
      <c r="AX636" s="7"/>
      <c r="AY636" s="7"/>
      <c r="AZ636" s="7"/>
      <c r="BA636" s="7"/>
      <c r="BB636" s="7"/>
      <c r="BC636" s="7"/>
      <c r="BD636" s="7"/>
      <c r="BE636" s="7"/>
      <c r="BF636" s="7"/>
      <c r="BG636" s="7"/>
      <c r="BH636" s="7"/>
      <c r="BI636" s="7"/>
      <c r="BJ636" s="7"/>
      <c r="BK636" s="7"/>
      <c r="BL636" s="7"/>
      <c r="BM636" s="7"/>
      <c r="BN636" s="7"/>
      <c r="BO636" s="7"/>
      <c r="BP636" s="7"/>
      <c r="BQ636" s="7"/>
      <c r="BR636" s="7"/>
      <c r="BS636" s="7"/>
      <c r="BT636" s="7"/>
      <c r="BU636" s="7"/>
      <c r="BV636" s="7">
        <v>4.2000000000000003E-2</v>
      </c>
      <c r="BW636" t="s">
        <v>732</v>
      </c>
      <c r="BX636" t="str">
        <f t="shared" si="228"/>
        <v>18</v>
      </c>
      <c r="BY636" t="str">
        <f t="shared" si="229"/>
        <v>3</v>
      </c>
      <c r="BZ636" t="str">
        <f t="shared" si="230"/>
        <v>2021</v>
      </c>
      <c r="CA636" s="5">
        <f t="shared" si="211"/>
        <v>44273</v>
      </c>
      <c r="CB636">
        <v>77</v>
      </c>
      <c r="CC636" s="7">
        <v>6</v>
      </c>
      <c r="CE636">
        <f t="shared" si="233"/>
        <v>0.22128556375131722</v>
      </c>
      <c r="CF636">
        <f t="shared" si="206"/>
        <v>3.4816668480034818</v>
      </c>
      <c r="CG636">
        <f t="shared" si="231"/>
        <v>3.4896401308615058E-2</v>
      </c>
      <c r="CH636">
        <f t="shared" si="232"/>
        <v>4.9315975286849074</v>
      </c>
      <c r="CI636">
        <f t="shared" si="226"/>
        <v>0.85164546314793421</v>
      </c>
      <c r="CJ636" s="1">
        <f t="shared" si="227"/>
        <v>1.2932394070024187</v>
      </c>
      <c r="CK636" s="7" t="s">
        <v>142</v>
      </c>
      <c r="CL636" s="7">
        <v>2</v>
      </c>
      <c r="CM636" s="7"/>
      <c r="CN636" s="7"/>
      <c r="CO636" s="7"/>
      <c r="CP636" s="7"/>
    </row>
    <row r="637" spans="1:99" x14ac:dyDescent="0.2">
      <c r="A637" s="7" t="s">
        <v>716</v>
      </c>
      <c r="B637" s="7" t="s">
        <v>60</v>
      </c>
      <c r="C637" t="str">
        <f t="shared" si="207"/>
        <v>I</v>
      </c>
      <c r="D637" t="str">
        <f t="shared" si="208"/>
        <v>I</v>
      </c>
      <c r="E637" t="str">
        <f t="shared" si="209"/>
        <v>G</v>
      </c>
      <c r="F637" s="7">
        <v>87</v>
      </c>
      <c r="G637" s="7">
        <v>82</v>
      </c>
      <c r="H637" s="7">
        <v>9.1110000000000007</v>
      </c>
      <c r="I637" s="7">
        <v>0.161</v>
      </c>
      <c r="J637" s="7">
        <v>1.4999999999999999E-2</v>
      </c>
      <c r="K637" s="7" t="s">
        <v>38</v>
      </c>
      <c r="L637" t="str">
        <f t="shared" si="210"/>
        <v>M</v>
      </c>
      <c r="M637">
        <v>22</v>
      </c>
      <c r="N637" s="7">
        <v>0.58799999999999997</v>
      </c>
      <c r="O637" s="7">
        <v>0.51</v>
      </c>
      <c r="P637" s="7" t="s">
        <v>739</v>
      </c>
      <c r="Q637" t="str">
        <f t="shared" si="225"/>
        <v>F</v>
      </c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  <c r="AL637" s="7"/>
      <c r="AM637" s="7"/>
      <c r="AN637" s="7"/>
      <c r="AO637" s="7"/>
      <c r="AP637" s="7"/>
      <c r="AQ637" s="7"/>
      <c r="AR637" s="7"/>
      <c r="AS637" s="7"/>
      <c r="AT637" s="7"/>
      <c r="AU637" s="7"/>
      <c r="AV637" s="7">
        <v>9</v>
      </c>
      <c r="AW637" s="7">
        <v>4.2999999999999997E-2</v>
      </c>
      <c r="AX637" s="7"/>
      <c r="AY637" s="7"/>
      <c r="AZ637" s="7"/>
      <c r="BA637" s="7"/>
      <c r="BB637" s="7"/>
      <c r="BC637" s="7"/>
      <c r="BD637" s="7"/>
      <c r="BE637" s="7"/>
      <c r="BF637" s="7"/>
      <c r="BG637" s="7"/>
      <c r="BH637" s="7"/>
      <c r="BI637" s="7"/>
      <c r="BJ637" s="7"/>
      <c r="BK637" s="7"/>
      <c r="BL637" s="7"/>
      <c r="BM637" s="7"/>
      <c r="BN637" s="7"/>
      <c r="BO637" s="7"/>
      <c r="BP637" s="7"/>
      <c r="BQ637" s="7"/>
      <c r="BR637" s="7"/>
      <c r="BS637" s="7"/>
      <c r="BT637" s="7"/>
      <c r="BU637" s="7"/>
      <c r="BV637" s="7">
        <v>4.2999999999999997E-2</v>
      </c>
      <c r="BW637" t="s">
        <v>732</v>
      </c>
      <c r="BX637" t="str">
        <f t="shared" si="228"/>
        <v>18</v>
      </c>
      <c r="BY637" t="str">
        <f t="shared" si="229"/>
        <v>3</v>
      </c>
      <c r="BZ637" t="str">
        <f t="shared" si="230"/>
        <v>2021</v>
      </c>
      <c r="CA637" s="5">
        <f t="shared" si="211"/>
        <v>44273</v>
      </c>
      <c r="CB637">
        <v>77</v>
      </c>
      <c r="CC637" s="7">
        <v>6</v>
      </c>
      <c r="CE637">
        <f t="shared" si="233"/>
        <v>0.16490765171503957</v>
      </c>
      <c r="CF637">
        <f t="shared" si="206"/>
        <v>1.7988826815642456</v>
      </c>
      <c r="CG637">
        <f t="shared" si="231"/>
        <v>1.8019026301063234E-2</v>
      </c>
      <c r="CH637">
        <f t="shared" si="232"/>
        <v>5.9295430763864658</v>
      </c>
      <c r="CI637">
        <f t="shared" si="226"/>
        <v>0.85610800131708864</v>
      </c>
      <c r="CJ637" s="1">
        <f t="shared" si="227"/>
        <v>1.3280649764021506</v>
      </c>
      <c r="CK637" s="7" t="s">
        <v>142</v>
      </c>
      <c r="CL637" s="7">
        <v>3</v>
      </c>
      <c r="CM637" s="7"/>
      <c r="CN637" s="7"/>
      <c r="CO637" s="7"/>
      <c r="CP637" s="7"/>
    </row>
    <row r="638" spans="1:99" x14ac:dyDescent="0.2">
      <c r="A638" s="7" t="s">
        <v>717</v>
      </c>
      <c r="B638" s="7" t="s">
        <v>60</v>
      </c>
      <c r="C638" t="str">
        <f t="shared" si="207"/>
        <v>I</v>
      </c>
      <c r="D638" t="str">
        <f t="shared" si="208"/>
        <v>S</v>
      </c>
      <c r="E638" t="str">
        <f t="shared" si="209"/>
        <v>G</v>
      </c>
      <c r="F638" s="7">
        <v>77</v>
      </c>
      <c r="G638" s="7">
        <v>73</v>
      </c>
      <c r="H638" s="7">
        <v>6.5810000000000004</v>
      </c>
      <c r="I638" s="7">
        <v>0.14499999999999999</v>
      </c>
      <c r="J638" s="7">
        <v>0.106</v>
      </c>
      <c r="K638" s="7" t="s">
        <v>24</v>
      </c>
      <c r="L638" t="str">
        <f t="shared" si="210"/>
        <v>F</v>
      </c>
      <c r="M638">
        <v>22</v>
      </c>
      <c r="N638" s="7">
        <v>0.30499999999999999</v>
      </c>
      <c r="O638" s="7">
        <v>0.29299999999999998</v>
      </c>
      <c r="P638" s="7" t="s">
        <v>36</v>
      </c>
      <c r="Q638" t="str">
        <f t="shared" si="225"/>
        <v>MT</v>
      </c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  <c r="AL638" s="7"/>
      <c r="AM638" s="7"/>
      <c r="AN638" s="7"/>
      <c r="AO638" s="7"/>
      <c r="AP638" s="7"/>
      <c r="AQ638" s="7"/>
      <c r="AR638" s="7"/>
      <c r="AS638" s="7"/>
      <c r="AT638" s="7"/>
      <c r="AU638" s="7"/>
      <c r="AV638" s="7"/>
      <c r="AW638" s="7"/>
      <c r="AX638" s="7"/>
      <c r="AY638" s="7"/>
      <c r="AZ638" s="7"/>
      <c r="BA638" s="7"/>
      <c r="BB638" s="7"/>
      <c r="BC638" s="7"/>
      <c r="BD638" s="7"/>
      <c r="BE638" s="7"/>
      <c r="BF638" s="7"/>
      <c r="BG638" s="7"/>
      <c r="BH638" s="7"/>
      <c r="BI638" s="7"/>
      <c r="BJ638" s="7"/>
      <c r="BK638" s="7"/>
      <c r="BL638" s="7"/>
      <c r="BM638" s="7"/>
      <c r="BN638" s="7"/>
      <c r="BO638" s="7"/>
      <c r="BP638" s="7"/>
      <c r="BQ638" s="7"/>
      <c r="BR638" s="7"/>
      <c r="BS638" s="7"/>
      <c r="BT638" s="7"/>
      <c r="BU638" s="7"/>
      <c r="BV638" s="7">
        <v>0</v>
      </c>
      <c r="BW638" t="s">
        <v>732</v>
      </c>
      <c r="BX638" t="str">
        <f t="shared" si="228"/>
        <v>18</v>
      </c>
      <c r="BY638" t="str">
        <f t="shared" si="229"/>
        <v>3</v>
      </c>
      <c r="BZ638" t="str">
        <f t="shared" si="230"/>
        <v>2021</v>
      </c>
      <c r="CA638" s="5">
        <f t="shared" si="211"/>
        <v>44273</v>
      </c>
      <c r="CB638">
        <v>77</v>
      </c>
      <c r="CC638" s="7">
        <v>6</v>
      </c>
      <c r="CE638">
        <f t="shared" si="233"/>
        <v>1.6370656370656367</v>
      </c>
      <c r="CF638">
        <f t="shared" si="206"/>
        <v>2.2529521441889369</v>
      </c>
      <c r="CG638">
        <f t="shared" si="231"/>
        <v>2.290679304897314E-2</v>
      </c>
      <c r="CH638">
        <f t="shared" si="232"/>
        <v>4.6596692111959284</v>
      </c>
      <c r="CI638">
        <f t="shared" si="226"/>
        <v>0.18234310895000774</v>
      </c>
      <c r="CJ638" s="1">
        <f t="shared" si="227"/>
        <v>0.18234310895000774</v>
      </c>
      <c r="CK638" s="7" t="s">
        <v>142</v>
      </c>
      <c r="CL638" s="7">
        <v>3</v>
      </c>
      <c r="CM638" s="7"/>
      <c r="CN638" s="7"/>
      <c r="CO638" s="7"/>
      <c r="CP638" s="7"/>
    </row>
    <row r="639" spans="1:99" x14ac:dyDescent="0.2">
      <c r="A639" s="7" t="s">
        <v>718</v>
      </c>
      <c r="B639" s="7" t="s">
        <v>60</v>
      </c>
      <c r="C639" t="str">
        <f t="shared" si="207"/>
        <v>I</v>
      </c>
      <c r="D639" t="str">
        <f t="shared" si="208"/>
        <v>S</v>
      </c>
      <c r="E639" t="str">
        <f t="shared" si="209"/>
        <v>G</v>
      </c>
      <c r="F639" s="7">
        <v>70</v>
      </c>
      <c r="G639" s="7">
        <v>66</v>
      </c>
      <c r="H639" s="7">
        <v>4.8780000000000001</v>
      </c>
      <c r="I639" s="7">
        <v>8.3000000000000004E-2</v>
      </c>
      <c r="J639" s="7">
        <v>7.5999999999999998E-2</v>
      </c>
      <c r="K639" s="7" t="s">
        <v>24</v>
      </c>
      <c r="L639" t="str">
        <f t="shared" si="210"/>
        <v>F</v>
      </c>
      <c r="M639">
        <v>22</v>
      </c>
      <c r="N639" s="7">
        <v>0.158</v>
      </c>
      <c r="O639" s="7">
        <v>0.153</v>
      </c>
      <c r="P639" s="7" t="s">
        <v>36</v>
      </c>
      <c r="Q639" t="str">
        <f t="shared" si="225"/>
        <v>MT</v>
      </c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/>
      <c r="AL639" s="7"/>
      <c r="AM639" s="7"/>
      <c r="AN639" s="7"/>
      <c r="AO639" s="7"/>
      <c r="AP639" s="7"/>
      <c r="AQ639" s="7"/>
      <c r="AR639" s="7"/>
      <c r="AS639" s="7"/>
      <c r="AT639" s="7"/>
      <c r="AU639" s="7"/>
      <c r="AV639" s="7"/>
      <c r="AW639" s="7"/>
      <c r="AX639" s="7"/>
      <c r="AY639" s="7"/>
      <c r="AZ639" s="7"/>
      <c r="BA639" s="7"/>
      <c r="BB639" s="7"/>
      <c r="BC639" s="7"/>
      <c r="BD639" s="7"/>
      <c r="BE639" s="7"/>
      <c r="BF639" s="7"/>
      <c r="BG639" s="7"/>
      <c r="BH639" s="7"/>
      <c r="BI639" s="7"/>
      <c r="BJ639" s="7"/>
      <c r="BK639" s="7"/>
      <c r="BL639" s="7"/>
      <c r="BM639" s="7"/>
      <c r="BN639" s="7"/>
      <c r="BO639" s="7"/>
      <c r="BP639" s="7"/>
      <c r="BQ639" s="7"/>
      <c r="BR639" s="7"/>
      <c r="BS639" s="7"/>
      <c r="BT639" s="7"/>
      <c r="BU639" s="7"/>
      <c r="BV639" s="7">
        <v>0</v>
      </c>
      <c r="BW639" t="s">
        <v>732</v>
      </c>
      <c r="BX639" t="str">
        <f t="shared" si="228"/>
        <v>18</v>
      </c>
      <c r="BY639" t="str">
        <f t="shared" si="229"/>
        <v>3</v>
      </c>
      <c r="BZ639" t="str">
        <f t="shared" si="230"/>
        <v>2021</v>
      </c>
      <c r="CA639" s="5">
        <f t="shared" si="211"/>
        <v>44273</v>
      </c>
      <c r="CB639">
        <v>77</v>
      </c>
      <c r="CC639" s="7">
        <v>6</v>
      </c>
      <c r="CE639">
        <f t="shared" si="233"/>
        <v>1.5826738858808826</v>
      </c>
      <c r="CF639">
        <f t="shared" si="206"/>
        <v>1.7309697601668406</v>
      </c>
      <c r="CG639">
        <f t="shared" si="231"/>
        <v>1.758847213392668E-2</v>
      </c>
      <c r="CH639">
        <f t="shared" si="232"/>
        <v>3.2380952380952377</v>
      </c>
      <c r="CI639">
        <f t="shared" si="226"/>
        <v>0.10250102501025019</v>
      </c>
      <c r="CJ639" s="1">
        <f t="shared" si="227"/>
        <v>0.10250102501025019</v>
      </c>
      <c r="CK639" s="7" t="s">
        <v>142</v>
      </c>
      <c r="CL639" s="7">
        <v>3</v>
      </c>
      <c r="CM639" s="7"/>
      <c r="CN639" s="7"/>
      <c r="CO639" s="7"/>
      <c r="CP639" s="7"/>
    </row>
    <row r="640" spans="1:99" x14ac:dyDescent="0.2">
      <c r="A640" s="7" t="s">
        <v>719</v>
      </c>
      <c r="B640" s="7" t="s">
        <v>60</v>
      </c>
      <c r="C640" t="str">
        <f t="shared" si="207"/>
        <v>I</v>
      </c>
      <c r="D640" t="str">
        <f t="shared" si="208"/>
        <v>S</v>
      </c>
      <c r="E640" t="str">
        <f t="shared" si="209"/>
        <v>G</v>
      </c>
      <c r="F640" s="7">
        <v>80</v>
      </c>
      <c r="G640" s="7">
        <v>76</v>
      </c>
      <c r="H640" s="7">
        <v>6.7249999999999996</v>
      </c>
      <c r="I640" s="7">
        <v>0.14199999999999999</v>
      </c>
      <c r="J640" s="7">
        <v>1.4E-2</v>
      </c>
      <c r="K640" s="7" t="s">
        <v>38</v>
      </c>
      <c r="L640" t="str">
        <f t="shared" si="210"/>
        <v>M</v>
      </c>
      <c r="M640">
        <v>22</v>
      </c>
      <c r="N640" s="7">
        <v>0.31900000000000001</v>
      </c>
      <c r="O640" s="7">
        <v>0.311</v>
      </c>
      <c r="P640" s="7" t="s">
        <v>36</v>
      </c>
      <c r="Q640" t="str">
        <f t="shared" si="225"/>
        <v>MT</v>
      </c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  <c r="AL640" s="7"/>
      <c r="AM640" s="7"/>
      <c r="AN640" s="7"/>
      <c r="AO640" s="7"/>
      <c r="AP640" s="7"/>
      <c r="AQ640" s="7"/>
      <c r="AR640" s="7"/>
      <c r="AS640" s="7"/>
      <c r="AT640" s="7"/>
      <c r="AU640" s="7"/>
      <c r="AV640" s="7"/>
      <c r="AW640" s="7"/>
      <c r="AX640" s="7"/>
      <c r="AY640" s="7"/>
      <c r="AZ640" s="7"/>
      <c r="BA640" s="7"/>
      <c r="BB640" s="7"/>
      <c r="BC640" s="7"/>
      <c r="BD640" s="7"/>
      <c r="BE640" s="7"/>
      <c r="BF640" s="7"/>
      <c r="BG640" s="7"/>
      <c r="BH640" s="7"/>
      <c r="BI640" s="7"/>
      <c r="BJ640" s="7"/>
      <c r="BK640" s="7"/>
      <c r="BL640" s="7"/>
      <c r="BM640" s="7"/>
      <c r="BN640" s="7"/>
      <c r="BO640" s="7"/>
      <c r="BP640" s="7"/>
      <c r="BQ640" s="7"/>
      <c r="BR640" s="7"/>
      <c r="BS640" s="7"/>
      <c r="BT640" s="7"/>
      <c r="BU640" s="7"/>
      <c r="BV640" s="7">
        <v>0</v>
      </c>
      <c r="BW640" t="s">
        <v>732</v>
      </c>
      <c r="BX640" t="str">
        <f t="shared" si="228"/>
        <v>18</v>
      </c>
      <c r="BY640" t="str">
        <f t="shared" si="229"/>
        <v>3</v>
      </c>
      <c r="BZ640" t="str">
        <f t="shared" si="230"/>
        <v>2021</v>
      </c>
      <c r="CA640" s="5">
        <f t="shared" si="211"/>
        <v>44273</v>
      </c>
      <c r="CB640">
        <v>77</v>
      </c>
      <c r="CC640" s="7">
        <v>6</v>
      </c>
      <c r="CE640">
        <f t="shared" si="233"/>
        <v>0.20861272537624798</v>
      </c>
      <c r="CF640">
        <f t="shared" si="206"/>
        <v>2.1570712441136264</v>
      </c>
      <c r="CG640">
        <f t="shared" si="231"/>
        <v>2.1616684426853404E-2</v>
      </c>
      <c r="CH640">
        <f t="shared" si="232"/>
        <v>4.8487683193015281</v>
      </c>
      <c r="CI640">
        <f t="shared" si="226"/>
        <v>0.11895910780669156</v>
      </c>
      <c r="CJ640" s="1">
        <f t="shared" si="227"/>
        <v>0.11895910780669156</v>
      </c>
      <c r="CK640" s="7" t="s">
        <v>142</v>
      </c>
      <c r="CL640" s="7">
        <v>3</v>
      </c>
      <c r="CM640" s="7"/>
      <c r="CN640" s="7"/>
      <c r="CO640" s="7"/>
      <c r="CP640" s="7"/>
    </row>
    <row r="641" spans="1:99" ht="32" x14ac:dyDescent="0.2">
      <c r="A641" s="7" t="s">
        <v>720</v>
      </c>
      <c r="B641" s="7" t="s">
        <v>60</v>
      </c>
      <c r="C641" t="str">
        <f t="shared" si="207"/>
        <v>I</v>
      </c>
      <c r="D641" t="str">
        <f t="shared" si="208"/>
        <v>S</v>
      </c>
      <c r="E641" t="str">
        <f t="shared" si="209"/>
        <v>G</v>
      </c>
      <c r="F641" s="7">
        <v>72</v>
      </c>
      <c r="G641" s="7">
        <v>67</v>
      </c>
      <c r="H641" s="7">
        <v>5.4909999999999997</v>
      </c>
      <c r="I641" s="7">
        <v>0.1</v>
      </c>
      <c r="J641" s="7">
        <v>1.7000000000000001E-2</v>
      </c>
      <c r="K641" s="7" t="s">
        <v>38</v>
      </c>
      <c r="L641" t="str">
        <f t="shared" si="210"/>
        <v>M</v>
      </c>
      <c r="M641">
        <v>22</v>
      </c>
      <c r="N641" s="7">
        <v>0.32100000000000001</v>
      </c>
      <c r="O641" s="7">
        <v>0.20699999999999999</v>
      </c>
      <c r="P641" s="7" t="s">
        <v>740</v>
      </c>
      <c r="Q641" t="str">
        <f t="shared" si="225"/>
        <v>F</v>
      </c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7"/>
      <c r="AL641" s="7"/>
      <c r="AM641" s="7"/>
      <c r="AN641" s="7"/>
      <c r="AO641" s="7"/>
      <c r="AP641" s="7"/>
      <c r="AQ641" s="7"/>
      <c r="AR641" s="7"/>
      <c r="AS641" s="7"/>
      <c r="AT641" s="7"/>
      <c r="AU641" s="7"/>
      <c r="AV641" s="7">
        <v>6</v>
      </c>
      <c r="AW641" s="7">
        <v>2.9000000000000001E-2</v>
      </c>
      <c r="AX641" s="7">
        <v>2</v>
      </c>
      <c r="AY641" s="7">
        <v>3.5000000000000003E-2</v>
      </c>
      <c r="AZ641" s="7"/>
      <c r="BA641" s="7"/>
      <c r="BB641" s="7"/>
      <c r="BC641" s="7"/>
      <c r="BD641" s="7"/>
      <c r="BE641" s="7"/>
      <c r="BF641" s="7"/>
      <c r="BG641" s="7"/>
      <c r="BH641" s="7"/>
      <c r="BI641" s="7"/>
      <c r="BJ641" s="7"/>
      <c r="BK641" s="7"/>
      <c r="BL641" s="7"/>
      <c r="BM641" s="7"/>
      <c r="BN641" s="7"/>
      <c r="BO641" s="7"/>
      <c r="BP641" s="7"/>
      <c r="BQ641" s="7"/>
      <c r="BR641" s="7"/>
      <c r="BS641" s="7"/>
      <c r="BT641" s="7"/>
      <c r="BU641" s="7"/>
      <c r="BV641" s="7">
        <v>6.4000000000000001E-2</v>
      </c>
      <c r="BW641" t="s">
        <v>732</v>
      </c>
      <c r="BX641" t="str">
        <f t="shared" si="228"/>
        <v>18</v>
      </c>
      <c r="BY641" t="str">
        <f t="shared" si="229"/>
        <v>3</v>
      </c>
      <c r="BZ641" t="str">
        <f t="shared" si="230"/>
        <v>2021</v>
      </c>
      <c r="CA641" s="5">
        <f t="shared" si="211"/>
        <v>44273</v>
      </c>
      <c r="CB641">
        <v>77</v>
      </c>
      <c r="CC641" s="7">
        <v>6</v>
      </c>
      <c r="CE641">
        <f t="shared" si="233"/>
        <v>0.31055900621118021</v>
      </c>
      <c r="CF641">
        <f t="shared" ref="CF641:CF653" si="234">I641/(H641-I641)*100</f>
        <v>1.8549434242255611</v>
      </c>
      <c r="CG641">
        <f t="shared" si="231"/>
        <v>1.8608113137327877E-2</v>
      </c>
      <c r="CH641">
        <f t="shared" si="232"/>
        <v>3.917486752460257</v>
      </c>
      <c r="CI641">
        <f t="shared" si="226"/>
        <v>2.0761245674740492</v>
      </c>
      <c r="CJ641" s="1">
        <f t="shared" si="227"/>
        <v>3.2416681843015849</v>
      </c>
      <c r="CK641" s="7" t="s">
        <v>142</v>
      </c>
      <c r="CL641" s="7">
        <v>3</v>
      </c>
      <c r="CM641" s="7"/>
      <c r="CN641" s="7"/>
      <c r="CO641" s="7"/>
      <c r="CP641" s="7"/>
    </row>
    <row r="642" spans="1:99" x14ac:dyDescent="0.2">
      <c r="A642" s="7" t="s">
        <v>721</v>
      </c>
      <c r="B642" s="7" t="s">
        <v>60</v>
      </c>
      <c r="C642" t="str">
        <f t="shared" ref="C642:C705" si="235">IF(F642&gt;=150,"B",IF(F642&lt;=60,"S","I"))</f>
        <v>I</v>
      </c>
      <c r="D642" t="str">
        <f t="shared" ref="D642:D705" si="236">IF(F642&gt;=110,"B",IF(F642&gt;=85,"I",IF(F642&gt;=65,"S","IMM")))</f>
        <v>S</v>
      </c>
      <c r="E642" t="str">
        <f t="shared" ref="E642:E705" si="237">IF(AND(F642&gt;=60,F642&lt;=110),"G","N")</f>
        <v>G</v>
      </c>
      <c r="F642" s="7">
        <v>83</v>
      </c>
      <c r="G642" s="7">
        <v>78</v>
      </c>
      <c r="H642" s="7">
        <v>9.7859999999999996</v>
      </c>
      <c r="I642" s="7">
        <v>0.23799999999999999</v>
      </c>
      <c r="J642" s="7">
        <v>0.14000000000000001</v>
      </c>
      <c r="K642" s="7" t="s">
        <v>24</v>
      </c>
      <c r="L642" t="str">
        <f t="shared" ref="L642:L705" si="238">LEFT(K642,1)</f>
        <v>F</v>
      </c>
      <c r="M642">
        <v>22</v>
      </c>
      <c r="N642" s="7">
        <v>0.74199999999999999</v>
      </c>
      <c r="O642" s="7">
        <v>0.52800000000000002</v>
      </c>
      <c r="P642" s="7" t="s">
        <v>741</v>
      </c>
      <c r="Q642" t="str">
        <f t="shared" si="225"/>
        <v>F</v>
      </c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  <c r="AL642" s="7"/>
      <c r="AM642" s="7"/>
      <c r="AN642" s="7"/>
      <c r="AO642" s="7"/>
      <c r="AP642" s="7"/>
      <c r="AQ642" s="7"/>
      <c r="AR642" s="7"/>
      <c r="AS642" s="7"/>
      <c r="AT642" s="7"/>
      <c r="AU642" s="7"/>
      <c r="AV642" s="7"/>
      <c r="AW642" s="7"/>
      <c r="AX642" s="7"/>
      <c r="AY642" s="7"/>
      <c r="AZ642" s="7"/>
      <c r="BA642" s="7"/>
      <c r="BB642" s="7"/>
      <c r="BC642" s="7"/>
      <c r="BD642" s="7"/>
      <c r="BE642" s="7"/>
      <c r="BF642" s="7"/>
      <c r="BG642" s="7"/>
      <c r="BH642" s="7"/>
      <c r="BI642" s="7"/>
      <c r="BJ642" s="7"/>
      <c r="BK642" s="7"/>
      <c r="BL642" s="7"/>
      <c r="BM642" s="7"/>
      <c r="BN642" s="7"/>
      <c r="BO642" s="7"/>
      <c r="BP642" s="7"/>
      <c r="BQ642" s="7"/>
      <c r="BR642" s="7">
        <v>1</v>
      </c>
      <c r="BS642" s="7">
        <v>0.15</v>
      </c>
      <c r="BT642" s="7"/>
      <c r="BU642" s="7"/>
      <c r="BV642" s="7">
        <v>0.15</v>
      </c>
      <c r="BW642" t="s">
        <v>732</v>
      </c>
      <c r="BX642" t="str">
        <f t="shared" si="228"/>
        <v>18</v>
      </c>
      <c r="BY642" t="str">
        <f t="shared" si="229"/>
        <v>3</v>
      </c>
      <c r="BZ642" t="str">
        <f t="shared" si="230"/>
        <v>2021</v>
      </c>
      <c r="CA642" s="5">
        <f t="shared" si="211"/>
        <v>44273</v>
      </c>
      <c r="CB642">
        <v>77</v>
      </c>
      <c r="CC642" s="7">
        <v>6</v>
      </c>
      <c r="CE642">
        <f t="shared" si="233"/>
        <v>1.4513788098693761</v>
      </c>
      <c r="CF642">
        <f t="shared" si="234"/>
        <v>2.4926686217008798</v>
      </c>
      <c r="CG642">
        <f t="shared" si="231"/>
        <v>2.5297619047619048E-2</v>
      </c>
      <c r="CH642">
        <f t="shared" si="232"/>
        <v>5.7031756318859372</v>
      </c>
      <c r="CI642">
        <f t="shared" si="226"/>
        <v>2.1867974657674227</v>
      </c>
      <c r="CJ642" s="1">
        <f t="shared" si="227"/>
        <v>3.7195994277539342</v>
      </c>
      <c r="CK642" s="7" t="s">
        <v>142</v>
      </c>
      <c r="CL642" s="7">
        <v>3</v>
      </c>
      <c r="CM642" s="7"/>
      <c r="CN642" s="7"/>
      <c r="CO642" s="7"/>
      <c r="CP642" s="7"/>
    </row>
    <row r="643" spans="1:99" x14ac:dyDescent="0.2">
      <c r="A643" s="7" t="s">
        <v>722</v>
      </c>
      <c r="B643" s="7" t="s">
        <v>60</v>
      </c>
      <c r="C643" t="str">
        <f t="shared" si="235"/>
        <v>I</v>
      </c>
      <c r="D643" t="str">
        <f t="shared" si="236"/>
        <v>S</v>
      </c>
      <c r="E643" t="str">
        <f t="shared" si="237"/>
        <v>G</v>
      </c>
      <c r="F643" s="7">
        <v>74</v>
      </c>
      <c r="G643" s="7">
        <v>70</v>
      </c>
      <c r="H643" s="7">
        <v>5.6740000000000004</v>
      </c>
      <c r="I643" s="7">
        <v>0.11600000000000001</v>
      </c>
      <c r="J643" s="7">
        <v>1.2999999999999999E-2</v>
      </c>
      <c r="K643" s="7" t="s">
        <v>38</v>
      </c>
      <c r="L643" t="str">
        <f t="shared" si="238"/>
        <v>M</v>
      </c>
      <c r="M643">
        <v>22</v>
      </c>
      <c r="N643" s="7">
        <v>0.35499999999999998</v>
      </c>
      <c r="O643" s="7">
        <v>0.25700000000000001</v>
      </c>
      <c r="P643" s="7" t="s">
        <v>742</v>
      </c>
      <c r="Q643" t="str">
        <f t="shared" si="225"/>
        <v>F</v>
      </c>
      <c r="R643" s="7"/>
      <c r="S643" s="7"/>
      <c r="T643" s="7"/>
      <c r="U643" s="7">
        <v>1.2E-2</v>
      </c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  <c r="AK643" s="7"/>
      <c r="AL643" s="7"/>
      <c r="AM643" s="7"/>
      <c r="AN643" s="7"/>
      <c r="AO643" s="7"/>
      <c r="AP643" s="7"/>
      <c r="AQ643" s="7"/>
      <c r="AR643" s="7"/>
      <c r="AS643" s="7"/>
      <c r="AT643" s="7"/>
      <c r="AU643" s="7"/>
      <c r="AV643" s="7">
        <v>10</v>
      </c>
      <c r="AW643" s="7">
        <v>0.03</v>
      </c>
      <c r="AX643" s="7"/>
      <c r="AY643" s="7"/>
      <c r="AZ643" s="7"/>
      <c r="BA643" s="7"/>
      <c r="BB643" s="7"/>
      <c r="BC643" s="7"/>
      <c r="BD643" s="7"/>
      <c r="BE643" s="7"/>
      <c r="BF643" s="7"/>
      <c r="BG643" s="7"/>
      <c r="BH643" s="7"/>
      <c r="BI643" s="7"/>
      <c r="BJ643" s="7"/>
      <c r="BK643" s="7"/>
      <c r="BL643" s="7"/>
      <c r="BM643" s="7"/>
      <c r="BN643" s="7"/>
      <c r="BO643" s="7"/>
      <c r="BP643" s="7"/>
      <c r="BQ643" s="7"/>
      <c r="BR643" s="7"/>
      <c r="BS643" s="7"/>
      <c r="BT643" s="7"/>
      <c r="BU643" s="7"/>
      <c r="BV643" s="7">
        <v>4.2000000000000003E-2</v>
      </c>
      <c r="BW643" t="s">
        <v>732</v>
      </c>
      <c r="BX643" t="str">
        <f t="shared" si="228"/>
        <v>18</v>
      </c>
      <c r="BY643" t="str">
        <f t="shared" si="229"/>
        <v>3</v>
      </c>
      <c r="BZ643" t="str">
        <f t="shared" si="230"/>
        <v>2021</v>
      </c>
      <c r="CA643" s="5">
        <f t="shared" ref="CA643:CA706" si="239">DATE(BZ643,BY643,BX643)</f>
        <v>44273</v>
      </c>
      <c r="CB643">
        <v>77</v>
      </c>
      <c r="CC643" s="7">
        <v>6</v>
      </c>
      <c r="CE643">
        <f t="shared" si="233"/>
        <v>0.2296414061119943</v>
      </c>
      <c r="CF643">
        <f t="shared" si="234"/>
        <v>2.0870816840590138</v>
      </c>
      <c r="CG643">
        <f t="shared" si="231"/>
        <v>2.0919747520288547E-2</v>
      </c>
      <c r="CH643">
        <f t="shared" si="232"/>
        <v>4.7443234262506921</v>
      </c>
      <c r="CI643">
        <f t="shared" si="226"/>
        <v>1.7271765949947122</v>
      </c>
      <c r="CJ643" s="1">
        <f t="shared" si="227"/>
        <v>2.4673951357067319</v>
      </c>
      <c r="CK643" s="7" t="s">
        <v>142</v>
      </c>
      <c r="CL643" s="7">
        <v>2</v>
      </c>
      <c r="CM643" s="7"/>
      <c r="CN643" s="7"/>
      <c r="CO643" s="7"/>
      <c r="CP643" s="7"/>
    </row>
    <row r="644" spans="1:99" x14ac:dyDescent="0.2">
      <c r="A644" s="7" t="s">
        <v>723</v>
      </c>
      <c r="B644" s="7" t="s">
        <v>60</v>
      </c>
      <c r="C644" t="str">
        <f t="shared" si="235"/>
        <v>I</v>
      </c>
      <c r="D644" t="str">
        <f t="shared" si="236"/>
        <v>S</v>
      </c>
      <c r="E644" t="str">
        <f t="shared" si="237"/>
        <v>G</v>
      </c>
      <c r="F644" s="7">
        <v>73</v>
      </c>
      <c r="G644" s="7">
        <v>70</v>
      </c>
      <c r="H644" s="7">
        <v>5.6109999999999998</v>
      </c>
      <c r="I644" s="7">
        <v>0.109</v>
      </c>
      <c r="J644" s="7">
        <v>9.8000000000000004E-2</v>
      </c>
      <c r="K644" s="7" t="s">
        <v>24</v>
      </c>
      <c r="L644" t="str">
        <f t="shared" si="238"/>
        <v>F</v>
      </c>
      <c r="M644">
        <v>22</v>
      </c>
      <c r="N644" s="7">
        <v>0.22800000000000001</v>
      </c>
      <c r="O644" s="7">
        <v>0.218</v>
      </c>
      <c r="P644" s="7" t="s">
        <v>36</v>
      </c>
      <c r="Q644" t="str">
        <f t="shared" si="225"/>
        <v>MT</v>
      </c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  <c r="AL644" s="7"/>
      <c r="AM644" s="7"/>
      <c r="AN644" s="7"/>
      <c r="AO644" s="7"/>
      <c r="AP644" s="7"/>
      <c r="AQ644" s="7"/>
      <c r="AR644" s="7"/>
      <c r="AS644" s="7"/>
      <c r="AT644" s="7"/>
      <c r="AU644" s="7"/>
      <c r="AV644" s="7"/>
      <c r="AW644" s="7"/>
      <c r="AX644" s="7"/>
      <c r="AY644" s="7"/>
      <c r="AZ644" s="7"/>
      <c r="BA644" s="7"/>
      <c r="BB644" s="7"/>
      <c r="BC644" s="7"/>
      <c r="BD644" s="7"/>
      <c r="BE644" s="7"/>
      <c r="BF644" s="7"/>
      <c r="BG644" s="7"/>
      <c r="BH644" s="7"/>
      <c r="BI644" s="7"/>
      <c r="BJ644" s="7"/>
      <c r="BK644" s="7"/>
      <c r="BL644" s="7"/>
      <c r="BM644" s="7"/>
      <c r="BN644" s="7"/>
      <c r="BO644" s="7"/>
      <c r="BP644" s="7"/>
      <c r="BQ644" s="7"/>
      <c r="BR644" s="7"/>
      <c r="BS644" s="7"/>
      <c r="BT644" s="7"/>
      <c r="BU644" s="7"/>
      <c r="BV644" s="7">
        <v>0</v>
      </c>
      <c r="BW644" t="s">
        <v>732</v>
      </c>
      <c r="BX644" t="str">
        <f t="shared" si="228"/>
        <v>18</v>
      </c>
      <c r="BY644" t="str">
        <f t="shared" si="229"/>
        <v>3</v>
      </c>
      <c r="BZ644" t="str">
        <f t="shared" si="230"/>
        <v>2021</v>
      </c>
      <c r="CA644" s="5">
        <f t="shared" si="239"/>
        <v>44273</v>
      </c>
      <c r="CB644">
        <v>77</v>
      </c>
      <c r="CC644" s="7">
        <v>6</v>
      </c>
      <c r="CE644">
        <f t="shared" si="233"/>
        <v>1.7776165427172137</v>
      </c>
      <c r="CF644">
        <f t="shared" si="234"/>
        <v>1.9810977826245004</v>
      </c>
      <c r="CG644">
        <f t="shared" si="231"/>
        <v>2.0170244263508514E-2</v>
      </c>
      <c r="CH644">
        <f t="shared" si="232"/>
        <v>4.042277025774152</v>
      </c>
      <c r="CI644">
        <f t="shared" si="226"/>
        <v>0.17822135091784011</v>
      </c>
      <c r="CJ644" s="1">
        <f t="shared" si="227"/>
        <v>0.17822135091784011</v>
      </c>
      <c r="CK644" s="7" t="s">
        <v>142</v>
      </c>
      <c r="CL644" s="7">
        <v>2</v>
      </c>
      <c r="CM644" s="7">
        <v>0</v>
      </c>
      <c r="CN644" s="7">
        <v>32</v>
      </c>
      <c r="CO644" s="7">
        <v>9</v>
      </c>
      <c r="CP644" s="7">
        <v>0</v>
      </c>
      <c r="CQ644" s="12">
        <v>6.9999999999999999E-4</v>
      </c>
      <c r="CR644">
        <f>CQ644/(H644-I644-J644-N644)*1000</f>
        <v>0.13523956723338484</v>
      </c>
      <c r="CS644">
        <v>7.9359999999999999</v>
      </c>
      <c r="CT644">
        <v>85.306580480968577</v>
      </c>
      <c r="CU644">
        <v>105.6515646638302</v>
      </c>
    </row>
    <row r="645" spans="1:99" x14ac:dyDescent="0.2">
      <c r="A645" s="7" t="s">
        <v>724</v>
      </c>
      <c r="B645" s="7" t="s">
        <v>60</v>
      </c>
      <c r="C645" t="str">
        <f t="shared" si="235"/>
        <v>I</v>
      </c>
      <c r="D645" t="str">
        <f t="shared" si="236"/>
        <v>S</v>
      </c>
      <c r="E645" t="str">
        <f t="shared" si="237"/>
        <v>G</v>
      </c>
      <c r="F645" s="7">
        <v>69</v>
      </c>
      <c r="G645" s="7">
        <v>63</v>
      </c>
      <c r="H645" s="7">
        <v>5.093</v>
      </c>
      <c r="I645" s="7">
        <v>0.11</v>
      </c>
      <c r="J645" s="7">
        <v>9.1999999999999998E-2</v>
      </c>
      <c r="K645" s="7" t="s">
        <v>24</v>
      </c>
      <c r="L645" t="str">
        <f t="shared" si="238"/>
        <v>F</v>
      </c>
      <c r="M645">
        <v>22</v>
      </c>
      <c r="N645" s="7">
        <v>0.22600000000000001</v>
      </c>
      <c r="O645" s="7">
        <v>0.183</v>
      </c>
      <c r="P645" s="7" t="s">
        <v>743</v>
      </c>
      <c r="Q645" t="str">
        <f t="shared" si="225"/>
        <v>F</v>
      </c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7"/>
      <c r="AL645" s="7"/>
      <c r="AM645" s="7"/>
      <c r="AN645" s="7"/>
      <c r="AO645" s="7"/>
      <c r="AP645" s="7"/>
      <c r="AQ645" s="7"/>
      <c r="AR645" s="7"/>
      <c r="AS645" s="7"/>
      <c r="AT645" s="7"/>
      <c r="AU645" s="7"/>
      <c r="AV645" s="7">
        <v>4</v>
      </c>
      <c r="AW645" s="7">
        <v>2.8000000000000001E-2</v>
      </c>
      <c r="AX645" s="7"/>
      <c r="AY645" s="7"/>
      <c r="AZ645" s="7"/>
      <c r="BA645" s="7"/>
      <c r="BB645" s="7"/>
      <c r="BC645" s="7"/>
      <c r="BD645" s="7"/>
      <c r="BE645" s="7"/>
      <c r="BF645" s="7"/>
      <c r="BG645" s="7"/>
      <c r="BH645" s="7"/>
      <c r="BI645" s="7"/>
      <c r="BJ645" s="7"/>
      <c r="BK645" s="7"/>
      <c r="BL645" s="7"/>
      <c r="BM645" s="7"/>
      <c r="BN645" s="7"/>
      <c r="BO645" s="7"/>
      <c r="BP645" s="7"/>
      <c r="BQ645" s="7"/>
      <c r="BR645" s="7"/>
      <c r="BS645" s="7"/>
      <c r="BT645" s="7"/>
      <c r="BU645" s="7"/>
      <c r="BV645" s="7">
        <v>2.8000000000000001E-2</v>
      </c>
      <c r="BW645" t="s">
        <v>732</v>
      </c>
      <c r="BX645" t="str">
        <f t="shared" si="228"/>
        <v>18</v>
      </c>
      <c r="BY645" t="str">
        <f t="shared" si="229"/>
        <v>3</v>
      </c>
      <c r="BZ645" t="str">
        <f t="shared" si="230"/>
        <v>2021</v>
      </c>
      <c r="CA645" s="5">
        <f t="shared" si="239"/>
        <v>44273</v>
      </c>
      <c r="CB645">
        <v>77</v>
      </c>
      <c r="CC645" s="7">
        <v>6</v>
      </c>
      <c r="CE645">
        <f t="shared" si="233"/>
        <v>1.8396320735852827</v>
      </c>
      <c r="CF645">
        <f t="shared" si="234"/>
        <v>2.2075055187637971</v>
      </c>
      <c r="CG645">
        <f t="shared" si="231"/>
        <v>2.2490288284604375E-2</v>
      </c>
      <c r="CH645">
        <f t="shared" si="232"/>
        <v>3.7270875763747449</v>
      </c>
      <c r="CI645">
        <f t="shared" si="226"/>
        <v>0.84429609267622252</v>
      </c>
      <c r="CJ645" s="1">
        <f t="shared" si="227"/>
        <v>1.3940702925584136</v>
      </c>
      <c r="CK645" s="7" t="s">
        <v>142</v>
      </c>
      <c r="CL645" s="7">
        <v>3</v>
      </c>
      <c r="CM645" s="7"/>
      <c r="CN645" s="7"/>
      <c r="CO645" s="7"/>
      <c r="CP645" s="7"/>
    </row>
    <row r="646" spans="1:99" x14ac:dyDescent="0.2">
      <c r="A646" s="7" t="s">
        <v>725</v>
      </c>
      <c r="B646" s="7" t="s">
        <v>60</v>
      </c>
      <c r="C646" t="str">
        <f t="shared" si="235"/>
        <v>I</v>
      </c>
      <c r="D646" t="str">
        <f t="shared" si="236"/>
        <v>S</v>
      </c>
      <c r="E646" t="str">
        <f t="shared" si="237"/>
        <v>G</v>
      </c>
      <c r="F646" s="7">
        <v>71</v>
      </c>
      <c r="G646" s="7">
        <v>66</v>
      </c>
      <c r="H646" s="7">
        <v>5.0819999999999999</v>
      </c>
      <c r="I646" s="7">
        <v>0.123</v>
      </c>
      <c r="J646" s="7">
        <v>8.9999999999999993E-3</v>
      </c>
      <c r="K646" s="7" t="s">
        <v>38</v>
      </c>
      <c r="L646" t="str">
        <f t="shared" si="238"/>
        <v>M</v>
      </c>
      <c r="M646">
        <v>22</v>
      </c>
      <c r="N646" s="7">
        <v>0.23300000000000001</v>
      </c>
      <c r="O646" s="7">
        <v>0.22900000000000001</v>
      </c>
      <c r="P646" s="7" t="s">
        <v>36</v>
      </c>
      <c r="Q646" t="str">
        <f t="shared" si="225"/>
        <v>MT</v>
      </c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  <c r="AL646" s="7"/>
      <c r="AM646" s="7"/>
      <c r="AN646" s="7"/>
      <c r="AO646" s="7"/>
      <c r="AP646" s="7"/>
      <c r="AQ646" s="7"/>
      <c r="AR646" s="7"/>
      <c r="AS646" s="7"/>
      <c r="AT646" s="7"/>
      <c r="AU646" s="7"/>
      <c r="AV646" s="7"/>
      <c r="AW646" s="7"/>
      <c r="AX646" s="7"/>
      <c r="AY646" s="7"/>
      <c r="AZ646" s="7"/>
      <c r="BA646" s="7"/>
      <c r="BB646" s="7"/>
      <c r="BC646" s="7"/>
      <c r="BD646" s="7"/>
      <c r="BE646" s="7"/>
      <c r="BF646" s="7"/>
      <c r="BG646" s="7"/>
      <c r="BH646" s="7"/>
      <c r="BI646" s="7"/>
      <c r="BJ646" s="7"/>
      <c r="BK646" s="7"/>
      <c r="BL646" s="7"/>
      <c r="BM646" s="7"/>
      <c r="BN646" s="7"/>
      <c r="BO646" s="7"/>
      <c r="BP646" s="7"/>
      <c r="BQ646" s="7"/>
      <c r="BR646" s="7"/>
      <c r="BS646" s="7"/>
      <c r="BT646" s="7"/>
      <c r="BU646" s="7"/>
      <c r="BV646" s="7">
        <v>0</v>
      </c>
      <c r="BW646" t="s">
        <v>732</v>
      </c>
      <c r="BX646" t="str">
        <f t="shared" si="228"/>
        <v>18</v>
      </c>
      <c r="BY646" t="str">
        <f t="shared" si="229"/>
        <v>3</v>
      </c>
      <c r="BZ646" t="str">
        <f t="shared" si="230"/>
        <v>2021</v>
      </c>
      <c r="CA646" s="5">
        <f t="shared" si="239"/>
        <v>44273</v>
      </c>
      <c r="CB646">
        <v>77</v>
      </c>
      <c r="CC646" s="7">
        <v>6</v>
      </c>
      <c r="CE646">
        <f t="shared" si="233"/>
        <v>0.17740981667652278</v>
      </c>
      <c r="CF646">
        <f t="shared" si="234"/>
        <v>2.4803387779794317</v>
      </c>
      <c r="CG646">
        <f t="shared" si="231"/>
        <v>2.4848484848484852E-2</v>
      </c>
      <c r="CH646">
        <f t="shared" si="232"/>
        <v>4.7187306820523389</v>
      </c>
      <c r="CI646">
        <f t="shared" si="226"/>
        <v>7.8709169618260605E-2</v>
      </c>
      <c r="CJ646" s="1">
        <f t="shared" si="227"/>
        <v>7.8709169618260605E-2</v>
      </c>
      <c r="CK646" s="7" t="s">
        <v>142</v>
      </c>
      <c r="CL646" s="7">
        <v>3</v>
      </c>
      <c r="CM646" s="7"/>
      <c r="CN646" s="7"/>
      <c r="CO646" s="7"/>
      <c r="CP646" s="7"/>
    </row>
    <row r="647" spans="1:99" x14ac:dyDescent="0.2">
      <c r="A647" s="7" t="s">
        <v>726</v>
      </c>
      <c r="B647" s="7" t="s">
        <v>60</v>
      </c>
      <c r="C647" t="str">
        <f t="shared" si="235"/>
        <v>I</v>
      </c>
      <c r="D647" t="str">
        <f t="shared" si="236"/>
        <v>S</v>
      </c>
      <c r="E647" t="str">
        <f t="shared" si="237"/>
        <v>G</v>
      </c>
      <c r="F647" s="7">
        <v>65</v>
      </c>
      <c r="G647" s="7">
        <v>61</v>
      </c>
      <c r="H647" s="7">
        <v>4.0750000000000002</v>
      </c>
      <c r="I647" s="7">
        <v>0.11700000000000001</v>
      </c>
      <c r="J647" s="7">
        <v>0.01</v>
      </c>
      <c r="K647" s="7" t="s">
        <v>38</v>
      </c>
      <c r="L647" t="str">
        <f t="shared" si="238"/>
        <v>M</v>
      </c>
      <c r="M647">
        <v>22</v>
      </c>
      <c r="N647" s="7">
        <v>0.17100000000000001</v>
      </c>
      <c r="O647" s="7">
        <v>0.11600000000000001</v>
      </c>
      <c r="P647" s="7" t="s">
        <v>36</v>
      </c>
      <c r="Q647" t="str">
        <f t="shared" si="225"/>
        <v>MT</v>
      </c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  <c r="AL647" s="7"/>
      <c r="AM647" s="7"/>
      <c r="AN647" s="7"/>
      <c r="AO647" s="7"/>
      <c r="AP647" s="7"/>
      <c r="AQ647" s="7"/>
      <c r="AR647" s="7"/>
      <c r="AS647" s="7"/>
      <c r="AT647" s="7"/>
      <c r="AU647" s="7"/>
      <c r="AV647" s="7"/>
      <c r="AW647" s="7"/>
      <c r="AX647" s="7"/>
      <c r="AY647" s="7"/>
      <c r="AZ647" s="7"/>
      <c r="BA647" s="7"/>
      <c r="BB647" s="7"/>
      <c r="BC647" s="7"/>
      <c r="BD647" s="7"/>
      <c r="BE647" s="7"/>
      <c r="BF647" s="7"/>
      <c r="BG647" s="7"/>
      <c r="BH647" s="7"/>
      <c r="BI647" s="7"/>
      <c r="BJ647" s="7"/>
      <c r="BK647" s="7"/>
      <c r="BL647" s="7"/>
      <c r="BM647" s="7"/>
      <c r="BN647" s="7"/>
      <c r="BO647" s="7"/>
      <c r="BP647" s="7"/>
      <c r="BQ647" s="7"/>
      <c r="BR647" s="7"/>
      <c r="BS647" s="7"/>
      <c r="BT647" s="7"/>
      <c r="BU647" s="7"/>
      <c r="BV647" s="7">
        <v>0</v>
      </c>
      <c r="BW647" t="s">
        <v>732</v>
      </c>
      <c r="BX647" t="str">
        <f t="shared" si="228"/>
        <v>18</v>
      </c>
      <c r="BY647" t="str">
        <f t="shared" si="229"/>
        <v>3</v>
      </c>
      <c r="BZ647" t="str">
        <f t="shared" si="230"/>
        <v>2021</v>
      </c>
      <c r="CA647" s="5">
        <f t="shared" si="239"/>
        <v>44273</v>
      </c>
      <c r="CB647">
        <v>77</v>
      </c>
      <c r="CC647" s="7">
        <v>6</v>
      </c>
      <c r="CE647">
        <f t="shared" si="233"/>
        <v>0.24600246002460022</v>
      </c>
      <c r="CF647">
        <f t="shared" si="234"/>
        <v>2.9560384032339568</v>
      </c>
      <c r="CG647">
        <f t="shared" si="231"/>
        <v>2.9635258358662611E-2</v>
      </c>
      <c r="CH647">
        <f t="shared" si="232"/>
        <v>2.9300328365748927</v>
      </c>
      <c r="CI647">
        <f t="shared" si="226"/>
        <v>1.3496932515337425</v>
      </c>
      <c r="CJ647" s="1">
        <f t="shared" si="227"/>
        <v>1.3496932515337425</v>
      </c>
      <c r="CK647" s="7" t="s">
        <v>142</v>
      </c>
      <c r="CL647" s="7">
        <v>3</v>
      </c>
      <c r="CM647" s="7"/>
      <c r="CN647" s="7"/>
      <c r="CO647" s="7"/>
      <c r="CP647" s="7"/>
    </row>
    <row r="648" spans="1:99" x14ac:dyDescent="0.2">
      <c r="A648" s="7" t="s">
        <v>744</v>
      </c>
      <c r="B648" s="7" t="s">
        <v>60</v>
      </c>
      <c r="C648" t="str">
        <f t="shared" si="235"/>
        <v>I</v>
      </c>
      <c r="D648" t="str">
        <f t="shared" si="236"/>
        <v>S</v>
      </c>
      <c r="E648" t="str">
        <f t="shared" si="237"/>
        <v>G</v>
      </c>
      <c r="F648" s="7">
        <v>65</v>
      </c>
      <c r="G648" s="7">
        <v>62</v>
      </c>
      <c r="H648" s="7">
        <v>4.1319999999999997</v>
      </c>
      <c r="I648" s="7">
        <v>0.11899999999999999</v>
      </c>
      <c r="J648" s="7">
        <v>5.5E-2</v>
      </c>
      <c r="K648" s="7" t="s">
        <v>24</v>
      </c>
      <c r="L648" t="str">
        <f t="shared" si="238"/>
        <v>F</v>
      </c>
      <c r="M648">
        <v>22</v>
      </c>
      <c r="N648" s="7">
        <v>0.16400000000000001</v>
      </c>
      <c r="O648" s="7">
        <v>0.157</v>
      </c>
      <c r="P648" s="7" t="s">
        <v>36</v>
      </c>
      <c r="Q648" t="str">
        <f t="shared" si="225"/>
        <v>MT</v>
      </c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  <c r="AL648" s="7"/>
      <c r="AM648" s="7"/>
      <c r="AN648" s="7"/>
      <c r="AO648" s="7"/>
      <c r="AP648" s="7"/>
      <c r="AQ648" s="7"/>
      <c r="AR648" s="7"/>
      <c r="AS648" s="7"/>
      <c r="AT648" s="7"/>
      <c r="AU648" s="7"/>
      <c r="AV648" s="7"/>
      <c r="AW648" s="7"/>
      <c r="AX648" s="7"/>
      <c r="AY648" s="7"/>
      <c r="AZ648" s="7"/>
      <c r="BA648" s="7"/>
      <c r="BB648" s="7"/>
      <c r="BC648" s="7"/>
      <c r="BD648" s="7"/>
      <c r="BE648" s="7"/>
      <c r="BF648" s="7"/>
      <c r="BG648" s="7"/>
      <c r="BH648" s="7"/>
      <c r="BI648" s="7"/>
      <c r="BJ648" s="7"/>
      <c r="BK648" s="7"/>
      <c r="BL648" s="7"/>
      <c r="BM648" s="7"/>
      <c r="BN648" s="7"/>
      <c r="BO648" s="7"/>
      <c r="BP648" s="7"/>
      <c r="BQ648" s="7"/>
      <c r="BR648" s="7"/>
      <c r="BS648" s="7"/>
      <c r="BT648" s="7"/>
      <c r="BU648" s="7"/>
      <c r="BV648" s="7">
        <v>0</v>
      </c>
      <c r="BW648" t="s">
        <v>732</v>
      </c>
      <c r="BX648" t="str">
        <f t="shared" si="228"/>
        <v>18</v>
      </c>
      <c r="BY648" t="str">
        <f t="shared" si="229"/>
        <v>3</v>
      </c>
      <c r="BZ648" t="str">
        <f t="shared" si="230"/>
        <v>2021</v>
      </c>
      <c r="CA648" s="5">
        <f t="shared" si="239"/>
        <v>44273</v>
      </c>
      <c r="CB648">
        <v>77</v>
      </c>
      <c r="CC648" s="7">
        <v>6</v>
      </c>
      <c r="CE648">
        <f t="shared" si="233"/>
        <v>1.3490311503556536</v>
      </c>
      <c r="CF648">
        <f t="shared" si="234"/>
        <v>2.9653625716421628</v>
      </c>
      <c r="CG648">
        <f t="shared" si="231"/>
        <v>3.0065689742294087E-2</v>
      </c>
      <c r="CH648">
        <f t="shared" si="232"/>
        <v>3.9496855345911954</v>
      </c>
      <c r="CI648">
        <f t="shared" si="226"/>
        <v>0.16940948693126831</v>
      </c>
      <c r="CJ648" s="1">
        <f t="shared" si="227"/>
        <v>0.16940948693126831</v>
      </c>
      <c r="CK648" s="7" t="s">
        <v>142</v>
      </c>
      <c r="CL648" s="7">
        <v>2</v>
      </c>
      <c r="CM648" s="7">
        <v>0</v>
      </c>
      <c r="CN648" s="7">
        <v>30</v>
      </c>
      <c r="CO648" s="7">
        <v>1</v>
      </c>
      <c r="CP648" s="7">
        <v>0</v>
      </c>
      <c r="CQ648" s="12">
        <v>3.0000000000000001E-3</v>
      </c>
      <c r="CR648">
        <f>CQ648/(H648-I648-J648-N648)*1000</f>
        <v>0.79072219293621515</v>
      </c>
      <c r="CS648">
        <v>8.8759999999999994</v>
      </c>
      <c r="CT648">
        <v>77.450403582172427</v>
      </c>
      <c r="CU648">
        <v>117.36578258449353</v>
      </c>
    </row>
    <row r="649" spans="1:99" x14ac:dyDescent="0.2">
      <c r="A649" s="7" t="s">
        <v>745</v>
      </c>
      <c r="B649" s="7" t="s">
        <v>60</v>
      </c>
      <c r="C649" t="str">
        <f t="shared" si="235"/>
        <v>I</v>
      </c>
      <c r="D649" t="str">
        <f t="shared" si="236"/>
        <v>IMM</v>
      </c>
      <c r="E649" t="str">
        <f t="shared" si="237"/>
        <v>G</v>
      </c>
      <c r="F649" s="7">
        <v>63</v>
      </c>
      <c r="G649" s="7">
        <v>59</v>
      </c>
      <c r="H649" s="7">
        <v>3.5449999999999999</v>
      </c>
      <c r="I649" s="7">
        <v>0.1</v>
      </c>
      <c r="J649" s="7">
        <v>0</v>
      </c>
      <c r="K649" s="7" t="s">
        <v>316</v>
      </c>
      <c r="L649" t="str">
        <f t="shared" si="238"/>
        <v>M</v>
      </c>
      <c r="M649">
        <v>10</v>
      </c>
      <c r="N649" s="7">
        <v>0.186</v>
      </c>
      <c r="O649" s="7">
        <v>0.16900000000000001</v>
      </c>
      <c r="P649" s="7" t="s">
        <v>760</v>
      </c>
      <c r="Q649" t="str">
        <f t="shared" si="225"/>
        <v>F</v>
      </c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/>
      <c r="AL649" s="7"/>
      <c r="AM649" s="7"/>
      <c r="AN649" s="7"/>
      <c r="AO649" s="7"/>
      <c r="AP649" s="7"/>
      <c r="AQ649" s="7"/>
      <c r="AR649" s="7"/>
      <c r="AS649" s="7"/>
      <c r="AT649" s="7"/>
      <c r="AU649" s="7"/>
      <c r="AV649" s="7">
        <v>2</v>
      </c>
      <c r="AW649" s="7">
        <v>2E-3</v>
      </c>
      <c r="AX649" s="7"/>
      <c r="AY649" s="7"/>
      <c r="AZ649" s="7"/>
      <c r="BA649" s="7"/>
      <c r="BB649" s="7"/>
      <c r="BC649" s="7"/>
      <c r="BD649" s="7"/>
      <c r="BE649" s="7"/>
      <c r="BF649" s="7"/>
      <c r="BG649" s="7"/>
      <c r="BH649" s="7"/>
      <c r="BI649" s="7"/>
      <c r="BJ649" s="7"/>
      <c r="BK649" s="7"/>
      <c r="BL649" s="7"/>
      <c r="BM649" s="7"/>
      <c r="BN649" s="7"/>
      <c r="BO649" s="7"/>
      <c r="BP649" s="7"/>
      <c r="BQ649" s="7"/>
      <c r="BR649" s="7"/>
      <c r="BS649" s="7"/>
      <c r="BT649" s="7"/>
      <c r="BU649" s="7"/>
      <c r="BV649" s="7">
        <v>2E-3</v>
      </c>
      <c r="BW649" t="s">
        <v>732</v>
      </c>
      <c r="BX649" t="str">
        <f t="shared" si="228"/>
        <v>18</v>
      </c>
      <c r="BY649" t="str">
        <f t="shared" si="229"/>
        <v>3</v>
      </c>
      <c r="BZ649" t="str">
        <f t="shared" si="230"/>
        <v>2021</v>
      </c>
      <c r="CA649" s="5">
        <f t="shared" si="239"/>
        <v>44273</v>
      </c>
      <c r="CB649">
        <v>77</v>
      </c>
      <c r="CC649" s="7">
        <v>6</v>
      </c>
      <c r="CE649">
        <f t="shared" si="233"/>
        <v>0</v>
      </c>
      <c r="CF649">
        <f t="shared" si="234"/>
        <v>2.9027576197387521</v>
      </c>
      <c r="CG649">
        <f t="shared" si="231"/>
        <v>2.9027576197387522E-2</v>
      </c>
      <c r="CH649">
        <f t="shared" si="232"/>
        <v>5.0059241706161144</v>
      </c>
      <c r="CI649">
        <f t="shared" si="226"/>
        <v>0.47954866008462588</v>
      </c>
      <c r="CJ649" s="1">
        <f t="shared" si="227"/>
        <v>0.53596614950634669</v>
      </c>
      <c r="CK649" s="7" t="s">
        <v>142</v>
      </c>
      <c r="CL649" s="7">
        <v>2</v>
      </c>
      <c r="CM649" s="7"/>
      <c r="CN649" s="7"/>
      <c r="CO649" s="7"/>
      <c r="CP649" s="7"/>
    </row>
    <row r="650" spans="1:99" x14ac:dyDescent="0.2">
      <c r="A650" s="7" t="s">
        <v>746</v>
      </c>
      <c r="B650" s="7" t="s">
        <v>60</v>
      </c>
      <c r="C650" t="str">
        <f t="shared" si="235"/>
        <v>I</v>
      </c>
      <c r="D650" t="str">
        <f t="shared" si="236"/>
        <v>IMM</v>
      </c>
      <c r="E650" t="str">
        <f t="shared" si="237"/>
        <v>G</v>
      </c>
      <c r="F650" s="7">
        <v>64</v>
      </c>
      <c r="G650" s="7">
        <v>60</v>
      </c>
      <c r="H650" s="7">
        <v>3.5449999999999999</v>
      </c>
      <c r="I650" s="7">
        <v>9.7000000000000003E-2</v>
      </c>
      <c r="J650" s="7">
        <v>5.6000000000000001E-2</v>
      </c>
      <c r="K650" s="7" t="s">
        <v>24</v>
      </c>
      <c r="L650" t="str">
        <f t="shared" si="238"/>
        <v>F</v>
      </c>
      <c r="M650">
        <v>22</v>
      </c>
      <c r="N650" s="7">
        <v>0.16700000000000001</v>
      </c>
      <c r="O650" s="7">
        <v>0.121</v>
      </c>
      <c r="P650" s="7" t="s">
        <v>761</v>
      </c>
      <c r="Q650" t="str">
        <f t="shared" si="225"/>
        <v>F</v>
      </c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  <c r="AL650" s="7"/>
      <c r="AM650" s="7"/>
      <c r="AN650" s="7"/>
      <c r="AO650" s="7"/>
      <c r="AP650" s="7"/>
      <c r="AQ650" s="7"/>
      <c r="AR650" s="7"/>
      <c r="AS650" s="7"/>
      <c r="AT650" s="7"/>
      <c r="AU650" s="7"/>
      <c r="AV650" s="7">
        <v>7</v>
      </c>
      <c r="AW650" s="7">
        <v>0.03</v>
      </c>
      <c r="AX650" s="7"/>
      <c r="AY650" s="7"/>
      <c r="AZ650" s="7"/>
      <c r="BA650" s="7"/>
      <c r="BB650" s="7"/>
      <c r="BC650" s="7"/>
      <c r="BD650" s="7"/>
      <c r="BE650" s="7"/>
      <c r="BF650" s="7"/>
      <c r="BG650" s="7"/>
      <c r="BH650" s="7"/>
      <c r="BI650" s="7"/>
      <c r="BJ650" s="7"/>
      <c r="BK650" s="7"/>
      <c r="BL650" s="7"/>
      <c r="BM650" s="7"/>
      <c r="BN650" s="7"/>
      <c r="BO650" s="7"/>
      <c r="BP650" s="7"/>
      <c r="BQ650" s="7"/>
      <c r="BR650" s="7"/>
      <c r="BS650" s="7"/>
      <c r="BT650" s="7"/>
      <c r="BU650" s="7"/>
      <c r="BV650" s="7">
        <v>0.03</v>
      </c>
      <c r="BW650" t="s">
        <v>732</v>
      </c>
      <c r="BX650" t="str">
        <f t="shared" si="228"/>
        <v>18</v>
      </c>
      <c r="BY650" t="str">
        <f t="shared" si="229"/>
        <v>3</v>
      </c>
      <c r="BZ650" t="str">
        <f t="shared" si="230"/>
        <v>2021</v>
      </c>
      <c r="CA650" s="5">
        <f t="shared" si="239"/>
        <v>44273</v>
      </c>
      <c r="CB650">
        <v>77</v>
      </c>
      <c r="CC650" s="7">
        <v>6</v>
      </c>
      <c r="CE650">
        <f t="shared" si="233"/>
        <v>1.6050444253367726</v>
      </c>
      <c r="CF650">
        <f t="shared" si="234"/>
        <v>2.8132250580046403</v>
      </c>
      <c r="CG650">
        <f t="shared" si="231"/>
        <v>2.8596698113207548E-2</v>
      </c>
      <c r="CH650">
        <f t="shared" si="232"/>
        <v>3.5338785046728973</v>
      </c>
      <c r="CI650">
        <f t="shared" si="226"/>
        <v>1.2976022566995773</v>
      </c>
      <c r="CJ650" s="1">
        <f t="shared" si="227"/>
        <v>2.1438645980253885</v>
      </c>
      <c r="CK650" s="7" t="s">
        <v>142</v>
      </c>
      <c r="CL650" s="7">
        <v>2</v>
      </c>
      <c r="CM650" s="7">
        <v>0</v>
      </c>
      <c r="CN650" s="7">
        <v>13</v>
      </c>
      <c r="CO650" s="7">
        <v>2</v>
      </c>
      <c r="CP650" s="7">
        <v>0</v>
      </c>
      <c r="CQ650" s="12">
        <v>8.6999999999999994E-3</v>
      </c>
      <c r="CR650">
        <f>CQ650/(H650-I650-J650-N650)*1000</f>
        <v>2.6976744186046511</v>
      </c>
      <c r="CS650">
        <v>9.9</v>
      </c>
      <c r="CT650">
        <v>74.086267925043828</v>
      </c>
      <c r="CU650">
        <v>107.76475109644338</v>
      </c>
    </row>
    <row r="651" spans="1:99" x14ac:dyDescent="0.2">
      <c r="A651" s="7" t="s">
        <v>747</v>
      </c>
      <c r="B651" s="7" t="s">
        <v>60</v>
      </c>
      <c r="C651" t="str">
        <f t="shared" si="235"/>
        <v>S</v>
      </c>
      <c r="D651" t="str">
        <f t="shared" si="236"/>
        <v>IMM</v>
      </c>
      <c r="E651" t="str">
        <f t="shared" si="237"/>
        <v>G</v>
      </c>
      <c r="F651" s="7">
        <v>60</v>
      </c>
      <c r="G651" s="7">
        <v>57</v>
      </c>
      <c r="H651" s="7">
        <v>3.1549999999999998</v>
      </c>
      <c r="I651" s="7">
        <v>7.0999999999999994E-2</v>
      </c>
      <c r="J651" s="7">
        <v>1.2E-2</v>
      </c>
      <c r="K651" s="7" t="s">
        <v>38</v>
      </c>
      <c r="L651" t="str">
        <f t="shared" si="238"/>
        <v>M</v>
      </c>
      <c r="M651">
        <v>22</v>
      </c>
      <c r="N651" s="7">
        <v>0.105</v>
      </c>
      <c r="O651" s="7">
        <v>9.8000000000000004E-2</v>
      </c>
      <c r="P651" s="7" t="s">
        <v>36</v>
      </c>
      <c r="Q651" t="str">
        <f t="shared" si="225"/>
        <v>MT</v>
      </c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  <c r="AL651" s="7"/>
      <c r="AM651" s="7"/>
      <c r="AN651" s="7"/>
      <c r="AO651" s="7"/>
      <c r="AP651" s="7"/>
      <c r="AQ651" s="7"/>
      <c r="AR651" s="7"/>
      <c r="AS651" s="7"/>
      <c r="AT651" s="7"/>
      <c r="AU651" s="7"/>
      <c r="AV651" s="7"/>
      <c r="AW651" s="7"/>
      <c r="AX651" s="7"/>
      <c r="AY651" s="7"/>
      <c r="AZ651" s="7"/>
      <c r="BA651" s="7"/>
      <c r="BB651" s="7"/>
      <c r="BC651" s="7"/>
      <c r="BD651" s="7"/>
      <c r="BE651" s="7"/>
      <c r="BF651" s="7"/>
      <c r="BG651" s="7"/>
      <c r="BH651" s="7"/>
      <c r="BI651" s="7"/>
      <c r="BJ651" s="7"/>
      <c r="BK651" s="7"/>
      <c r="BL651" s="7"/>
      <c r="BM651" s="7"/>
      <c r="BN651" s="7"/>
      <c r="BO651" s="7"/>
      <c r="BP651" s="7"/>
      <c r="BQ651" s="7"/>
      <c r="BR651" s="7"/>
      <c r="BS651" s="7"/>
      <c r="BT651" s="7"/>
      <c r="BU651" s="7"/>
      <c r="BV651" s="7">
        <v>0</v>
      </c>
      <c r="BW651" t="s">
        <v>732</v>
      </c>
      <c r="BX651" t="str">
        <f t="shared" si="228"/>
        <v>18</v>
      </c>
      <c r="BY651" t="str">
        <f t="shared" si="229"/>
        <v>3</v>
      </c>
      <c r="BZ651" t="str">
        <f t="shared" si="230"/>
        <v>2021</v>
      </c>
      <c r="CA651" s="5">
        <f t="shared" si="239"/>
        <v>44273</v>
      </c>
      <c r="CB651">
        <v>77</v>
      </c>
      <c r="CC651" s="7">
        <v>6</v>
      </c>
      <c r="CE651">
        <f t="shared" si="233"/>
        <v>0.38180082723512571</v>
      </c>
      <c r="CF651">
        <f t="shared" si="234"/>
        <v>2.3022049286640729</v>
      </c>
      <c r="CG651">
        <f t="shared" si="231"/>
        <v>2.3111979166666668E-2</v>
      </c>
      <c r="CH651">
        <f t="shared" si="232"/>
        <v>3.2057572783774946</v>
      </c>
      <c r="CI651">
        <f t="shared" si="226"/>
        <v>0.22187004754358142</v>
      </c>
      <c r="CJ651" s="1">
        <f t="shared" si="227"/>
        <v>0.22187004754358142</v>
      </c>
      <c r="CK651" s="7" t="s">
        <v>142</v>
      </c>
      <c r="CL651" s="7">
        <v>2</v>
      </c>
      <c r="CM651" s="7"/>
      <c r="CN651" s="7"/>
      <c r="CO651" s="7"/>
      <c r="CP651" s="7"/>
    </row>
    <row r="652" spans="1:99" x14ac:dyDescent="0.2">
      <c r="A652" s="7" t="s">
        <v>748</v>
      </c>
      <c r="B652" s="7" t="s">
        <v>60</v>
      </c>
      <c r="C652" t="str">
        <f t="shared" si="235"/>
        <v>I</v>
      </c>
      <c r="D652" t="str">
        <f t="shared" si="236"/>
        <v>IMM</v>
      </c>
      <c r="E652" t="str">
        <f t="shared" si="237"/>
        <v>G</v>
      </c>
      <c r="F652" s="7">
        <v>64</v>
      </c>
      <c r="G652" s="7">
        <v>60</v>
      </c>
      <c r="H652" s="7">
        <v>3.69</v>
      </c>
      <c r="I652" s="7">
        <v>8.7999999999999995E-2</v>
      </c>
      <c r="J652" s="7">
        <v>8.0000000000000002E-3</v>
      </c>
      <c r="K652" s="7" t="s">
        <v>38</v>
      </c>
      <c r="L652" t="str">
        <f t="shared" si="238"/>
        <v>M</v>
      </c>
      <c r="M652">
        <v>22</v>
      </c>
      <c r="N652" s="7">
        <v>0.218</v>
      </c>
      <c r="O652" s="7">
        <v>0.16</v>
      </c>
      <c r="P652" s="7" t="s">
        <v>762</v>
      </c>
      <c r="Q652" t="str">
        <f t="shared" si="225"/>
        <v>F</v>
      </c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  <c r="AL652" s="7"/>
      <c r="AM652" s="7"/>
      <c r="AN652" s="7"/>
      <c r="AO652" s="7"/>
      <c r="AP652">
        <v>1</v>
      </c>
      <c r="AQ652" s="7">
        <v>2.9000000000000001E-2</v>
      </c>
      <c r="AR652" s="7"/>
      <c r="AS652" s="7"/>
      <c r="AT652" s="7"/>
      <c r="AU652" s="7"/>
      <c r="AV652" s="7">
        <v>2</v>
      </c>
      <c r="AW652" s="7">
        <v>7.0000000000000001E-3</v>
      </c>
      <c r="AX652" s="7"/>
      <c r="AY652" s="7"/>
      <c r="AZ652" s="7"/>
      <c r="BA652" s="7"/>
      <c r="BB652" s="7"/>
      <c r="BC652" s="7"/>
      <c r="BD652" s="7"/>
      <c r="BE652" s="7"/>
      <c r="BF652" s="7"/>
      <c r="BG652" s="7"/>
      <c r="BH652" s="7"/>
      <c r="BI652" s="7"/>
      <c r="BJ652" s="7"/>
      <c r="BK652" s="7"/>
      <c r="BL652" s="7"/>
      <c r="BM652" s="7"/>
      <c r="BN652" s="7"/>
      <c r="BO652" s="7"/>
      <c r="BP652" s="7"/>
      <c r="BQ652" s="7"/>
      <c r="BR652" s="7"/>
      <c r="BS652" s="7"/>
      <c r="BT652" s="7"/>
      <c r="BU652" s="7"/>
      <c r="BV652" s="7">
        <v>3.5999999999999997E-2</v>
      </c>
      <c r="BW652" t="s">
        <v>732</v>
      </c>
      <c r="BX652" t="str">
        <f t="shared" si="228"/>
        <v>18</v>
      </c>
      <c r="BY652" t="str">
        <f t="shared" si="229"/>
        <v>3</v>
      </c>
      <c r="BZ652" t="str">
        <f t="shared" si="230"/>
        <v>2021</v>
      </c>
      <c r="CA652" s="5">
        <f t="shared" si="239"/>
        <v>44273</v>
      </c>
      <c r="CB652">
        <v>77</v>
      </c>
      <c r="CC652" s="7">
        <v>6</v>
      </c>
      <c r="CE652">
        <f t="shared" si="233"/>
        <v>0.21727322107550245</v>
      </c>
      <c r="CF652">
        <f t="shared" si="234"/>
        <v>2.4430871737923376</v>
      </c>
      <c r="CG652">
        <f t="shared" si="231"/>
        <v>2.4485253199777405E-2</v>
      </c>
      <c r="CH652">
        <f t="shared" si="232"/>
        <v>4.5325779036827196</v>
      </c>
      <c r="CI652">
        <f t="shared" si="226"/>
        <v>1.5718157181571817</v>
      </c>
      <c r="CJ652" s="1">
        <f t="shared" si="227"/>
        <v>2.5474254742547426</v>
      </c>
      <c r="CK652" s="7" t="s">
        <v>142</v>
      </c>
      <c r="CL652" s="7">
        <v>3</v>
      </c>
      <c r="CM652" s="7"/>
      <c r="CN652" s="7"/>
      <c r="CO652" s="7"/>
      <c r="CP652" s="7"/>
    </row>
    <row r="653" spans="1:99" x14ac:dyDescent="0.2">
      <c r="A653" s="7" t="s">
        <v>749</v>
      </c>
      <c r="B653" s="7" t="s">
        <v>60</v>
      </c>
      <c r="C653" t="str">
        <f t="shared" si="235"/>
        <v>S</v>
      </c>
      <c r="D653" t="str">
        <f t="shared" si="236"/>
        <v>IMM</v>
      </c>
      <c r="E653" t="str">
        <f t="shared" si="237"/>
        <v>G</v>
      </c>
      <c r="F653" s="7">
        <v>60</v>
      </c>
      <c r="G653" s="7">
        <v>56</v>
      </c>
      <c r="H653" s="7">
        <v>2.8759999999999999</v>
      </c>
      <c r="I653" s="7">
        <v>6.9000000000000006E-2</v>
      </c>
      <c r="J653" s="7">
        <v>3.5999999999999997E-2</v>
      </c>
      <c r="K653" s="7" t="s">
        <v>24</v>
      </c>
      <c r="L653" t="str">
        <f t="shared" si="238"/>
        <v>F</v>
      </c>
      <c r="M653">
        <v>22</v>
      </c>
      <c r="N653" s="7">
        <v>0.129</v>
      </c>
      <c r="O653" s="7">
        <v>0.112</v>
      </c>
      <c r="P653" s="7" t="s">
        <v>763</v>
      </c>
      <c r="Q653" t="str">
        <f t="shared" si="225"/>
        <v>F</v>
      </c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  <c r="AL653" s="7"/>
      <c r="AM653" s="7"/>
      <c r="AN653" s="7"/>
      <c r="AO653" s="7"/>
      <c r="AP653" s="7"/>
      <c r="AQ653" s="7"/>
      <c r="AR653" s="7"/>
      <c r="AS653" s="7"/>
      <c r="AT653" s="7"/>
      <c r="AU653" s="7"/>
      <c r="AV653" s="7">
        <v>2</v>
      </c>
      <c r="AW653" s="7">
        <v>7.0000000000000001E-3</v>
      </c>
      <c r="AX653" s="7"/>
      <c r="AY653" s="7"/>
      <c r="AZ653" s="7"/>
      <c r="BA653" s="7"/>
      <c r="BB653" s="7"/>
      <c r="BC653" s="7"/>
      <c r="BD653" s="7"/>
      <c r="BE653" s="7"/>
      <c r="BF653" s="7"/>
      <c r="BG653" s="7"/>
      <c r="BH653" s="7"/>
      <c r="BI653" s="7"/>
      <c r="BJ653" s="7"/>
      <c r="BK653" s="7"/>
      <c r="BL653" s="7"/>
      <c r="BM653" s="7"/>
      <c r="BN653" s="7"/>
      <c r="BO653" s="7"/>
      <c r="BP653" s="7"/>
      <c r="BQ653" s="7"/>
      <c r="BR653" s="7"/>
      <c r="BS653" s="7"/>
      <c r="BT653" s="7"/>
      <c r="BU653" s="7"/>
      <c r="BV653" s="7">
        <v>7.0000000000000001E-3</v>
      </c>
      <c r="BW653" t="s">
        <v>732</v>
      </c>
      <c r="BX653" t="str">
        <f t="shared" si="228"/>
        <v>18</v>
      </c>
      <c r="BY653" t="str">
        <f t="shared" si="229"/>
        <v>3</v>
      </c>
      <c r="BZ653" t="str">
        <f t="shared" si="230"/>
        <v>2021</v>
      </c>
      <c r="CA653" s="5">
        <f t="shared" si="239"/>
        <v>44273</v>
      </c>
      <c r="CB653">
        <v>77</v>
      </c>
      <c r="CC653" s="7">
        <v>6</v>
      </c>
      <c r="CE653">
        <f t="shared" si="233"/>
        <v>1.267605633802817</v>
      </c>
      <c r="CF653">
        <f t="shared" si="234"/>
        <v>2.4581403633772712</v>
      </c>
      <c r="CG653">
        <f t="shared" si="231"/>
        <v>2.4900757849151935E-2</v>
      </c>
      <c r="CH653">
        <f t="shared" si="232"/>
        <v>4.0520984081041975</v>
      </c>
      <c r="CI653">
        <f t="shared" si="226"/>
        <v>0.59109874826147435</v>
      </c>
      <c r="CJ653" s="1">
        <f t="shared" si="227"/>
        <v>0.83449235048678716</v>
      </c>
      <c r="CK653" s="7" t="s">
        <v>142</v>
      </c>
      <c r="CL653" s="7">
        <v>3</v>
      </c>
      <c r="CM653" s="7"/>
      <c r="CN653" s="7"/>
      <c r="CO653" s="7"/>
      <c r="CP653" s="7"/>
    </row>
    <row r="654" spans="1:99" x14ac:dyDescent="0.2">
      <c r="A654" s="7" t="s">
        <v>750</v>
      </c>
      <c r="B654" s="7" t="s">
        <v>60</v>
      </c>
      <c r="C654" t="str">
        <f t="shared" si="235"/>
        <v>S</v>
      </c>
      <c r="D654" t="str">
        <f t="shared" si="236"/>
        <v>IMM</v>
      </c>
      <c r="E654" t="str">
        <f t="shared" si="237"/>
        <v>N</v>
      </c>
      <c r="F654" s="7">
        <v>59</v>
      </c>
      <c r="G654" s="7">
        <v>54</v>
      </c>
      <c r="H654" s="7">
        <v>2.9660000000000002</v>
      </c>
      <c r="L654" t="str">
        <f t="shared" si="238"/>
        <v/>
      </c>
      <c r="Q654" t="s">
        <v>27</v>
      </c>
      <c r="BW654" t="s">
        <v>732</v>
      </c>
      <c r="BX654" t="str">
        <f t="shared" si="228"/>
        <v>18</v>
      </c>
      <c r="BY654" t="str">
        <f t="shared" si="229"/>
        <v>3</v>
      </c>
      <c r="BZ654" t="str">
        <f t="shared" si="230"/>
        <v>2021</v>
      </c>
      <c r="CA654" s="5">
        <f t="shared" si="239"/>
        <v>44273</v>
      </c>
      <c r="CB654">
        <v>77</v>
      </c>
      <c r="CC654" s="7">
        <v>6</v>
      </c>
      <c r="CD654" t="s">
        <v>772</v>
      </c>
      <c r="CJ654" s="1"/>
      <c r="CK654" s="7" t="s">
        <v>142</v>
      </c>
      <c r="CL654" s="7">
        <v>3</v>
      </c>
      <c r="CM654" s="7"/>
      <c r="CN654" s="7"/>
      <c r="CO654" s="7"/>
      <c r="CP654" s="7"/>
    </row>
    <row r="655" spans="1:99" ht="32" x14ac:dyDescent="0.2">
      <c r="A655" s="7" t="s">
        <v>819</v>
      </c>
      <c r="B655" s="7" t="s">
        <v>60</v>
      </c>
      <c r="C655" t="str">
        <f t="shared" si="235"/>
        <v>I</v>
      </c>
      <c r="D655" t="str">
        <f t="shared" si="236"/>
        <v>I</v>
      </c>
      <c r="E655" t="str">
        <f t="shared" si="237"/>
        <v>G</v>
      </c>
      <c r="F655" s="7">
        <v>109</v>
      </c>
      <c r="G655" s="7">
        <v>103</v>
      </c>
      <c r="H655" s="7">
        <v>20.297000000000001</v>
      </c>
      <c r="I655" s="7">
        <v>0.33300000000000002</v>
      </c>
      <c r="J655" s="7">
        <v>6.7000000000000004E-2</v>
      </c>
      <c r="K655" s="7" t="s">
        <v>38</v>
      </c>
      <c r="L655" t="str">
        <f t="shared" si="238"/>
        <v>M</v>
      </c>
      <c r="M655" s="7">
        <v>22</v>
      </c>
      <c r="N655" s="7">
        <v>1.173</v>
      </c>
      <c r="O655" s="7">
        <v>1.091</v>
      </c>
      <c r="P655" s="7" t="s">
        <v>839</v>
      </c>
      <c r="Q655" t="str">
        <f t="shared" ref="Q655:Q686" si="240">IF(P655="MT","MT","F")</f>
        <v>F</v>
      </c>
      <c r="R655" s="7"/>
      <c r="S655" s="7"/>
      <c r="T655" s="7">
        <v>1</v>
      </c>
      <c r="U655" s="7">
        <v>4.1000000000000002E-2</v>
      </c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7"/>
      <c r="AL655" s="7"/>
      <c r="AM655" s="7"/>
      <c r="AN655" s="7"/>
      <c r="AO655" s="7"/>
      <c r="AP655" s="7"/>
      <c r="AQ655" s="7"/>
      <c r="AR655" s="7"/>
      <c r="AS655" s="7"/>
      <c r="AT655" s="7"/>
      <c r="AU655" s="7"/>
      <c r="AV655" s="7"/>
      <c r="AW655" s="7"/>
      <c r="AX655" s="7"/>
      <c r="AY655" s="7"/>
      <c r="AZ655" s="7"/>
      <c r="BA655" s="7"/>
      <c r="BB655" s="7"/>
      <c r="BC655" s="7"/>
      <c r="BD655" s="7">
        <v>1</v>
      </c>
      <c r="BE655" s="7">
        <v>1.2E-2</v>
      </c>
      <c r="BF655" s="7"/>
      <c r="BG655" s="7"/>
      <c r="BH655" s="7"/>
      <c r="BI655" s="7"/>
      <c r="BJ655" s="7"/>
      <c r="BK655" s="7"/>
      <c r="BL655" s="7"/>
      <c r="BM655" s="7"/>
      <c r="BN655" s="7"/>
      <c r="BO655" s="7"/>
      <c r="BP655" s="7"/>
      <c r="BQ655" s="7"/>
      <c r="BR655" s="7"/>
      <c r="BS655" s="7"/>
      <c r="BT655" s="7"/>
      <c r="BU655" s="7"/>
      <c r="BV655" s="7">
        <v>5.2999999999999999E-2</v>
      </c>
      <c r="BW655" t="s">
        <v>840</v>
      </c>
      <c r="BX655" t="str">
        <f t="shared" si="228"/>
        <v>15</v>
      </c>
      <c r="BY655" t="str">
        <f t="shared" si="229"/>
        <v>4</v>
      </c>
      <c r="BZ655" t="str">
        <f t="shared" si="230"/>
        <v>2021</v>
      </c>
      <c r="CA655" s="5">
        <f t="shared" si="239"/>
        <v>44301</v>
      </c>
      <c r="CB655">
        <v>105</v>
      </c>
      <c r="CC655" s="7">
        <v>8</v>
      </c>
      <c r="CE655">
        <f t="shared" ref="CE655:CE686" si="241">J655/(H655-J655)*100</f>
        <v>0.33119130004943154</v>
      </c>
      <c r="CF655">
        <f t="shared" ref="CF655:CF686" si="242">I655/(H655-I655)*100</f>
        <v>1.6680024043277901</v>
      </c>
      <c r="CG655">
        <f t="shared" ref="CG655:CG686" si="243">I655/(H655-I655-J655)</f>
        <v>1.6736191385636024E-2</v>
      </c>
      <c r="CH655">
        <f t="shared" ref="CH655:CH686" si="244">O655/(H655-O655)*100</f>
        <v>5.6805165052587734</v>
      </c>
      <c r="CI655">
        <f t="shared" ref="CI655:CI686" si="245">(N655-O655)/H655*100</f>
        <v>0.40400059122037768</v>
      </c>
      <c r="CJ655" s="1">
        <f t="shared" ref="CJ655:CJ686" si="246">(N655-O655+(BV655))/(H655)*100</f>
        <v>0.66512292457013389</v>
      </c>
      <c r="CK655" s="7" t="s">
        <v>142</v>
      </c>
      <c r="CL655" s="7">
        <v>3</v>
      </c>
      <c r="CM655" s="7"/>
      <c r="CN655" s="7"/>
      <c r="CO655" s="7"/>
      <c r="CP655" s="7"/>
    </row>
    <row r="656" spans="1:99" x14ac:dyDescent="0.2">
      <c r="A656" s="7" t="s">
        <v>820</v>
      </c>
      <c r="B656" s="7" t="s">
        <v>60</v>
      </c>
      <c r="C656" t="str">
        <f t="shared" si="235"/>
        <v>I</v>
      </c>
      <c r="D656" t="str">
        <f t="shared" si="236"/>
        <v>I</v>
      </c>
      <c r="E656" t="str">
        <f t="shared" si="237"/>
        <v>G</v>
      </c>
      <c r="F656" s="7">
        <v>87</v>
      </c>
      <c r="G656" s="7">
        <v>83</v>
      </c>
      <c r="H656" s="7">
        <v>10.239000000000001</v>
      </c>
      <c r="I656" s="7">
        <v>0.3</v>
      </c>
      <c r="J656" s="7">
        <v>3.4000000000000002E-2</v>
      </c>
      <c r="K656" s="7" t="s">
        <v>38</v>
      </c>
      <c r="L656" t="str">
        <f t="shared" si="238"/>
        <v>M</v>
      </c>
      <c r="M656" s="7">
        <v>22</v>
      </c>
      <c r="N656" s="7">
        <v>0.64100000000000001</v>
      </c>
      <c r="O656" s="7">
        <v>0.623</v>
      </c>
      <c r="P656" s="7" t="s">
        <v>833</v>
      </c>
      <c r="Q656" t="str">
        <f t="shared" si="240"/>
        <v>F</v>
      </c>
      <c r="R656" s="7"/>
      <c r="S656" s="7"/>
      <c r="T656" s="7">
        <v>1</v>
      </c>
      <c r="U656" s="7">
        <v>7.0000000000000001E-3</v>
      </c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  <c r="AL656" s="7"/>
      <c r="AM656" s="7"/>
      <c r="AN656" s="7"/>
      <c r="AO656" s="7"/>
      <c r="AP656" s="7"/>
      <c r="AQ656" s="7"/>
      <c r="AR656" s="7"/>
      <c r="AS656" s="7"/>
      <c r="AT656" s="7"/>
      <c r="AU656" s="7"/>
      <c r="AV656" s="7"/>
      <c r="AW656" s="7"/>
      <c r="AX656" s="7"/>
      <c r="AY656" s="7"/>
      <c r="AZ656" s="7"/>
      <c r="BA656" s="7"/>
      <c r="BB656" s="7"/>
      <c r="BC656" s="7"/>
      <c r="BD656" s="7"/>
      <c r="BE656" s="7"/>
      <c r="BF656" s="7"/>
      <c r="BG656" s="7"/>
      <c r="BH656" s="7"/>
      <c r="BI656" s="7"/>
      <c r="BJ656" s="7"/>
      <c r="BK656" s="7"/>
      <c r="BL656" s="7"/>
      <c r="BM656" s="7"/>
      <c r="BN656" s="7"/>
      <c r="BO656" s="7"/>
      <c r="BP656" s="7"/>
      <c r="BQ656" s="7"/>
      <c r="BR656" s="7"/>
      <c r="BS656" s="7"/>
      <c r="BT656" s="7"/>
      <c r="BU656" s="7"/>
      <c r="BV656" s="7">
        <v>7.0000000000000001E-3</v>
      </c>
      <c r="BW656" t="s">
        <v>840</v>
      </c>
      <c r="BX656" t="str">
        <f t="shared" si="228"/>
        <v>15</v>
      </c>
      <c r="BY656" t="str">
        <f t="shared" si="229"/>
        <v>4</v>
      </c>
      <c r="BZ656" t="str">
        <f t="shared" si="230"/>
        <v>2021</v>
      </c>
      <c r="CA656" s="5">
        <f t="shared" si="239"/>
        <v>44301</v>
      </c>
      <c r="CB656">
        <v>105</v>
      </c>
      <c r="CC656" s="7">
        <v>8</v>
      </c>
      <c r="CE656">
        <f t="shared" si="241"/>
        <v>0.33317001469867713</v>
      </c>
      <c r="CF656">
        <f t="shared" si="242"/>
        <v>3.0184123151222453</v>
      </c>
      <c r="CG656">
        <f t="shared" si="243"/>
        <v>3.0287733467945482E-2</v>
      </c>
      <c r="CH656">
        <f t="shared" si="244"/>
        <v>6.4787853577371033</v>
      </c>
      <c r="CI656">
        <f t="shared" si="245"/>
        <v>0.17579841781423983</v>
      </c>
      <c r="CJ656" s="1">
        <f t="shared" si="246"/>
        <v>0.24416446918644413</v>
      </c>
      <c r="CK656" s="7" t="s">
        <v>142</v>
      </c>
      <c r="CL656" s="7">
        <v>3</v>
      </c>
      <c r="CM656" s="7"/>
      <c r="CN656" s="7"/>
      <c r="CO656" s="7"/>
      <c r="CP656" s="7"/>
    </row>
    <row r="657" spans="1:99" x14ac:dyDescent="0.2">
      <c r="A657" s="7" t="s">
        <v>841</v>
      </c>
      <c r="B657" s="7" t="s">
        <v>60</v>
      </c>
      <c r="C657" t="str">
        <f t="shared" si="235"/>
        <v>I</v>
      </c>
      <c r="D657" t="str">
        <f t="shared" si="236"/>
        <v>I</v>
      </c>
      <c r="E657" t="str">
        <f t="shared" si="237"/>
        <v>G</v>
      </c>
      <c r="F657" s="7">
        <v>101</v>
      </c>
      <c r="G657" s="7">
        <v>96</v>
      </c>
      <c r="H657" s="7">
        <v>16.774999999999999</v>
      </c>
      <c r="I657" s="7">
        <v>0.247</v>
      </c>
      <c r="J657" s="7">
        <v>6.2E-2</v>
      </c>
      <c r="K657" s="7" t="s">
        <v>38</v>
      </c>
      <c r="L657" t="str">
        <f t="shared" si="238"/>
        <v>M</v>
      </c>
      <c r="M657" s="7">
        <v>22</v>
      </c>
      <c r="N657" s="7">
        <v>0.98699999999999999</v>
      </c>
      <c r="O657" s="7">
        <v>0.96899999999999997</v>
      </c>
      <c r="P657" s="7" t="s">
        <v>36</v>
      </c>
      <c r="Q657" t="str">
        <f t="shared" si="240"/>
        <v>MT</v>
      </c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7"/>
      <c r="AL657" s="7"/>
      <c r="AM657" s="7"/>
      <c r="AN657" s="7"/>
      <c r="AO657" s="7"/>
      <c r="AP657" s="7"/>
      <c r="AQ657" s="7"/>
      <c r="AR657" s="7"/>
      <c r="AS657" s="7"/>
      <c r="AT657" s="7"/>
      <c r="AU657" s="7"/>
      <c r="AV657" s="7"/>
      <c r="AW657" s="7"/>
      <c r="AX657" s="7"/>
      <c r="AY657" s="7"/>
      <c r="AZ657" s="7"/>
      <c r="BA657" s="7"/>
      <c r="BB657" s="7"/>
      <c r="BC657" s="7"/>
      <c r="BD657" s="7"/>
      <c r="BE657" s="7"/>
      <c r="BF657" s="7"/>
      <c r="BG657" s="7"/>
      <c r="BH657" s="7"/>
      <c r="BI657" s="7"/>
      <c r="BJ657" s="7"/>
      <c r="BK657" s="7"/>
      <c r="BL657" s="7"/>
      <c r="BM657" s="7"/>
      <c r="BN657" s="7"/>
      <c r="BO657" s="7"/>
      <c r="BP657" s="7"/>
      <c r="BQ657" s="7"/>
      <c r="BR657" s="7"/>
      <c r="BS657" s="7"/>
      <c r="BT657" s="7"/>
      <c r="BU657" s="7"/>
      <c r="BW657" t="s">
        <v>840</v>
      </c>
      <c r="BX657" t="str">
        <f t="shared" si="228"/>
        <v>15</v>
      </c>
      <c r="BY657" t="str">
        <f t="shared" si="229"/>
        <v>4</v>
      </c>
      <c r="BZ657" t="str">
        <f t="shared" si="230"/>
        <v>2021</v>
      </c>
      <c r="CA657" s="5">
        <f t="shared" si="239"/>
        <v>44301</v>
      </c>
      <c r="CB657">
        <v>105</v>
      </c>
      <c r="CC657" s="7">
        <v>8</v>
      </c>
      <c r="CE657">
        <f t="shared" si="241"/>
        <v>0.3709687069945552</v>
      </c>
      <c r="CF657">
        <f t="shared" si="242"/>
        <v>1.4944336882865441</v>
      </c>
      <c r="CG657">
        <f t="shared" si="243"/>
        <v>1.5000607312036927E-2</v>
      </c>
      <c r="CH657">
        <f t="shared" si="244"/>
        <v>6.130583322788814</v>
      </c>
      <c r="CI657">
        <f t="shared" si="245"/>
        <v>0.10730253353204183</v>
      </c>
      <c r="CJ657" s="1">
        <f t="shared" si="246"/>
        <v>0.10730253353204183</v>
      </c>
      <c r="CK657" s="7" t="s">
        <v>142</v>
      </c>
      <c r="CL657" s="7">
        <v>3</v>
      </c>
      <c r="CM657" s="7"/>
      <c r="CN657" s="7"/>
      <c r="CO657" s="7"/>
      <c r="CP657" s="7"/>
    </row>
    <row r="658" spans="1:99" ht="32" x14ac:dyDescent="0.2">
      <c r="A658" s="7" t="s">
        <v>842</v>
      </c>
      <c r="B658" s="7" t="s">
        <v>60</v>
      </c>
      <c r="C658" t="str">
        <f t="shared" si="235"/>
        <v>I</v>
      </c>
      <c r="D658" t="str">
        <f t="shared" si="236"/>
        <v>I</v>
      </c>
      <c r="E658" t="str">
        <f t="shared" si="237"/>
        <v>G</v>
      </c>
      <c r="F658" s="7">
        <v>105</v>
      </c>
      <c r="G658" s="7">
        <v>101</v>
      </c>
      <c r="H658" s="7">
        <v>22.081</v>
      </c>
      <c r="I658" s="7">
        <v>0.49299999999999999</v>
      </c>
      <c r="J658" s="7">
        <v>7.1999999999999995E-2</v>
      </c>
      <c r="K658" s="7" t="s">
        <v>38</v>
      </c>
      <c r="L658" t="str">
        <f t="shared" si="238"/>
        <v>M</v>
      </c>
      <c r="M658" s="7">
        <v>22</v>
      </c>
      <c r="N658" s="7">
        <v>1.349</v>
      </c>
      <c r="O658" s="7">
        <v>1.1060000000000001</v>
      </c>
      <c r="P658" s="7" t="s">
        <v>869</v>
      </c>
      <c r="Q658" t="str">
        <f t="shared" si="240"/>
        <v>F</v>
      </c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>
        <v>2</v>
      </c>
      <c r="AI658" s="7">
        <v>4.0000000000000001E-3</v>
      </c>
      <c r="AJ658" s="7"/>
      <c r="AK658" s="7"/>
      <c r="AL658" s="7"/>
      <c r="AM658" s="7"/>
      <c r="AN658" s="7"/>
      <c r="AO658" s="7"/>
      <c r="AP658" s="7"/>
      <c r="AQ658" s="7"/>
      <c r="AR658" s="7"/>
      <c r="AS658" s="7"/>
      <c r="AT658" s="7"/>
      <c r="AU658" s="7"/>
      <c r="AV658" s="7">
        <v>40</v>
      </c>
      <c r="AW658" s="7">
        <v>0.16500000000000001</v>
      </c>
      <c r="AX658" s="7"/>
      <c r="AY658" s="7"/>
      <c r="AZ658" s="7"/>
      <c r="BA658" s="7"/>
      <c r="BB658" s="7"/>
      <c r="BC658" s="7"/>
      <c r="BD658" s="7"/>
      <c r="BE658" s="7"/>
      <c r="BF658" s="7"/>
      <c r="BG658" s="7"/>
      <c r="BH658" s="7"/>
      <c r="BI658" s="7"/>
      <c r="BJ658" s="7"/>
      <c r="BK658" s="7"/>
      <c r="BL658" s="7"/>
      <c r="BM658" s="7"/>
      <c r="BN658" s="7"/>
      <c r="BO658" s="7"/>
      <c r="BP658" s="7"/>
      <c r="BQ658" s="7"/>
      <c r="BR658" s="7"/>
      <c r="BS658" s="7"/>
      <c r="BT658" s="7"/>
      <c r="BU658" s="7"/>
      <c r="BV658" s="7">
        <v>0.16900000000000001</v>
      </c>
      <c r="BW658" t="s">
        <v>840</v>
      </c>
      <c r="BX658" t="str">
        <f t="shared" si="228"/>
        <v>15</v>
      </c>
      <c r="BY658" t="str">
        <f t="shared" si="229"/>
        <v>4</v>
      </c>
      <c r="BZ658" t="str">
        <f t="shared" si="230"/>
        <v>2021</v>
      </c>
      <c r="CA658" s="5">
        <f t="shared" si="239"/>
        <v>44301</v>
      </c>
      <c r="CB658">
        <v>105</v>
      </c>
      <c r="CC658" s="7">
        <v>8</v>
      </c>
      <c r="CE658">
        <f t="shared" si="241"/>
        <v>0.32713889772365845</v>
      </c>
      <c r="CF658">
        <f t="shared" si="242"/>
        <v>2.2836761163609411</v>
      </c>
      <c r="CG658">
        <f t="shared" si="243"/>
        <v>2.291318088864101E-2</v>
      </c>
      <c r="CH658">
        <f t="shared" si="244"/>
        <v>5.2729439809296794</v>
      </c>
      <c r="CI658">
        <f t="shared" si="245"/>
        <v>1.1004936370635383</v>
      </c>
      <c r="CJ658" s="1">
        <f t="shared" si="246"/>
        <v>1.8658575245686333</v>
      </c>
      <c r="CK658" s="7" t="s">
        <v>142</v>
      </c>
      <c r="CL658" s="7">
        <v>3</v>
      </c>
      <c r="CM658" s="7"/>
      <c r="CN658" s="7"/>
      <c r="CO658" s="7"/>
      <c r="CP658" s="7"/>
    </row>
    <row r="659" spans="1:99" ht="32" x14ac:dyDescent="0.2">
      <c r="A659" s="7" t="s">
        <v>843</v>
      </c>
      <c r="B659" s="7" t="s">
        <v>60</v>
      </c>
      <c r="C659" t="str">
        <f t="shared" si="235"/>
        <v>I</v>
      </c>
      <c r="D659" t="str">
        <f t="shared" si="236"/>
        <v>S</v>
      </c>
      <c r="E659" t="str">
        <f t="shared" si="237"/>
        <v>G</v>
      </c>
      <c r="F659" s="7">
        <v>71</v>
      </c>
      <c r="G659" s="7">
        <v>65</v>
      </c>
      <c r="H659" s="7">
        <v>6.1529999999999996</v>
      </c>
      <c r="I659" s="7">
        <v>0.308</v>
      </c>
      <c r="J659" s="7">
        <v>0.13</v>
      </c>
      <c r="K659" s="7" t="s">
        <v>786</v>
      </c>
      <c r="L659" t="str">
        <f t="shared" si="238"/>
        <v>F</v>
      </c>
      <c r="M659" s="7">
        <v>23</v>
      </c>
      <c r="N659" s="7">
        <v>0.54700000000000004</v>
      </c>
      <c r="O659" s="7">
        <v>0.41799999999999998</v>
      </c>
      <c r="P659" s="7" t="s">
        <v>870</v>
      </c>
      <c r="Q659" t="str">
        <f t="shared" si="240"/>
        <v>F</v>
      </c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  <c r="AL659" s="7"/>
      <c r="AM659" s="7"/>
      <c r="AN659" s="7"/>
      <c r="AO659" s="7"/>
      <c r="AP659" s="7"/>
      <c r="AQ659" s="7"/>
      <c r="AR659" s="7">
        <v>1</v>
      </c>
      <c r="AS659" s="7">
        <v>1.9E-2</v>
      </c>
      <c r="AT659" s="7"/>
      <c r="AU659" s="7"/>
      <c r="AV659" s="7">
        <v>50</v>
      </c>
      <c r="AW659" s="7">
        <v>8.5000000000000006E-2</v>
      </c>
      <c r="AX659" s="7"/>
      <c r="AY659" s="7"/>
      <c r="AZ659" s="7"/>
      <c r="BA659" s="7"/>
      <c r="BB659" s="7"/>
      <c r="BC659" s="7"/>
      <c r="BD659" s="7"/>
      <c r="BE659" s="7"/>
      <c r="BF659" s="7"/>
      <c r="BG659" s="7"/>
      <c r="BH659" s="7"/>
      <c r="BI659" s="7"/>
      <c r="BJ659" s="7"/>
      <c r="BK659" s="7"/>
      <c r="BL659" s="7"/>
      <c r="BM659" s="7"/>
      <c r="BN659" s="7"/>
      <c r="BO659" s="7"/>
      <c r="BP659" s="7"/>
      <c r="BQ659" s="7"/>
      <c r="BR659" s="7"/>
      <c r="BS659" s="7"/>
      <c r="BT659" s="7"/>
      <c r="BU659" s="7"/>
      <c r="BV659">
        <f>0.085+0.019</f>
        <v>0.10400000000000001</v>
      </c>
      <c r="BW659" t="s">
        <v>840</v>
      </c>
      <c r="BX659" t="str">
        <f t="shared" si="228"/>
        <v>15</v>
      </c>
      <c r="BY659" t="str">
        <f t="shared" si="229"/>
        <v>4</v>
      </c>
      <c r="BZ659" t="str">
        <f t="shared" si="230"/>
        <v>2021</v>
      </c>
      <c r="CA659" s="5">
        <f t="shared" si="239"/>
        <v>44301</v>
      </c>
      <c r="CB659">
        <v>105</v>
      </c>
      <c r="CC659" s="7">
        <v>8</v>
      </c>
      <c r="CE659">
        <f t="shared" si="241"/>
        <v>2.158392827494604</v>
      </c>
      <c r="CF659">
        <f t="shared" si="242"/>
        <v>5.2694610778443121</v>
      </c>
      <c r="CG659">
        <f t="shared" si="243"/>
        <v>5.3893263342082241E-2</v>
      </c>
      <c r="CH659">
        <f t="shared" si="244"/>
        <v>7.2885789014821274</v>
      </c>
      <c r="CI659">
        <f t="shared" si="245"/>
        <v>2.0965382740126777</v>
      </c>
      <c r="CJ659" s="1">
        <f t="shared" si="246"/>
        <v>3.7867706809686346</v>
      </c>
      <c r="CK659" s="7" t="s">
        <v>142</v>
      </c>
      <c r="CL659" s="7">
        <v>2</v>
      </c>
      <c r="CM659" s="7"/>
      <c r="CN659" s="7"/>
      <c r="CO659" s="7"/>
      <c r="CP659" s="7"/>
    </row>
    <row r="660" spans="1:99" x14ac:dyDescent="0.2">
      <c r="A660" s="7" t="s">
        <v>844</v>
      </c>
      <c r="B660" s="7" t="s">
        <v>60</v>
      </c>
      <c r="C660" t="str">
        <f t="shared" si="235"/>
        <v>I</v>
      </c>
      <c r="D660" t="str">
        <f t="shared" si="236"/>
        <v>I</v>
      </c>
      <c r="E660" t="str">
        <f t="shared" si="237"/>
        <v>G</v>
      </c>
      <c r="F660" s="7">
        <v>85</v>
      </c>
      <c r="G660" s="7">
        <v>80</v>
      </c>
      <c r="H660" s="7">
        <v>8.6069999999999993</v>
      </c>
      <c r="I660" s="7">
        <v>0.189</v>
      </c>
      <c r="J660" s="7">
        <v>0.16200000000000001</v>
      </c>
      <c r="K660" s="7" t="s">
        <v>24</v>
      </c>
      <c r="L660" t="str">
        <f t="shared" si="238"/>
        <v>F</v>
      </c>
      <c r="M660" s="7">
        <v>22</v>
      </c>
      <c r="N660" s="7">
        <v>0.36</v>
      </c>
      <c r="O660" s="7">
        <v>0.35199999999999998</v>
      </c>
      <c r="P660" s="7" t="s">
        <v>36</v>
      </c>
      <c r="Q660" t="str">
        <f t="shared" si="240"/>
        <v>MT</v>
      </c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  <c r="AL660" s="7"/>
      <c r="AM660" s="7"/>
      <c r="AN660" s="7"/>
      <c r="AO660" s="7"/>
      <c r="AP660" s="7"/>
      <c r="AQ660" s="7"/>
      <c r="AR660" s="7"/>
      <c r="AS660" s="7"/>
      <c r="AT660" s="7"/>
      <c r="AU660" s="7"/>
      <c r="AV660" s="7"/>
      <c r="AW660" s="7"/>
      <c r="AX660" s="7"/>
      <c r="AY660" s="7"/>
      <c r="AZ660" s="7"/>
      <c r="BA660" s="7"/>
      <c r="BB660" s="7"/>
      <c r="BC660" s="7"/>
      <c r="BD660" s="7"/>
      <c r="BE660" s="7"/>
      <c r="BF660" s="7"/>
      <c r="BG660" s="7"/>
      <c r="BH660" s="7"/>
      <c r="BI660" s="7"/>
      <c r="BJ660" s="7"/>
      <c r="BK660" s="7"/>
      <c r="BL660" s="7"/>
      <c r="BM660" s="7"/>
      <c r="BN660" s="7"/>
      <c r="BO660" s="7"/>
      <c r="BP660" s="7"/>
      <c r="BQ660" s="7"/>
      <c r="BR660" s="7"/>
      <c r="BS660" s="7"/>
      <c r="BT660" s="7"/>
      <c r="BU660" s="7"/>
      <c r="BW660" t="s">
        <v>840</v>
      </c>
      <c r="BX660" t="str">
        <f t="shared" si="228"/>
        <v>15</v>
      </c>
      <c r="BY660" t="str">
        <f t="shared" si="229"/>
        <v>4</v>
      </c>
      <c r="BZ660" t="str">
        <f t="shared" si="230"/>
        <v>2021</v>
      </c>
      <c r="CA660" s="5">
        <f t="shared" si="239"/>
        <v>44301</v>
      </c>
      <c r="CB660">
        <v>105</v>
      </c>
      <c r="CC660" s="7">
        <v>8</v>
      </c>
      <c r="CE660">
        <f t="shared" si="241"/>
        <v>1.9182948490230909</v>
      </c>
      <c r="CF660">
        <f t="shared" si="242"/>
        <v>2.2451888809693519</v>
      </c>
      <c r="CG660">
        <f t="shared" si="243"/>
        <v>2.2892441860465122E-2</v>
      </c>
      <c r="CH660">
        <f t="shared" si="244"/>
        <v>4.2640823743185949</v>
      </c>
      <c r="CI660">
        <f t="shared" si="245"/>
        <v>9.2947600790054707E-2</v>
      </c>
      <c r="CJ660" s="1">
        <f t="shared" si="246"/>
        <v>9.2947600790054707E-2</v>
      </c>
      <c r="CK660" s="7" t="s">
        <v>142</v>
      </c>
      <c r="CL660" s="7">
        <v>3</v>
      </c>
      <c r="CM660" s="7">
        <v>0</v>
      </c>
      <c r="CN660" s="7">
        <v>130</v>
      </c>
      <c r="CO660" s="7">
        <v>36</v>
      </c>
      <c r="CP660" s="7">
        <v>0</v>
      </c>
      <c r="CQ660" s="12">
        <v>2.24E-2</v>
      </c>
      <c r="CR660">
        <f>CQ660/(H660-I660-J660-N660)*1000</f>
        <v>2.836879432624114</v>
      </c>
      <c r="CS660">
        <v>7.3940000000000001</v>
      </c>
      <c r="CT660">
        <v>77.643189159144811</v>
      </c>
      <c r="CU660">
        <v>109.42407617537384</v>
      </c>
    </row>
    <row r="661" spans="1:99" x14ac:dyDescent="0.2">
      <c r="A661" s="7" t="s">
        <v>845</v>
      </c>
      <c r="B661" s="7" t="s">
        <v>60</v>
      </c>
      <c r="C661" t="str">
        <f t="shared" si="235"/>
        <v>I</v>
      </c>
      <c r="D661" t="str">
        <f t="shared" si="236"/>
        <v>S</v>
      </c>
      <c r="E661" t="str">
        <f t="shared" si="237"/>
        <v>G</v>
      </c>
      <c r="F661" s="7">
        <v>83</v>
      </c>
      <c r="G661" s="7">
        <v>79</v>
      </c>
      <c r="H661" s="7">
        <v>9.8049999999999997</v>
      </c>
      <c r="I661" s="7">
        <v>0.28699999999999998</v>
      </c>
      <c r="J661" s="7">
        <v>0.23699999999999999</v>
      </c>
      <c r="K661" s="7" t="s">
        <v>786</v>
      </c>
      <c r="L661" t="str">
        <f t="shared" si="238"/>
        <v>F</v>
      </c>
      <c r="M661" s="7">
        <v>23</v>
      </c>
      <c r="N661" s="7">
        <v>0.503</v>
      </c>
      <c r="O661" s="7">
        <v>0.38100000000000001</v>
      </c>
      <c r="P661" s="7" t="s">
        <v>871</v>
      </c>
      <c r="Q661" t="str">
        <f t="shared" si="240"/>
        <v>F</v>
      </c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7"/>
      <c r="AL661" s="7"/>
      <c r="AM661" s="7"/>
      <c r="AN661" s="7"/>
      <c r="AO661" s="7"/>
      <c r="AP661" s="7"/>
      <c r="AQ661" s="7"/>
      <c r="AR661" s="7">
        <v>14</v>
      </c>
      <c r="AS661" s="7">
        <v>8.2000000000000003E-2</v>
      </c>
      <c r="AT661" s="7"/>
      <c r="AU661" s="7"/>
      <c r="AV661" s="7"/>
      <c r="AW661" s="7"/>
      <c r="AX661" s="7"/>
      <c r="AY661" s="7"/>
      <c r="AZ661" s="7"/>
      <c r="BA661" s="7"/>
      <c r="BB661" s="7"/>
      <c r="BC661" s="7"/>
      <c r="BD661" s="7"/>
      <c r="BE661" s="7"/>
      <c r="BF661" s="7"/>
      <c r="BG661" s="7"/>
      <c r="BH661" s="7"/>
      <c r="BI661" s="7"/>
      <c r="BJ661" s="7"/>
      <c r="BK661" s="7"/>
      <c r="BL661" s="7"/>
      <c r="BM661" s="7"/>
      <c r="BN661" s="7"/>
      <c r="BO661" s="7"/>
      <c r="BP661" s="7"/>
      <c r="BQ661" s="7"/>
      <c r="BR661" s="7"/>
      <c r="BS661" s="7"/>
      <c r="BT661" s="7"/>
      <c r="BU661" s="7"/>
      <c r="BV661" s="7">
        <v>8.2000000000000003E-2</v>
      </c>
      <c r="BW661" t="s">
        <v>840</v>
      </c>
      <c r="BX661" t="str">
        <f t="shared" si="228"/>
        <v>15</v>
      </c>
      <c r="BY661" t="str">
        <f t="shared" si="229"/>
        <v>4</v>
      </c>
      <c r="BZ661" t="str">
        <f t="shared" si="230"/>
        <v>2021</v>
      </c>
      <c r="CA661" s="5">
        <f t="shared" si="239"/>
        <v>44301</v>
      </c>
      <c r="CB661">
        <v>105</v>
      </c>
      <c r="CC661" s="7">
        <v>8</v>
      </c>
      <c r="CE661">
        <f t="shared" si="241"/>
        <v>2.4770066889632107</v>
      </c>
      <c r="CF661">
        <f t="shared" si="242"/>
        <v>3.0153393570077749</v>
      </c>
      <c r="CG661">
        <f t="shared" si="243"/>
        <v>3.0923391875875447E-2</v>
      </c>
      <c r="CH661">
        <f t="shared" si="244"/>
        <v>4.0428692699490663</v>
      </c>
      <c r="CI661">
        <f t="shared" si="245"/>
        <v>1.2442631310555838</v>
      </c>
      <c r="CJ661" s="1">
        <f t="shared" si="246"/>
        <v>2.0805711371749109</v>
      </c>
      <c r="CK661" s="7" t="s">
        <v>142</v>
      </c>
      <c r="CL661" s="7">
        <v>3</v>
      </c>
      <c r="CM661" s="7"/>
      <c r="CN661" s="7"/>
      <c r="CO661" s="7"/>
      <c r="CP661" s="7"/>
    </row>
    <row r="662" spans="1:99" x14ac:dyDescent="0.2">
      <c r="A662" s="7" t="s">
        <v>846</v>
      </c>
      <c r="B662" s="7" t="s">
        <v>60</v>
      </c>
      <c r="C662" t="str">
        <f t="shared" si="235"/>
        <v>I</v>
      </c>
      <c r="D662" t="str">
        <f t="shared" si="236"/>
        <v>I</v>
      </c>
      <c r="E662" t="str">
        <f t="shared" si="237"/>
        <v>G</v>
      </c>
      <c r="F662" s="7">
        <v>102</v>
      </c>
      <c r="G662" s="7">
        <v>95</v>
      </c>
      <c r="H662" s="7">
        <v>17.774000000000001</v>
      </c>
      <c r="I662" s="7">
        <v>0.36399999999999999</v>
      </c>
      <c r="J662" s="7">
        <v>7.3999999999999996E-2</v>
      </c>
      <c r="K662" s="7" t="s">
        <v>38</v>
      </c>
      <c r="L662" t="str">
        <f t="shared" si="238"/>
        <v>M</v>
      </c>
      <c r="M662" s="7">
        <v>22</v>
      </c>
      <c r="N662" s="7">
        <v>0.98</v>
      </c>
      <c r="O662" s="7">
        <v>0.96199999999999997</v>
      </c>
      <c r="P662" s="7" t="s">
        <v>36</v>
      </c>
      <c r="Q662" t="str">
        <f t="shared" si="240"/>
        <v>MT</v>
      </c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  <c r="AL662" s="7"/>
      <c r="AM662" s="7"/>
      <c r="AN662" s="7"/>
      <c r="AO662" s="7"/>
      <c r="AP662" s="7"/>
      <c r="AQ662" s="7"/>
      <c r="AR662" s="7"/>
      <c r="AS662" s="7"/>
      <c r="AT662" s="7"/>
      <c r="AU662" s="7"/>
      <c r="AV662" s="7"/>
      <c r="AW662" s="7"/>
      <c r="AX662" s="7"/>
      <c r="AY662" s="7"/>
      <c r="AZ662" s="7"/>
      <c r="BA662" s="7"/>
      <c r="BB662" s="7"/>
      <c r="BC662" s="7"/>
      <c r="BD662" s="7"/>
      <c r="BE662" s="7"/>
      <c r="BF662" s="7"/>
      <c r="BG662" s="7"/>
      <c r="BH662" s="7"/>
      <c r="BI662" s="7"/>
      <c r="BJ662" s="7"/>
      <c r="BK662" s="7"/>
      <c r="BL662" s="7"/>
      <c r="BM662" s="7"/>
      <c r="BN662" s="7"/>
      <c r="BO662" s="7"/>
      <c r="BP662" s="7"/>
      <c r="BQ662" s="7"/>
      <c r="BR662" s="7"/>
      <c r="BS662" s="7"/>
      <c r="BT662" s="7"/>
      <c r="BU662" s="7"/>
      <c r="BW662" t="s">
        <v>840</v>
      </c>
      <c r="BX662" t="str">
        <f t="shared" si="228"/>
        <v>15</v>
      </c>
      <c r="BY662" t="str">
        <f t="shared" si="229"/>
        <v>4</v>
      </c>
      <c r="BZ662" t="str">
        <f t="shared" si="230"/>
        <v>2021</v>
      </c>
      <c r="CA662" s="5">
        <f t="shared" si="239"/>
        <v>44301</v>
      </c>
      <c r="CB662">
        <v>105</v>
      </c>
      <c r="CC662" s="7">
        <v>8</v>
      </c>
      <c r="CE662">
        <f t="shared" si="241"/>
        <v>0.41807909604519777</v>
      </c>
      <c r="CF662">
        <f t="shared" si="242"/>
        <v>2.0907524411257894</v>
      </c>
      <c r="CG662">
        <f t="shared" si="243"/>
        <v>2.0996769727734194E-2</v>
      </c>
      <c r="CH662">
        <f t="shared" si="244"/>
        <v>5.7221032595764925</v>
      </c>
      <c r="CI662">
        <f t="shared" si="245"/>
        <v>0.10127152019804217</v>
      </c>
      <c r="CJ662" s="1">
        <f t="shared" si="246"/>
        <v>0.10127152019804217</v>
      </c>
      <c r="CK662" s="7" t="s">
        <v>142</v>
      </c>
      <c r="CL662" s="7">
        <v>3</v>
      </c>
      <c r="CM662" s="7"/>
      <c r="CN662" s="7"/>
      <c r="CO662" s="7"/>
      <c r="CP662" s="7"/>
    </row>
    <row r="663" spans="1:99" x14ac:dyDescent="0.2">
      <c r="A663" s="7" t="s">
        <v>847</v>
      </c>
      <c r="B663" s="7" t="s">
        <v>60</v>
      </c>
      <c r="C663" t="str">
        <f t="shared" si="235"/>
        <v>I</v>
      </c>
      <c r="D663" t="str">
        <f t="shared" si="236"/>
        <v>I</v>
      </c>
      <c r="E663" t="str">
        <f t="shared" si="237"/>
        <v>G</v>
      </c>
      <c r="F663" s="7">
        <v>87</v>
      </c>
      <c r="G663" s="7">
        <v>83</v>
      </c>
      <c r="H663" s="7">
        <v>10.148</v>
      </c>
      <c r="I663" s="7">
        <v>0.311</v>
      </c>
      <c r="J663" s="7">
        <v>4.2000000000000003E-2</v>
      </c>
      <c r="K663" s="7" t="s">
        <v>38</v>
      </c>
      <c r="L663" t="str">
        <f t="shared" si="238"/>
        <v>M</v>
      </c>
      <c r="M663" s="7">
        <v>22</v>
      </c>
      <c r="N663" s="7">
        <v>0.47199999999999998</v>
      </c>
      <c r="O663" s="7">
        <v>0.46400000000000002</v>
      </c>
      <c r="P663" s="7" t="s">
        <v>36</v>
      </c>
      <c r="Q663" t="str">
        <f t="shared" si="240"/>
        <v>MT</v>
      </c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  <c r="AL663" s="7"/>
      <c r="AM663" s="7"/>
      <c r="AN663" s="7"/>
      <c r="AO663" s="7"/>
      <c r="AP663" s="7"/>
      <c r="AQ663" s="7"/>
      <c r="AR663" s="7"/>
      <c r="AS663" s="7"/>
      <c r="AT663" s="7"/>
      <c r="AU663" s="7"/>
      <c r="AV663" s="7"/>
      <c r="AW663" s="7"/>
      <c r="AX663" s="7"/>
      <c r="AY663" s="7"/>
      <c r="AZ663" s="7"/>
      <c r="BA663" s="7"/>
      <c r="BB663" s="7"/>
      <c r="BC663" s="7"/>
      <c r="BD663" s="7"/>
      <c r="BE663" s="7"/>
      <c r="BF663" s="7"/>
      <c r="BG663" s="7"/>
      <c r="BH663" s="7"/>
      <c r="BI663" s="7"/>
      <c r="BJ663" s="7"/>
      <c r="BK663" s="7"/>
      <c r="BL663" s="7"/>
      <c r="BM663" s="7"/>
      <c r="BN663" s="7"/>
      <c r="BO663" s="7"/>
      <c r="BP663" s="7"/>
      <c r="BQ663" s="7"/>
      <c r="BR663" s="7"/>
      <c r="BS663" s="7"/>
      <c r="BT663" s="7"/>
      <c r="BU663" s="7"/>
      <c r="BW663" t="s">
        <v>840</v>
      </c>
      <c r="BX663" t="str">
        <f t="shared" si="228"/>
        <v>15</v>
      </c>
      <c r="BY663" t="str">
        <f t="shared" si="229"/>
        <v>4</v>
      </c>
      <c r="BZ663" t="str">
        <f t="shared" si="230"/>
        <v>2021</v>
      </c>
      <c r="CA663" s="5">
        <f t="shared" si="239"/>
        <v>44301</v>
      </c>
      <c r="CB663">
        <v>105</v>
      </c>
      <c r="CC663" s="7">
        <v>8</v>
      </c>
      <c r="CE663">
        <f t="shared" si="241"/>
        <v>0.41559469622006728</v>
      </c>
      <c r="CF663">
        <f t="shared" si="242"/>
        <v>3.1615329876995024</v>
      </c>
      <c r="CG663">
        <f t="shared" si="243"/>
        <v>3.1750893312914752E-2</v>
      </c>
      <c r="CH663">
        <f t="shared" si="244"/>
        <v>4.791408508880628</v>
      </c>
      <c r="CI663">
        <f t="shared" si="245"/>
        <v>7.8833267638943161E-2</v>
      </c>
      <c r="CJ663" s="1">
        <f t="shared" si="246"/>
        <v>7.8833267638943161E-2</v>
      </c>
      <c r="CK663" s="7" t="s">
        <v>142</v>
      </c>
      <c r="CL663" s="7">
        <v>3</v>
      </c>
      <c r="CM663" s="7"/>
      <c r="CN663" s="7"/>
      <c r="CO663" s="7"/>
      <c r="CP663" s="7"/>
    </row>
    <row r="664" spans="1:99" x14ac:dyDescent="0.2">
      <c r="A664" s="7" t="s">
        <v>848</v>
      </c>
      <c r="B664" s="7" t="s">
        <v>60</v>
      </c>
      <c r="C664" t="str">
        <f t="shared" si="235"/>
        <v>I</v>
      </c>
      <c r="D664" t="str">
        <f t="shared" si="236"/>
        <v>S</v>
      </c>
      <c r="E664" t="str">
        <f t="shared" si="237"/>
        <v>G</v>
      </c>
      <c r="F664" s="7">
        <v>75</v>
      </c>
      <c r="G664" s="7">
        <v>72</v>
      </c>
      <c r="H664" s="7">
        <v>6.859</v>
      </c>
      <c r="I664" s="7">
        <v>0.16500000000000001</v>
      </c>
      <c r="J664" s="7">
        <v>3.1E-2</v>
      </c>
      <c r="K664" s="7" t="s">
        <v>38</v>
      </c>
      <c r="L664" t="str">
        <f t="shared" si="238"/>
        <v>M</v>
      </c>
      <c r="M664" s="7">
        <v>22</v>
      </c>
      <c r="N664" s="7">
        <v>0.42099999999999999</v>
      </c>
      <c r="O664" s="7">
        <v>0.32500000000000001</v>
      </c>
      <c r="P664" s="7" t="s">
        <v>872</v>
      </c>
      <c r="Q664" t="str">
        <f t="shared" si="240"/>
        <v>F</v>
      </c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  <c r="AL664" s="7"/>
      <c r="AM664" s="7"/>
      <c r="AN664" s="7"/>
      <c r="AO664" s="7"/>
      <c r="AP664" s="7"/>
      <c r="AQ664" s="7"/>
      <c r="AR664" s="7"/>
      <c r="AS664" s="7"/>
      <c r="AT664" s="7"/>
      <c r="AU664" s="7"/>
      <c r="AV664" s="7">
        <v>30</v>
      </c>
      <c r="AW664" s="7">
        <v>6.3E-2</v>
      </c>
      <c r="AX664" s="7"/>
      <c r="AY664" s="7"/>
      <c r="AZ664" s="7"/>
      <c r="BA664" s="7"/>
      <c r="BB664" s="7"/>
      <c r="BC664" s="7"/>
      <c r="BD664" s="7"/>
      <c r="BE664" s="7"/>
      <c r="BF664" s="7"/>
      <c r="BG664" s="7"/>
      <c r="BH664" s="7"/>
      <c r="BI664" s="7"/>
      <c r="BJ664" s="7"/>
      <c r="BK664" s="7"/>
      <c r="BL664" s="7"/>
      <c r="BM664" s="7"/>
      <c r="BN664" s="7"/>
      <c r="BO664" s="7"/>
      <c r="BP664" s="7"/>
      <c r="BQ664" s="7"/>
      <c r="BR664" s="7"/>
      <c r="BS664" s="7"/>
      <c r="BT664" s="7"/>
      <c r="BU664" s="7"/>
      <c r="BV664" s="7">
        <v>6.3E-2</v>
      </c>
      <c r="BW664" t="s">
        <v>840</v>
      </c>
      <c r="BX664" t="str">
        <f t="shared" si="228"/>
        <v>15</v>
      </c>
      <c r="BY664" t="str">
        <f t="shared" si="229"/>
        <v>4</v>
      </c>
      <c r="BZ664" t="str">
        <f t="shared" si="230"/>
        <v>2021</v>
      </c>
      <c r="CA664" s="5">
        <f t="shared" si="239"/>
        <v>44301</v>
      </c>
      <c r="CB664">
        <v>105</v>
      </c>
      <c r="CC664" s="7">
        <v>8</v>
      </c>
      <c r="CE664">
        <f t="shared" si="241"/>
        <v>0.45401288810779145</v>
      </c>
      <c r="CF664">
        <f t="shared" si="242"/>
        <v>2.4648939348670451</v>
      </c>
      <c r="CG664">
        <f t="shared" si="243"/>
        <v>2.4763619990995047E-2</v>
      </c>
      <c r="CH664">
        <f t="shared" si="244"/>
        <v>4.9739822467095198</v>
      </c>
      <c r="CI664">
        <f t="shared" si="245"/>
        <v>1.3996209359965006</v>
      </c>
      <c r="CJ664" s="1">
        <f t="shared" si="246"/>
        <v>2.3181221752442043</v>
      </c>
      <c r="CK664" s="7" t="s">
        <v>142</v>
      </c>
      <c r="CL664" s="7">
        <v>2</v>
      </c>
      <c r="CM664" s="7"/>
      <c r="CN664" s="7"/>
      <c r="CO664" s="7"/>
      <c r="CP664" s="7"/>
    </row>
    <row r="665" spans="1:99" x14ac:dyDescent="0.2">
      <c r="A665" s="7" t="s">
        <v>849</v>
      </c>
      <c r="B665" s="7" t="s">
        <v>60</v>
      </c>
      <c r="C665" t="str">
        <f t="shared" si="235"/>
        <v>I</v>
      </c>
      <c r="D665" t="str">
        <f t="shared" si="236"/>
        <v>S</v>
      </c>
      <c r="E665" t="str">
        <f t="shared" si="237"/>
        <v>G</v>
      </c>
      <c r="F665" s="7">
        <v>76</v>
      </c>
      <c r="G665" s="7">
        <v>70</v>
      </c>
      <c r="H665" s="7">
        <v>7.4589999999999996</v>
      </c>
      <c r="I665" s="7">
        <v>0.187</v>
      </c>
      <c r="J665" s="7">
        <v>0.14399999999999999</v>
      </c>
      <c r="K665" s="7" t="s">
        <v>786</v>
      </c>
      <c r="L665" t="str">
        <f t="shared" si="238"/>
        <v>F</v>
      </c>
      <c r="M665" s="7">
        <v>23</v>
      </c>
      <c r="N665" s="7">
        <v>0.33600000000000002</v>
      </c>
      <c r="O665" s="7">
        <v>0.33</v>
      </c>
      <c r="P665" s="7" t="s">
        <v>36</v>
      </c>
      <c r="Q665" t="str">
        <f t="shared" si="240"/>
        <v>MT</v>
      </c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  <c r="AL665" s="7"/>
      <c r="AM665" s="7"/>
      <c r="AN665" s="7"/>
      <c r="AO665" s="7"/>
      <c r="AP665" s="7"/>
      <c r="AQ665" s="7"/>
      <c r="AR665" s="7"/>
      <c r="AS665" s="7"/>
      <c r="AT665" s="7"/>
      <c r="AU665" s="7"/>
      <c r="AV665" s="7"/>
      <c r="AW665" s="7"/>
      <c r="AX665" s="7"/>
      <c r="AY665" s="7"/>
      <c r="AZ665" s="7"/>
      <c r="BA665" s="7"/>
      <c r="BB665" s="7"/>
      <c r="BC665" s="7"/>
      <c r="BD665" s="7"/>
      <c r="BE665" s="7"/>
      <c r="BF665" s="7"/>
      <c r="BG665" s="7"/>
      <c r="BH665" s="7"/>
      <c r="BI665" s="7"/>
      <c r="BJ665" s="7"/>
      <c r="BK665" s="7"/>
      <c r="BL665" s="7"/>
      <c r="BM665" s="7"/>
      <c r="BN665" s="7"/>
      <c r="BO665" s="7"/>
      <c r="BP665" s="7"/>
      <c r="BQ665" s="7"/>
      <c r="BR665" s="7"/>
      <c r="BS665" s="7"/>
      <c r="BT665" s="7"/>
      <c r="BU665" s="7"/>
      <c r="BW665" t="s">
        <v>840</v>
      </c>
      <c r="BX665" t="str">
        <f t="shared" si="228"/>
        <v>15</v>
      </c>
      <c r="BY665" t="str">
        <f t="shared" si="229"/>
        <v>4</v>
      </c>
      <c r="BZ665" t="str">
        <f t="shared" si="230"/>
        <v>2021</v>
      </c>
      <c r="CA665" s="5">
        <f t="shared" si="239"/>
        <v>44301</v>
      </c>
      <c r="CB665">
        <v>105</v>
      </c>
      <c r="CC665" s="7">
        <v>8</v>
      </c>
      <c r="CE665">
        <f t="shared" si="241"/>
        <v>1.9685577580314422</v>
      </c>
      <c r="CF665">
        <f t="shared" si="242"/>
        <v>2.5715071507150715</v>
      </c>
      <c r="CG665">
        <f t="shared" si="243"/>
        <v>2.623456790123457E-2</v>
      </c>
      <c r="CH665">
        <f t="shared" si="244"/>
        <v>4.6289802216299627</v>
      </c>
      <c r="CI665">
        <f t="shared" si="245"/>
        <v>8.0439737230191793E-2</v>
      </c>
      <c r="CJ665" s="1">
        <f t="shared" si="246"/>
        <v>8.0439737230191793E-2</v>
      </c>
      <c r="CK665" s="7" t="s">
        <v>142</v>
      </c>
      <c r="CL665" s="7">
        <v>2</v>
      </c>
      <c r="CM665" s="7">
        <v>0</v>
      </c>
      <c r="CN665" s="7">
        <v>57</v>
      </c>
      <c r="CO665" s="7">
        <v>24</v>
      </c>
      <c r="CP665" s="7">
        <v>0</v>
      </c>
      <c r="CQ665" s="12">
        <v>4.99E-2</v>
      </c>
      <c r="CR665">
        <f>CQ665/(H665-I665-J665-N665)*1000</f>
        <v>7.3468786808009439</v>
      </c>
      <c r="CS665">
        <v>7.7549999999999999</v>
      </c>
      <c r="CT665">
        <v>97.830588621441237</v>
      </c>
      <c r="CU665" s="17">
        <v>101.30766583726036</v>
      </c>
    </row>
    <row r="666" spans="1:99" x14ac:dyDescent="0.2">
      <c r="A666" s="7" t="s">
        <v>850</v>
      </c>
      <c r="B666" s="7" t="s">
        <v>60</v>
      </c>
      <c r="C666" t="str">
        <f t="shared" si="235"/>
        <v>I</v>
      </c>
      <c r="D666" t="str">
        <f t="shared" si="236"/>
        <v>S</v>
      </c>
      <c r="E666" t="str">
        <f t="shared" si="237"/>
        <v>G</v>
      </c>
      <c r="F666" s="7">
        <v>70</v>
      </c>
      <c r="G666" s="7">
        <v>66</v>
      </c>
      <c r="H666" s="7">
        <v>5.3819999999999997</v>
      </c>
      <c r="I666" s="7">
        <v>0.186</v>
      </c>
      <c r="J666" s="7">
        <v>0.112</v>
      </c>
      <c r="K666" s="7" t="s">
        <v>786</v>
      </c>
      <c r="L666" t="str">
        <f t="shared" si="238"/>
        <v>F</v>
      </c>
      <c r="M666" s="7">
        <v>23</v>
      </c>
      <c r="N666" s="7">
        <v>0.255</v>
      </c>
      <c r="O666" s="7">
        <v>0.23300000000000001</v>
      </c>
      <c r="P666" s="7" t="s">
        <v>873</v>
      </c>
      <c r="Q666" t="str">
        <f t="shared" si="240"/>
        <v>F</v>
      </c>
      <c r="R666" s="7"/>
      <c r="S666" s="7"/>
      <c r="T666" s="7">
        <v>3</v>
      </c>
      <c r="U666" s="7">
        <v>8.0000000000000002E-3</v>
      </c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  <c r="AL666" s="7"/>
      <c r="AM666" s="7"/>
      <c r="AN666" s="7"/>
      <c r="AO666" s="7"/>
      <c r="AP666" s="7"/>
      <c r="AQ666" s="7"/>
      <c r="AR666" s="7"/>
      <c r="AS666" s="7"/>
      <c r="AT666" s="7"/>
      <c r="AU666" s="7"/>
      <c r="AV666" s="7"/>
      <c r="AW666" s="7"/>
      <c r="AX666" s="7"/>
      <c r="AY666" s="7"/>
      <c r="AZ666" s="7"/>
      <c r="BA666" s="7"/>
      <c r="BB666" s="7"/>
      <c r="BC666" s="7"/>
      <c r="BD666" s="7"/>
      <c r="BE666" s="7"/>
      <c r="BF666" s="7"/>
      <c r="BG666" s="7"/>
      <c r="BH666" s="7"/>
      <c r="BI666" s="7"/>
      <c r="BJ666" s="7"/>
      <c r="BK666" s="7"/>
      <c r="BL666" s="7"/>
      <c r="BM666" s="7"/>
      <c r="BN666" s="7"/>
      <c r="BO666" s="7"/>
      <c r="BP666" s="7"/>
      <c r="BQ666" s="7"/>
      <c r="BR666" s="7"/>
      <c r="BS666" s="7"/>
      <c r="BT666" s="7"/>
      <c r="BU666" s="7"/>
      <c r="BV666" s="7">
        <v>8.0000000000000002E-3</v>
      </c>
      <c r="BW666" t="s">
        <v>840</v>
      </c>
      <c r="BX666" t="str">
        <f t="shared" si="228"/>
        <v>15</v>
      </c>
      <c r="BY666" t="str">
        <f t="shared" si="229"/>
        <v>4</v>
      </c>
      <c r="BZ666" t="str">
        <f t="shared" si="230"/>
        <v>2021</v>
      </c>
      <c r="CA666" s="5">
        <f t="shared" si="239"/>
        <v>44301</v>
      </c>
      <c r="CB666">
        <v>105</v>
      </c>
      <c r="CC666" s="7">
        <v>8</v>
      </c>
      <c r="CE666">
        <f t="shared" si="241"/>
        <v>2.1252371916508541</v>
      </c>
      <c r="CF666">
        <f t="shared" si="242"/>
        <v>3.5796766743648964</v>
      </c>
      <c r="CG666">
        <f t="shared" si="243"/>
        <v>3.6585365853658541E-2</v>
      </c>
      <c r="CH666">
        <f t="shared" si="244"/>
        <v>4.5251505146630411</v>
      </c>
      <c r="CI666">
        <f t="shared" si="245"/>
        <v>0.40876997398736514</v>
      </c>
      <c r="CJ666" s="1">
        <f t="shared" si="246"/>
        <v>0.55741360089186165</v>
      </c>
      <c r="CK666" s="7" t="s">
        <v>142</v>
      </c>
      <c r="CL666" s="7">
        <v>3</v>
      </c>
      <c r="CM666" s="7">
        <v>1</v>
      </c>
      <c r="CN666" s="7">
        <v>42</v>
      </c>
      <c r="CO666" s="7">
        <v>10</v>
      </c>
      <c r="CP666" s="7">
        <v>0</v>
      </c>
      <c r="CQ666" s="12">
        <v>2.0899999999999998E-2</v>
      </c>
      <c r="CR666">
        <f>CQ666/(H666-I666-J666-N666)*1000</f>
        <v>4.3280182232346238</v>
      </c>
      <c r="CS666">
        <v>7.7249999999999996</v>
      </c>
      <c r="CT666">
        <v>77.739604345576254</v>
      </c>
      <c r="CU666">
        <v>117.978038492926</v>
      </c>
    </row>
    <row r="667" spans="1:99" x14ac:dyDescent="0.2">
      <c r="A667" s="7" t="s">
        <v>851</v>
      </c>
      <c r="B667" s="7" t="s">
        <v>60</v>
      </c>
      <c r="C667" t="str">
        <f t="shared" si="235"/>
        <v>I</v>
      </c>
      <c r="D667" t="str">
        <f t="shared" si="236"/>
        <v>IMM</v>
      </c>
      <c r="E667" t="str">
        <f t="shared" si="237"/>
        <v>G</v>
      </c>
      <c r="F667" s="7">
        <v>64</v>
      </c>
      <c r="G667" s="7">
        <v>60</v>
      </c>
      <c r="H667" s="7">
        <v>4</v>
      </c>
      <c r="I667" s="7">
        <v>9.6000000000000002E-2</v>
      </c>
      <c r="J667" s="7">
        <v>7.3999999999999996E-2</v>
      </c>
      <c r="K667" s="7" t="s">
        <v>786</v>
      </c>
      <c r="L667" t="str">
        <f t="shared" si="238"/>
        <v>F</v>
      </c>
      <c r="M667" s="7">
        <v>23</v>
      </c>
      <c r="N667" s="7">
        <v>0.23300000000000001</v>
      </c>
      <c r="O667" s="7">
        <v>0.188</v>
      </c>
      <c r="P667" s="7" t="s">
        <v>472</v>
      </c>
      <c r="Q667" t="str">
        <f t="shared" si="240"/>
        <v>F</v>
      </c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  <c r="AL667" s="7"/>
      <c r="AM667" s="7"/>
      <c r="AN667" s="7"/>
      <c r="AO667" s="7"/>
      <c r="AP667" s="7"/>
      <c r="AQ667" s="7"/>
      <c r="AR667" s="7"/>
      <c r="AS667" s="7"/>
      <c r="AT667" s="7"/>
      <c r="AU667" s="7"/>
      <c r="AV667" s="7">
        <v>5</v>
      </c>
      <c r="AW667" s="7">
        <v>1.2999999999999999E-2</v>
      </c>
      <c r="AX667" s="7"/>
      <c r="AY667" s="7"/>
      <c r="AZ667" s="7"/>
      <c r="BA667" s="7"/>
      <c r="BB667" s="7"/>
      <c r="BC667" s="7"/>
      <c r="BD667" s="7"/>
      <c r="BE667" s="7"/>
      <c r="BF667" s="7"/>
      <c r="BG667" s="7"/>
      <c r="BH667" s="7"/>
      <c r="BI667" s="7"/>
      <c r="BJ667" s="7"/>
      <c r="BK667" s="7"/>
      <c r="BL667" s="7"/>
      <c r="BM667" s="7"/>
      <c r="BN667" s="7"/>
      <c r="BO667" s="7"/>
      <c r="BP667" s="7"/>
      <c r="BQ667" s="7"/>
      <c r="BR667" s="7"/>
      <c r="BS667" s="7"/>
      <c r="BT667" s="7"/>
      <c r="BU667" s="7"/>
      <c r="BV667" s="7">
        <v>1.2999999999999999E-2</v>
      </c>
      <c r="BW667" t="s">
        <v>840</v>
      </c>
      <c r="BX667" t="str">
        <f t="shared" si="228"/>
        <v>15</v>
      </c>
      <c r="BY667" t="str">
        <f t="shared" si="229"/>
        <v>4</v>
      </c>
      <c r="BZ667" t="str">
        <f t="shared" si="230"/>
        <v>2021</v>
      </c>
      <c r="CA667" s="5">
        <f t="shared" si="239"/>
        <v>44301</v>
      </c>
      <c r="CB667">
        <v>105</v>
      </c>
      <c r="CC667" s="7">
        <v>8</v>
      </c>
      <c r="CE667">
        <f t="shared" si="241"/>
        <v>1.8848700967906264</v>
      </c>
      <c r="CF667">
        <f t="shared" si="242"/>
        <v>2.459016393442623</v>
      </c>
      <c r="CG667">
        <f t="shared" si="243"/>
        <v>2.5065274151436032E-2</v>
      </c>
      <c r="CH667">
        <f t="shared" si="244"/>
        <v>4.931794333683106</v>
      </c>
      <c r="CI667">
        <f t="shared" si="245"/>
        <v>1.1250000000000002</v>
      </c>
      <c r="CJ667" s="1">
        <f t="shared" si="246"/>
        <v>1.4500000000000002</v>
      </c>
      <c r="CK667" s="7" t="s">
        <v>142</v>
      </c>
      <c r="CL667" s="7">
        <v>2</v>
      </c>
      <c r="CM667" s="7">
        <v>0</v>
      </c>
      <c r="CN667" s="7">
        <v>21</v>
      </c>
      <c r="CO667" s="7">
        <v>5</v>
      </c>
      <c r="CP667" s="7">
        <v>0</v>
      </c>
      <c r="CQ667" s="12">
        <v>3.2000000000000002E-3</v>
      </c>
      <c r="CR667">
        <f>CQ667/(H667-I667-J667-N667)*1000</f>
        <v>0.88963024742841257</v>
      </c>
      <c r="CS667">
        <v>8.6969999999999992</v>
      </c>
      <c r="CT667">
        <v>82.968396271309388</v>
      </c>
      <c r="CU667">
        <v>122.75375570168104</v>
      </c>
    </row>
    <row r="668" spans="1:99" ht="32" x14ac:dyDescent="0.2">
      <c r="A668" s="7" t="s">
        <v>852</v>
      </c>
      <c r="B668" s="7" t="s">
        <v>60</v>
      </c>
      <c r="C668" t="str">
        <f t="shared" si="235"/>
        <v>I</v>
      </c>
      <c r="D668" t="str">
        <f t="shared" si="236"/>
        <v>IMM</v>
      </c>
      <c r="E668" t="str">
        <f t="shared" si="237"/>
        <v>G</v>
      </c>
      <c r="F668" s="7">
        <v>63</v>
      </c>
      <c r="G668" s="7">
        <v>60</v>
      </c>
      <c r="H668" s="7">
        <v>4.0060000000000002</v>
      </c>
      <c r="I668" s="7">
        <v>0.112</v>
      </c>
      <c r="J668" s="7">
        <v>8.4000000000000005E-2</v>
      </c>
      <c r="K668" s="7" t="s">
        <v>786</v>
      </c>
      <c r="L668" t="str">
        <f t="shared" si="238"/>
        <v>F</v>
      </c>
      <c r="M668" s="7">
        <v>23</v>
      </c>
      <c r="N668" s="7">
        <v>0.28899999999999998</v>
      </c>
      <c r="O668" s="7">
        <v>0.192</v>
      </c>
      <c r="P668" s="7" t="s">
        <v>874</v>
      </c>
      <c r="Q668" t="str">
        <f t="shared" si="240"/>
        <v>F</v>
      </c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>
        <v>2</v>
      </c>
      <c r="AG668" s="7">
        <v>1.0999999999999999E-2</v>
      </c>
      <c r="AH668" s="7"/>
      <c r="AI668" s="7"/>
      <c r="AJ668" s="7"/>
      <c r="AK668" s="7"/>
      <c r="AL668" s="7"/>
      <c r="AM668" s="7"/>
      <c r="AN668" s="7"/>
      <c r="AO668" s="7"/>
      <c r="AP668" s="7"/>
      <c r="AQ668" s="7"/>
      <c r="AR668" s="7"/>
      <c r="AS668" s="7"/>
      <c r="AT668" s="7"/>
      <c r="AU668" s="7"/>
      <c r="AV668" s="7">
        <v>15</v>
      </c>
      <c r="AW668" s="7">
        <v>5.2999999999999999E-2</v>
      </c>
      <c r="AX668" s="7"/>
      <c r="AY668" s="7"/>
      <c r="AZ668" s="7"/>
      <c r="BA668" s="7"/>
      <c r="BB668" s="7"/>
      <c r="BC668" s="7"/>
      <c r="BD668" s="7"/>
      <c r="BE668" s="7"/>
      <c r="BF668" s="7"/>
      <c r="BG668" s="7"/>
      <c r="BH668" s="7"/>
      <c r="BI668" s="7"/>
      <c r="BJ668" s="7"/>
      <c r="BK668" s="7"/>
      <c r="BL668" s="7"/>
      <c r="BM668" s="7"/>
      <c r="BN668" s="7"/>
      <c r="BO668" s="7"/>
      <c r="BP668" s="7"/>
      <c r="BQ668" s="7"/>
      <c r="BR668" s="7"/>
      <c r="BS668" s="7"/>
      <c r="BT668" s="7"/>
      <c r="BU668" s="7"/>
      <c r="BV668" s="7">
        <v>6.4000000000000001E-2</v>
      </c>
      <c r="BW668" t="s">
        <v>840</v>
      </c>
      <c r="BX668" t="str">
        <f t="shared" si="228"/>
        <v>15</v>
      </c>
      <c r="BY668" t="str">
        <f t="shared" si="229"/>
        <v>4</v>
      </c>
      <c r="BZ668" t="str">
        <f t="shared" si="230"/>
        <v>2021</v>
      </c>
      <c r="CA668" s="5">
        <f t="shared" si="239"/>
        <v>44301</v>
      </c>
      <c r="CB668">
        <v>105</v>
      </c>
      <c r="CC668" s="7">
        <v>8</v>
      </c>
      <c r="CE668">
        <f t="shared" si="241"/>
        <v>2.1417644059153496</v>
      </c>
      <c r="CF668">
        <f t="shared" si="242"/>
        <v>2.8762198253723676</v>
      </c>
      <c r="CG668">
        <f t="shared" si="243"/>
        <v>2.9396325459317585E-2</v>
      </c>
      <c r="CH668">
        <f t="shared" si="244"/>
        <v>5.0340849501835345</v>
      </c>
      <c r="CI668">
        <f t="shared" si="245"/>
        <v>2.4213679480778825</v>
      </c>
      <c r="CJ668" s="1">
        <f t="shared" si="246"/>
        <v>4.0189715426859705</v>
      </c>
      <c r="CK668" s="7" t="s">
        <v>142</v>
      </c>
      <c r="CL668" s="7">
        <v>3</v>
      </c>
      <c r="CM668" s="7">
        <v>0</v>
      </c>
      <c r="CN668" s="7">
        <v>132</v>
      </c>
      <c r="CO668" s="7">
        <v>33</v>
      </c>
      <c r="CP668" s="7">
        <v>0</v>
      </c>
      <c r="CQ668" s="12">
        <v>5.8999999999999999E-3</v>
      </c>
      <c r="CR668">
        <f>CQ668/(H668-I668-J668-N668)*1000</f>
        <v>1.6756603237716559</v>
      </c>
      <c r="CS668">
        <v>9.2759999999999998</v>
      </c>
      <c r="CT668">
        <v>79.574339666709164</v>
      </c>
      <c r="CU668">
        <v>114.75063119511239</v>
      </c>
    </row>
    <row r="669" spans="1:99" x14ac:dyDescent="0.2">
      <c r="A669" s="7" t="s">
        <v>853</v>
      </c>
      <c r="B669" s="7" t="s">
        <v>60</v>
      </c>
      <c r="C669" t="str">
        <f t="shared" si="235"/>
        <v>I</v>
      </c>
      <c r="D669" t="str">
        <f t="shared" si="236"/>
        <v>S</v>
      </c>
      <c r="E669" t="str">
        <f t="shared" si="237"/>
        <v>G</v>
      </c>
      <c r="F669" s="7">
        <v>65</v>
      </c>
      <c r="G669" s="7">
        <v>60</v>
      </c>
      <c r="H669" s="7">
        <v>3.8090000000000002</v>
      </c>
      <c r="I669" s="7">
        <v>7.0999999999999994E-2</v>
      </c>
      <c r="J669" s="7">
        <v>7.2999999999999995E-2</v>
      </c>
      <c r="K669" s="7" t="s">
        <v>786</v>
      </c>
      <c r="L669" t="str">
        <f t="shared" si="238"/>
        <v>F</v>
      </c>
      <c r="M669" s="7">
        <v>23</v>
      </c>
      <c r="N669" s="7">
        <v>0.18099999999999999</v>
      </c>
      <c r="O669" s="7">
        <v>0.15</v>
      </c>
      <c r="P669" s="7" t="s">
        <v>875</v>
      </c>
      <c r="Q669" t="str">
        <f t="shared" si="240"/>
        <v>F</v>
      </c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  <c r="AL669" s="7"/>
      <c r="AM669" s="7"/>
      <c r="AN669" s="7"/>
      <c r="AO669" s="7">
        <v>8.0000000000000002E-3</v>
      </c>
      <c r="AP669" s="7"/>
      <c r="AQ669" s="7"/>
      <c r="AR669" s="7"/>
      <c r="AS669" s="7"/>
      <c r="AT669" s="7"/>
      <c r="AU669" s="7"/>
      <c r="AV669" s="7"/>
      <c r="AW669" s="7"/>
      <c r="AX669" s="7"/>
      <c r="AY669" s="7"/>
      <c r="AZ669" s="7"/>
      <c r="BA669" s="7"/>
      <c r="BB669" s="7"/>
      <c r="BC669" s="7"/>
      <c r="BD669" s="7"/>
      <c r="BE669" s="7"/>
      <c r="BF669" s="7"/>
      <c r="BG669" s="7"/>
      <c r="BH669" s="7"/>
      <c r="BI669" s="7"/>
      <c r="BJ669" s="7"/>
      <c r="BK669" s="7"/>
      <c r="BL669" s="7"/>
      <c r="BM669" s="7"/>
      <c r="BN669" s="7"/>
      <c r="BO669" s="7"/>
      <c r="BP669" s="7"/>
      <c r="BQ669" s="7"/>
      <c r="BR669" s="7"/>
      <c r="BS669" s="7"/>
      <c r="BT669" s="7"/>
      <c r="BU669" s="7"/>
      <c r="BV669" s="7">
        <v>8.0000000000000002E-3</v>
      </c>
      <c r="BW669" t="s">
        <v>840</v>
      </c>
      <c r="BX669" t="str">
        <f t="shared" si="228"/>
        <v>15</v>
      </c>
      <c r="BY669" t="str">
        <f t="shared" si="229"/>
        <v>4</v>
      </c>
      <c r="BZ669" t="str">
        <f t="shared" si="230"/>
        <v>2021</v>
      </c>
      <c r="CA669" s="5">
        <f t="shared" si="239"/>
        <v>44301</v>
      </c>
      <c r="CB669">
        <v>105</v>
      </c>
      <c r="CC669" s="7">
        <v>8</v>
      </c>
      <c r="CE669">
        <f t="shared" si="241"/>
        <v>1.9539614561027836</v>
      </c>
      <c r="CF669">
        <f t="shared" si="242"/>
        <v>1.8994114499732477</v>
      </c>
      <c r="CG669">
        <f t="shared" si="243"/>
        <v>1.937244201909959E-2</v>
      </c>
      <c r="CH669">
        <f t="shared" si="244"/>
        <v>4.0994807324405569</v>
      </c>
      <c r="CI669">
        <f t="shared" si="245"/>
        <v>0.81386190601207653</v>
      </c>
      <c r="CJ669" s="1">
        <f t="shared" si="246"/>
        <v>1.0238907849829351</v>
      </c>
      <c r="CK669" s="7" t="s">
        <v>142</v>
      </c>
      <c r="CL669" s="7">
        <v>2</v>
      </c>
      <c r="CM669" s="7"/>
      <c r="CN669" s="7"/>
      <c r="CO669" s="7"/>
      <c r="CP669" s="7"/>
    </row>
    <row r="670" spans="1:99" x14ac:dyDescent="0.2">
      <c r="A670" s="7" t="s">
        <v>962</v>
      </c>
      <c r="B670" s="7" t="s">
        <v>60</v>
      </c>
      <c r="C670" t="str">
        <f t="shared" si="235"/>
        <v>I</v>
      </c>
      <c r="D670" t="str">
        <f t="shared" si="236"/>
        <v>B</v>
      </c>
      <c r="E670" t="str">
        <f t="shared" si="237"/>
        <v>N</v>
      </c>
      <c r="F670" s="7">
        <v>146</v>
      </c>
      <c r="G670" s="7">
        <v>139</v>
      </c>
      <c r="H670" s="7">
        <v>61.750999999999998</v>
      </c>
      <c r="I670" s="7">
        <v>1.627</v>
      </c>
      <c r="J670" s="7">
        <v>1.1120000000000001</v>
      </c>
      <c r="K670" s="7" t="s">
        <v>867</v>
      </c>
      <c r="L670" t="str">
        <f t="shared" si="238"/>
        <v>F</v>
      </c>
      <c r="M670" s="7">
        <v>30</v>
      </c>
      <c r="N670" s="7">
        <v>6.1459999999999999</v>
      </c>
      <c r="O670" s="7">
        <v>4.5190000000000001</v>
      </c>
      <c r="P670" s="7" t="s">
        <v>987</v>
      </c>
      <c r="Q670" t="str">
        <f t="shared" si="240"/>
        <v>F</v>
      </c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  <c r="AL670" s="7"/>
      <c r="AM670" s="7"/>
      <c r="AN670" s="7"/>
      <c r="AO670" s="7"/>
      <c r="AP670" s="7"/>
      <c r="AQ670" s="7"/>
      <c r="AR670" s="7"/>
      <c r="AS670" s="7"/>
      <c r="AT670" s="7"/>
      <c r="AU670" s="7"/>
      <c r="AV670" s="7"/>
      <c r="AW670" s="7"/>
      <c r="AX670" s="7"/>
      <c r="AY670" s="7"/>
      <c r="AZ670" s="7"/>
      <c r="BA670" s="7"/>
      <c r="BB670" s="7"/>
      <c r="BC670" s="7"/>
      <c r="BD670" s="7"/>
      <c r="BE670" s="7"/>
      <c r="BF670" s="7"/>
      <c r="BG670" s="7"/>
      <c r="BH670" s="7">
        <v>2</v>
      </c>
      <c r="BI670" s="7">
        <v>0.69899999999999995</v>
      </c>
      <c r="BJ670" s="7"/>
      <c r="BK670" s="7"/>
      <c r="BL670" s="7"/>
      <c r="BM670" s="7"/>
      <c r="BN670" s="7"/>
      <c r="BO670" s="7"/>
      <c r="BP670" s="7"/>
      <c r="BQ670" s="7"/>
      <c r="BR670" s="7">
        <v>2</v>
      </c>
      <c r="BS670" s="7">
        <v>0.69899999999999995</v>
      </c>
      <c r="BT670" s="7"/>
      <c r="BU670" s="7"/>
      <c r="BV670">
        <f>0.699+0.46</f>
        <v>1.159</v>
      </c>
      <c r="BW670" s="5">
        <v>44321</v>
      </c>
      <c r="BX670">
        <v>5</v>
      </c>
      <c r="BY670">
        <v>5</v>
      </c>
      <c r="BZ670">
        <v>2021</v>
      </c>
      <c r="CA670" s="5">
        <f t="shared" si="239"/>
        <v>44321</v>
      </c>
      <c r="CB670">
        <v>125</v>
      </c>
      <c r="CC670" s="7">
        <v>9</v>
      </c>
      <c r="CE670">
        <f t="shared" si="241"/>
        <v>1.8338033278912913</v>
      </c>
      <c r="CF670">
        <f t="shared" si="242"/>
        <v>2.7060741134987696</v>
      </c>
      <c r="CG670">
        <f t="shared" si="243"/>
        <v>2.7570663593845322E-2</v>
      </c>
      <c r="CH670">
        <f t="shared" si="244"/>
        <v>7.8959323455409569</v>
      </c>
      <c r="CI670">
        <f t="shared" si="245"/>
        <v>2.6347751453417758</v>
      </c>
      <c r="CJ670" s="1">
        <f t="shared" si="246"/>
        <v>4.5116678272416637</v>
      </c>
      <c r="CK670" s="7" t="s">
        <v>142</v>
      </c>
      <c r="CL670" s="7">
        <v>2</v>
      </c>
      <c r="CM670" s="7"/>
      <c r="CN670" s="7"/>
      <c r="CO670" s="7"/>
      <c r="CP670" s="7"/>
    </row>
    <row r="671" spans="1:99" x14ac:dyDescent="0.2">
      <c r="A671" s="7" t="s">
        <v>963</v>
      </c>
      <c r="B671" s="7" t="s">
        <v>60</v>
      </c>
      <c r="C671" t="str">
        <f t="shared" si="235"/>
        <v>I</v>
      </c>
      <c r="D671" t="str">
        <f t="shared" si="236"/>
        <v>B</v>
      </c>
      <c r="E671" t="str">
        <f t="shared" si="237"/>
        <v>N</v>
      </c>
      <c r="F671" s="7">
        <v>124</v>
      </c>
      <c r="G671" s="7">
        <v>119</v>
      </c>
      <c r="H671" s="7">
        <v>38.53</v>
      </c>
      <c r="I671" s="7">
        <v>1.1080000000000001</v>
      </c>
      <c r="J671" s="7">
        <v>0.877</v>
      </c>
      <c r="K671" s="7" t="s">
        <v>867</v>
      </c>
      <c r="L671" t="str">
        <f t="shared" si="238"/>
        <v>F</v>
      </c>
      <c r="M671" s="7">
        <v>30</v>
      </c>
      <c r="N671" s="7">
        <v>3.032</v>
      </c>
      <c r="O671" s="7">
        <v>2.391</v>
      </c>
      <c r="P671" s="7" t="s">
        <v>988</v>
      </c>
      <c r="Q671" t="str">
        <f t="shared" si="240"/>
        <v>F</v>
      </c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>
        <v>1</v>
      </c>
      <c r="AK671" s="7">
        <v>0.04</v>
      </c>
      <c r="AL671" s="7"/>
      <c r="AM671" s="7"/>
      <c r="AN671" s="7"/>
      <c r="AO671" s="7"/>
      <c r="AP671" s="7"/>
      <c r="AQ671" s="7"/>
      <c r="AR671" s="7"/>
      <c r="AS671" s="7"/>
      <c r="AT671" s="7"/>
      <c r="AU671" s="7"/>
      <c r="AV671" s="7"/>
      <c r="AW671" s="7"/>
      <c r="AX671" s="7"/>
      <c r="AY671" s="7"/>
      <c r="AZ671" s="7"/>
      <c r="BA671" s="7"/>
      <c r="BB671" s="7">
        <v>2</v>
      </c>
      <c r="BC671" s="7">
        <v>0.27600000000000002</v>
      </c>
      <c r="BD671" s="7"/>
      <c r="BE671" s="7"/>
      <c r="BF671" s="7"/>
      <c r="BG671" s="7"/>
      <c r="BH671" s="7"/>
      <c r="BI671" s="7"/>
      <c r="BJ671" s="7"/>
      <c r="BK671" s="7"/>
      <c r="BL671" s="7"/>
      <c r="BM671" s="7"/>
      <c r="BN671" s="7"/>
      <c r="BO671" s="7"/>
      <c r="BP671" s="7"/>
      <c r="BQ671" s="7"/>
      <c r="BR671" s="7"/>
      <c r="BS671" s="7"/>
      <c r="BT671" s="7"/>
      <c r="BU671" s="7"/>
      <c r="BV671">
        <f>0.276+0.04</f>
        <v>0.316</v>
      </c>
      <c r="BW671" s="5">
        <v>44321</v>
      </c>
      <c r="BX671">
        <v>5</v>
      </c>
      <c r="BY671">
        <v>5</v>
      </c>
      <c r="BZ671">
        <v>2021</v>
      </c>
      <c r="CA671" s="5">
        <f t="shared" si="239"/>
        <v>44321</v>
      </c>
      <c r="CB671">
        <v>125</v>
      </c>
      <c r="CC671" s="7">
        <v>9</v>
      </c>
      <c r="CE671">
        <f t="shared" si="241"/>
        <v>2.3291636788569305</v>
      </c>
      <c r="CF671">
        <f t="shared" si="242"/>
        <v>2.9608251830474055</v>
      </c>
      <c r="CG671">
        <f t="shared" si="243"/>
        <v>3.0318785059515668E-2</v>
      </c>
      <c r="CH671">
        <f t="shared" si="244"/>
        <v>6.6161210880212513</v>
      </c>
      <c r="CI671">
        <f t="shared" si="245"/>
        <v>1.6636387230729304</v>
      </c>
      <c r="CJ671" s="1">
        <f t="shared" si="246"/>
        <v>2.4837788736049831</v>
      </c>
      <c r="CK671" s="7" t="s">
        <v>142</v>
      </c>
      <c r="CL671" s="7">
        <v>2</v>
      </c>
      <c r="CM671" s="7"/>
      <c r="CN671" s="7"/>
      <c r="CO671" s="7"/>
      <c r="CP671" s="7"/>
    </row>
    <row r="672" spans="1:99" x14ac:dyDescent="0.2">
      <c r="A672" s="7" t="s">
        <v>964</v>
      </c>
      <c r="B672" s="7" t="s">
        <v>60</v>
      </c>
      <c r="C672" t="str">
        <f t="shared" si="235"/>
        <v>I</v>
      </c>
      <c r="D672" t="str">
        <f t="shared" si="236"/>
        <v>B</v>
      </c>
      <c r="E672" t="str">
        <f t="shared" si="237"/>
        <v>N</v>
      </c>
      <c r="F672" s="7">
        <v>136</v>
      </c>
      <c r="G672" s="7">
        <v>130</v>
      </c>
      <c r="H672" s="7">
        <v>45.906999999999996</v>
      </c>
      <c r="I672" s="7">
        <v>1.8149999999999999</v>
      </c>
      <c r="J672" s="7">
        <v>1.409</v>
      </c>
      <c r="K672" s="7" t="s">
        <v>867</v>
      </c>
      <c r="L672" t="str">
        <f t="shared" si="238"/>
        <v>F</v>
      </c>
      <c r="M672" s="7">
        <v>30</v>
      </c>
      <c r="N672" s="7">
        <v>3.0609999999999999</v>
      </c>
      <c r="O672" s="7">
        <v>2.78</v>
      </c>
      <c r="P672" s="7" t="s">
        <v>989</v>
      </c>
      <c r="Q672" t="str">
        <f t="shared" si="240"/>
        <v>F</v>
      </c>
      <c r="R672" s="7"/>
      <c r="S672" s="7"/>
      <c r="T672" s="7"/>
      <c r="U672" s="7">
        <v>0.215</v>
      </c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  <c r="AL672" s="7"/>
      <c r="AM672" s="7"/>
      <c r="AN672" s="7"/>
      <c r="AO672" s="7"/>
      <c r="AP672" s="7"/>
      <c r="AQ672" s="7"/>
      <c r="AR672" s="7"/>
      <c r="AS672" s="7"/>
      <c r="AT672" s="7"/>
      <c r="AU672" s="7"/>
      <c r="AV672" s="7"/>
      <c r="AW672" s="7"/>
      <c r="AX672" s="7"/>
      <c r="AY672" s="7"/>
      <c r="AZ672" s="7"/>
      <c r="BA672" s="7"/>
      <c r="BB672" s="7"/>
      <c r="BC672" s="7"/>
      <c r="BD672" s="7"/>
      <c r="BE672" s="7"/>
      <c r="BF672" s="7"/>
      <c r="BG672" s="7"/>
      <c r="BH672" s="7"/>
      <c r="BI672" s="7"/>
      <c r="BJ672" s="7"/>
      <c r="BK672" s="7"/>
      <c r="BL672" s="7"/>
      <c r="BM672" s="7"/>
      <c r="BN672" s="7"/>
      <c r="BO672" s="7"/>
      <c r="BP672" s="7"/>
      <c r="BQ672" s="7"/>
      <c r="BR672" s="7"/>
      <c r="BS672" s="7"/>
      <c r="BT672" s="7"/>
      <c r="BU672" s="7"/>
      <c r="BV672" s="7">
        <v>0.215</v>
      </c>
      <c r="BW672" s="5">
        <v>44321</v>
      </c>
      <c r="BX672">
        <v>5</v>
      </c>
      <c r="BY672">
        <v>5</v>
      </c>
      <c r="BZ672">
        <v>2021</v>
      </c>
      <c r="CA672" s="5">
        <f t="shared" si="239"/>
        <v>44321</v>
      </c>
      <c r="CB672">
        <v>125</v>
      </c>
      <c r="CC672" s="7">
        <v>9</v>
      </c>
      <c r="CE672">
        <f t="shared" si="241"/>
        <v>3.1664344464919774</v>
      </c>
      <c r="CF672">
        <f t="shared" si="242"/>
        <v>4.1163929964619435</v>
      </c>
      <c r="CG672">
        <f t="shared" si="243"/>
        <v>4.2522784246655579E-2</v>
      </c>
      <c r="CH672">
        <f t="shared" si="244"/>
        <v>6.4460778630556268</v>
      </c>
      <c r="CI672">
        <f t="shared" si="245"/>
        <v>0.61210708606530628</v>
      </c>
      <c r="CJ672" s="1">
        <f t="shared" si="246"/>
        <v>1.0804452480013944</v>
      </c>
      <c r="CK672" s="7" t="s">
        <v>142</v>
      </c>
      <c r="CL672" s="7">
        <v>2</v>
      </c>
      <c r="CM672" s="7"/>
      <c r="CN672" s="7"/>
      <c r="CO672" s="7"/>
      <c r="CP672" s="7"/>
    </row>
    <row r="673" spans="1:96" x14ac:dyDescent="0.2">
      <c r="A673" s="7" t="s">
        <v>965</v>
      </c>
      <c r="B673" s="7" t="s">
        <v>60</v>
      </c>
      <c r="C673" t="str">
        <f t="shared" si="235"/>
        <v>I</v>
      </c>
      <c r="D673" t="str">
        <f t="shared" si="236"/>
        <v>B</v>
      </c>
      <c r="E673" t="str">
        <f t="shared" si="237"/>
        <v>N</v>
      </c>
      <c r="F673" s="7">
        <v>134</v>
      </c>
      <c r="G673" s="7">
        <v>128</v>
      </c>
      <c r="H673" s="7">
        <v>39.892000000000003</v>
      </c>
      <c r="I673" s="7">
        <v>0.84099999999999997</v>
      </c>
      <c r="J673" s="7">
        <v>0.85899999999999999</v>
      </c>
      <c r="K673" s="7" t="s">
        <v>867</v>
      </c>
      <c r="L673" t="str">
        <f t="shared" si="238"/>
        <v>F</v>
      </c>
      <c r="M673" s="7">
        <v>30</v>
      </c>
      <c r="N673" s="7">
        <v>2.1230000000000002</v>
      </c>
      <c r="O673" s="7">
        <v>2.0169999999999999</v>
      </c>
      <c r="P673" s="7" t="s">
        <v>36</v>
      </c>
      <c r="Q673" t="str">
        <f t="shared" si="240"/>
        <v>MT</v>
      </c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  <c r="AL673" s="7"/>
      <c r="AM673" s="7"/>
      <c r="AN673" s="7"/>
      <c r="AO673" s="7"/>
      <c r="AP673" s="7"/>
      <c r="AQ673" s="7"/>
      <c r="AR673" s="7"/>
      <c r="AS673" s="7"/>
      <c r="AT673" s="7"/>
      <c r="AU673" s="7"/>
      <c r="AV673" s="7"/>
      <c r="AW673" s="7"/>
      <c r="AX673" s="7"/>
      <c r="AY673" s="7"/>
      <c r="AZ673" s="7"/>
      <c r="BA673" s="7"/>
      <c r="BB673" s="7"/>
      <c r="BC673" s="7"/>
      <c r="BD673" s="7"/>
      <c r="BE673" s="7"/>
      <c r="BF673" s="7"/>
      <c r="BG673" s="7"/>
      <c r="BH673" s="7"/>
      <c r="BI673" s="7"/>
      <c r="BJ673" s="7"/>
      <c r="BK673" s="7"/>
      <c r="BL673" s="7"/>
      <c r="BM673" s="7"/>
      <c r="BN673" s="7"/>
      <c r="BO673" s="7"/>
      <c r="BP673" s="7"/>
      <c r="BQ673" s="7"/>
      <c r="BR673" s="7"/>
      <c r="BS673" s="7"/>
      <c r="BT673" s="7"/>
      <c r="BU673" s="7"/>
      <c r="BW673" s="5">
        <v>44321</v>
      </c>
      <c r="BX673">
        <v>5</v>
      </c>
      <c r="BY673">
        <v>5</v>
      </c>
      <c r="BZ673">
        <v>2021</v>
      </c>
      <c r="CA673" s="5">
        <f t="shared" si="239"/>
        <v>44321</v>
      </c>
      <c r="CB673">
        <v>125</v>
      </c>
      <c r="CC673" s="7">
        <v>9</v>
      </c>
      <c r="CE673">
        <f t="shared" si="241"/>
        <v>2.2007019701278407</v>
      </c>
      <c r="CF673">
        <f t="shared" si="242"/>
        <v>2.1535940180789224</v>
      </c>
      <c r="CG673">
        <f t="shared" si="243"/>
        <v>2.2020318391286132E-2</v>
      </c>
      <c r="CH673">
        <f t="shared" si="244"/>
        <v>5.3254125412541251</v>
      </c>
      <c r="CI673">
        <f t="shared" si="245"/>
        <v>0.26571743708011708</v>
      </c>
      <c r="CJ673" s="1">
        <f t="shared" si="246"/>
        <v>0.26571743708011708</v>
      </c>
      <c r="CK673" s="7" t="s">
        <v>142</v>
      </c>
      <c r="CL673" s="7">
        <v>3</v>
      </c>
      <c r="CM673" s="7"/>
      <c r="CN673" s="7"/>
      <c r="CO673" s="7"/>
      <c r="CP673" s="7"/>
    </row>
    <row r="674" spans="1:96" x14ac:dyDescent="0.2">
      <c r="A674" s="7" t="s">
        <v>966</v>
      </c>
      <c r="B674" s="7" t="s">
        <v>60</v>
      </c>
      <c r="C674" t="str">
        <f t="shared" si="235"/>
        <v>I</v>
      </c>
      <c r="D674" t="str">
        <f t="shared" si="236"/>
        <v>B</v>
      </c>
      <c r="E674" t="str">
        <f t="shared" si="237"/>
        <v>N</v>
      </c>
      <c r="F674" s="7">
        <v>114</v>
      </c>
      <c r="G674" s="7">
        <v>108</v>
      </c>
      <c r="H674" s="7">
        <v>27.562000000000001</v>
      </c>
      <c r="I674" s="7">
        <v>0.51400000000000001</v>
      </c>
      <c r="J674" s="7">
        <v>0.19400000000000001</v>
      </c>
      <c r="K674" s="7" t="s">
        <v>868</v>
      </c>
      <c r="L674" t="str">
        <f t="shared" si="238"/>
        <v>M</v>
      </c>
      <c r="M674" s="7">
        <v>30</v>
      </c>
      <c r="N674" s="7">
        <v>3.335</v>
      </c>
      <c r="O674" s="7">
        <v>1.6890000000000001</v>
      </c>
      <c r="P674" s="7" t="s">
        <v>990</v>
      </c>
      <c r="Q674" t="str">
        <f t="shared" si="240"/>
        <v>F</v>
      </c>
      <c r="R674" s="7"/>
      <c r="S674" s="7"/>
      <c r="T674" s="7"/>
      <c r="U674" s="7"/>
      <c r="V674" s="7">
        <v>1</v>
      </c>
      <c r="W674" s="7">
        <v>8.8999999999999996E-2</v>
      </c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  <c r="AL674" s="7"/>
      <c r="AM674" s="7"/>
      <c r="AN674" s="7"/>
      <c r="AO674" s="7"/>
      <c r="AP674" s="7"/>
      <c r="AQ674" s="7"/>
      <c r="AR674" s="7"/>
      <c r="AS674" s="7"/>
      <c r="AT674" s="7"/>
      <c r="AU674" s="7"/>
      <c r="AV674" s="7"/>
      <c r="AW674" s="7"/>
      <c r="AX674" s="7"/>
      <c r="AY674" s="7"/>
      <c r="AZ674" s="7"/>
      <c r="BA674" s="7"/>
      <c r="BB674" s="7"/>
      <c r="BC674" s="7"/>
      <c r="BD674" s="7"/>
      <c r="BE674" s="7"/>
      <c r="BF674" s="7"/>
      <c r="BG674" s="7"/>
      <c r="BH674" s="7"/>
      <c r="BI674" s="7"/>
      <c r="BJ674" s="7"/>
      <c r="BK674" s="7"/>
      <c r="BL674" s="7"/>
      <c r="BM674" s="7"/>
      <c r="BN674" s="7"/>
      <c r="BO674" s="7"/>
      <c r="BP674" s="7"/>
      <c r="BQ674" s="7"/>
      <c r="BR674" s="7">
        <v>2</v>
      </c>
      <c r="BS674" s="7">
        <v>1.2090000000000001</v>
      </c>
      <c r="BT674" s="7"/>
      <c r="BU674" s="7"/>
      <c r="BV674">
        <f>1.209+0.089</f>
        <v>1.298</v>
      </c>
      <c r="BW674" s="5">
        <v>44321</v>
      </c>
      <c r="BX674">
        <v>5</v>
      </c>
      <c r="BY674">
        <v>5</v>
      </c>
      <c r="BZ674">
        <v>2021</v>
      </c>
      <c r="CA674" s="5">
        <f t="shared" si="239"/>
        <v>44321</v>
      </c>
      <c r="CB674">
        <v>125</v>
      </c>
      <c r="CC674" s="7">
        <v>9</v>
      </c>
      <c r="CE674">
        <f t="shared" si="241"/>
        <v>0.70885705933937448</v>
      </c>
      <c r="CF674">
        <f t="shared" si="242"/>
        <v>1.9003253475303163</v>
      </c>
      <c r="CG674">
        <f t="shared" si="243"/>
        <v>1.9140537722499441E-2</v>
      </c>
      <c r="CH674">
        <f t="shared" si="244"/>
        <v>6.5280408147489659</v>
      </c>
      <c r="CI674">
        <f t="shared" si="245"/>
        <v>5.9719904215949491</v>
      </c>
      <c r="CJ674" s="1">
        <f t="shared" si="246"/>
        <v>10.681372904723894</v>
      </c>
      <c r="CK674" s="7" t="s">
        <v>142</v>
      </c>
      <c r="CL674" s="7">
        <v>3</v>
      </c>
      <c r="CM674" s="7"/>
      <c r="CN674" s="7"/>
      <c r="CO674" s="7"/>
      <c r="CP674" s="7"/>
    </row>
    <row r="675" spans="1:96" x14ac:dyDescent="0.2">
      <c r="A675" s="7" t="s">
        <v>967</v>
      </c>
      <c r="B675" s="7" t="s">
        <v>60</v>
      </c>
      <c r="C675" t="str">
        <f t="shared" si="235"/>
        <v>I</v>
      </c>
      <c r="D675" t="str">
        <f t="shared" si="236"/>
        <v>I</v>
      </c>
      <c r="E675" t="str">
        <f t="shared" si="237"/>
        <v>G</v>
      </c>
      <c r="F675" s="7">
        <v>93</v>
      </c>
      <c r="G675" s="7">
        <v>89</v>
      </c>
      <c r="H675" s="7">
        <v>12.808</v>
      </c>
      <c r="I675" s="7">
        <v>0.32700000000000001</v>
      </c>
      <c r="J675" s="7">
        <v>0.309</v>
      </c>
      <c r="K675" s="7" t="s">
        <v>867</v>
      </c>
      <c r="L675" t="str">
        <f t="shared" si="238"/>
        <v>F</v>
      </c>
      <c r="M675" s="7">
        <v>30</v>
      </c>
      <c r="N675" s="7">
        <v>0.68300000000000005</v>
      </c>
      <c r="P675" s="7" t="s">
        <v>991</v>
      </c>
      <c r="Q675" t="str">
        <f t="shared" si="240"/>
        <v>F</v>
      </c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7"/>
      <c r="AL675" s="7"/>
      <c r="AM675" s="7"/>
      <c r="AN675" s="7"/>
      <c r="AO675" s="7"/>
      <c r="AP675" s="7">
        <v>1</v>
      </c>
      <c r="AQ675" s="7">
        <v>2.3E-2</v>
      </c>
      <c r="AR675" s="7"/>
      <c r="AS675" s="7"/>
      <c r="AT675" s="7"/>
      <c r="AU675" s="7"/>
      <c r="AV675" s="7"/>
      <c r="AW675" s="7"/>
      <c r="AX675" s="7"/>
      <c r="AY675" s="7"/>
      <c r="AZ675" s="7"/>
      <c r="BA675" s="7"/>
      <c r="BB675" s="7"/>
      <c r="BC675" s="7"/>
      <c r="BD675" s="7"/>
      <c r="BE675" s="7"/>
      <c r="BF675" s="7"/>
      <c r="BG675" s="7"/>
      <c r="BH675" s="7"/>
      <c r="BI675" s="7"/>
      <c r="BJ675" s="7"/>
      <c r="BK675" s="7"/>
      <c r="BL675" s="7"/>
      <c r="BM675" s="7"/>
      <c r="BN675" s="7"/>
      <c r="BO675" s="7"/>
      <c r="BP675" s="7"/>
      <c r="BQ675" s="7"/>
      <c r="BR675" s="7"/>
      <c r="BS675" s="7"/>
      <c r="BT675" s="7"/>
      <c r="BU675" s="7"/>
      <c r="BV675">
        <v>2.3E-2</v>
      </c>
      <c r="BW675" s="5">
        <v>44321</v>
      </c>
      <c r="BX675">
        <v>5</v>
      </c>
      <c r="BY675">
        <v>5</v>
      </c>
      <c r="BZ675">
        <v>2021</v>
      </c>
      <c r="CA675" s="5">
        <f t="shared" si="239"/>
        <v>44321</v>
      </c>
      <c r="CB675">
        <v>125</v>
      </c>
      <c r="CC675" s="7">
        <v>9</v>
      </c>
      <c r="CE675">
        <f t="shared" si="241"/>
        <v>2.4721977758220657</v>
      </c>
      <c r="CF675">
        <f t="shared" si="242"/>
        <v>2.6199823732072751</v>
      </c>
      <c r="CG675">
        <f t="shared" si="243"/>
        <v>2.6864935918501479E-2</v>
      </c>
      <c r="CH675">
        <f t="shared" si="244"/>
        <v>0</v>
      </c>
      <c r="CI675">
        <f t="shared" si="245"/>
        <v>5.3326046221111811</v>
      </c>
      <c r="CJ675" s="1">
        <f t="shared" si="246"/>
        <v>5.5121798875702694</v>
      </c>
      <c r="CK675" s="7" t="s">
        <v>142</v>
      </c>
      <c r="CL675" s="7">
        <v>2</v>
      </c>
      <c r="CM675" s="7"/>
      <c r="CN675" s="7"/>
      <c r="CO675" s="7"/>
      <c r="CP675" s="7"/>
      <c r="CQ675" s="12">
        <v>6.5699999999999995E-2</v>
      </c>
      <c r="CR675">
        <f>CQ675/(H675-I675-J675-N675)*1000</f>
        <v>5.7185133606057956</v>
      </c>
    </row>
    <row r="676" spans="1:96" x14ac:dyDescent="0.2">
      <c r="A676" s="7" t="s">
        <v>968</v>
      </c>
      <c r="B676" s="7" t="s">
        <v>60</v>
      </c>
      <c r="C676" t="str">
        <f t="shared" si="235"/>
        <v>I</v>
      </c>
      <c r="D676" t="str">
        <f t="shared" si="236"/>
        <v>S</v>
      </c>
      <c r="E676" t="str">
        <f t="shared" si="237"/>
        <v>G</v>
      </c>
      <c r="F676" s="7">
        <v>81</v>
      </c>
      <c r="G676" s="7">
        <v>75</v>
      </c>
      <c r="H676" s="7">
        <v>8.5039999999999996</v>
      </c>
      <c r="I676" s="7">
        <v>0.20699999999999999</v>
      </c>
      <c r="J676" s="7">
        <v>0.125</v>
      </c>
      <c r="K676" s="7" t="s">
        <v>868</v>
      </c>
      <c r="L676" t="str">
        <f t="shared" si="238"/>
        <v>M</v>
      </c>
      <c r="M676" s="7">
        <v>30</v>
      </c>
      <c r="N676" s="7">
        <v>0.69299999999999995</v>
      </c>
      <c r="O676" s="7">
        <v>0.39800000000000002</v>
      </c>
      <c r="P676" s="7" t="s">
        <v>994</v>
      </c>
      <c r="Q676" t="str">
        <f t="shared" si="240"/>
        <v>F</v>
      </c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  <c r="AL676" s="7"/>
      <c r="AM676" s="7"/>
      <c r="AN676" s="7"/>
      <c r="AO676" s="7"/>
      <c r="AP676" s="7"/>
      <c r="AQ676" s="7"/>
      <c r="AR676" s="7"/>
      <c r="AS676" s="7"/>
      <c r="AT676" s="7"/>
      <c r="AU676" s="7"/>
      <c r="AV676" s="7">
        <v>8</v>
      </c>
      <c r="AW676" s="7">
        <v>6.8000000000000005E-2</v>
      </c>
      <c r="AX676" s="7"/>
      <c r="AY676" s="7"/>
      <c r="AZ676" s="7"/>
      <c r="BA676" s="7"/>
      <c r="BB676" s="7"/>
      <c r="BC676" s="7"/>
      <c r="BD676" s="7"/>
      <c r="BE676" s="7"/>
      <c r="BF676" s="7"/>
      <c r="BG676" s="7"/>
      <c r="BH676" s="7"/>
      <c r="BI676" s="7"/>
      <c r="BJ676" s="7"/>
      <c r="BK676" s="7"/>
      <c r="BL676" s="7"/>
      <c r="BM676" s="7"/>
      <c r="BN676" s="7"/>
      <c r="BO676" s="7"/>
      <c r="BP676" s="7"/>
      <c r="BQ676" s="7"/>
      <c r="BR676" s="7"/>
      <c r="BS676" s="7"/>
      <c r="BT676" s="7"/>
      <c r="BU676" s="7"/>
      <c r="BV676" s="7">
        <v>6.8000000000000005E-2</v>
      </c>
      <c r="BW676" s="5">
        <v>44321</v>
      </c>
      <c r="BX676">
        <v>5</v>
      </c>
      <c r="BY676">
        <v>5</v>
      </c>
      <c r="BZ676">
        <v>2021</v>
      </c>
      <c r="CA676" s="5">
        <f t="shared" si="239"/>
        <v>44321</v>
      </c>
      <c r="CB676">
        <v>125</v>
      </c>
      <c r="CC676" s="7">
        <v>9</v>
      </c>
      <c r="CE676">
        <f t="shared" si="241"/>
        <v>1.491824800095477</v>
      </c>
      <c r="CF676">
        <f t="shared" si="242"/>
        <v>2.4948776666264916</v>
      </c>
      <c r="CG676">
        <f t="shared" si="243"/>
        <v>2.5330396475770928E-2</v>
      </c>
      <c r="CH676">
        <f t="shared" si="244"/>
        <v>4.9099432519121642</v>
      </c>
      <c r="CI676">
        <f t="shared" si="245"/>
        <v>3.4689557855126991</v>
      </c>
      <c r="CJ676" s="1">
        <f t="shared" si="246"/>
        <v>4.2685794920037621</v>
      </c>
      <c r="CK676" s="7" t="s">
        <v>142</v>
      </c>
      <c r="CL676" s="7">
        <v>2</v>
      </c>
      <c r="CM676" s="7"/>
      <c r="CN676" s="7"/>
      <c r="CO676" s="7"/>
      <c r="CP676" s="7"/>
    </row>
    <row r="677" spans="1:96" x14ac:dyDescent="0.2">
      <c r="A677" s="7" t="s">
        <v>969</v>
      </c>
      <c r="B677" s="7" t="s">
        <v>60</v>
      </c>
      <c r="C677" t="str">
        <f t="shared" si="235"/>
        <v>I</v>
      </c>
      <c r="D677" t="str">
        <f t="shared" si="236"/>
        <v>S</v>
      </c>
      <c r="E677" t="str">
        <f t="shared" si="237"/>
        <v>G</v>
      </c>
      <c r="F677" s="7">
        <v>80</v>
      </c>
      <c r="G677" s="7">
        <v>75</v>
      </c>
      <c r="H677" s="7">
        <v>9.1989999999999998</v>
      </c>
      <c r="I677" s="7">
        <v>0.19800000000000001</v>
      </c>
      <c r="J677" s="7">
        <v>5.3999999999999999E-2</v>
      </c>
      <c r="K677" s="7" t="s">
        <v>868</v>
      </c>
      <c r="L677" t="str">
        <f t="shared" si="238"/>
        <v>M</v>
      </c>
      <c r="M677" s="7">
        <v>30</v>
      </c>
      <c r="N677" s="7">
        <v>0.68899999999999995</v>
      </c>
      <c r="O677" s="7">
        <v>0.51</v>
      </c>
      <c r="P677" s="7" t="s">
        <v>993</v>
      </c>
      <c r="Q677" t="str">
        <f t="shared" si="240"/>
        <v>F</v>
      </c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  <c r="AL677" s="7"/>
      <c r="AM677" s="7"/>
      <c r="AN677" s="7"/>
      <c r="AO677" s="7"/>
      <c r="AP677" s="7"/>
      <c r="AQ677" s="7"/>
      <c r="AR677" s="7"/>
      <c r="AS677" s="7"/>
      <c r="AT677" s="7"/>
      <c r="AU677" s="7"/>
      <c r="AV677" s="7">
        <v>13</v>
      </c>
      <c r="AW677" s="7">
        <v>0.14599999999999999</v>
      </c>
      <c r="AX677" s="7"/>
      <c r="AY677" s="7"/>
      <c r="AZ677" s="7"/>
      <c r="BA677" s="7"/>
      <c r="BB677" s="7"/>
      <c r="BC677" s="7"/>
      <c r="BD677" s="7"/>
      <c r="BE677" s="7"/>
      <c r="BF677" s="7"/>
      <c r="BG677" s="7"/>
      <c r="BH677" s="7"/>
      <c r="BI677" s="7"/>
      <c r="BJ677" s="7"/>
      <c r="BK677" s="7"/>
      <c r="BL677" s="7"/>
      <c r="BM677" s="7"/>
      <c r="BN677" s="7"/>
      <c r="BO677" s="7"/>
      <c r="BP677" s="7"/>
      <c r="BQ677" s="7"/>
      <c r="BR677" s="7"/>
      <c r="BS677" s="7"/>
      <c r="BT677" s="7"/>
      <c r="BU677" s="7"/>
      <c r="BV677" s="7">
        <v>0.14599999999999999</v>
      </c>
      <c r="BW677" s="5">
        <v>44321</v>
      </c>
      <c r="BX677">
        <v>5</v>
      </c>
      <c r="BY677">
        <v>5</v>
      </c>
      <c r="BZ677">
        <v>2021</v>
      </c>
      <c r="CA677" s="5">
        <f t="shared" si="239"/>
        <v>44321</v>
      </c>
      <c r="CB677">
        <v>125</v>
      </c>
      <c r="CC677" s="7">
        <v>9</v>
      </c>
      <c r="CE677">
        <f t="shared" si="241"/>
        <v>0.59048660470202297</v>
      </c>
      <c r="CF677">
        <f t="shared" si="242"/>
        <v>2.1997555827130322</v>
      </c>
      <c r="CG677">
        <f t="shared" si="243"/>
        <v>2.2130323013300552E-2</v>
      </c>
      <c r="CH677">
        <f t="shared" si="244"/>
        <v>5.8694901599723792</v>
      </c>
      <c r="CI677">
        <f t="shared" si="245"/>
        <v>1.9458636808348726</v>
      </c>
      <c r="CJ677" s="1">
        <f t="shared" si="246"/>
        <v>3.5329927165996295</v>
      </c>
      <c r="CK677" s="7" t="s">
        <v>142</v>
      </c>
      <c r="CL677" s="7">
        <v>3</v>
      </c>
      <c r="CM677" s="7"/>
      <c r="CN677" s="7"/>
      <c r="CO677" s="7"/>
      <c r="CP677" s="7"/>
    </row>
    <row r="678" spans="1:96" x14ac:dyDescent="0.2">
      <c r="A678" s="7" t="s">
        <v>970</v>
      </c>
      <c r="B678" s="7" t="s">
        <v>60</v>
      </c>
      <c r="C678" t="str">
        <f t="shared" si="235"/>
        <v>I</v>
      </c>
      <c r="D678" t="str">
        <f t="shared" si="236"/>
        <v>I</v>
      </c>
      <c r="E678" t="str">
        <f t="shared" si="237"/>
        <v>G</v>
      </c>
      <c r="F678" s="7">
        <v>87</v>
      </c>
      <c r="G678" s="7">
        <v>83</v>
      </c>
      <c r="H678" s="7">
        <v>10.349</v>
      </c>
      <c r="I678" s="7">
        <v>0.27500000000000002</v>
      </c>
      <c r="J678" s="7">
        <v>6.4000000000000001E-2</v>
      </c>
      <c r="K678" s="7" t="s">
        <v>868</v>
      </c>
      <c r="L678" t="str">
        <f t="shared" si="238"/>
        <v>M</v>
      </c>
      <c r="M678" s="7">
        <v>30</v>
      </c>
      <c r="N678" s="7">
        <v>0.70199999999999996</v>
      </c>
      <c r="O678" s="7">
        <v>0.623</v>
      </c>
      <c r="P678" s="7" t="s">
        <v>992</v>
      </c>
      <c r="Q678" t="str">
        <f t="shared" si="240"/>
        <v>F</v>
      </c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  <c r="AL678" s="7"/>
      <c r="AM678" s="7"/>
      <c r="AN678" s="7"/>
      <c r="AO678" s="7"/>
      <c r="AP678" s="7"/>
      <c r="AQ678" s="7"/>
      <c r="AR678" s="7"/>
      <c r="AS678" s="7"/>
      <c r="AT678" s="7"/>
      <c r="AU678" s="7"/>
      <c r="AV678" s="7">
        <v>8</v>
      </c>
      <c r="AW678" s="7">
        <v>5.1999999999999998E-2</v>
      </c>
      <c r="AX678" s="7"/>
      <c r="AY678" s="7"/>
      <c r="AZ678" s="7"/>
      <c r="BA678" s="7"/>
      <c r="BB678" s="7"/>
      <c r="BC678" s="7"/>
      <c r="BD678" s="7"/>
      <c r="BE678" s="7"/>
      <c r="BF678" s="7"/>
      <c r="BG678" s="7"/>
      <c r="BH678" s="7"/>
      <c r="BI678" s="7"/>
      <c r="BJ678" s="7"/>
      <c r="BK678" s="7"/>
      <c r="BL678" s="7"/>
      <c r="BM678" s="7"/>
      <c r="BN678" s="7"/>
      <c r="BO678" s="7"/>
      <c r="BP678" s="7"/>
      <c r="BQ678" s="7"/>
      <c r="BR678" s="7"/>
      <c r="BS678" s="7"/>
      <c r="BT678" s="7"/>
      <c r="BU678" s="7"/>
      <c r="BV678" s="7">
        <v>5.1999999999999998E-2</v>
      </c>
      <c r="BW678" s="5">
        <v>44321</v>
      </c>
      <c r="BX678">
        <v>5</v>
      </c>
      <c r="BY678">
        <v>5</v>
      </c>
      <c r="BZ678">
        <v>2021</v>
      </c>
      <c r="CA678" s="5">
        <f t="shared" si="239"/>
        <v>44321</v>
      </c>
      <c r="CB678">
        <v>125</v>
      </c>
      <c r="CC678" s="7">
        <v>9</v>
      </c>
      <c r="CE678">
        <f t="shared" si="241"/>
        <v>0.6222654350996597</v>
      </c>
      <c r="CF678">
        <f t="shared" si="242"/>
        <v>2.7297994838197344</v>
      </c>
      <c r="CG678">
        <f t="shared" si="243"/>
        <v>2.7472527472527476E-2</v>
      </c>
      <c r="CH678">
        <f t="shared" si="244"/>
        <v>6.4055110014394403</v>
      </c>
      <c r="CI678">
        <f t="shared" si="245"/>
        <v>0.7633587786259538</v>
      </c>
      <c r="CJ678" s="1">
        <f t="shared" si="246"/>
        <v>1.265822784810126</v>
      </c>
      <c r="CK678" s="7" t="s">
        <v>142</v>
      </c>
      <c r="CL678" s="7">
        <v>3</v>
      </c>
      <c r="CM678" s="7"/>
      <c r="CN678" s="7"/>
      <c r="CO678" s="7"/>
      <c r="CP678" s="7"/>
    </row>
    <row r="679" spans="1:96" x14ac:dyDescent="0.2">
      <c r="A679" s="7" t="s">
        <v>971</v>
      </c>
      <c r="B679" s="7" t="s">
        <v>60</v>
      </c>
      <c r="C679" t="str">
        <f t="shared" si="235"/>
        <v>I</v>
      </c>
      <c r="D679" t="str">
        <f t="shared" si="236"/>
        <v>S</v>
      </c>
      <c r="E679" t="str">
        <f t="shared" si="237"/>
        <v>G</v>
      </c>
      <c r="F679" s="7">
        <v>81</v>
      </c>
      <c r="G679" s="7">
        <v>76</v>
      </c>
      <c r="H679" s="7">
        <v>9.4640000000000004</v>
      </c>
      <c r="I679" s="7">
        <v>0.33</v>
      </c>
      <c r="J679" s="7">
        <v>0.25900000000000001</v>
      </c>
      <c r="K679" s="7" t="s">
        <v>867</v>
      </c>
      <c r="L679" t="str">
        <f t="shared" si="238"/>
        <v>F</v>
      </c>
      <c r="M679" s="7">
        <v>30</v>
      </c>
      <c r="N679" s="7">
        <v>0.65600000000000003</v>
      </c>
      <c r="O679" s="7">
        <v>0.55400000000000005</v>
      </c>
      <c r="P679" s="7" t="s">
        <v>995</v>
      </c>
      <c r="Q679" t="str">
        <f t="shared" si="240"/>
        <v>F</v>
      </c>
      <c r="R679" s="7"/>
      <c r="S679" s="7"/>
      <c r="T679" s="7"/>
      <c r="U679" s="7">
        <v>5.3999999999999999E-2</v>
      </c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7"/>
      <c r="AL679" s="7"/>
      <c r="AM679" s="7"/>
      <c r="AN679" s="7"/>
      <c r="AO679" s="7"/>
      <c r="AP679" s="7"/>
      <c r="AQ679" s="7"/>
      <c r="AR679" s="7"/>
      <c r="AS679" s="7"/>
      <c r="AT679" s="7"/>
      <c r="AU679" s="7"/>
      <c r="AV679" s="7">
        <v>6</v>
      </c>
      <c r="AW679" s="7">
        <v>1.4E-2</v>
      </c>
      <c r="AX679" s="7"/>
      <c r="AY679" s="7"/>
      <c r="AZ679" s="7"/>
      <c r="BA679" s="7"/>
      <c r="BB679" s="7"/>
      <c r="BC679" s="7"/>
      <c r="BD679" s="7"/>
      <c r="BE679" s="7"/>
      <c r="BF679" s="7"/>
      <c r="BG679" s="7"/>
      <c r="BH679" s="7"/>
      <c r="BI679" s="7"/>
      <c r="BJ679" s="7"/>
      <c r="BK679" s="7"/>
      <c r="BL679" s="7"/>
      <c r="BM679" s="7"/>
      <c r="BN679" s="7"/>
      <c r="BO679" s="7"/>
      <c r="BP679" s="7"/>
      <c r="BQ679" s="7"/>
      <c r="BR679" s="7"/>
      <c r="BS679" s="7"/>
      <c r="BT679" s="7"/>
      <c r="BU679" s="7"/>
      <c r="BV679">
        <f>0.014+0.054</f>
        <v>6.8000000000000005E-2</v>
      </c>
      <c r="BW679" s="5">
        <v>44321</v>
      </c>
      <c r="BX679">
        <v>5</v>
      </c>
      <c r="BY679">
        <v>5</v>
      </c>
      <c r="BZ679">
        <v>2021</v>
      </c>
      <c r="CA679" s="5">
        <f t="shared" si="239"/>
        <v>44321</v>
      </c>
      <c r="CB679">
        <v>125</v>
      </c>
      <c r="CC679" s="7">
        <v>9</v>
      </c>
      <c r="CE679">
        <f t="shared" si="241"/>
        <v>2.8136882129277567</v>
      </c>
      <c r="CF679">
        <f t="shared" si="242"/>
        <v>3.6128749726297351</v>
      </c>
      <c r="CG679">
        <f t="shared" si="243"/>
        <v>3.71830985915493E-2</v>
      </c>
      <c r="CH679">
        <f t="shared" si="244"/>
        <v>6.2177328843995516</v>
      </c>
      <c r="CI679">
        <f t="shared" si="245"/>
        <v>1.0777683854606928</v>
      </c>
      <c r="CJ679" s="1">
        <f t="shared" si="246"/>
        <v>1.7962806424344884</v>
      </c>
      <c r="CK679" s="7" t="s">
        <v>142</v>
      </c>
      <c r="CL679" s="7">
        <v>3</v>
      </c>
      <c r="CM679" s="7"/>
      <c r="CN679" s="7"/>
      <c r="CO679" s="7"/>
      <c r="CP679" s="7"/>
      <c r="CQ679" s="12">
        <v>7.1300000000000002E-2</v>
      </c>
      <c r="CR679">
        <f>CQ679/(H679-I679-J679-N679)*1000</f>
        <v>8.6750212921279974</v>
      </c>
    </row>
    <row r="680" spans="1:96" x14ac:dyDescent="0.2">
      <c r="A680" s="7" t="s">
        <v>972</v>
      </c>
      <c r="B680" s="7" t="s">
        <v>60</v>
      </c>
      <c r="C680" t="str">
        <f t="shared" si="235"/>
        <v>I</v>
      </c>
      <c r="D680" t="str">
        <f t="shared" si="236"/>
        <v>S</v>
      </c>
      <c r="E680" t="str">
        <f t="shared" si="237"/>
        <v>G</v>
      </c>
      <c r="F680" s="7">
        <v>79</v>
      </c>
      <c r="G680" s="7">
        <v>76</v>
      </c>
      <c r="H680" s="7">
        <v>7.3760000000000003</v>
      </c>
      <c r="I680" s="7">
        <v>0.192</v>
      </c>
      <c r="J680" s="7">
        <v>8.2000000000000003E-2</v>
      </c>
      <c r="K680" s="7" t="s">
        <v>868</v>
      </c>
      <c r="L680" t="str">
        <f t="shared" si="238"/>
        <v>M</v>
      </c>
      <c r="M680" s="7">
        <v>30</v>
      </c>
      <c r="N680" s="7">
        <v>0.36499999999999999</v>
      </c>
      <c r="O680" s="7">
        <v>0.36099999999999999</v>
      </c>
      <c r="P680" s="7" t="s">
        <v>36</v>
      </c>
      <c r="Q680" t="str">
        <f t="shared" si="240"/>
        <v>MT</v>
      </c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  <c r="AL680" s="7"/>
      <c r="AM680" s="7"/>
      <c r="AN680" s="7"/>
      <c r="AO680" s="7"/>
      <c r="AP680" s="7"/>
      <c r="AQ680" s="7"/>
      <c r="AR680" s="7"/>
      <c r="AS680" s="7"/>
      <c r="AT680" s="7"/>
      <c r="AU680" s="7"/>
      <c r="AV680" s="7"/>
      <c r="AW680" s="7"/>
      <c r="AX680" s="7"/>
      <c r="AY680" s="7"/>
      <c r="AZ680" s="7"/>
      <c r="BA680" s="7"/>
      <c r="BB680" s="7"/>
      <c r="BC680" s="7"/>
      <c r="BD680" s="7"/>
      <c r="BE680" s="7"/>
      <c r="BF680" s="7"/>
      <c r="BG680" s="7"/>
      <c r="BH680" s="7"/>
      <c r="BI680" s="7"/>
      <c r="BJ680" s="7"/>
      <c r="BK680" s="7"/>
      <c r="BL680" s="7"/>
      <c r="BM680" s="7"/>
      <c r="BN680" s="7"/>
      <c r="BO680" s="7"/>
      <c r="BP680" s="7"/>
      <c r="BQ680" s="7"/>
      <c r="BR680" s="7"/>
      <c r="BS680" s="7"/>
      <c r="BT680" s="7"/>
      <c r="BU680" s="7"/>
      <c r="BW680" s="5">
        <v>44321</v>
      </c>
      <c r="BX680">
        <v>5</v>
      </c>
      <c r="BY680">
        <v>5</v>
      </c>
      <c r="BZ680">
        <v>2021</v>
      </c>
      <c r="CA680" s="5">
        <f t="shared" si="239"/>
        <v>44321</v>
      </c>
      <c r="CB680">
        <v>125</v>
      </c>
      <c r="CC680" s="7">
        <v>9</v>
      </c>
      <c r="CE680">
        <f t="shared" si="241"/>
        <v>1.1242116808335618</v>
      </c>
      <c r="CF680">
        <f t="shared" si="242"/>
        <v>2.6726057906458798</v>
      </c>
      <c r="CG680">
        <f t="shared" si="243"/>
        <v>2.7034638130104195E-2</v>
      </c>
      <c r="CH680">
        <f t="shared" si="244"/>
        <v>5.1461154668567346</v>
      </c>
      <c r="CI680">
        <f t="shared" si="245"/>
        <v>5.4229934924078134E-2</v>
      </c>
      <c r="CJ680" s="1">
        <f t="shared" si="246"/>
        <v>5.4229934924078134E-2</v>
      </c>
      <c r="CK680" s="7" t="s">
        <v>142</v>
      </c>
      <c r="CL680" s="7">
        <v>2</v>
      </c>
      <c r="CM680" s="7"/>
      <c r="CN680" s="7"/>
      <c r="CO680" s="7"/>
      <c r="CP680" s="7"/>
    </row>
    <row r="681" spans="1:96" ht="32" x14ac:dyDescent="0.2">
      <c r="A681" s="7" t="s">
        <v>973</v>
      </c>
      <c r="B681" s="7" t="s">
        <v>60</v>
      </c>
      <c r="C681" t="str">
        <f t="shared" si="235"/>
        <v>I</v>
      </c>
      <c r="D681" t="str">
        <f t="shared" si="236"/>
        <v>I</v>
      </c>
      <c r="E681" t="str">
        <f t="shared" si="237"/>
        <v>G</v>
      </c>
      <c r="F681" s="7">
        <v>88</v>
      </c>
      <c r="G681" s="7">
        <v>84</v>
      </c>
      <c r="H681" s="7">
        <v>13.343</v>
      </c>
      <c r="I681" s="7">
        <v>0.29899999999999999</v>
      </c>
      <c r="J681" s="7">
        <v>0.23799999999999999</v>
      </c>
      <c r="K681" s="7" t="s">
        <v>868</v>
      </c>
      <c r="L681" t="str">
        <f t="shared" si="238"/>
        <v>M</v>
      </c>
      <c r="M681" s="7">
        <v>30</v>
      </c>
      <c r="N681" s="7">
        <v>1.0900000000000001</v>
      </c>
      <c r="O681" s="7">
        <v>0.97599999999999998</v>
      </c>
      <c r="P681" s="7" t="s">
        <v>996</v>
      </c>
      <c r="Q681" t="str">
        <f t="shared" si="240"/>
        <v>F</v>
      </c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>
        <v>1</v>
      </c>
      <c r="AK681" s="7">
        <v>3.0000000000000001E-3</v>
      </c>
      <c r="AL681" s="7"/>
      <c r="AM681" s="7"/>
      <c r="AN681" s="7"/>
      <c r="AO681" s="7"/>
      <c r="AP681" s="7"/>
      <c r="AQ681" s="7"/>
      <c r="AR681" s="7"/>
      <c r="AS681" s="7"/>
      <c r="AT681" s="7"/>
      <c r="AU681" s="7"/>
      <c r="AV681" s="7">
        <v>20</v>
      </c>
      <c r="AW681" s="7">
        <v>6.4000000000000001E-2</v>
      </c>
      <c r="AX681" s="7"/>
      <c r="AY681" s="7"/>
      <c r="AZ681" s="7"/>
      <c r="BA681" s="7"/>
      <c r="BB681" s="7"/>
      <c r="BC681" s="7"/>
      <c r="BD681" s="7"/>
      <c r="BE681" s="7"/>
      <c r="BF681" s="7"/>
      <c r="BG681" s="7"/>
      <c r="BH681" s="7"/>
      <c r="BI681" s="7"/>
      <c r="BJ681" s="7"/>
      <c r="BK681" s="7"/>
      <c r="BL681" s="7"/>
      <c r="BM681" s="7"/>
      <c r="BN681" s="7"/>
      <c r="BO681" s="7"/>
      <c r="BP681" s="7"/>
      <c r="BQ681" s="7"/>
      <c r="BR681" s="7"/>
      <c r="BS681" s="7"/>
      <c r="BT681" s="7"/>
      <c r="BU681" s="7"/>
      <c r="BV681">
        <f>0.064+0.003</f>
        <v>6.7000000000000004E-2</v>
      </c>
      <c r="BW681" s="5">
        <v>44321</v>
      </c>
      <c r="BX681">
        <v>5</v>
      </c>
      <c r="BY681">
        <v>5</v>
      </c>
      <c r="BZ681">
        <v>2021</v>
      </c>
      <c r="CA681" s="5">
        <f t="shared" si="239"/>
        <v>44321</v>
      </c>
      <c r="CB681">
        <v>125</v>
      </c>
      <c r="CC681" s="7">
        <v>9</v>
      </c>
      <c r="CD681" t="s">
        <v>997</v>
      </c>
      <c r="CE681">
        <f t="shared" si="241"/>
        <v>1.8161007249141548</v>
      </c>
      <c r="CF681">
        <f t="shared" si="242"/>
        <v>2.2922416436675865</v>
      </c>
      <c r="CG681">
        <f t="shared" si="243"/>
        <v>2.3348430423239103E-2</v>
      </c>
      <c r="CH681">
        <f t="shared" si="244"/>
        <v>7.8919705668310813</v>
      </c>
      <c r="CI681">
        <f t="shared" si="245"/>
        <v>0.85438057408378998</v>
      </c>
      <c r="CJ681" s="1">
        <f t="shared" si="246"/>
        <v>1.3565165255189995</v>
      </c>
      <c r="CK681" s="7" t="s">
        <v>142</v>
      </c>
      <c r="CL681" s="7">
        <v>3</v>
      </c>
      <c r="CM681" s="7"/>
      <c r="CN681" s="7"/>
      <c r="CO681" s="7"/>
      <c r="CP681" s="7"/>
    </row>
    <row r="682" spans="1:96" x14ac:dyDescent="0.2">
      <c r="A682" s="7" t="s">
        <v>974</v>
      </c>
      <c r="B682" s="7" t="s">
        <v>60</v>
      </c>
      <c r="C682" t="str">
        <f t="shared" si="235"/>
        <v>I</v>
      </c>
      <c r="D682" t="str">
        <f t="shared" si="236"/>
        <v>S</v>
      </c>
      <c r="E682" t="str">
        <f t="shared" si="237"/>
        <v>G</v>
      </c>
      <c r="F682" s="7">
        <v>80</v>
      </c>
      <c r="G682" s="7">
        <v>76</v>
      </c>
      <c r="H682" s="7">
        <v>8.5990000000000002</v>
      </c>
      <c r="I682" s="7">
        <v>0.255</v>
      </c>
      <c r="J682" s="7">
        <v>0.28799999999999998</v>
      </c>
      <c r="K682" s="7" t="s">
        <v>867</v>
      </c>
      <c r="L682" t="str">
        <f t="shared" si="238"/>
        <v>F</v>
      </c>
      <c r="M682" s="7">
        <v>30</v>
      </c>
      <c r="N682" s="7">
        <v>0.40600000000000003</v>
      </c>
      <c r="O682" s="7">
        <v>0.39200000000000002</v>
      </c>
      <c r="P682" s="7" t="s">
        <v>36</v>
      </c>
      <c r="Q682" t="str">
        <f t="shared" si="240"/>
        <v>MT</v>
      </c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  <c r="AL682" s="7"/>
      <c r="AM682" s="7"/>
      <c r="AN682" s="7"/>
      <c r="AO682" s="7"/>
      <c r="AP682" s="7"/>
      <c r="AQ682" s="7"/>
      <c r="AR682" s="7"/>
      <c r="AS682" s="7"/>
      <c r="AT682" s="7"/>
      <c r="AU682" s="7"/>
      <c r="AV682" s="7"/>
      <c r="AW682" s="7"/>
      <c r="AX682" s="7"/>
      <c r="AY682" s="7"/>
      <c r="AZ682" s="7"/>
      <c r="BA682" s="7"/>
      <c r="BB682" s="7"/>
      <c r="BC682" s="7"/>
      <c r="BD682" s="7"/>
      <c r="BE682" s="7"/>
      <c r="BF682" s="7"/>
      <c r="BG682" s="7"/>
      <c r="BH682" s="7"/>
      <c r="BI682" s="7"/>
      <c r="BJ682" s="7"/>
      <c r="BK682" s="7"/>
      <c r="BL682" s="7"/>
      <c r="BM682" s="7"/>
      <c r="BN682" s="7"/>
      <c r="BO682" s="7"/>
      <c r="BP682" s="7"/>
      <c r="BQ682" s="7"/>
      <c r="BR682" s="7"/>
      <c r="BS682" s="7"/>
      <c r="BT682" s="7"/>
      <c r="BU682" s="7"/>
      <c r="BW682" s="5">
        <v>44321</v>
      </c>
      <c r="BX682">
        <v>5</v>
      </c>
      <c r="BY682">
        <v>5</v>
      </c>
      <c r="BZ682">
        <v>2021</v>
      </c>
      <c r="CA682" s="5">
        <f t="shared" si="239"/>
        <v>44321</v>
      </c>
      <c r="CB682">
        <v>125</v>
      </c>
      <c r="CC682" s="7">
        <v>9</v>
      </c>
      <c r="CE682">
        <f t="shared" si="241"/>
        <v>3.4652869690771264</v>
      </c>
      <c r="CF682">
        <f t="shared" si="242"/>
        <v>3.0560882070949189</v>
      </c>
      <c r="CG682">
        <f t="shared" si="243"/>
        <v>3.1653426017874881E-2</v>
      </c>
      <c r="CH682">
        <f t="shared" si="244"/>
        <v>4.7764103813817469</v>
      </c>
      <c r="CI682">
        <f t="shared" si="245"/>
        <v>0.16280962902663115</v>
      </c>
      <c r="CJ682" s="1">
        <f t="shared" si="246"/>
        <v>0.16280962902663115</v>
      </c>
      <c r="CK682" s="7" t="s">
        <v>142</v>
      </c>
      <c r="CQ682">
        <v>3.9300000000000002E-2</v>
      </c>
      <c r="CR682">
        <f>CQ682/(H682-I682-J682-N682)*1000</f>
        <v>5.1372549019607847</v>
      </c>
    </row>
    <row r="683" spans="1:96" x14ac:dyDescent="0.2">
      <c r="A683" s="7" t="s">
        <v>998</v>
      </c>
      <c r="B683" s="7" t="s">
        <v>60</v>
      </c>
      <c r="C683" t="str">
        <f t="shared" si="235"/>
        <v>I</v>
      </c>
      <c r="D683" t="str">
        <f t="shared" si="236"/>
        <v>S</v>
      </c>
      <c r="E683" t="str">
        <f t="shared" si="237"/>
        <v>G</v>
      </c>
      <c r="F683" s="7">
        <v>81</v>
      </c>
      <c r="G683" s="7">
        <v>76</v>
      </c>
      <c r="H683" s="7">
        <v>8.4760000000000009</v>
      </c>
      <c r="I683" s="7">
        <v>0.18</v>
      </c>
      <c r="J683" s="7">
        <v>8.2000000000000003E-2</v>
      </c>
      <c r="K683" s="7" t="s">
        <v>868</v>
      </c>
      <c r="L683" t="str">
        <f t="shared" si="238"/>
        <v>M</v>
      </c>
      <c r="M683" s="7">
        <v>30</v>
      </c>
      <c r="N683" s="7">
        <v>0.49</v>
      </c>
      <c r="O683" s="7">
        <v>0.41499999999999998</v>
      </c>
      <c r="P683" s="7" t="s">
        <v>1009</v>
      </c>
      <c r="Q683" t="str">
        <f t="shared" si="240"/>
        <v>F</v>
      </c>
      <c r="R683" s="7"/>
      <c r="S683" s="7"/>
      <c r="T683" s="7"/>
      <c r="U683" s="7">
        <v>5.3999999999999999E-2</v>
      </c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7"/>
      <c r="AL683" s="7"/>
      <c r="AM683" s="7"/>
      <c r="AN683" s="7"/>
      <c r="AO683" s="7"/>
      <c r="AP683" s="7"/>
      <c r="AQ683" s="7"/>
      <c r="AR683" s="7"/>
      <c r="AS683" s="7"/>
      <c r="AT683" s="7"/>
      <c r="AU683" s="7"/>
      <c r="AV683" s="7"/>
      <c r="AW683" s="7"/>
      <c r="AX683" s="7"/>
      <c r="AY683" s="7"/>
      <c r="AZ683" s="7"/>
      <c r="BA683" s="7"/>
      <c r="BB683" s="7"/>
      <c r="BC683" s="7"/>
      <c r="BD683" s="7"/>
      <c r="BE683" s="7"/>
      <c r="BF683" s="7"/>
      <c r="BG683" s="7"/>
      <c r="BH683" s="7"/>
      <c r="BI683" s="7"/>
      <c r="BJ683" s="7"/>
      <c r="BK683" s="7"/>
      <c r="BL683" s="7"/>
      <c r="BM683" s="7"/>
      <c r="BN683" s="7"/>
      <c r="BO683" s="7"/>
      <c r="BP683" s="7"/>
      <c r="BQ683" s="7"/>
      <c r="BR683" s="7"/>
      <c r="BS683" s="7"/>
      <c r="BT683" s="7"/>
      <c r="BU683" s="7"/>
      <c r="BV683" s="7">
        <v>5.3999999999999999E-2</v>
      </c>
      <c r="BW683" s="5">
        <v>44321</v>
      </c>
      <c r="BX683">
        <v>5</v>
      </c>
      <c r="BY683">
        <v>5</v>
      </c>
      <c r="BZ683">
        <v>2021</v>
      </c>
      <c r="CA683" s="5">
        <f t="shared" si="239"/>
        <v>44321</v>
      </c>
      <c r="CB683">
        <v>125</v>
      </c>
      <c r="CC683" s="7">
        <v>9</v>
      </c>
      <c r="CE683">
        <f t="shared" si="241"/>
        <v>0.97688825351441511</v>
      </c>
      <c r="CF683">
        <f t="shared" si="242"/>
        <v>2.1697203471552551</v>
      </c>
      <c r="CG683">
        <f t="shared" si="243"/>
        <v>2.1913805697589481E-2</v>
      </c>
      <c r="CH683">
        <f t="shared" si="244"/>
        <v>5.1482446346607107</v>
      </c>
      <c r="CI683">
        <f t="shared" si="245"/>
        <v>0.88485134497404438</v>
      </c>
      <c r="CJ683" s="1">
        <f t="shared" si="246"/>
        <v>1.5219443133553561</v>
      </c>
      <c r="CK683" s="7" t="s">
        <v>142</v>
      </c>
      <c r="CL683" s="7">
        <v>2</v>
      </c>
      <c r="CM683" s="7"/>
      <c r="CN683" s="7"/>
      <c r="CO683" s="7"/>
      <c r="CP683" s="7"/>
    </row>
    <row r="684" spans="1:96" x14ac:dyDescent="0.2">
      <c r="A684" s="7" t="s">
        <v>999</v>
      </c>
      <c r="B684" s="7" t="s">
        <v>60</v>
      </c>
      <c r="C684" t="str">
        <f t="shared" si="235"/>
        <v>I</v>
      </c>
      <c r="D684" t="str">
        <f t="shared" si="236"/>
        <v>S</v>
      </c>
      <c r="E684" t="str">
        <f t="shared" si="237"/>
        <v>G</v>
      </c>
      <c r="F684" s="7">
        <v>66</v>
      </c>
      <c r="G684" s="7">
        <v>63</v>
      </c>
      <c r="H684" s="7">
        <v>4.6529999999999996</v>
      </c>
      <c r="I684" s="7">
        <v>8.8999999999999996E-2</v>
      </c>
      <c r="J684" s="7">
        <v>5.8000000000000003E-2</v>
      </c>
      <c r="K684" s="7" t="s">
        <v>868</v>
      </c>
      <c r="L684" t="str">
        <f t="shared" si="238"/>
        <v>M</v>
      </c>
      <c r="M684" s="7">
        <v>30</v>
      </c>
      <c r="N684" s="7">
        <v>0.27300000000000002</v>
      </c>
      <c r="O684" s="7">
        <v>0.26300000000000001</v>
      </c>
      <c r="P684" s="7" t="s">
        <v>1010</v>
      </c>
      <c r="Q684" t="str">
        <f t="shared" si="240"/>
        <v>F</v>
      </c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  <c r="AL684" s="7"/>
      <c r="AM684" s="7"/>
      <c r="AN684" s="7"/>
      <c r="AO684" s="7"/>
      <c r="AP684" s="7"/>
      <c r="AQ684" s="7"/>
      <c r="AR684" s="7"/>
      <c r="AS684" s="7"/>
      <c r="AT684" s="7"/>
      <c r="AU684" s="7"/>
      <c r="AV684" s="7">
        <v>1</v>
      </c>
      <c r="AW684" s="7">
        <v>3.0000000000000001E-3</v>
      </c>
      <c r="AX684" s="7"/>
      <c r="AY684" s="7"/>
      <c r="AZ684" s="7"/>
      <c r="BA684" s="7"/>
      <c r="BB684" s="7"/>
      <c r="BC684" s="7"/>
      <c r="BD684" s="7"/>
      <c r="BE684" s="7"/>
      <c r="BF684" s="7"/>
      <c r="BG684" s="7"/>
      <c r="BH684" s="7"/>
      <c r="BI684" s="7"/>
      <c r="BJ684" s="7"/>
      <c r="BK684" s="7"/>
      <c r="BL684" s="7"/>
      <c r="BM684" s="7"/>
      <c r="BN684" s="7"/>
      <c r="BO684" s="7"/>
      <c r="BP684" s="7"/>
      <c r="BQ684" s="7"/>
      <c r="BR684" s="7"/>
      <c r="BS684" s="7"/>
      <c r="BT684" s="7"/>
      <c r="BU684" s="7"/>
      <c r="BV684" s="7">
        <v>3.0000000000000001E-3</v>
      </c>
      <c r="BW684" s="5">
        <v>44321</v>
      </c>
      <c r="BX684">
        <v>5</v>
      </c>
      <c r="BY684">
        <v>5</v>
      </c>
      <c r="BZ684">
        <v>2021</v>
      </c>
      <c r="CA684" s="5">
        <f t="shared" si="239"/>
        <v>44321</v>
      </c>
      <c r="CB684">
        <v>125</v>
      </c>
      <c r="CC684" s="7">
        <v>9</v>
      </c>
      <c r="CE684">
        <f t="shared" si="241"/>
        <v>1.262241566920566</v>
      </c>
      <c r="CF684">
        <f t="shared" si="242"/>
        <v>1.9500438212094657</v>
      </c>
      <c r="CG684">
        <f t="shared" si="243"/>
        <v>1.9751442521083004E-2</v>
      </c>
      <c r="CH684">
        <f t="shared" si="244"/>
        <v>5.9908883826879276</v>
      </c>
      <c r="CI684">
        <f t="shared" si="245"/>
        <v>0.21491510853213</v>
      </c>
      <c r="CJ684" s="1">
        <f t="shared" si="246"/>
        <v>0.27938964109176895</v>
      </c>
      <c r="CK684" s="7" t="s">
        <v>142</v>
      </c>
      <c r="CL684" s="7">
        <v>2</v>
      </c>
      <c r="CM684" s="7"/>
      <c r="CN684" s="7"/>
      <c r="CO684" s="7"/>
      <c r="CP684" s="7"/>
    </row>
    <row r="685" spans="1:96" x14ac:dyDescent="0.2">
      <c r="A685" s="7" t="s">
        <v>1000</v>
      </c>
      <c r="B685" s="7" t="s">
        <v>60</v>
      </c>
      <c r="C685" t="str">
        <f t="shared" si="235"/>
        <v>I</v>
      </c>
      <c r="D685" t="str">
        <f t="shared" si="236"/>
        <v>S</v>
      </c>
      <c r="E685" t="str">
        <f t="shared" si="237"/>
        <v>G</v>
      </c>
      <c r="F685" s="7">
        <v>69</v>
      </c>
      <c r="G685" s="7">
        <v>65</v>
      </c>
      <c r="H685" s="7">
        <v>5.5250000000000004</v>
      </c>
      <c r="I685" s="7">
        <v>0.11600000000000001</v>
      </c>
      <c r="J685" s="7">
        <v>2.8000000000000001E-2</v>
      </c>
      <c r="K685" s="7" t="s">
        <v>868</v>
      </c>
      <c r="L685" t="str">
        <f t="shared" si="238"/>
        <v>M</v>
      </c>
      <c r="M685" s="7">
        <v>30</v>
      </c>
      <c r="N685" s="7">
        <v>0.30399999999999999</v>
      </c>
      <c r="O685" s="7">
        <v>0.29899999999999999</v>
      </c>
      <c r="P685" s="7" t="s">
        <v>36</v>
      </c>
      <c r="Q685" t="str">
        <f t="shared" si="240"/>
        <v>MT</v>
      </c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7"/>
      <c r="AL685" s="7"/>
      <c r="AM685" s="7"/>
      <c r="AN685" s="7"/>
      <c r="AO685" s="7"/>
      <c r="AP685" s="7"/>
      <c r="AQ685" s="7"/>
      <c r="AR685" s="7"/>
      <c r="AS685" s="7"/>
      <c r="AT685" s="7"/>
      <c r="AU685" s="7"/>
      <c r="AV685" s="7"/>
      <c r="AW685" s="7"/>
      <c r="AX685" s="7"/>
      <c r="AY685" s="7"/>
      <c r="AZ685" s="7"/>
      <c r="BA685" s="7"/>
      <c r="BB685" s="7"/>
      <c r="BC685" s="7"/>
      <c r="BD685" s="7"/>
      <c r="BE685" s="7"/>
      <c r="BF685" s="7"/>
      <c r="BG685" s="7"/>
      <c r="BH685" s="7"/>
      <c r="BI685" s="7"/>
      <c r="BJ685" s="7"/>
      <c r="BK685" s="7"/>
      <c r="BL685" s="7"/>
      <c r="BM685" s="7"/>
      <c r="BN685" s="7"/>
      <c r="BO685" s="7"/>
      <c r="BP685" s="7"/>
      <c r="BQ685" s="7"/>
      <c r="BR685" s="7"/>
      <c r="BS685" s="7"/>
      <c r="BT685" s="7"/>
      <c r="BU685" s="7"/>
      <c r="BW685" s="5">
        <v>44321</v>
      </c>
      <c r="BX685">
        <v>5</v>
      </c>
      <c r="BY685">
        <v>5</v>
      </c>
      <c r="BZ685">
        <v>2021</v>
      </c>
      <c r="CA685" s="5">
        <f t="shared" si="239"/>
        <v>44321</v>
      </c>
      <c r="CB685">
        <v>125</v>
      </c>
      <c r="CC685" s="7">
        <v>9</v>
      </c>
      <c r="CE685">
        <f t="shared" si="241"/>
        <v>0.50936874658904852</v>
      </c>
      <c r="CF685">
        <f t="shared" si="242"/>
        <v>2.1445738583841747</v>
      </c>
      <c r="CG685">
        <f t="shared" si="243"/>
        <v>2.1557331351049987E-2</v>
      </c>
      <c r="CH685">
        <f t="shared" si="244"/>
        <v>5.7213930348258701</v>
      </c>
      <c r="CI685">
        <f t="shared" si="245"/>
        <v>9.0497737556561167E-2</v>
      </c>
      <c r="CJ685" s="1">
        <f t="shared" si="246"/>
        <v>9.0497737556561167E-2</v>
      </c>
      <c r="CK685" s="7" t="s">
        <v>142</v>
      </c>
      <c r="CL685" s="7">
        <v>2</v>
      </c>
      <c r="CM685" s="7"/>
      <c r="CN685" s="7"/>
      <c r="CO685" s="7"/>
      <c r="CP685" s="7"/>
    </row>
    <row r="686" spans="1:96" x14ac:dyDescent="0.2">
      <c r="A686" s="7" t="s">
        <v>1001</v>
      </c>
      <c r="B686" s="7" t="s">
        <v>60</v>
      </c>
      <c r="C686" t="str">
        <f t="shared" si="235"/>
        <v>I</v>
      </c>
      <c r="D686" t="str">
        <f t="shared" si="236"/>
        <v>S</v>
      </c>
      <c r="E686" t="str">
        <f t="shared" si="237"/>
        <v>G</v>
      </c>
      <c r="F686" s="7">
        <v>73</v>
      </c>
      <c r="G686" s="7">
        <v>68</v>
      </c>
      <c r="H686" s="7">
        <v>6.2789999999999999</v>
      </c>
      <c r="I686" s="7">
        <v>0.216</v>
      </c>
      <c r="J686" s="7">
        <v>0.161</v>
      </c>
      <c r="K686" s="7" t="s">
        <v>867</v>
      </c>
      <c r="L686" t="str">
        <f t="shared" si="238"/>
        <v>F</v>
      </c>
      <c r="M686" s="7">
        <v>30</v>
      </c>
      <c r="N686" s="7">
        <v>0.34399999999999997</v>
      </c>
      <c r="O686" s="7">
        <v>0.33300000000000002</v>
      </c>
      <c r="P686" s="7" t="s">
        <v>36</v>
      </c>
      <c r="Q686" t="str">
        <f t="shared" si="240"/>
        <v>MT</v>
      </c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  <c r="AL686" s="7"/>
      <c r="AM686" s="7"/>
      <c r="AN686" s="7"/>
      <c r="AO686" s="7"/>
      <c r="AP686" s="7"/>
      <c r="AQ686" s="7"/>
      <c r="AR686" s="7"/>
      <c r="AS686" s="7"/>
      <c r="AT686" s="7"/>
      <c r="AU686" s="7"/>
      <c r="AV686" s="7"/>
      <c r="AW686" s="7"/>
      <c r="AX686" s="7"/>
      <c r="AY686" s="7"/>
      <c r="AZ686" s="7"/>
      <c r="BA686" s="7"/>
      <c r="BB686" s="7"/>
      <c r="BC686" s="7"/>
      <c r="BD686" s="7"/>
      <c r="BE686" s="7"/>
      <c r="BF686" s="7"/>
      <c r="BG686" s="7"/>
      <c r="BH686" s="7"/>
      <c r="BI686" s="7"/>
      <c r="BJ686" s="7"/>
      <c r="BK686" s="7"/>
      <c r="BL686" s="7"/>
      <c r="BM686" s="7"/>
      <c r="BN686" s="7"/>
      <c r="BO686" s="7"/>
      <c r="BP686" s="7"/>
      <c r="BQ686" s="7"/>
      <c r="BR686" s="7"/>
      <c r="BS686" s="7"/>
      <c r="BT686" s="7"/>
      <c r="BU686" s="7"/>
      <c r="BW686" s="5">
        <v>44321</v>
      </c>
      <c r="BX686">
        <v>5</v>
      </c>
      <c r="BY686">
        <v>5</v>
      </c>
      <c r="BZ686">
        <v>2021</v>
      </c>
      <c r="CA686" s="5">
        <f t="shared" si="239"/>
        <v>44321</v>
      </c>
      <c r="CB686">
        <v>125</v>
      </c>
      <c r="CC686" s="7">
        <v>9</v>
      </c>
      <c r="CE686">
        <f t="shared" si="241"/>
        <v>2.6315789473684208</v>
      </c>
      <c r="CF686">
        <f t="shared" si="242"/>
        <v>3.5625927758535383</v>
      </c>
      <c r="CG686">
        <f t="shared" si="243"/>
        <v>3.6597763470010168E-2</v>
      </c>
      <c r="CH686">
        <f t="shared" si="244"/>
        <v>5.600403632694249</v>
      </c>
      <c r="CI686">
        <f t="shared" si="245"/>
        <v>0.17518713170887013</v>
      </c>
      <c r="CJ686" s="1">
        <f t="shared" si="246"/>
        <v>0.17518713170887013</v>
      </c>
      <c r="CK686" s="7" t="s">
        <v>142</v>
      </c>
      <c r="CL686" s="7">
        <v>3</v>
      </c>
      <c r="CM686" s="7"/>
      <c r="CN686" s="7"/>
      <c r="CO686" s="7"/>
      <c r="CP686" s="7"/>
      <c r="CQ686" s="12">
        <v>4.1399999999999999E-2</v>
      </c>
      <c r="CR686">
        <f>CQ686/(H686-I686-J686-N686)*1000</f>
        <v>7.448722562072688</v>
      </c>
    </row>
    <row r="687" spans="1:96" ht="32" x14ac:dyDescent="0.2">
      <c r="A687" s="7" t="s">
        <v>1065</v>
      </c>
      <c r="B687" s="7" t="s">
        <v>60</v>
      </c>
      <c r="C687" t="str">
        <f t="shared" si="235"/>
        <v>I</v>
      </c>
      <c r="D687" t="str">
        <f t="shared" si="236"/>
        <v>B</v>
      </c>
      <c r="E687" t="str">
        <f t="shared" si="237"/>
        <v>N</v>
      </c>
      <c r="F687" s="7">
        <v>146</v>
      </c>
      <c r="G687" s="7">
        <v>140</v>
      </c>
      <c r="H687" s="7">
        <v>68.997</v>
      </c>
      <c r="I687" s="7">
        <v>0.81399999999999995</v>
      </c>
      <c r="J687" s="7">
        <v>1.0609999999999999</v>
      </c>
      <c r="K687" s="7" t="s">
        <v>868</v>
      </c>
      <c r="L687" t="str">
        <f t="shared" si="238"/>
        <v>M</v>
      </c>
      <c r="M687" s="7">
        <v>30</v>
      </c>
      <c r="N687" s="7">
        <v>3.5190000000000001</v>
      </c>
      <c r="O687" s="7">
        <v>3.2789999999999999</v>
      </c>
      <c r="P687" s="7" t="s">
        <v>1094</v>
      </c>
      <c r="Q687" t="str">
        <f t="shared" ref="Q687:Q718" si="247">IF(P687="MT","MT","F")</f>
        <v>F</v>
      </c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>
        <v>2</v>
      </c>
      <c r="AI687" s="7">
        <v>4.7E-2</v>
      </c>
      <c r="AJ687" s="7"/>
      <c r="AK687" s="7"/>
      <c r="AL687" s="7"/>
      <c r="AM687" s="7"/>
      <c r="AN687" s="7"/>
      <c r="AO687" s="7"/>
      <c r="AP687" s="7">
        <v>1</v>
      </c>
      <c r="AQ687" s="7">
        <v>1.4999999999999999E-2</v>
      </c>
      <c r="AR687" s="7"/>
      <c r="AS687" s="7"/>
      <c r="AT687" s="7"/>
      <c r="AU687" s="7"/>
      <c r="AV687" s="7"/>
      <c r="AW687" s="7"/>
      <c r="AX687" s="7"/>
      <c r="AY687" s="7"/>
      <c r="AZ687" s="7"/>
      <c r="BA687" s="7"/>
      <c r="BB687" s="7"/>
      <c r="BC687" s="7"/>
      <c r="BD687" s="7"/>
      <c r="BE687" s="7"/>
      <c r="BF687" s="7"/>
      <c r="BG687" s="7"/>
      <c r="BH687" s="7"/>
      <c r="BI687" s="7"/>
      <c r="BJ687" s="7"/>
      <c r="BK687" s="7"/>
      <c r="BL687" s="7"/>
      <c r="BM687" s="7"/>
      <c r="BN687" s="7"/>
      <c r="BO687" s="7"/>
      <c r="BP687" s="7"/>
      <c r="BQ687" s="7"/>
      <c r="BR687" s="7"/>
      <c r="BS687" s="7"/>
      <c r="BT687" s="7">
        <v>1</v>
      </c>
      <c r="BU687" s="7">
        <v>6.4000000000000001E-2</v>
      </c>
      <c r="BV687">
        <f>0.064+0.015+0.047</f>
        <v>0.126</v>
      </c>
      <c r="BW687" t="s">
        <v>1051</v>
      </c>
      <c r="BX687" t="str">
        <f t="shared" ref="BX687:BX703" si="248">LEFT(BW687,2)</f>
        <v>18</v>
      </c>
      <c r="BY687" t="str">
        <f t="shared" ref="BY687:BY703" si="249">MID(BW687,4,1)</f>
        <v>5</v>
      </c>
      <c r="BZ687" t="str">
        <f t="shared" ref="BZ687:BZ703" si="250">20&amp;RIGHT(BW687,2)</f>
        <v>2021</v>
      </c>
      <c r="CA687" s="5">
        <f t="shared" si="239"/>
        <v>44334</v>
      </c>
      <c r="CB687">
        <v>138</v>
      </c>
      <c r="CC687" s="7">
        <v>10</v>
      </c>
      <c r="CE687">
        <f t="shared" ref="CE687:CE718" si="251">J687/(H687-J687)*100</f>
        <v>1.5617640131888832</v>
      </c>
      <c r="CF687">
        <f t="shared" ref="CF687:CF718" si="252">I687/(H687-I687)*100</f>
        <v>1.1938459733364619</v>
      </c>
      <c r="CG687">
        <f t="shared" ref="CG687:CG718" si="253">I687/(H687-I687-J687)</f>
        <v>1.2127171419206814E-2</v>
      </c>
      <c r="CH687">
        <f t="shared" ref="CH687:CH718" si="254">O687/(H687-O687)*100</f>
        <v>4.9895005934447179</v>
      </c>
      <c r="CI687">
        <f t="shared" ref="CI687:CI718" si="255">(N687-O687)/H687*100</f>
        <v>0.34784121048741284</v>
      </c>
      <c r="CJ687" s="1">
        <f t="shared" ref="CJ687:CJ718" si="256">(N687-O687+(BV687))/(H687)*100</f>
        <v>0.53045784599330437</v>
      </c>
      <c r="CK687" s="7" t="s">
        <v>142</v>
      </c>
      <c r="CL687" s="7">
        <v>3</v>
      </c>
      <c r="CM687" s="7"/>
      <c r="CN687" s="7"/>
      <c r="CO687" s="7"/>
      <c r="CP687" s="7"/>
    </row>
    <row r="688" spans="1:96" x14ac:dyDescent="0.2">
      <c r="A688" s="7" t="s">
        <v>1066</v>
      </c>
      <c r="B688" s="7" t="s">
        <v>60</v>
      </c>
      <c r="C688" t="str">
        <f t="shared" si="235"/>
        <v>I</v>
      </c>
      <c r="D688" t="str">
        <f t="shared" si="236"/>
        <v>B</v>
      </c>
      <c r="E688" t="str">
        <f t="shared" si="237"/>
        <v>N</v>
      </c>
      <c r="F688" s="7">
        <v>126</v>
      </c>
      <c r="G688" s="7">
        <v>120</v>
      </c>
      <c r="H688" s="7">
        <v>39.484000000000002</v>
      </c>
      <c r="I688" s="7">
        <v>0.55000000000000004</v>
      </c>
      <c r="J688" s="7">
        <v>0.40400000000000003</v>
      </c>
      <c r="K688" s="7" t="s">
        <v>868</v>
      </c>
      <c r="L688" t="str">
        <f t="shared" si="238"/>
        <v>M</v>
      </c>
      <c r="M688" s="7">
        <v>30</v>
      </c>
      <c r="N688" s="7">
        <v>3.903</v>
      </c>
      <c r="O688" s="7">
        <v>1.5720000000000001</v>
      </c>
      <c r="P688" s="7" t="s">
        <v>1095</v>
      </c>
      <c r="Q688" t="str">
        <f t="shared" si="247"/>
        <v>F</v>
      </c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  <c r="AL688" s="7"/>
      <c r="AM688" s="7"/>
      <c r="AN688" s="7"/>
      <c r="AO688" s="7"/>
      <c r="AP688" s="7"/>
      <c r="AQ688" s="7"/>
      <c r="AR688" s="7"/>
      <c r="AS688" s="7"/>
      <c r="AT688" s="7"/>
      <c r="AU688" s="7"/>
      <c r="AV688" s="7"/>
      <c r="AW688" s="7"/>
      <c r="AX688" s="7"/>
      <c r="AY688" s="7"/>
      <c r="AZ688" s="7"/>
      <c r="BA688" s="7"/>
      <c r="BB688" s="7"/>
      <c r="BC688" s="7"/>
      <c r="BD688" s="7"/>
      <c r="BE688" s="7"/>
      <c r="BF688" s="7"/>
      <c r="BG688" s="7"/>
      <c r="BH688" s="7"/>
      <c r="BI688" s="7"/>
      <c r="BJ688" s="7"/>
      <c r="BK688" s="7"/>
      <c r="BL688" s="7"/>
      <c r="BM688" s="7"/>
      <c r="BN688" s="7">
        <v>2</v>
      </c>
      <c r="BO688" s="7">
        <v>1.9279999999999999</v>
      </c>
      <c r="BP688" s="7"/>
      <c r="BQ688" s="7"/>
      <c r="BR688" s="7"/>
      <c r="BS688" s="7"/>
      <c r="BT688" s="7"/>
      <c r="BU688" s="7"/>
      <c r="BV688" s="7">
        <v>1.9279999999999999</v>
      </c>
      <c r="BW688" t="s">
        <v>1051</v>
      </c>
      <c r="BX688" t="str">
        <f t="shared" si="248"/>
        <v>18</v>
      </c>
      <c r="BY688" t="str">
        <f t="shared" si="249"/>
        <v>5</v>
      </c>
      <c r="BZ688" t="str">
        <f t="shared" si="250"/>
        <v>2021</v>
      </c>
      <c r="CA688" s="5">
        <f t="shared" si="239"/>
        <v>44334</v>
      </c>
      <c r="CB688">
        <v>138</v>
      </c>
      <c r="CC688" s="7">
        <v>10</v>
      </c>
      <c r="CE688">
        <f t="shared" si="251"/>
        <v>1.0337768679631525</v>
      </c>
      <c r="CF688">
        <f t="shared" si="252"/>
        <v>1.4126470437150047</v>
      </c>
      <c r="CG688">
        <f t="shared" si="253"/>
        <v>1.4274591227614847E-2</v>
      </c>
      <c r="CH688">
        <f t="shared" si="254"/>
        <v>4.1464443975522265</v>
      </c>
      <c r="CI688">
        <f t="shared" si="255"/>
        <v>5.9036571775909232</v>
      </c>
      <c r="CJ688" s="1">
        <f t="shared" si="256"/>
        <v>10.786647756053085</v>
      </c>
      <c r="CK688" s="7" t="s">
        <v>142</v>
      </c>
      <c r="CL688" s="7">
        <v>3</v>
      </c>
      <c r="CM688" s="7"/>
      <c r="CN688" s="7"/>
      <c r="CO688" s="7"/>
      <c r="CP688" s="7"/>
    </row>
    <row r="689" spans="1:99" x14ac:dyDescent="0.2">
      <c r="A689" s="7" t="s">
        <v>1067</v>
      </c>
      <c r="B689" s="7" t="s">
        <v>60</v>
      </c>
      <c r="C689" t="str">
        <f t="shared" si="235"/>
        <v>I</v>
      </c>
      <c r="D689" t="str">
        <f t="shared" si="236"/>
        <v>S</v>
      </c>
      <c r="E689" t="str">
        <f t="shared" si="237"/>
        <v>G</v>
      </c>
      <c r="F689" s="7">
        <v>81</v>
      </c>
      <c r="G689" s="7">
        <v>77</v>
      </c>
      <c r="H689" s="7">
        <v>8.9939999999999998</v>
      </c>
      <c r="I689" s="7">
        <v>0.14399999999999999</v>
      </c>
      <c r="J689" s="7">
        <v>0.18099999999999999</v>
      </c>
      <c r="K689" s="7" t="s">
        <v>868</v>
      </c>
      <c r="L689" t="str">
        <f t="shared" si="238"/>
        <v>M</v>
      </c>
      <c r="M689" s="7">
        <v>30</v>
      </c>
      <c r="N689" s="7">
        <v>0.41299999999999998</v>
      </c>
      <c r="O689" s="7">
        <v>0.31900000000000001</v>
      </c>
      <c r="P689" s="7" t="s">
        <v>1096</v>
      </c>
      <c r="Q689" t="str">
        <f t="shared" si="247"/>
        <v>F</v>
      </c>
      <c r="R689" s="7"/>
      <c r="S689" s="7"/>
      <c r="T689" s="7">
        <v>4</v>
      </c>
      <c r="U689" s="7">
        <v>3.5999999999999997E-2</v>
      </c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  <c r="AL689" s="7"/>
      <c r="AM689" s="7"/>
      <c r="AN689" s="7"/>
      <c r="AO689" s="7"/>
      <c r="AP689" s="7"/>
      <c r="AQ689" s="7"/>
      <c r="AR689" s="7"/>
      <c r="AS689" s="7"/>
      <c r="AT689" s="7"/>
      <c r="AU689" s="7"/>
      <c r="AV689" s="7"/>
      <c r="AW689" s="7"/>
      <c r="AX689" s="7"/>
      <c r="AY689" s="7"/>
      <c r="AZ689" s="7"/>
      <c r="BA689" s="7"/>
      <c r="BB689" s="7"/>
      <c r="BC689" s="7"/>
      <c r="BD689" s="7"/>
      <c r="BE689" s="7"/>
      <c r="BF689" s="7"/>
      <c r="BG689" s="7"/>
      <c r="BH689" s="7"/>
      <c r="BI689" s="7"/>
      <c r="BJ689" s="7"/>
      <c r="BK689" s="7"/>
      <c r="BL689" s="7"/>
      <c r="BM689" s="7"/>
      <c r="BN689" s="7"/>
      <c r="BO689" s="7"/>
      <c r="BP689" s="7"/>
      <c r="BQ689" s="7"/>
      <c r="BR689" s="7"/>
      <c r="BS689" s="7"/>
      <c r="BT689" s="7"/>
      <c r="BU689" s="7"/>
      <c r="BV689" s="7">
        <v>3.5999999999999997E-2</v>
      </c>
      <c r="BW689" t="s">
        <v>1051</v>
      </c>
      <c r="BX689" t="str">
        <f t="shared" si="248"/>
        <v>18</v>
      </c>
      <c r="BY689" t="str">
        <f t="shared" si="249"/>
        <v>5</v>
      </c>
      <c r="BZ689" t="str">
        <f t="shared" si="250"/>
        <v>2021</v>
      </c>
      <c r="CA689" s="5">
        <f t="shared" si="239"/>
        <v>44334</v>
      </c>
      <c r="CB689">
        <v>138</v>
      </c>
      <c r="CC689" s="7">
        <v>10</v>
      </c>
      <c r="CE689">
        <f t="shared" si="251"/>
        <v>2.0537841824577328</v>
      </c>
      <c r="CF689">
        <f t="shared" si="252"/>
        <v>1.6271186440677967</v>
      </c>
      <c r="CG689">
        <f t="shared" si="253"/>
        <v>1.6610912446648977E-2</v>
      </c>
      <c r="CH689">
        <f t="shared" si="254"/>
        <v>3.6772334293948132</v>
      </c>
      <c r="CI689">
        <f t="shared" si="255"/>
        <v>1.0451412052479427</v>
      </c>
      <c r="CJ689" s="1">
        <f t="shared" si="256"/>
        <v>1.4454080498109849</v>
      </c>
      <c r="CK689" s="7" t="s">
        <v>142</v>
      </c>
      <c r="CL689" s="7">
        <v>3</v>
      </c>
      <c r="CM689" s="7"/>
      <c r="CN689" s="7"/>
      <c r="CO689" s="7"/>
      <c r="CP689" s="7"/>
    </row>
    <row r="690" spans="1:99" ht="32" x14ac:dyDescent="0.2">
      <c r="A690" s="7" t="s">
        <v>1068</v>
      </c>
      <c r="B690" s="7" t="s">
        <v>60</v>
      </c>
      <c r="C690" t="str">
        <f t="shared" si="235"/>
        <v>I</v>
      </c>
      <c r="D690" t="str">
        <f t="shared" si="236"/>
        <v>I</v>
      </c>
      <c r="E690" t="str">
        <f t="shared" si="237"/>
        <v>G</v>
      </c>
      <c r="F690" s="7">
        <v>96</v>
      </c>
      <c r="G690" s="7">
        <v>91</v>
      </c>
      <c r="H690" s="7">
        <v>17.521000000000001</v>
      </c>
      <c r="I690" s="7">
        <v>0.28699999999999998</v>
      </c>
      <c r="J690" s="7">
        <v>0.36899999999999999</v>
      </c>
      <c r="K690" s="7" t="s">
        <v>868</v>
      </c>
      <c r="L690" t="str">
        <f t="shared" si="238"/>
        <v>M</v>
      </c>
      <c r="M690" s="7">
        <v>30</v>
      </c>
      <c r="N690" s="7">
        <v>1.415</v>
      </c>
      <c r="O690" s="7">
        <v>1.2829999999999999</v>
      </c>
      <c r="P690" s="7" t="s">
        <v>1097</v>
      </c>
      <c r="Q690" t="str">
        <f t="shared" si="247"/>
        <v>F</v>
      </c>
      <c r="R690" s="7"/>
      <c r="S690" s="7"/>
      <c r="T690" s="7"/>
      <c r="U690" s="7"/>
      <c r="V690" s="7">
        <v>1</v>
      </c>
      <c r="W690" s="7">
        <v>7.0000000000000001E-3</v>
      </c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>
        <v>1</v>
      </c>
      <c r="AK690" s="7">
        <v>8.0000000000000002E-3</v>
      </c>
      <c r="AL690" s="7"/>
      <c r="AM690" s="7"/>
      <c r="AN690" s="7"/>
      <c r="AO690" s="7"/>
      <c r="AP690" s="7"/>
      <c r="AQ690" s="7"/>
      <c r="AR690" s="7"/>
      <c r="AS690" s="7"/>
      <c r="AT690" s="7"/>
      <c r="AU690" s="7"/>
      <c r="AV690" s="7">
        <v>11</v>
      </c>
      <c r="AW690" s="7">
        <v>5.7000000000000002E-2</v>
      </c>
      <c r="AX690" s="7"/>
      <c r="AY690" s="7"/>
      <c r="AZ690" s="7"/>
      <c r="BA690" s="7"/>
      <c r="BB690" s="7"/>
      <c r="BC690" s="7"/>
      <c r="BD690" s="7"/>
      <c r="BE690" s="7"/>
      <c r="BF690" s="7"/>
      <c r="BG690" s="7"/>
      <c r="BH690" s="7"/>
      <c r="BI690" s="7"/>
      <c r="BJ690" s="7"/>
      <c r="BK690" s="7"/>
      <c r="BL690" s="7"/>
      <c r="BM690" s="7"/>
      <c r="BN690" s="7"/>
      <c r="BO690" s="7"/>
      <c r="BP690" s="7"/>
      <c r="BQ690" s="7"/>
      <c r="BR690" s="7"/>
      <c r="BS690" s="7"/>
      <c r="BT690" s="7"/>
      <c r="BU690" s="7"/>
      <c r="BV690" s="7">
        <v>7.1999999999999995E-2</v>
      </c>
      <c r="BW690" t="s">
        <v>1051</v>
      </c>
      <c r="BX690" t="str">
        <f t="shared" si="248"/>
        <v>18</v>
      </c>
      <c r="BY690" t="str">
        <f t="shared" si="249"/>
        <v>5</v>
      </c>
      <c r="BZ690" t="str">
        <f t="shared" si="250"/>
        <v>2021</v>
      </c>
      <c r="CA690" s="5">
        <f t="shared" si="239"/>
        <v>44334</v>
      </c>
      <c r="CB690">
        <v>138</v>
      </c>
      <c r="CC690" s="7">
        <v>10</v>
      </c>
      <c r="CE690">
        <f t="shared" si="251"/>
        <v>2.1513526119402981</v>
      </c>
      <c r="CF690">
        <f t="shared" si="252"/>
        <v>1.6653127538586512</v>
      </c>
      <c r="CG690">
        <f t="shared" si="253"/>
        <v>1.7017491847020453E-2</v>
      </c>
      <c r="CH690">
        <f t="shared" si="254"/>
        <v>7.9012193619903925</v>
      </c>
      <c r="CI690">
        <f t="shared" si="255"/>
        <v>0.75338165629815712</v>
      </c>
      <c r="CJ690" s="1">
        <f t="shared" si="256"/>
        <v>1.1643171051880608</v>
      </c>
      <c r="CK690" s="7" t="s">
        <v>142</v>
      </c>
      <c r="CL690" s="7">
        <v>3</v>
      </c>
      <c r="CM690" s="7"/>
      <c r="CN690" s="7"/>
      <c r="CO690" s="7"/>
      <c r="CP690" s="7"/>
    </row>
    <row r="691" spans="1:99" x14ac:dyDescent="0.2">
      <c r="A691" s="7" t="s">
        <v>1069</v>
      </c>
      <c r="B691" s="7" t="s">
        <v>60</v>
      </c>
      <c r="C691" t="str">
        <f t="shared" si="235"/>
        <v>I</v>
      </c>
      <c r="D691" t="str">
        <f t="shared" si="236"/>
        <v>I</v>
      </c>
      <c r="E691" t="str">
        <f t="shared" si="237"/>
        <v>G</v>
      </c>
      <c r="F691" s="7">
        <v>85</v>
      </c>
      <c r="G691" s="7">
        <v>81</v>
      </c>
      <c r="H691" s="7">
        <v>11.147</v>
      </c>
      <c r="I691" s="7">
        <v>0.28000000000000003</v>
      </c>
      <c r="J691" s="7">
        <v>0.52</v>
      </c>
      <c r="K691" s="7" t="s">
        <v>867</v>
      </c>
      <c r="L691" t="str">
        <f t="shared" si="238"/>
        <v>F</v>
      </c>
      <c r="M691" s="7">
        <v>30</v>
      </c>
      <c r="N691" s="7">
        <v>0.65100000000000002</v>
      </c>
      <c r="O691" s="7">
        <v>0.47599999999999998</v>
      </c>
      <c r="P691" s="7" t="s">
        <v>1098</v>
      </c>
      <c r="Q691" t="str">
        <f t="shared" si="247"/>
        <v>F</v>
      </c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7"/>
      <c r="AL691" s="7"/>
      <c r="AM691" s="7"/>
      <c r="AN691" s="7"/>
      <c r="AO691" s="7"/>
      <c r="AP691" s="7"/>
      <c r="AQ691" s="7"/>
      <c r="AR691" s="7"/>
      <c r="AS691" s="7"/>
      <c r="AT691" s="7"/>
      <c r="AU691" s="7"/>
      <c r="AV691" s="7">
        <v>15</v>
      </c>
      <c r="AW691" s="7">
        <v>6.8000000000000005E-2</v>
      </c>
      <c r="AX691" s="7"/>
      <c r="AY691" s="7"/>
      <c r="AZ691" s="7"/>
      <c r="BA691" s="7"/>
      <c r="BB691" s="7"/>
      <c r="BC691" s="7"/>
      <c r="BD691" s="7"/>
      <c r="BE691" s="7"/>
      <c r="BF691" s="7"/>
      <c r="BG691" s="7"/>
      <c r="BH691" s="7"/>
      <c r="BI691" s="7"/>
      <c r="BJ691" s="7"/>
      <c r="BK691" s="7"/>
      <c r="BL691" s="7"/>
      <c r="BM691" s="7"/>
      <c r="BN691" s="7"/>
      <c r="BO691" s="7"/>
      <c r="BP691" s="7"/>
      <c r="BQ691" s="7"/>
      <c r="BR691" s="7"/>
      <c r="BS691" s="7"/>
      <c r="BT691" s="7"/>
      <c r="BU691" s="7"/>
      <c r="BV691" s="7">
        <v>6.8000000000000005E-2</v>
      </c>
      <c r="BW691" t="s">
        <v>1051</v>
      </c>
      <c r="BX691" t="str">
        <f t="shared" si="248"/>
        <v>18</v>
      </c>
      <c r="BY691" t="str">
        <f t="shared" si="249"/>
        <v>5</v>
      </c>
      <c r="BZ691" t="str">
        <f t="shared" si="250"/>
        <v>2021</v>
      </c>
      <c r="CA691" s="5">
        <f t="shared" si="239"/>
        <v>44334</v>
      </c>
      <c r="CB691">
        <v>138</v>
      </c>
      <c r="CC691" s="7">
        <v>10</v>
      </c>
      <c r="CE691">
        <f t="shared" si="251"/>
        <v>4.8931965747623973</v>
      </c>
      <c r="CF691">
        <f t="shared" si="252"/>
        <v>2.5766080795067636</v>
      </c>
      <c r="CG691">
        <f t="shared" si="253"/>
        <v>2.7060983860056054E-2</v>
      </c>
      <c r="CH691">
        <f t="shared" si="254"/>
        <v>4.4606878455627399</v>
      </c>
      <c r="CI691">
        <f t="shared" si="255"/>
        <v>1.5699291289136095</v>
      </c>
      <c r="CJ691" s="1">
        <f t="shared" si="256"/>
        <v>2.1799587332914689</v>
      </c>
      <c r="CK691" s="7" t="s">
        <v>142</v>
      </c>
      <c r="CL691" s="7">
        <v>3</v>
      </c>
      <c r="CM691" s="7"/>
      <c r="CN691" s="7"/>
      <c r="CO691" s="7"/>
      <c r="CP691" s="7"/>
    </row>
    <row r="692" spans="1:99" x14ac:dyDescent="0.2">
      <c r="A692" s="7" t="s">
        <v>1070</v>
      </c>
      <c r="B692" s="7" t="s">
        <v>60</v>
      </c>
      <c r="C692" t="str">
        <f t="shared" si="235"/>
        <v>I</v>
      </c>
      <c r="D692" t="str">
        <f t="shared" si="236"/>
        <v>S</v>
      </c>
      <c r="E692" t="str">
        <f t="shared" si="237"/>
        <v>G</v>
      </c>
      <c r="F692" s="7">
        <v>76</v>
      </c>
      <c r="G692" s="7">
        <v>71</v>
      </c>
      <c r="H692" s="7">
        <v>7.3230000000000004</v>
      </c>
      <c r="I692" s="7">
        <v>0.188</v>
      </c>
      <c r="J692" s="7">
        <v>0.36</v>
      </c>
      <c r="K692" s="7" t="s">
        <v>867</v>
      </c>
      <c r="L692" t="str">
        <f t="shared" si="238"/>
        <v>F</v>
      </c>
      <c r="M692" s="7">
        <v>30</v>
      </c>
      <c r="N692" s="7">
        <v>0.38</v>
      </c>
      <c r="O692" s="7">
        <v>0.34599999999999997</v>
      </c>
      <c r="P692" s="7" t="s">
        <v>1099</v>
      </c>
      <c r="Q692" t="str">
        <f t="shared" si="247"/>
        <v>F</v>
      </c>
      <c r="R692" s="7"/>
      <c r="S692" s="7"/>
      <c r="T692" s="7">
        <v>4</v>
      </c>
      <c r="U692" s="7">
        <v>0.01</v>
      </c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  <c r="AL692" s="7"/>
      <c r="AM692" s="7"/>
      <c r="AN692" s="7"/>
      <c r="AO692" s="7"/>
      <c r="AP692" s="7"/>
      <c r="AQ692" s="7"/>
      <c r="AR692" s="7"/>
      <c r="AS692" s="7"/>
      <c r="AT692" s="7"/>
      <c r="AU692" s="7"/>
      <c r="AV692" s="7"/>
      <c r="AW692" s="7"/>
      <c r="AX692" s="7"/>
      <c r="AY692" s="7"/>
      <c r="AZ692" s="7"/>
      <c r="BA692" s="7"/>
      <c r="BB692" s="7"/>
      <c r="BC692" s="7"/>
      <c r="BD692" s="7"/>
      <c r="BE692" s="7"/>
      <c r="BF692" s="7"/>
      <c r="BG692" s="7"/>
      <c r="BH692" s="7"/>
      <c r="BI692" s="7"/>
      <c r="BJ692" s="7"/>
      <c r="BK692" s="7"/>
      <c r="BL692" s="7"/>
      <c r="BM692" s="7"/>
      <c r="BN692" s="7"/>
      <c r="BO692" s="7"/>
      <c r="BP692" s="7"/>
      <c r="BQ692" s="7"/>
      <c r="BR692" s="7"/>
      <c r="BS692" s="7"/>
      <c r="BT692" s="7"/>
      <c r="BU692" s="7"/>
      <c r="BV692" s="7">
        <v>0.01</v>
      </c>
      <c r="BW692" t="s">
        <v>1051</v>
      </c>
      <c r="BX692" t="str">
        <f t="shared" si="248"/>
        <v>18</v>
      </c>
      <c r="BY692" t="str">
        <f t="shared" si="249"/>
        <v>5</v>
      </c>
      <c r="BZ692" t="str">
        <f t="shared" si="250"/>
        <v>2021</v>
      </c>
      <c r="CA692" s="5">
        <f t="shared" si="239"/>
        <v>44334</v>
      </c>
      <c r="CB692">
        <v>138</v>
      </c>
      <c r="CC692" s="7">
        <v>10</v>
      </c>
      <c r="CE692">
        <f t="shared" si="251"/>
        <v>5.1701852649719946</v>
      </c>
      <c r="CF692">
        <f t="shared" si="252"/>
        <v>2.6348983882270494</v>
      </c>
      <c r="CG692">
        <f t="shared" si="253"/>
        <v>2.7749077490774907E-2</v>
      </c>
      <c r="CH692">
        <f t="shared" si="254"/>
        <v>4.9591514977784144</v>
      </c>
      <c r="CI692">
        <f t="shared" si="255"/>
        <v>0.46429059128772399</v>
      </c>
      <c r="CJ692" s="1">
        <f t="shared" si="256"/>
        <v>0.60084664754881922</v>
      </c>
      <c r="CK692" s="7" t="s">
        <v>142</v>
      </c>
      <c r="CL692" s="7">
        <v>3</v>
      </c>
      <c r="CM692" s="7">
        <v>0</v>
      </c>
      <c r="CN692" s="7">
        <v>16</v>
      </c>
      <c r="CO692" s="7">
        <v>3</v>
      </c>
      <c r="CP692" s="7">
        <v>0</v>
      </c>
      <c r="CQ692" s="12">
        <v>2.86E-2</v>
      </c>
      <c r="CR692">
        <f>CQ692/(H692-I692-J692-N692)*1000</f>
        <v>4.4722439405785765</v>
      </c>
      <c r="CS692">
        <v>6.8410000000000002</v>
      </c>
      <c r="CT692">
        <v>97.579095121911379</v>
      </c>
      <c r="CU692">
        <v>157.19519129279712</v>
      </c>
    </row>
    <row r="693" spans="1:99" ht="32" x14ac:dyDescent="0.2">
      <c r="A693" s="7" t="s">
        <v>1071</v>
      </c>
      <c r="B693" s="7" t="s">
        <v>60</v>
      </c>
      <c r="C693" t="str">
        <f t="shared" si="235"/>
        <v>I</v>
      </c>
      <c r="D693" t="str">
        <f t="shared" si="236"/>
        <v>I</v>
      </c>
      <c r="E693" t="str">
        <f t="shared" si="237"/>
        <v>G</v>
      </c>
      <c r="F693" s="7">
        <v>103</v>
      </c>
      <c r="G693" s="7">
        <v>98</v>
      </c>
      <c r="H693" s="7">
        <v>21.411000000000001</v>
      </c>
      <c r="I693" s="7">
        <v>0.49099999999999999</v>
      </c>
      <c r="J693" s="7">
        <v>0.73499999999999999</v>
      </c>
      <c r="K693" s="7" t="s">
        <v>867</v>
      </c>
      <c r="L693" t="str">
        <f t="shared" si="238"/>
        <v>F</v>
      </c>
      <c r="M693" s="7">
        <v>30</v>
      </c>
      <c r="N693" s="7">
        <v>1.048</v>
      </c>
      <c r="O693" s="7">
        <v>0.97599999999999998</v>
      </c>
      <c r="P693" s="7" t="s">
        <v>1100</v>
      </c>
      <c r="Q693" t="str">
        <f t="shared" si="247"/>
        <v>F</v>
      </c>
      <c r="R693" s="7"/>
      <c r="S693" s="7"/>
      <c r="T693" s="7">
        <v>2</v>
      </c>
      <c r="U693" s="7">
        <v>7.0999999999999994E-2</v>
      </c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  <c r="AK693" s="7"/>
      <c r="AL693" s="7"/>
      <c r="AM693" s="7"/>
      <c r="AN693" s="7"/>
      <c r="AO693" s="7"/>
      <c r="AP693" s="7"/>
      <c r="AQ693" s="7"/>
      <c r="AR693" s="7"/>
      <c r="AS693" s="7"/>
      <c r="AT693" s="7"/>
      <c r="AU693" s="7"/>
      <c r="AV693" s="7">
        <v>6</v>
      </c>
      <c r="AW693" s="7">
        <v>1.6E-2</v>
      </c>
      <c r="AX693" s="7"/>
      <c r="AY693" s="7"/>
      <c r="AZ693" s="7"/>
      <c r="BA693" s="7"/>
      <c r="BB693" s="7"/>
      <c r="BC693" s="7"/>
      <c r="BD693" s="7"/>
      <c r="BE693" s="7"/>
      <c r="BF693" s="7"/>
      <c r="BG693" s="7"/>
      <c r="BH693" s="7"/>
      <c r="BI693" s="7"/>
      <c r="BJ693" s="7"/>
      <c r="BK693" s="7"/>
      <c r="BL693" s="7"/>
      <c r="BM693" s="7"/>
      <c r="BN693" s="7"/>
      <c r="BO693" s="7"/>
      <c r="BP693" s="7"/>
      <c r="BQ693" s="7"/>
      <c r="BR693" s="7"/>
      <c r="BS693" s="7"/>
      <c r="BT693" s="7"/>
      <c r="BU693" s="7"/>
      <c r="BV693" s="7">
        <v>8.6999999999999994E-2</v>
      </c>
      <c r="BW693" t="s">
        <v>1051</v>
      </c>
      <c r="BX693" t="str">
        <f t="shared" si="248"/>
        <v>18</v>
      </c>
      <c r="BY693" t="str">
        <f t="shared" si="249"/>
        <v>5</v>
      </c>
      <c r="BZ693" t="str">
        <f t="shared" si="250"/>
        <v>2021</v>
      </c>
      <c r="CA693" s="5">
        <f t="shared" si="239"/>
        <v>44334</v>
      </c>
      <c r="CB693">
        <v>138</v>
      </c>
      <c r="CC693" s="7">
        <v>10</v>
      </c>
      <c r="CE693">
        <f t="shared" si="251"/>
        <v>3.554846198491004</v>
      </c>
      <c r="CF693">
        <f t="shared" si="252"/>
        <v>2.347036328871893</v>
      </c>
      <c r="CG693">
        <f t="shared" si="253"/>
        <v>2.4324993807282633E-2</v>
      </c>
      <c r="CH693">
        <f t="shared" si="254"/>
        <v>4.7761194029850742</v>
      </c>
      <c r="CI693">
        <f t="shared" si="255"/>
        <v>0.33627574611181194</v>
      </c>
      <c r="CJ693" s="1">
        <f t="shared" si="256"/>
        <v>0.74260893933025107</v>
      </c>
      <c r="CK693" s="7" t="s">
        <v>142</v>
      </c>
      <c r="CL693" s="7">
        <v>3</v>
      </c>
      <c r="CM693" s="7">
        <v>0</v>
      </c>
      <c r="CN693" s="7">
        <v>110</v>
      </c>
      <c r="CO693" s="7">
        <v>23</v>
      </c>
      <c r="CP693" s="7">
        <v>0</v>
      </c>
      <c r="CU693">
        <v>133.02680369719931</v>
      </c>
    </row>
    <row r="694" spans="1:99" x14ac:dyDescent="0.2">
      <c r="A694" s="7" t="s">
        <v>1072</v>
      </c>
      <c r="B694" s="7" t="s">
        <v>60</v>
      </c>
      <c r="C694" t="str">
        <f t="shared" si="235"/>
        <v>I</v>
      </c>
      <c r="D694" t="str">
        <f t="shared" si="236"/>
        <v>IMM</v>
      </c>
      <c r="E694" t="str">
        <f t="shared" si="237"/>
        <v>G</v>
      </c>
      <c r="F694" s="7">
        <v>64</v>
      </c>
      <c r="G694" s="7">
        <v>62</v>
      </c>
      <c r="H694" s="7">
        <v>4.6100000000000003</v>
      </c>
      <c r="I694" s="7">
        <v>9.7000000000000003E-2</v>
      </c>
      <c r="J694" s="7">
        <v>0.23899999999999999</v>
      </c>
      <c r="K694" s="7" t="s">
        <v>867</v>
      </c>
      <c r="L694" t="str">
        <f t="shared" si="238"/>
        <v>F</v>
      </c>
      <c r="M694" s="7">
        <v>30</v>
      </c>
      <c r="N694" s="7">
        <v>0.22500000000000001</v>
      </c>
      <c r="O694" s="7">
        <v>0.19800000000000001</v>
      </c>
      <c r="P694" s="7" t="s">
        <v>1101</v>
      </c>
      <c r="Q694" t="str">
        <f t="shared" si="247"/>
        <v>F</v>
      </c>
      <c r="R694" s="7"/>
      <c r="S694" s="7"/>
      <c r="T694" s="7">
        <v>1</v>
      </c>
      <c r="U694" s="7">
        <v>1.0999999999999999E-2</v>
      </c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  <c r="AL694" s="7"/>
      <c r="AM694" s="7"/>
      <c r="AN694" s="7"/>
      <c r="AO694" s="7"/>
      <c r="AP694" s="7"/>
      <c r="AQ694" s="7"/>
      <c r="AR694" s="7"/>
      <c r="AS694" s="7"/>
      <c r="AT694" s="7"/>
      <c r="AU694" s="7"/>
      <c r="AV694" s="7"/>
      <c r="AW694" s="7"/>
      <c r="AX694" s="7"/>
      <c r="AY694" s="7"/>
      <c r="AZ694" s="7"/>
      <c r="BA694" s="7"/>
      <c r="BB694" s="7"/>
      <c r="BC694" s="7"/>
      <c r="BD694" s="7"/>
      <c r="BE694" s="7"/>
      <c r="BF694" s="7"/>
      <c r="BG694" s="7"/>
      <c r="BH694" s="7"/>
      <c r="BI694" s="7"/>
      <c r="BJ694" s="7"/>
      <c r="BK694" s="7"/>
      <c r="BL694" s="7"/>
      <c r="BM694" s="7"/>
      <c r="BN694" s="7"/>
      <c r="BO694" s="7"/>
      <c r="BP694" s="7"/>
      <c r="BQ694" s="7"/>
      <c r="BR694" s="7"/>
      <c r="BS694" s="7"/>
      <c r="BT694" s="7"/>
      <c r="BU694" s="7"/>
      <c r="BV694" s="7">
        <v>1.0999999999999999E-2</v>
      </c>
      <c r="BW694" t="s">
        <v>1051</v>
      </c>
      <c r="BX694" t="str">
        <f t="shared" si="248"/>
        <v>18</v>
      </c>
      <c r="BY694" t="str">
        <f t="shared" si="249"/>
        <v>5</v>
      </c>
      <c r="BZ694" t="str">
        <f t="shared" si="250"/>
        <v>2021</v>
      </c>
      <c r="CA694" s="5">
        <f t="shared" si="239"/>
        <v>44334</v>
      </c>
      <c r="CB694">
        <v>138</v>
      </c>
      <c r="CC694" s="7">
        <v>10</v>
      </c>
      <c r="CE694">
        <f t="shared" si="251"/>
        <v>5.4678563257835728</v>
      </c>
      <c r="CF694">
        <f t="shared" si="252"/>
        <v>2.1493463328163083</v>
      </c>
      <c r="CG694">
        <f t="shared" si="253"/>
        <v>2.2695367337388864E-2</v>
      </c>
      <c r="CH694">
        <f t="shared" si="254"/>
        <v>4.4877606527651857</v>
      </c>
      <c r="CI694">
        <f t="shared" si="255"/>
        <v>0.58568329718004331</v>
      </c>
      <c r="CJ694" s="1">
        <f t="shared" si="256"/>
        <v>0.82429501084598666</v>
      </c>
      <c r="CK694" s="7" t="s">
        <v>142</v>
      </c>
      <c r="CL694" s="7">
        <v>3</v>
      </c>
      <c r="CM694">
        <v>0</v>
      </c>
      <c r="CN694">
        <v>32</v>
      </c>
      <c r="CO694">
        <v>19</v>
      </c>
      <c r="CP694">
        <v>0</v>
      </c>
      <c r="CQ694" s="12">
        <v>1.1000000000000001E-3</v>
      </c>
      <c r="CR694">
        <f>CQ694/(H694-I694-J694-N694)*1000</f>
        <v>0.27167201778216843</v>
      </c>
      <c r="CS694">
        <v>7.2469999999999999</v>
      </c>
      <c r="CT694">
        <v>132.28480304574498</v>
      </c>
      <c r="CU694">
        <v>163.86379936261233</v>
      </c>
    </row>
    <row r="695" spans="1:99" x14ac:dyDescent="0.2">
      <c r="A695" s="7" t="s">
        <v>1073</v>
      </c>
      <c r="B695" s="7" t="s">
        <v>60</v>
      </c>
      <c r="C695" t="str">
        <f t="shared" si="235"/>
        <v>I</v>
      </c>
      <c r="D695" t="str">
        <f t="shared" si="236"/>
        <v>B</v>
      </c>
      <c r="E695" t="str">
        <f t="shared" si="237"/>
        <v>G</v>
      </c>
      <c r="F695" s="7">
        <v>110</v>
      </c>
      <c r="G695" s="7">
        <v>102</v>
      </c>
      <c r="H695" s="7">
        <v>24.774999999999999</v>
      </c>
      <c r="I695" s="7">
        <v>0.57799999999999996</v>
      </c>
      <c r="J695" s="7">
        <v>0.97199999999999998</v>
      </c>
      <c r="K695" s="7" t="s">
        <v>867</v>
      </c>
      <c r="L695" t="str">
        <f t="shared" si="238"/>
        <v>F</v>
      </c>
      <c r="M695" s="7">
        <v>30</v>
      </c>
      <c r="N695" s="7">
        <v>1.496</v>
      </c>
      <c r="O695" s="7">
        <v>1.3979999999999999</v>
      </c>
      <c r="P695" s="7" t="s">
        <v>1102</v>
      </c>
      <c r="Q695" t="str">
        <f t="shared" si="247"/>
        <v>F</v>
      </c>
      <c r="R695" s="7"/>
      <c r="S695" s="7"/>
      <c r="T695" s="7">
        <v>2</v>
      </c>
      <c r="U695" s="7">
        <v>3.6999999999999998E-2</v>
      </c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  <c r="AK695" s="7"/>
      <c r="AL695" s="7"/>
      <c r="AM695" s="7"/>
      <c r="AN695" s="7"/>
      <c r="AO695" s="7"/>
      <c r="AP695" s="7"/>
      <c r="AQ695" s="7"/>
      <c r="AR695" s="7"/>
      <c r="AS695" s="7"/>
      <c r="AT695" s="7"/>
      <c r="AU695" s="7"/>
      <c r="AV695" s="7"/>
      <c r="AW695" s="7"/>
      <c r="AX695" s="7"/>
      <c r="AY695" s="7"/>
      <c r="AZ695" s="7"/>
      <c r="BA695" s="7"/>
      <c r="BB695" s="7"/>
      <c r="BC695" s="7"/>
      <c r="BD695" s="7"/>
      <c r="BE695" s="7"/>
      <c r="BF695" s="7"/>
      <c r="BG695" s="7"/>
      <c r="BH695" s="7"/>
      <c r="BI695" s="7"/>
      <c r="BJ695" s="7"/>
      <c r="BK695" s="7"/>
      <c r="BL695" s="7"/>
      <c r="BM695" s="7"/>
      <c r="BN695" s="7"/>
      <c r="BO695" s="7"/>
      <c r="BP695" s="7"/>
      <c r="BQ695" s="7"/>
      <c r="BR695" s="7"/>
      <c r="BS695" s="7"/>
      <c r="BT695" s="7"/>
      <c r="BU695" s="7"/>
      <c r="BV695" s="7">
        <v>3.6999999999999998E-2</v>
      </c>
      <c r="BW695" t="s">
        <v>1051</v>
      </c>
      <c r="BX695" t="str">
        <f t="shared" si="248"/>
        <v>18</v>
      </c>
      <c r="BY695" t="str">
        <f t="shared" si="249"/>
        <v>5</v>
      </c>
      <c r="BZ695" t="str">
        <f t="shared" si="250"/>
        <v>2021</v>
      </c>
      <c r="CA695" s="5">
        <f t="shared" si="239"/>
        <v>44334</v>
      </c>
      <c r="CB695">
        <v>138</v>
      </c>
      <c r="CC695" s="7">
        <v>10</v>
      </c>
      <c r="CE695">
        <f t="shared" si="251"/>
        <v>4.0835188841742642</v>
      </c>
      <c r="CF695">
        <f t="shared" si="252"/>
        <v>2.3887258751084843</v>
      </c>
      <c r="CG695">
        <f t="shared" si="253"/>
        <v>2.4886975242195911E-2</v>
      </c>
      <c r="CH695">
        <f t="shared" si="254"/>
        <v>5.9802369850707953</v>
      </c>
      <c r="CI695">
        <f t="shared" si="255"/>
        <v>0.39556004036326975</v>
      </c>
      <c r="CJ695" s="1">
        <f t="shared" si="256"/>
        <v>0.54490413723511644</v>
      </c>
      <c r="CK695" s="7" t="s">
        <v>142</v>
      </c>
      <c r="CL695" s="7">
        <v>3</v>
      </c>
      <c r="CM695" s="7">
        <v>0</v>
      </c>
      <c r="CN695" s="7">
        <v>91</v>
      </c>
      <c r="CO695" s="7">
        <v>10</v>
      </c>
      <c r="CP695" s="7">
        <v>0</v>
      </c>
      <c r="CU695">
        <v>148.55686574043963</v>
      </c>
    </row>
    <row r="696" spans="1:99" ht="32" x14ac:dyDescent="0.2">
      <c r="A696" s="7" t="s">
        <v>1074</v>
      </c>
      <c r="B696" s="7" t="s">
        <v>60</v>
      </c>
      <c r="C696" t="str">
        <f t="shared" si="235"/>
        <v>I</v>
      </c>
      <c r="D696" t="str">
        <f t="shared" si="236"/>
        <v>I</v>
      </c>
      <c r="E696" t="str">
        <f t="shared" si="237"/>
        <v>G</v>
      </c>
      <c r="F696" s="7">
        <v>99</v>
      </c>
      <c r="G696" s="7">
        <v>94</v>
      </c>
      <c r="H696" s="7">
        <v>18.667999999999999</v>
      </c>
      <c r="I696" s="7">
        <v>0.50700000000000001</v>
      </c>
      <c r="J696" s="7">
        <v>0.64</v>
      </c>
      <c r="K696" s="7" t="s">
        <v>867</v>
      </c>
      <c r="L696" t="str">
        <f t="shared" si="238"/>
        <v>F</v>
      </c>
      <c r="M696" s="7">
        <v>30</v>
      </c>
      <c r="N696" s="7">
        <v>2.327</v>
      </c>
      <c r="O696" s="7">
        <v>0.95899999999999996</v>
      </c>
      <c r="P696" s="7" t="s">
        <v>1103</v>
      </c>
      <c r="Q696" t="str">
        <f t="shared" si="247"/>
        <v>F</v>
      </c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  <c r="AL696" s="7"/>
      <c r="AM696" s="7"/>
      <c r="AN696" s="7"/>
      <c r="AO696" s="7"/>
      <c r="AP696" s="7"/>
      <c r="AQ696" s="7"/>
      <c r="AR696" s="7"/>
      <c r="AS696" s="7"/>
      <c r="AT696" s="7"/>
      <c r="AU696" s="7"/>
      <c r="AV696" s="7"/>
      <c r="AW696" s="7"/>
      <c r="AX696" s="7"/>
      <c r="AY696" s="7"/>
      <c r="AZ696" s="7"/>
      <c r="BA696" s="7"/>
      <c r="BB696" s="7"/>
      <c r="BC696" s="7"/>
      <c r="BD696" s="7"/>
      <c r="BE696" s="7"/>
      <c r="BF696" s="7"/>
      <c r="BG696" s="7"/>
      <c r="BH696" s="7"/>
      <c r="BI696" s="7"/>
      <c r="BJ696" s="7">
        <v>1</v>
      </c>
      <c r="BK696" s="7">
        <v>0.222</v>
      </c>
      <c r="BL696" s="7">
        <v>1</v>
      </c>
      <c r="BM696" s="7">
        <v>0.872</v>
      </c>
      <c r="BN696" s="7"/>
      <c r="BO696" s="7"/>
      <c r="BP696" s="7"/>
      <c r="BQ696" s="7"/>
      <c r="BR696" s="7"/>
      <c r="BS696" s="7"/>
      <c r="BT696" s="7"/>
      <c r="BU696" s="7"/>
      <c r="BV696" s="7">
        <v>1.0940000000000001</v>
      </c>
      <c r="BW696" t="s">
        <v>1051</v>
      </c>
      <c r="BX696" t="str">
        <f t="shared" si="248"/>
        <v>18</v>
      </c>
      <c r="BY696" t="str">
        <f t="shared" si="249"/>
        <v>5</v>
      </c>
      <c r="BZ696" t="str">
        <f t="shared" si="250"/>
        <v>2021</v>
      </c>
      <c r="CA696" s="5">
        <f t="shared" si="239"/>
        <v>44334</v>
      </c>
      <c r="CB696">
        <v>138</v>
      </c>
      <c r="CC696" s="7">
        <v>10</v>
      </c>
      <c r="CE696">
        <f t="shared" si="251"/>
        <v>3.550033281562015</v>
      </c>
      <c r="CF696">
        <f t="shared" si="252"/>
        <v>2.7916964924838945</v>
      </c>
      <c r="CG696">
        <f t="shared" si="253"/>
        <v>2.8936704525997378E-2</v>
      </c>
      <c r="CH696">
        <f t="shared" si="254"/>
        <v>5.4153255406855267</v>
      </c>
      <c r="CI696">
        <f t="shared" si="255"/>
        <v>7.3280479965716721</v>
      </c>
      <c r="CJ696" s="1">
        <f t="shared" si="256"/>
        <v>13.188343689736445</v>
      </c>
      <c r="CK696" s="7" t="s">
        <v>142</v>
      </c>
      <c r="CL696" s="7">
        <v>3</v>
      </c>
      <c r="CM696" s="7">
        <v>4</v>
      </c>
      <c r="CN696" s="7">
        <v>47</v>
      </c>
      <c r="CO696" s="7">
        <v>26</v>
      </c>
      <c r="CP696" s="7">
        <v>1</v>
      </c>
      <c r="CQ696" s="12">
        <v>3.1099999999999999E-2</v>
      </c>
      <c r="CR696">
        <f>CQ696/(H696-I696-J696-N696)*1000</f>
        <v>2.046860602869554</v>
      </c>
      <c r="CS696">
        <v>5.649</v>
      </c>
      <c r="CT696">
        <v>84.266713714421613</v>
      </c>
      <c r="CU696">
        <v>129.22410538328629</v>
      </c>
    </row>
    <row r="697" spans="1:99" ht="32" x14ac:dyDescent="0.2">
      <c r="A697" s="7" t="s">
        <v>1075</v>
      </c>
      <c r="B697" s="7" t="s">
        <v>60</v>
      </c>
      <c r="C697" t="str">
        <f t="shared" si="235"/>
        <v>I</v>
      </c>
      <c r="D697" t="str">
        <f t="shared" si="236"/>
        <v>S</v>
      </c>
      <c r="E697" t="str">
        <f t="shared" si="237"/>
        <v>G</v>
      </c>
      <c r="F697" s="7">
        <v>71</v>
      </c>
      <c r="G697" s="7">
        <v>67</v>
      </c>
      <c r="H697" s="7">
        <v>6.4660000000000002</v>
      </c>
      <c r="I697" s="7">
        <v>0.17</v>
      </c>
      <c r="J697" s="7">
        <v>0.39600000000000002</v>
      </c>
      <c r="K697" s="7" t="s">
        <v>867</v>
      </c>
      <c r="L697" t="str">
        <f t="shared" si="238"/>
        <v>F</v>
      </c>
      <c r="M697" s="7">
        <v>30</v>
      </c>
      <c r="N697" s="7">
        <v>0.34699999999999998</v>
      </c>
      <c r="O697" s="7">
        <v>0.29799999999999999</v>
      </c>
      <c r="P697" s="7" t="s">
        <v>1104</v>
      </c>
      <c r="Q697" t="str">
        <f t="shared" si="247"/>
        <v>F</v>
      </c>
      <c r="R697" s="7">
        <v>3</v>
      </c>
      <c r="S697" s="7">
        <v>8.0000000000000002E-3</v>
      </c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  <c r="AK697" s="7"/>
      <c r="AL697" s="7"/>
      <c r="AM697" s="7"/>
      <c r="AN697" s="7">
        <v>20</v>
      </c>
      <c r="AO697" s="7">
        <v>1.9E-2</v>
      </c>
      <c r="AP697" s="7"/>
      <c r="AQ697" s="7"/>
      <c r="AR697" s="7"/>
      <c r="AS697" s="7"/>
      <c r="AT697" s="7"/>
      <c r="AU697" s="7"/>
      <c r="AV697" s="7"/>
      <c r="AW697" s="7"/>
      <c r="AX697" s="7"/>
      <c r="AY697" s="7"/>
      <c r="AZ697" s="7"/>
      <c r="BA697" s="7"/>
      <c r="BB697" s="7"/>
      <c r="BC697" s="7"/>
      <c r="BD697" s="7"/>
      <c r="BE697" s="7"/>
      <c r="BF697" s="7"/>
      <c r="BG697" s="7"/>
      <c r="BH697" s="7"/>
      <c r="BI697" s="7"/>
      <c r="BJ697" s="7"/>
      <c r="BK697" s="7"/>
      <c r="BL697" s="7"/>
      <c r="BM697" s="7"/>
      <c r="BN697" s="7"/>
      <c r="BO697" s="7"/>
      <c r="BP697" s="7"/>
      <c r="BQ697" s="7"/>
      <c r="BR697" s="7"/>
      <c r="BS697" s="7"/>
      <c r="BT697" s="7"/>
      <c r="BU697" s="7"/>
      <c r="BV697" s="7">
        <v>2.7E-2</v>
      </c>
      <c r="BW697" t="s">
        <v>1051</v>
      </c>
      <c r="BX697" t="str">
        <f t="shared" si="248"/>
        <v>18</v>
      </c>
      <c r="BY697" t="str">
        <f t="shared" si="249"/>
        <v>5</v>
      </c>
      <c r="BZ697" t="str">
        <f t="shared" si="250"/>
        <v>2021</v>
      </c>
      <c r="CA697" s="5">
        <f t="shared" si="239"/>
        <v>44334</v>
      </c>
      <c r="CB697">
        <v>138</v>
      </c>
      <c r="CC697" s="7">
        <v>10</v>
      </c>
      <c r="CE697">
        <f t="shared" si="251"/>
        <v>6.523887973640857</v>
      </c>
      <c r="CF697">
        <f t="shared" si="252"/>
        <v>2.7001270648030493</v>
      </c>
      <c r="CG697">
        <f t="shared" si="253"/>
        <v>2.8813559322033899E-2</v>
      </c>
      <c r="CH697">
        <f t="shared" si="254"/>
        <v>4.8313878080415043</v>
      </c>
      <c r="CI697">
        <f t="shared" si="255"/>
        <v>0.75781008351376411</v>
      </c>
      <c r="CJ697" s="1">
        <f t="shared" si="256"/>
        <v>1.1753789050417567</v>
      </c>
      <c r="CK697" s="7" t="s">
        <v>142</v>
      </c>
      <c r="CL697" s="7">
        <v>3</v>
      </c>
      <c r="CM697" s="7">
        <v>0</v>
      </c>
      <c r="CN697" s="7">
        <v>31</v>
      </c>
      <c r="CO697" s="7">
        <v>7</v>
      </c>
      <c r="CP697" s="7">
        <v>0</v>
      </c>
      <c r="CQ697" s="12">
        <v>5.7999999999999996E-3</v>
      </c>
      <c r="CR697">
        <f>CQ697/(H697-I697-J697-N697)*1000</f>
        <v>1.0444804610120653</v>
      </c>
      <c r="CS697">
        <v>8.1920000000000002</v>
      </c>
      <c r="CT697">
        <v>113.80663732033469</v>
      </c>
      <c r="CU697">
        <v>170.40141101527229</v>
      </c>
    </row>
    <row r="698" spans="1:99" x14ac:dyDescent="0.2">
      <c r="A698" s="7" t="s">
        <v>1076</v>
      </c>
      <c r="B698" s="7" t="s">
        <v>60</v>
      </c>
      <c r="C698" t="str">
        <f t="shared" si="235"/>
        <v>I</v>
      </c>
      <c r="D698" t="str">
        <f t="shared" si="236"/>
        <v>IMM</v>
      </c>
      <c r="E698" t="str">
        <f t="shared" si="237"/>
        <v>G</v>
      </c>
      <c r="F698" s="7">
        <v>62</v>
      </c>
      <c r="G698" s="7">
        <v>60</v>
      </c>
      <c r="H698" s="7">
        <v>3.9129999999999998</v>
      </c>
      <c r="I698" s="7">
        <v>6.2E-2</v>
      </c>
      <c r="J698" s="7">
        <v>0.19</v>
      </c>
      <c r="K698" s="7" t="s">
        <v>868</v>
      </c>
      <c r="L698" t="str">
        <f t="shared" si="238"/>
        <v>M</v>
      </c>
      <c r="M698" s="7">
        <v>30</v>
      </c>
      <c r="N698" s="7">
        <v>0.214</v>
      </c>
      <c r="O698" s="7">
        <v>0.191</v>
      </c>
      <c r="P698" s="7" t="s">
        <v>1105</v>
      </c>
      <c r="Q698" t="str">
        <f t="shared" si="247"/>
        <v>F</v>
      </c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  <c r="AL698" s="7"/>
      <c r="AM698" s="7"/>
      <c r="AN698" s="7"/>
      <c r="AO698" s="7"/>
      <c r="AP698" s="7"/>
      <c r="AQ698" s="7"/>
      <c r="AR698" s="7"/>
      <c r="AS698" s="7"/>
      <c r="AT698" s="7"/>
      <c r="AU698" s="7"/>
      <c r="AV698" s="7">
        <v>4</v>
      </c>
      <c r="AW698" s="7">
        <v>1.4999999999999999E-2</v>
      </c>
      <c r="AX698" s="7"/>
      <c r="AY698" s="7"/>
      <c r="AZ698" s="7"/>
      <c r="BA698" s="7"/>
      <c r="BB698" s="7"/>
      <c r="BC698" s="7"/>
      <c r="BD698" s="7"/>
      <c r="BE698" s="7"/>
      <c r="BF698" s="7"/>
      <c r="BG698" s="7"/>
      <c r="BH698" s="7"/>
      <c r="BI698" s="7"/>
      <c r="BJ698" s="7"/>
      <c r="BK698" s="7"/>
      <c r="BL698" s="7"/>
      <c r="BM698" s="7"/>
      <c r="BN698" s="7"/>
      <c r="BO698" s="7"/>
      <c r="BP698" s="7"/>
      <c r="BQ698" s="7"/>
      <c r="BR698" s="7"/>
      <c r="BS698" s="7"/>
      <c r="BT698" s="7"/>
      <c r="BU698" s="7"/>
      <c r="BV698" s="7">
        <v>1.4999999999999999E-2</v>
      </c>
      <c r="BW698" t="s">
        <v>1051</v>
      </c>
      <c r="BX698" t="str">
        <f t="shared" si="248"/>
        <v>18</v>
      </c>
      <c r="BY698" t="str">
        <f t="shared" si="249"/>
        <v>5</v>
      </c>
      <c r="BZ698" t="str">
        <f t="shared" si="250"/>
        <v>2021</v>
      </c>
      <c r="CA698" s="5">
        <f t="shared" si="239"/>
        <v>44334</v>
      </c>
      <c r="CB698">
        <v>138</v>
      </c>
      <c r="CC698" s="7">
        <v>10</v>
      </c>
      <c r="CE698">
        <f t="shared" si="251"/>
        <v>5.1034112275047008</v>
      </c>
      <c r="CF698">
        <f t="shared" si="252"/>
        <v>1.6099714359906518</v>
      </c>
      <c r="CG698">
        <f t="shared" si="253"/>
        <v>1.6935263589183285E-2</v>
      </c>
      <c r="CH698">
        <f t="shared" si="254"/>
        <v>5.1316496507254161</v>
      </c>
      <c r="CI698">
        <f t="shared" si="255"/>
        <v>0.58778430871454113</v>
      </c>
      <c r="CJ698" s="1">
        <f t="shared" si="256"/>
        <v>0.9711219013544593</v>
      </c>
      <c r="CK698" s="7" t="s">
        <v>142</v>
      </c>
      <c r="CL698" s="7">
        <v>3</v>
      </c>
      <c r="CM698" s="7"/>
      <c r="CN698" s="7"/>
      <c r="CO698" s="7"/>
      <c r="CP698" s="7"/>
    </row>
    <row r="699" spans="1:99" x14ac:dyDescent="0.2">
      <c r="A699" s="7" t="s">
        <v>1077</v>
      </c>
      <c r="B699" s="7" t="s">
        <v>60</v>
      </c>
      <c r="C699" t="str">
        <f t="shared" si="235"/>
        <v>I</v>
      </c>
      <c r="D699" t="str">
        <f t="shared" si="236"/>
        <v>IMM</v>
      </c>
      <c r="E699" t="str">
        <f t="shared" si="237"/>
        <v>G</v>
      </c>
      <c r="F699" s="7">
        <v>64</v>
      </c>
      <c r="G699" s="7">
        <v>61</v>
      </c>
      <c r="H699" s="7">
        <v>4.7569999999999997</v>
      </c>
      <c r="I699" s="7">
        <v>0.114</v>
      </c>
      <c r="J699" s="7">
        <v>0.20799999999999999</v>
      </c>
      <c r="K699" s="7" t="s">
        <v>867</v>
      </c>
      <c r="L699" t="str">
        <f t="shared" si="238"/>
        <v>F</v>
      </c>
      <c r="M699" s="7">
        <v>30</v>
      </c>
      <c r="N699" s="7">
        <v>0.254</v>
      </c>
      <c r="O699" s="7">
        <v>0.22700000000000001</v>
      </c>
      <c r="P699" s="7" t="s">
        <v>1106</v>
      </c>
      <c r="Q699" t="str">
        <f t="shared" si="247"/>
        <v>F</v>
      </c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7"/>
      <c r="AL699" s="7"/>
      <c r="AM699" s="7"/>
      <c r="AN699" s="7"/>
      <c r="AO699" s="7"/>
      <c r="AP699" s="7"/>
      <c r="AQ699" s="7"/>
      <c r="AR699" s="7"/>
      <c r="AS699" s="7"/>
      <c r="AT699" s="7"/>
      <c r="AU699" s="7"/>
      <c r="AV699" s="7">
        <v>9</v>
      </c>
      <c r="AW699" s="7">
        <v>1.2E-2</v>
      </c>
      <c r="AX699" s="7"/>
      <c r="AY699" s="7"/>
      <c r="AZ699" s="7"/>
      <c r="BA699" s="7"/>
      <c r="BB699" s="7"/>
      <c r="BC699" s="7"/>
      <c r="BD699" s="7"/>
      <c r="BE699" s="7"/>
      <c r="BF699" s="7"/>
      <c r="BG699" s="7"/>
      <c r="BH699" s="7"/>
      <c r="BI699" s="7"/>
      <c r="BJ699" s="7"/>
      <c r="BK699" s="7"/>
      <c r="BL699" s="7"/>
      <c r="BM699" s="7"/>
      <c r="BN699" s="7"/>
      <c r="BO699" s="7"/>
      <c r="BP699" s="7"/>
      <c r="BQ699" s="7"/>
      <c r="BR699" s="7"/>
      <c r="BS699" s="7"/>
      <c r="BT699" s="7"/>
      <c r="BU699" s="7"/>
      <c r="BV699" s="7">
        <v>1.2E-2</v>
      </c>
      <c r="BW699" t="s">
        <v>1051</v>
      </c>
      <c r="BX699" t="str">
        <f t="shared" si="248"/>
        <v>18</v>
      </c>
      <c r="BY699" t="str">
        <f t="shared" si="249"/>
        <v>5</v>
      </c>
      <c r="BZ699" t="str">
        <f t="shared" si="250"/>
        <v>2021</v>
      </c>
      <c r="CA699" s="5">
        <f t="shared" si="239"/>
        <v>44334</v>
      </c>
      <c r="CB699">
        <v>138</v>
      </c>
      <c r="CC699" s="7">
        <v>10</v>
      </c>
      <c r="CE699">
        <f t="shared" si="251"/>
        <v>4.5724335018685425</v>
      </c>
      <c r="CF699">
        <f t="shared" si="252"/>
        <v>2.4553090674133107</v>
      </c>
      <c r="CG699">
        <f t="shared" si="253"/>
        <v>2.5704622322435179E-2</v>
      </c>
      <c r="CH699">
        <f t="shared" si="254"/>
        <v>5.0110375275938202</v>
      </c>
      <c r="CI699">
        <f t="shared" si="255"/>
        <v>0.56758461215051492</v>
      </c>
      <c r="CJ699" s="1">
        <f t="shared" si="256"/>
        <v>0.81984443977296606</v>
      </c>
      <c r="CK699" s="7" t="s">
        <v>142</v>
      </c>
      <c r="CL699" s="7">
        <v>3</v>
      </c>
      <c r="CM699" s="7">
        <v>0</v>
      </c>
      <c r="CN699" s="7">
        <v>199</v>
      </c>
      <c r="CO699" s="7">
        <v>22</v>
      </c>
      <c r="CP699" s="7">
        <v>0</v>
      </c>
      <c r="CQ699" s="12">
        <v>8.0000000000000002E-3</v>
      </c>
      <c r="CR699">
        <f>CQ699/(H699-I699-J699-N699)*1000</f>
        <v>1.9134178426213828</v>
      </c>
      <c r="CS699">
        <v>8.7629999999999999</v>
      </c>
      <c r="CU699">
        <v>148.55686574043963</v>
      </c>
    </row>
    <row r="700" spans="1:99" x14ac:dyDescent="0.2">
      <c r="A700" s="7" t="s">
        <v>1078</v>
      </c>
      <c r="B700" s="7" t="s">
        <v>60</v>
      </c>
      <c r="C700" t="str">
        <f t="shared" si="235"/>
        <v>S</v>
      </c>
      <c r="D700" t="str">
        <f t="shared" si="236"/>
        <v>IMM</v>
      </c>
      <c r="E700" t="str">
        <f t="shared" si="237"/>
        <v>N</v>
      </c>
      <c r="F700" s="7">
        <v>58</v>
      </c>
      <c r="G700" s="7">
        <v>54</v>
      </c>
      <c r="H700" s="7">
        <v>3.5649999999999999</v>
      </c>
      <c r="I700" s="7">
        <v>7.8E-2</v>
      </c>
      <c r="J700" s="7">
        <v>0.112</v>
      </c>
      <c r="K700" s="7" t="s">
        <v>868</v>
      </c>
      <c r="L700" t="str">
        <f t="shared" si="238"/>
        <v>M</v>
      </c>
      <c r="M700" s="7">
        <v>30</v>
      </c>
      <c r="N700" s="7">
        <v>0.183</v>
      </c>
      <c r="O700" s="7">
        <v>0.159</v>
      </c>
      <c r="P700" s="7" t="s">
        <v>1129</v>
      </c>
      <c r="Q700" t="str">
        <f t="shared" si="247"/>
        <v>F</v>
      </c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  <c r="AL700" s="7"/>
      <c r="AM700" s="7"/>
      <c r="AN700" s="7"/>
      <c r="AO700" s="7"/>
      <c r="AP700" s="7"/>
      <c r="AQ700" s="7"/>
      <c r="AR700" s="7"/>
      <c r="AS700" s="7"/>
      <c r="AT700" s="7"/>
      <c r="AU700" s="7"/>
      <c r="AV700" s="7">
        <v>3</v>
      </c>
      <c r="AW700" s="7">
        <v>1.4999999999999999E-2</v>
      </c>
      <c r="AX700" s="7"/>
      <c r="AY700" s="7"/>
      <c r="AZ700" s="7"/>
      <c r="BA700" s="7"/>
      <c r="BB700" s="7"/>
      <c r="BC700" s="7"/>
      <c r="BD700" s="7"/>
      <c r="BE700" s="7"/>
      <c r="BF700" s="7"/>
      <c r="BG700" s="7"/>
      <c r="BH700" s="7"/>
      <c r="BI700" s="7"/>
      <c r="BJ700" s="7"/>
      <c r="BK700" s="7"/>
      <c r="BL700" s="7"/>
      <c r="BM700" s="7"/>
      <c r="BN700" s="7"/>
      <c r="BO700" s="7"/>
      <c r="BP700" s="7"/>
      <c r="BQ700" s="7"/>
      <c r="BR700" s="7"/>
      <c r="BS700" s="7"/>
      <c r="BT700" s="7"/>
      <c r="BU700" s="7"/>
      <c r="BV700" s="7">
        <v>1.4999999999999999E-2</v>
      </c>
      <c r="BW700" t="s">
        <v>1051</v>
      </c>
      <c r="BX700" t="str">
        <f t="shared" si="248"/>
        <v>18</v>
      </c>
      <c r="BY700" t="str">
        <f t="shared" si="249"/>
        <v>5</v>
      </c>
      <c r="BZ700" t="str">
        <f t="shared" si="250"/>
        <v>2021</v>
      </c>
      <c r="CA700" s="5">
        <f t="shared" si="239"/>
        <v>44334</v>
      </c>
      <c r="CB700">
        <v>138</v>
      </c>
      <c r="CC700" s="7">
        <v>10</v>
      </c>
      <c r="CE700">
        <f t="shared" si="251"/>
        <v>3.2435563278308717</v>
      </c>
      <c r="CF700">
        <f t="shared" si="252"/>
        <v>2.2368798394034988</v>
      </c>
      <c r="CG700">
        <f t="shared" si="253"/>
        <v>2.311111111111111E-2</v>
      </c>
      <c r="CH700">
        <f t="shared" si="254"/>
        <v>4.6682325308279502</v>
      </c>
      <c r="CI700">
        <f t="shared" si="255"/>
        <v>0.67321178120617098</v>
      </c>
      <c r="CJ700" s="1">
        <f t="shared" si="256"/>
        <v>1.0939691444600279</v>
      </c>
      <c r="CK700" s="7" t="s">
        <v>142</v>
      </c>
      <c r="CL700" s="7">
        <v>3</v>
      </c>
      <c r="CM700" s="7"/>
      <c r="CN700" s="7"/>
      <c r="CO700" s="7"/>
      <c r="CP700" s="7"/>
    </row>
    <row r="701" spans="1:99" x14ac:dyDescent="0.2">
      <c r="A701" s="7" t="s">
        <v>1079</v>
      </c>
      <c r="B701" s="7" t="s">
        <v>60</v>
      </c>
      <c r="C701" t="str">
        <f t="shared" si="235"/>
        <v>I</v>
      </c>
      <c r="D701" t="str">
        <f t="shared" si="236"/>
        <v>S</v>
      </c>
      <c r="E701" t="str">
        <f t="shared" si="237"/>
        <v>G</v>
      </c>
      <c r="F701" s="7">
        <v>83</v>
      </c>
      <c r="G701" s="7">
        <v>79</v>
      </c>
      <c r="H701" s="7">
        <v>10.318</v>
      </c>
      <c r="I701" s="7">
        <v>0.13100000000000001</v>
      </c>
      <c r="J701" s="7">
        <v>0.19800000000000001</v>
      </c>
      <c r="K701" s="7" t="s">
        <v>868</v>
      </c>
      <c r="L701" t="str">
        <f t="shared" si="238"/>
        <v>M</v>
      </c>
      <c r="M701" s="7">
        <v>30</v>
      </c>
      <c r="N701" s="7">
        <v>0.56699999999999995</v>
      </c>
      <c r="O701" s="7">
        <v>0.51400000000000001</v>
      </c>
      <c r="P701" s="7" t="s">
        <v>1130</v>
      </c>
      <c r="Q701" t="str">
        <f t="shared" si="247"/>
        <v>F</v>
      </c>
      <c r="T701" s="7">
        <v>10</v>
      </c>
      <c r="U701" s="7">
        <v>2.5999999999999999E-2</v>
      </c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7"/>
      <c r="AL701" s="7"/>
      <c r="AM701" s="7"/>
      <c r="AN701" s="7"/>
      <c r="AO701" s="7"/>
      <c r="AP701" s="7"/>
      <c r="AQ701" s="7"/>
      <c r="AR701" s="7"/>
      <c r="AS701" s="7"/>
      <c r="AT701" s="7"/>
      <c r="AU701" s="7"/>
      <c r="AV701" s="7"/>
      <c r="AW701" s="7"/>
      <c r="AX701" s="7"/>
      <c r="AY701" s="7"/>
      <c r="AZ701" s="7"/>
      <c r="BA701" s="7"/>
      <c r="BB701" s="7"/>
      <c r="BC701" s="7"/>
      <c r="BD701" s="7"/>
      <c r="BE701" s="7"/>
      <c r="BF701" s="7"/>
      <c r="BG701" s="7"/>
      <c r="BH701" s="7"/>
      <c r="BI701" s="7"/>
      <c r="BJ701" s="7"/>
      <c r="BK701" s="7"/>
      <c r="BL701" s="7"/>
      <c r="BM701" s="7"/>
      <c r="BN701" s="7"/>
      <c r="BO701" s="7"/>
      <c r="BP701" s="7"/>
      <c r="BQ701" s="7"/>
      <c r="BR701" s="7"/>
      <c r="BS701" s="7"/>
      <c r="BT701" s="7"/>
      <c r="BU701" s="7"/>
      <c r="BV701" s="7">
        <v>2.5999999999999999E-2</v>
      </c>
      <c r="BW701" t="s">
        <v>1051</v>
      </c>
      <c r="BX701" t="str">
        <f t="shared" si="248"/>
        <v>18</v>
      </c>
      <c r="BY701" t="str">
        <f t="shared" si="249"/>
        <v>5</v>
      </c>
      <c r="BZ701" t="str">
        <f t="shared" si="250"/>
        <v>2021</v>
      </c>
      <c r="CA701" s="5">
        <f t="shared" si="239"/>
        <v>44334</v>
      </c>
      <c r="CB701">
        <v>138</v>
      </c>
      <c r="CC701" s="7">
        <v>10</v>
      </c>
      <c r="CE701">
        <f t="shared" si="251"/>
        <v>1.956521739130435</v>
      </c>
      <c r="CF701">
        <f t="shared" si="252"/>
        <v>1.2859526847943459</v>
      </c>
      <c r="CG701">
        <f t="shared" si="253"/>
        <v>1.3114425868455303E-2</v>
      </c>
      <c r="CH701">
        <f t="shared" si="254"/>
        <v>5.2427580579355366</v>
      </c>
      <c r="CI701">
        <f t="shared" si="255"/>
        <v>0.51366543903857276</v>
      </c>
      <c r="CJ701" s="1">
        <f t="shared" si="256"/>
        <v>0.76565225818957106</v>
      </c>
      <c r="CK701" s="7" t="s">
        <v>142</v>
      </c>
      <c r="CL701" s="7">
        <v>3</v>
      </c>
      <c r="CM701" s="7"/>
      <c r="CN701" s="7"/>
      <c r="CO701" s="7"/>
      <c r="CP701" s="7"/>
    </row>
    <row r="702" spans="1:99" x14ac:dyDescent="0.2">
      <c r="A702" s="7" t="s">
        <v>1080</v>
      </c>
      <c r="B702" s="7" t="s">
        <v>60</v>
      </c>
      <c r="C702" t="str">
        <f t="shared" si="235"/>
        <v>I</v>
      </c>
      <c r="D702" t="str">
        <f t="shared" si="236"/>
        <v>I</v>
      </c>
      <c r="E702" t="str">
        <f t="shared" si="237"/>
        <v>G</v>
      </c>
      <c r="F702" s="7">
        <v>85</v>
      </c>
      <c r="G702" s="7">
        <v>80</v>
      </c>
      <c r="H702" s="7">
        <v>11.395</v>
      </c>
      <c r="I702" s="7">
        <v>0.219</v>
      </c>
      <c r="J702" s="7">
        <v>0.20499999999999999</v>
      </c>
      <c r="K702" s="7" t="s">
        <v>868</v>
      </c>
      <c r="L702" t="str">
        <f t="shared" si="238"/>
        <v>M</v>
      </c>
      <c r="M702" s="7">
        <v>30</v>
      </c>
      <c r="N702" s="7">
        <v>0.69299999999999995</v>
      </c>
      <c r="O702" s="7">
        <v>0.57699999999999996</v>
      </c>
      <c r="P702" s="7" t="s">
        <v>1131</v>
      </c>
      <c r="Q702" t="str">
        <f t="shared" si="247"/>
        <v>F</v>
      </c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  <c r="AL702" s="7"/>
      <c r="AM702" s="7"/>
      <c r="AN702" s="7"/>
      <c r="AO702" s="7"/>
      <c r="AP702" s="7"/>
      <c r="AQ702" s="7"/>
      <c r="AR702" s="7"/>
      <c r="AS702" s="7"/>
      <c r="AT702" s="7"/>
      <c r="AU702" s="7"/>
      <c r="AV702" s="7">
        <v>25</v>
      </c>
      <c r="AW702" s="7">
        <v>7.2999999999999995E-2</v>
      </c>
      <c r="AX702" s="7"/>
      <c r="AY702" s="7"/>
      <c r="AZ702" s="7"/>
      <c r="BA702" s="7"/>
      <c r="BB702" s="7"/>
      <c r="BC702" s="7"/>
      <c r="BD702" s="7"/>
      <c r="BE702" s="7"/>
      <c r="BF702" s="7"/>
      <c r="BG702" s="7"/>
      <c r="BH702" s="7"/>
      <c r="BI702" s="7"/>
      <c r="BJ702" s="7"/>
      <c r="BK702" s="7"/>
      <c r="BL702" s="7"/>
      <c r="BM702" s="7"/>
      <c r="BN702" s="7"/>
      <c r="BO702" s="7"/>
      <c r="BP702" s="7"/>
      <c r="BQ702" s="7"/>
      <c r="BR702" s="7"/>
      <c r="BS702" s="7"/>
      <c r="BT702" s="7"/>
      <c r="BU702" s="7"/>
      <c r="BV702" s="7">
        <v>7.2999999999999995E-2</v>
      </c>
      <c r="BW702" t="s">
        <v>1051</v>
      </c>
      <c r="BX702" t="str">
        <f t="shared" si="248"/>
        <v>18</v>
      </c>
      <c r="BY702" t="str">
        <f t="shared" si="249"/>
        <v>5</v>
      </c>
      <c r="BZ702" t="str">
        <f t="shared" si="250"/>
        <v>2021</v>
      </c>
      <c r="CA702" s="5">
        <f t="shared" si="239"/>
        <v>44334</v>
      </c>
      <c r="CB702">
        <v>138</v>
      </c>
      <c r="CC702" s="7">
        <v>10</v>
      </c>
      <c r="CE702">
        <f t="shared" si="251"/>
        <v>1.8319928507596068</v>
      </c>
      <c r="CF702">
        <f t="shared" si="252"/>
        <v>1.9595561918396565</v>
      </c>
      <c r="CG702">
        <f t="shared" si="253"/>
        <v>1.9961717254580257E-2</v>
      </c>
      <c r="CH702">
        <f t="shared" si="254"/>
        <v>5.3337030874468478</v>
      </c>
      <c r="CI702">
        <f t="shared" si="255"/>
        <v>1.0179903466432645</v>
      </c>
      <c r="CJ702" s="1">
        <f t="shared" si="256"/>
        <v>1.6586222027204918</v>
      </c>
      <c r="CK702" s="7" t="s">
        <v>142</v>
      </c>
      <c r="CL702" s="7">
        <v>3</v>
      </c>
      <c r="CM702" s="7"/>
      <c r="CN702" s="7"/>
      <c r="CO702" s="7"/>
      <c r="CP702" s="7"/>
    </row>
    <row r="703" spans="1:99" ht="32" x14ac:dyDescent="0.2">
      <c r="A703" s="7" t="s">
        <v>1081</v>
      </c>
      <c r="B703" s="7" t="s">
        <v>60</v>
      </c>
      <c r="C703" t="str">
        <f t="shared" si="235"/>
        <v>I</v>
      </c>
      <c r="D703" t="str">
        <f t="shared" si="236"/>
        <v>S</v>
      </c>
      <c r="E703" t="str">
        <f t="shared" si="237"/>
        <v>G</v>
      </c>
      <c r="F703" s="7">
        <v>80</v>
      </c>
      <c r="G703" s="7">
        <v>75</v>
      </c>
      <c r="H703" s="7">
        <v>9.4710000000000001</v>
      </c>
      <c r="I703" s="7">
        <v>0.158</v>
      </c>
      <c r="J703" s="7">
        <v>0.183</v>
      </c>
      <c r="K703" s="7" t="s">
        <v>868</v>
      </c>
      <c r="L703" t="str">
        <f t="shared" si="238"/>
        <v>M</v>
      </c>
      <c r="M703" s="7">
        <v>30</v>
      </c>
      <c r="N703" s="7">
        <v>0.57899999999999996</v>
      </c>
      <c r="O703" s="7">
        <v>0.52100000000000002</v>
      </c>
      <c r="P703" s="7" t="s">
        <v>1132</v>
      </c>
      <c r="Q703" t="str">
        <f t="shared" si="247"/>
        <v>F</v>
      </c>
      <c r="R703" s="7"/>
      <c r="S703" s="7"/>
      <c r="T703" s="7">
        <v>2</v>
      </c>
      <c r="U703" s="7">
        <v>1.7000000000000001E-2</v>
      </c>
      <c r="V703" s="7">
        <v>1</v>
      </c>
      <c r="W703" s="7">
        <v>5.0000000000000001E-3</v>
      </c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  <c r="AK703" s="7"/>
      <c r="AL703" s="7"/>
      <c r="AM703" s="7"/>
      <c r="AN703" s="7"/>
      <c r="AO703" s="7"/>
      <c r="AP703" s="7"/>
      <c r="AQ703" s="7"/>
      <c r="AR703" s="7"/>
      <c r="AS703" s="7"/>
      <c r="AT703" s="7"/>
      <c r="AU703" s="7"/>
      <c r="AV703" s="7"/>
      <c r="AW703" s="7"/>
      <c r="AX703" s="7"/>
      <c r="AY703" s="7"/>
      <c r="AZ703" s="7"/>
      <c r="BA703" s="7"/>
      <c r="BB703" s="7"/>
      <c r="BC703" s="7"/>
      <c r="BD703" s="7"/>
      <c r="BE703" s="7"/>
      <c r="BF703" s="7"/>
      <c r="BG703" s="7"/>
      <c r="BH703" s="7"/>
      <c r="BI703" s="7"/>
      <c r="BJ703" s="7"/>
      <c r="BK703" s="7"/>
      <c r="BL703" s="7"/>
      <c r="BM703" s="7"/>
      <c r="BN703" s="7"/>
      <c r="BO703" s="7"/>
      <c r="BP703" s="7"/>
      <c r="BQ703" s="7"/>
      <c r="BR703" s="7"/>
      <c r="BS703" s="7"/>
      <c r="BT703" s="7"/>
      <c r="BU703" s="7"/>
      <c r="BV703" s="7">
        <v>2.1999999999999999E-2</v>
      </c>
      <c r="BW703" t="s">
        <v>1051</v>
      </c>
      <c r="BX703" t="str">
        <f t="shared" si="248"/>
        <v>18</v>
      </c>
      <c r="BY703" t="str">
        <f t="shared" si="249"/>
        <v>5</v>
      </c>
      <c r="BZ703" t="str">
        <f t="shared" si="250"/>
        <v>2021</v>
      </c>
      <c r="CA703" s="5">
        <f t="shared" si="239"/>
        <v>44334</v>
      </c>
      <c r="CB703">
        <v>138</v>
      </c>
      <c r="CC703" s="7">
        <v>10</v>
      </c>
      <c r="CE703">
        <f t="shared" si="251"/>
        <v>1.9702842377260981</v>
      </c>
      <c r="CF703">
        <f t="shared" si="252"/>
        <v>1.6965532051970365</v>
      </c>
      <c r="CG703">
        <f t="shared" si="253"/>
        <v>1.7305585980284775E-2</v>
      </c>
      <c r="CH703">
        <f t="shared" si="254"/>
        <v>5.8212290502793298</v>
      </c>
      <c r="CI703">
        <f t="shared" si="255"/>
        <v>0.61239573434695327</v>
      </c>
      <c r="CJ703" s="1">
        <f t="shared" si="256"/>
        <v>0.84468377151303908</v>
      </c>
      <c r="CK703" s="7" t="s">
        <v>142</v>
      </c>
      <c r="CL703" s="7">
        <v>3</v>
      </c>
      <c r="CM703" s="7"/>
      <c r="CN703" s="7"/>
      <c r="CO703" s="7"/>
      <c r="CP703" s="7"/>
    </row>
    <row r="704" spans="1:99" x14ac:dyDescent="0.2">
      <c r="A704" s="7" t="s">
        <v>1180</v>
      </c>
      <c r="B704" s="7" t="s">
        <v>60</v>
      </c>
      <c r="C704" t="str">
        <f t="shared" si="235"/>
        <v>I</v>
      </c>
      <c r="D704" t="str">
        <f t="shared" si="236"/>
        <v>B</v>
      </c>
      <c r="E704" t="str">
        <f t="shared" si="237"/>
        <v>N</v>
      </c>
      <c r="F704" s="7">
        <v>148</v>
      </c>
      <c r="G704" s="7">
        <v>142</v>
      </c>
      <c r="H704" s="7">
        <v>69.778999999999996</v>
      </c>
      <c r="I704" s="7">
        <v>1.8839999999999999</v>
      </c>
      <c r="J704" s="7">
        <v>3.0739999999999998</v>
      </c>
      <c r="K704" s="7" t="s">
        <v>867</v>
      </c>
      <c r="L704" t="str">
        <f t="shared" si="238"/>
        <v>F</v>
      </c>
      <c r="M704" s="7">
        <v>30</v>
      </c>
      <c r="N704" s="7">
        <v>2.782</v>
      </c>
      <c r="O704" s="7">
        <v>2.762</v>
      </c>
      <c r="P704" s="7" t="s">
        <v>36</v>
      </c>
      <c r="Q704" t="str">
        <f t="shared" si="247"/>
        <v>MT</v>
      </c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  <c r="AL704" s="7"/>
      <c r="AM704" s="7"/>
      <c r="AN704" s="7"/>
      <c r="AO704" s="7"/>
      <c r="AP704" s="7"/>
      <c r="AQ704" s="7"/>
      <c r="AR704" s="7"/>
      <c r="AS704" s="7"/>
      <c r="AT704" s="7"/>
      <c r="AU704" s="7"/>
      <c r="AV704" s="7"/>
      <c r="AW704" s="7"/>
      <c r="AX704" s="7"/>
      <c r="AY704" s="7"/>
      <c r="AZ704" s="7"/>
      <c r="BA704" s="7"/>
      <c r="BB704" s="7"/>
      <c r="BC704" s="7"/>
      <c r="BD704" s="7"/>
      <c r="BE704" s="7"/>
      <c r="BF704" s="7"/>
      <c r="BG704" s="7"/>
      <c r="BH704" s="7"/>
      <c r="BI704" s="7"/>
      <c r="BJ704" s="7"/>
      <c r="BK704" s="7"/>
      <c r="BL704" s="7"/>
      <c r="BM704" s="7"/>
      <c r="BN704" s="7"/>
      <c r="BO704" s="7"/>
      <c r="BP704" s="7"/>
      <c r="BQ704" s="7"/>
      <c r="BR704" s="7"/>
      <c r="BS704" s="7"/>
      <c r="BT704" s="7"/>
      <c r="BU704" s="7"/>
      <c r="BW704" s="5">
        <v>44414</v>
      </c>
      <c r="BX704">
        <v>8</v>
      </c>
      <c r="BY704">
        <v>6</v>
      </c>
      <c r="BZ704">
        <v>2021</v>
      </c>
      <c r="CA704" s="5">
        <f t="shared" si="239"/>
        <v>44355</v>
      </c>
      <c r="CB704">
        <v>159</v>
      </c>
      <c r="CC704" s="7">
        <v>11</v>
      </c>
      <c r="CE704">
        <f t="shared" si="251"/>
        <v>4.608350198635784</v>
      </c>
      <c r="CF704">
        <f t="shared" si="252"/>
        <v>2.7748729656086604</v>
      </c>
      <c r="CG704">
        <f t="shared" si="253"/>
        <v>2.906465497292544E-2</v>
      </c>
      <c r="CH704">
        <f t="shared" si="254"/>
        <v>4.1213423459719181</v>
      </c>
      <c r="CI704">
        <f t="shared" si="255"/>
        <v>2.866191834219467E-2</v>
      </c>
      <c r="CJ704" s="1">
        <f t="shared" si="256"/>
        <v>2.866191834219467E-2</v>
      </c>
      <c r="CK704" s="7" t="s">
        <v>142</v>
      </c>
      <c r="CL704" s="7">
        <v>4</v>
      </c>
      <c r="CM704" s="7"/>
      <c r="CN704" s="7"/>
      <c r="CO704" s="7"/>
      <c r="CP704" s="7"/>
    </row>
    <row r="705" spans="1:98" x14ac:dyDescent="0.2">
      <c r="A705" s="7" t="s">
        <v>1195</v>
      </c>
      <c r="B705" s="7" t="s">
        <v>60</v>
      </c>
      <c r="C705" t="str">
        <f t="shared" si="235"/>
        <v>B</v>
      </c>
      <c r="D705" t="str">
        <f t="shared" si="236"/>
        <v>B</v>
      </c>
      <c r="E705" t="str">
        <f t="shared" si="237"/>
        <v>N</v>
      </c>
      <c r="F705" s="7">
        <v>156</v>
      </c>
      <c r="G705" s="7">
        <v>147</v>
      </c>
      <c r="H705" s="7">
        <v>70.730999999999995</v>
      </c>
      <c r="I705" s="7">
        <v>0.82599999999999996</v>
      </c>
      <c r="J705" s="7">
        <v>0.63400000000000001</v>
      </c>
      <c r="K705" s="7" t="s">
        <v>868</v>
      </c>
      <c r="L705" t="str">
        <f t="shared" si="238"/>
        <v>M</v>
      </c>
      <c r="M705" s="7">
        <v>30</v>
      </c>
      <c r="N705" s="7">
        <v>4.5179999999999998</v>
      </c>
      <c r="O705" s="7">
        <v>3.8330000000000002</v>
      </c>
      <c r="P705" s="7" t="s">
        <v>1211</v>
      </c>
      <c r="Q705" t="str">
        <f t="shared" si="247"/>
        <v>F</v>
      </c>
      <c r="R705" s="7"/>
      <c r="S705" s="7"/>
      <c r="T705" s="7"/>
      <c r="U705" s="7"/>
      <c r="V705" s="7"/>
      <c r="W705" s="7"/>
      <c r="X705" s="7">
        <v>1</v>
      </c>
      <c r="Y705" s="7">
        <v>0.59</v>
      </c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  <c r="AK705" s="7"/>
      <c r="AL705" s="7"/>
      <c r="AM705" s="7"/>
      <c r="AN705" s="7"/>
      <c r="AO705" s="7"/>
      <c r="AP705" s="7"/>
      <c r="AQ705" s="7"/>
      <c r="AR705" s="7"/>
      <c r="AS705" s="7"/>
      <c r="AT705" s="7"/>
      <c r="AU705" s="7"/>
      <c r="AV705" s="7"/>
      <c r="AW705" s="7"/>
      <c r="AX705" s="7"/>
      <c r="AY705" s="7"/>
      <c r="AZ705" s="7"/>
      <c r="BA705" s="7"/>
      <c r="BB705" s="7"/>
      <c r="BC705" s="7"/>
      <c r="BD705" s="7"/>
      <c r="BE705" s="7"/>
      <c r="BF705" s="7"/>
      <c r="BG705" s="7"/>
      <c r="BH705" s="7"/>
      <c r="BI705" s="7"/>
      <c r="BJ705" s="7"/>
      <c r="BK705" s="7"/>
      <c r="BL705" s="7"/>
      <c r="BM705" s="7"/>
      <c r="BN705" s="7"/>
      <c r="BO705" s="7"/>
      <c r="BP705" s="7"/>
      <c r="BQ705" s="7"/>
      <c r="BR705" s="7"/>
      <c r="BS705" s="7"/>
      <c r="BT705" s="7"/>
      <c r="BU705" s="7"/>
      <c r="BV705" s="7">
        <v>0.59</v>
      </c>
      <c r="BW705" s="5">
        <v>44414</v>
      </c>
      <c r="BX705">
        <v>8</v>
      </c>
      <c r="BY705">
        <v>6</v>
      </c>
      <c r="BZ705">
        <v>2021</v>
      </c>
      <c r="CA705" s="5">
        <f t="shared" si="239"/>
        <v>44355</v>
      </c>
      <c r="CB705">
        <v>159</v>
      </c>
      <c r="CC705" s="7">
        <v>11</v>
      </c>
      <c r="CE705">
        <f t="shared" si="251"/>
        <v>0.90446096123942532</v>
      </c>
      <c r="CF705">
        <f t="shared" si="252"/>
        <v>1.1816036048923539</v>
      </c>
      <c r="CG705">
        <f t="shared" si="253"/>
        <v>1.1924181836554979E-2</v>
      </c>
      <c r="CH705">
        <f t="shared" si="254"/>
        <v>5.7296182247600829</v>
      </c>
      <c r="CI705">
        <f t="shared" si="255"/>
        <v>0.96845796044167287</v>
      </c>
      <c r="CJ705" s="1">
        <f t="shared" si="256"/>
        <v>1.8026042329388803</v>
      </c>
      <c r="CK705" s="7" t="s">
        <v>142</v>
      </c>
      <c r="CL705" s="7">
        <v>3</v>
      </c>
      <c r="CM705" s="7"/>
      <c r="CN705" s="7"/>
      <c r="CO705" s="7"/>
      <c r="CP705" s="7"/>
    </row>
    <row r="706" spans="1:98" x14ac:dyDescent="0.2">
      <c r="A706" s="7" t="s">
        <v>1196</v>
      </c>
      <c r="B706" s="7" t="s">
        <v>60</v>
      </c>
      <c r="C706" t="str">
        <f t="shared" ref="C706:C764" si="257">IF(F706&gt;=150,"B",IF(F706&lt;=60,"S","I"))</f>
        <v>I</v>
      </c>
      <c r="D706" t="str">
        <f t="shared" ref="D706:D764" si="258">IF(F706&gt;=110,"B",IF(F706&gt;=85,"I",IF(F706&gt;=65,"S","IMM")))</f>
        <v>B</v>
      </c>
      <c r="E706" t="str">
        <f t="shared" ref="E706:E764" si="259">IF(AND(F706&gt;=60,F706&lt;=110),"G","N")</f>
        <v>N</v>
      </c>
      <c r="F706" s="7">
        <v>134</v>
      </c>
      <c r="G706" s="7">
        <v>124</v>
      </c>
      <c r="H706" s="7">
        <v>46.680999999999997</v>
      </c>
      <c r="I706" s="7">
        <v>1.006</v>
      </c>
      <c r="J706" s="7">
        <v>3.988</v>
      </c>
      <c r="K706" s="7" t="s">
        <v>867</v>
      </c>
      <c r="L706" t="str">
        <f t="shared" ref="L706:L764" si="260">LEFT(K706,1)</f>
        <v>F</v>
      </c>
      <c r="M706" s="7">
        <v>30</v>
      </c>
      <c r="N706" s="7">
        <v>1.8109999999999999</v>
      </c>
      <c r="O706" s="7">
        <v>1.7749999999999999</v>
      </c>
      <c r="P706" s="7" t="s">
        <v>36</v>
      </c>
      <c r="Q706" t="str">
        <f t="shared" si="247"/>
        <v>MT</v>
      </c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  <c r="AL706" s="7"/>
      <c r="AM706" s="7"/>
      <c r="AN706" s="7"/>
      <c r="AO706" s="7"/>
      <c r="AP706" s="7"/>
      <c r="AQ706" s="7"/>
      <c r="AR706" s="7"/>
      <c r="AS706" s="7"/>
      <c r="AT706" s="7"/>
      <c r="AU706" s="7"/>
      <c r="AV706" s="7"/>
      <c r="AW706" s="7"/>
      <c r="AX706" s="7"/>
      <c r="AY706" s="7"/>
      <c r="AZ706" s="7"/>
      <c r="BA706" s="7"/>
      <c r="BB706" s="7"/>
      <c r="BC706" s="7"/>
      <c r="BD706" s="7"/>
      <c r="BE706" s="7"/>
      <c r="BF706" s="7"/>
      <c r="BG706" s="7"/>
      <c r="BH706" s="7"/>
      <c r="BI706" s="7"/>
      <c r="BJ706" s="7"/>
      <c r="BK706" s="7"/>
      <c r="BL706" s="7"/>
      <c r="BM706" s="7"/>
      <c r="BN706" s="7"/>
      <c r="BO706" s="7"/>
      <c r="BP706" s="7"/>
      <c r="BQ706" s="7"/>
      <c r="BR706" s="7"/>
      <c r="BS706" s="7"/>
      <c r="BT706" s="7"/>
      <c r="BU706" s="7"/>
      <c r="BW706" s="5">
        <v>44414</v>
      </c>
      <c r="BX706">
        <v>8</v>
      </c>
      <c r="BY706">
        <v>6</v>
      </c>
      <c r="BZ706">
        <v>2021</v>
      </c>
      <c r="CA706" s="5">
        <f t="shared" si="239"/>
        <v>44355</v>
      </c>
      <c r="CB706">
        <v>159</v>
      </c>
      <c r="CC706" s="7">
        <v>11</v>
      </c>
      <c r="CE706">
        <f t="shared" si="251"/>
        <v>9.3411097838053081</v>
      </c>
      <c r="CF706">
        <f t="shared" si="252"/>
        <v>2.2025177887246854</v>
      </c>
      <c r="CG706">
        <f t="shared" si="253"/>
        <v>2.4132223474944228E-2</v>
      </c>
      <c r="CH706">
        <f t="shared" si="254"/>
        <v>3.9527011980581657</v>
      </c>
      <c r="CI706">
        <f t="shared" si="255"/>
        <v>7.7119170540476928E-2</v>
      </c>
      <c r="CJ706" s="1">
        <f t="shared" si="256"/>
        <v>7.7119170540476928E-2</v>
      </c>
      <c r="CK706" s="7" t="s">
        <v>142</v>
      </c>
      <c r="CL706" s="7">
        <v>3</v>
      </c>
      <c r="CM706" s="7"/>
      <c r="CN706" s="7"/>
      <c r="CO706" s="7"/>
      <c r="CP706" s="7"/>
    </row>
    <row r="707" spans="1:98" x14ac:dyDescent="0.2">
      <c r="A707" s="7" t="s">
        <v>1197</v>
      </c>
      <c r="B707" s="7" t="s">
        <v>60</v>
      </c>
      <c r="C707" t="str">
        <f t="shared" si="257"/>
        <v>I</v>
      </c>
      <c r="D707" t="str">
        <f t="shared" si="258"/>
        <v>B</v>
      </c>
      <c r="E707" t="str">
        <f t="shared" si="259"/>
        <v>N</v>
      </c>
      <c r="F707" s="7">
        <v>115</v>
      </c>
      <c r="G707" s="7">
        <v>107</v>
      </c>
      <c r="H707" s="7">
        <v>28.588000000000001</v>
      </c>
      <c r="I707" s="7">
        <v>0.60699999999999998</v>
      </c>
      <c r="J707" s="7">
        <v>1.5349999999999999</v>
      </c>
      <c r="K707" s="7" t="s">
        <v>867</v>
      </c>
      <c r="L707" t="str">
        <f t="shared" si="260"/>
        <v>F</v>
      </c>
      <c r="M707" s="7">
        <v>30</v>
      </c>
      <c r="N707" s="7">
        <v>1.304</v>
      </c>
      <c r="O707" s="7">
        <v>1.1479999999999999</v>
      </c>
      <c r="P707" s="7" t="s">
        <v>1212</v>
      </c>
      <c r="Q707" t="str">
        <f t="shared" si="247"/>
        <v>F</v>
      </c>
      <c r="R707" s="7"/>
      <c r="S707" s="7"/>
      <c r="T707" s="7"/>
      <c r="U707" s="7"/>
      <c r="V707" s="7">
        <v>2</v>
      </c>
      <c r="W707" s="7">
        <v>0.127</v>
      </c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  <c r="AK707" s="7"/>
      <c r="AL707" s="7"/>
      <c r="AM707" s="7"/>
      <c r="AN707" s="7"/>
      <c r="AO707" s="7"/>
      <c r="AP707" s="7"/>
      <c r="AQ707" s="7"/>
      <c r="AR707" s="7"/>
      <c r="AS707" s="7"/>
      <c r="AT707" s="7"/>
      <c r="AU707" s="7"/>
      <c r="AV707" s="7"/>
      <c r="AW707" s="7"/>
      <c r="AX707" s="7"/>
      <c r="AY707" s="7"/>
      <c r="AZ707" s="7"/>
      <c r="BA707" s="7"/>
      <c r="BB707" s="7"/>
      <c r="BC707" s="7"/>
      <c r="BD707" s="7"/>
      <c r="BE707" s="7"/>
      <c r="BF707" s="7"/>
      <c r="BG707" s="7"/>
      <c r="BH707" s="7"/>
      <c r="BI707" s="7"/>
      <c r="BJ707" s="7"/>
      <c r="BK707" s="7"/>
      <c r="BL707" s="7"/>
      <c r="BM707" s="7"/>
      <c r="BN707" s="7"/>
      <c r="BO707" s="7"/>
      <c r="BP707" s="7"/>
      <c r="BQ707" s="7"/>
      <c r="BR707" s="7"/>
      <c r="BS707" s="7"/>
      <c r="BT707" s="7"/>
      <c r="BU707" s="7"/>
      <c r="BV707" s="7">
        <v>0.127</v>
      </c>
      <c r="BW707" s="5">
        <v>44414</v>
      </c>
      <c r="BX707">
        <v>8</v>
      </c>
      <c r="BY707">
        <v>6</v>
      </c>
      <c r="BZ707">
        <v>2021</v>
      </c>
      <c r="CA707" s="5">
        <f t="shared" ref="CA707:CA764" si="261">DATE(BZ707,BY707,BX707)</f>
        <v>44355</v>
      </c>
      <c r="CB707">
        <v>159</v>
      </c>
      <c r="CC707" s="7">
        <v>11</v>
      </c>
      <c r="CE707">
        <f t="shared" si="251"/>
        <v>5.674047240601781</v>
      </c>
      <c r="CF707">
        <f t="shared" si="252"/>
        <v>2.1693291876630569</v>
      </c>
      <c r="CG707">
        <f t="shared" si="253"/>
        <v>2.29524313695833E-2</v>
      </c>
      <c r="CH707">
        <f t="shared" si="254"/>
        <v>4.1836734693877542</v>
      </c>
      <c r="CI707">
        <f t="shared" si="255"/>
        <v>0.54568350356793105</v>
      </c>
      <c r="CJ707" s="1">
        <f t="shared" si="256"/>
        <v>0.98992584301105402</v>
      </c>
      <c r="CK707" s="7" t="s">
        <v>142</v>
      </c>
      <c r="CL707" s="7">
        <v>2</v>
      </c>
      <c r="CM707" s="7"/>
      <c r="CN707" s="7"/>
      <c r="CO707" s="7"/>
      <c r="CP707" s="7"/>
    </row>
    <row r="708" spans="1:98" x14ac:dyDescent="0.2">
      <c r="A708" s="7" t="s">
        <v>1198</v>
      </c>
      <c r="B708" s="7" t="s">
        <v>60</v>
      </c>
      <c r="C708" t="str">
        <f t="shared" si="257"/>
        <v>I</v>
      </c>
      <c r="D708" t="str">
        <f t="shared" si="258"/>
        <v>I</v>
      </c>
      <c r="E708" t="str">
        <f t="shared" si="259"/>
        <v>G</v>
      </c>
      <c r="F708" s="7">
        <v>108</v>
      </c>
      <c r="G708" s="7">
        <v>103</v>
      </c>
      <c r="H708" s="7">
        <v>23.125</v>
      </c>
      <c r="I708" s="7">
        <v>0.222</v>
      </c>
      <c r="J708" s="7">
        <v>8.5000000000000006E-2</v>
      </c>
      <c r="K708" s="7" t="s">
        <v>1210</v>
      </c>
      <c r="L708" t="str">
        <f t="shared" si="260"/>
        <v>F</v>
      </c>
      <c r="M708" s="7">
        <v>40</v>
      </c>
      <c r="N708" s="7">
        <v>0.96599999999999997</v>
      </c>
      <c r="O708" s="7">
        <v>0.94799999999999995</v>
      </c>
      <c r="P708" s="7" t="s">
        <v>36</v>
      </c>
      <c r="Q708" t="str">
        <f t="shared" si="247"/>
        <v>MT</v>
      </c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  <c r="AL708" s="7"/>
      <c r="AM708" s="7"/>
      <c r="AN708" s="7"/>
      <c r="AO708" s="7"/>
      <c r="AP708" s="7"/>
      <c r="AQ708" s="7"/>
      <c r="AR708" s="7"/>
      <c r="AS708" s="7"/>
      <c r="AT708" s="7"/>
      <c r="AU708" s="7"/>
      <c r="AV708" s="7"/>
      <c r="AW708" s="7"/>
      <c r="AX708" s="7"/>
      <c r="AY708" s="7"/>
      <c r="AZ708" s="7"/>
      <c r="BA708" s="7"/>
      <c r="BB708" s="7"/>
      <c r="BC708" s="7"/>
      <c r="BD708" s="7"/>
      <c r="BE708" s="7"/>
      <c r="BF708" s="7"/>
      <c r="BG708" s="7"/>
      <c r="BH708" s="7"/>
      <c r="BI708" s="7"/>
      <c r="BJ708" s="7"/>
      <c r="BK708" s="7"/>
      <c r="BL708" s="7"/>
      <c r="BM708" s="7"/>
      <c r="BN708" s="7"/>
      <c r="BO708" s="7"/>
      <c r="BP708" s="7"/>
      <c r="BQ708" s="7"/>
      <c r="BR708" s="7"/>
      <c r="BS708" s="7"/>
      <c r="BT708" s="7"/>
      <c r="BU708" s="7"/>
      <c r="BW708" s="5">
        <v>44414</v>
      </c>
      <c r="BX708">
        <v>8</v>
      </c>
      <c r="BY708">
        <v>6</v>
      </c>
      <c r="BZ708">
        <v>2021</v>
      </c>
      <c r="CA708" s="5">
        <f t="shared" si="261"/>
        <v>44355</v>
      </c>
      <c r="CB708">
        <v>159</v>
      </c>
      <c r="CC708" s="7">
        <v>11</v>
      </c>
      <c r="CE708">
        <f t="shared" si="251"/>
        <v>0.36892361111111116</v>
      </c>
      <c r="CF708">
        <f t="shared" si="252"/>
        <v>0.96930533117932161</v>
      </c>
      <c r="CG708">
        <f t="shared" si="253"/>
        <v>9.7291611885353679E-3</v>
      </c>
      <c r="CH708">
        <f t="shared" si="254"/>
        <v>4.2746990124904176</v>
      </c>
      <c r="CI708">
        <f t="shared" si="255"/>
        <v>7.7837837837837917E-2</v>
      </c>
      <c r="CJ708" s="1">
        <f t="shared" si="256"/>
        <v>7.7837837837837917E-2</v>
      </c>
      <c r="CK708" s="7" t="s">
        <v>142</v>
      </c>
      <c r="CL708" s="7">
        <v>2</v>
      </c>
      <c r="CM708" s="7"/>
      <c r="CN708" s="7"/>
      <c r="CO708" s="7"/>
      <c r="CP708" s="7"/>
      <c r="CQ708" s="12">
        <v>7.5999999999999998E-2</v>
      </c>
      <c r="CR708">
        <f>CQ708/(H708-I708-J708-N708)*1000</f>
        <v>3.4779425224235774</v>
      </c>
      <c r="CT708">
        <v>114.83850074621313</v>
      </c>
    </row>
    <row r="709" spans="1:98" x14ac:dyDescent="0.2">
      <c r="A709" s="7" t="s">
        <v>1199</v>
      </c>
      <c r="B709" s="7" t="s">
        <v>60</v>
      </c>
      <c r="C709" t="str">
        <f t="shared" si="257"/>
        <v>I</v>
      </c>
      <c r="D709" t="str">
        <f t="shared" si="258"/>
        <v>B</v>
      </c>
      <c r="E709" t="str">
        <f t="shared" si="259"/>
        <v>N</v>
      </c>
      <c r="F709" s="7">
        <v>137</v>
      </c>
      <c r="G709" s="7">
        <v>132</v>
      </c>
      <c r="H709" s="7">
        <v>49.625</v>
      </c>
      <c r="I709" s="7">
        <v>1.306</v>
      </c>
      <c r="J709" s="7">
        <v>4.5910000000000002</v>
      </c>
      <c r="K709" s="7" t="s">
        <v>867</v>
      </c>
      <c r="L709" t="str">
        <f t="shared" si="260"/>
        <v>F</v>
      </c>
      <c r="M709" s="7">
        <v>30</v>
      </c>
      <c r="N709" s="7">
        <v>1.964</v>
      </c>
      <c r="O709" s="7">
        <v>1.9419999999999999</v>
      </c>
      <c r="P709" s="7" t="s">
        <v>36</v>
      </c>
      <c r="Q709" t="str">
        <f t="shared" si="247"/>
        <v>MT</v>
      </c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  <c r="AK709" s="7"/>
      <c r="AL709" s="7"/>
      <c r="AM709" s="7"/>
      <c r="AN709" s="7"/>
      <c r="AO709" s="7"/>
      <c r="AP709" s="7"/>
      <c r="AQ709" s="7"/>
      <c r="AR709" s="7"/>
      <c r="AS709" s="7"/>
      <c r="AT709" s="7"/>
      <c r="AU709" s="7"/>
      <c r="AV709" s="7"/>
      <c r="AW709" s="7"/>
      <c r="AX709" s="7"/>
      <c r="AY709" s="7"/>
      <c r="AZ709" s="7"/>
      <c r="BA709" s="7"/>
      <c r="BB709" s="7"/>
      <c r="BC709" s="7"/>
      <c r="BD709" s="7"/>
      <c r="BE709" s="7"/>
      <c r="BF709" s="7"/>
      <c r="BG709" s="7"/>
      <c r="BH709" s="7"/>
      <c r="BI709" s="7"/>
      <c r="BJ709" s="7"/>
      <c r="BK709" s="7"/>
      <c r="BL709" s="7"/>
      <c r="BM709" s="7"/>
      <c r="BN709" s="7"/>
      <c r="BO709" s="7"/>
      <c r="BP709" s="7"/>
      <c r="BQ709" s="7"/>
      <c r="BR709" s="7"/>
      <c r="BS709" s="7"/>
      <c r="BT709" s="7"/>
      <c r="BU709" s="7"/>
      <c r="BW709" s="5">
        <v>44414</v>
      </c>
      <c r="BX709">
        <v>8</v>
      </c>
      <c r="BY709">
        <v>6</v>
      </c>
      <c r="BZ709">
        <v>2021</v>
      </c>
      <c r="CA709" s="5">
        <f t="shared" si="261"/>
        <v>44355</v>
      </c>
      <c r="CB709">
        <v>159</v>
      </c>
      <c r="CC709" s="7">
        <v>11</v>
      </c>
      <c r="CE709">
        <f t="shared" si="251"/>
        <v>10.194519696229516</v>
      </c>
      <c r="CF709">
        <f t="shared" si="252"/>
        <v>2.7028705064260432</v>
      </c>
      <c r="CG709">
        <f t="shared" si="253"/>
        <v>2.9866447127698498E-2</v>
      </c>
      <c r="CH709">
        <f t="shared" si="254"/>
        <v>4.0727303231759739</v>
      </c>
      <c r="CI709">
        <f t="shared" si="255"/>
        <v>4.4332493702770814E-2</v>
      </c>
      <c r="CJ709" s="1">
        <f t="shared" si="256"/>
        <v>4.4332493702770814E-2</v>
      </c>
      <c r="CK709" s="7" t="s">
        <v>142</v>
      </c>
      <c r="CL709" s="7">
        <v>3</v>
      </c>
      <c r="CM709" s="7"/>
      <c r="CN709" s="7"/>
      <c r="CO709" s="7"/>
      <c r="CP709" s="7"/>
    </row>
    <row r="710" spans="1:98" x14ac:dyDescent="0.2">
      <c r="A710" s="7" t="s">
        <v>1200</v>
      </c>
      <c r="B710" s="7" t="s">
        <v>60</v>
      </c>
      <c r="C710" t="str">
        <f t="shared" si="257"/>
        <v>I</v>
      </c>
      <c r="D710" t="str">
        <f t="shared" si="258"/>
        <v>I</v>
      </c>
      <c r="E710" t="str">
        <f t="shared" si="259"/>
        <v>G</v>
      </c>
      <c r="F710" s="7">
        <v>97</v>
      </c>
      <c r="G710" s="7">
        <v>91</v>
      </c>
      <c r="H710" s="7">
        <v>16.635000000000002</v>
      </c>
      <c r="I710" s="7">
        <v>0.40300000000000002</v>
      </c>
      <c r="J710" s="7">
        <v>1.1599999999999999</v>
      </c>
      <c r="K710" s="7" t="s">
        <v>867</v>
      </c>
      <c r="L710" t="str">
        <f t="shared" si="260"/>
        <v>F</v>
      </c>
      <c r="M710" s="7">
        <v>30</v>
      </c>
      <c r="N710" s="7">
        <v>0.60899999999999999</v>
      </c>
      <c r="O710" s="7">
        <v>0.58299999999999996</v>
      </c>
      <c r="P710" s="7" t="s">
        <v>36</v>
      </c>
      <c r="Q710" t="str">
        <f t="shared" si="247"/>
        <v>MT</v>
      </c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  <c r="AL710" s="7"/>
      <c r="AM710" s="7"/>
      <c r="AN710" s="7"/>
      <c r="AO710" s="7"/>
      <c r="AP710" s="7"/>
      <c r="AQ710" s="7"/>
      <c r="AR710" s="7"/>
      <c r="AS710" s="7"/>
      <c r="AT710" s="7"/>
      <c r="AU710" s="7"/>
      <c r="AV710" s="7"/>
      <c r="AW710" s="7"/>
      <c r="AX710" s="7"/>
      <c r="AY710" s="7"/>
      <c r="AZ710" s="7"/>
      <c r="BA710" s="7"/>
      <c r="BB710" s="7"/>
      <c r="BC710" s="7"/>
      <c r="BD710" s="7"/>
      <c r="BE710" s="7"/>
      <c r="BF710" s="7"/>
      <c r="BG710" s="7"/>
      <c r="BH710" s="7"/>
      <c r="BI710" s="7"/>
      <c r="BJ710" s="7"/>
      <c r="BK710" s="7"/>
      <c r="BL710" s="7"/>
      <c r="BM710" s="7"/>
      <c r="BN710" s="7"/>
      <c r="BO710" s="7"/>
      <c r="BP710" s="7"/>
      <c r="BQ710" s="7"/>
      <c r="BR710" s="7"/>
      <c r="BS710" s="7"/>
      <c r="BT710" s="7"/>
      <c r="BU710" s="7"/>
      <c r="BW710" s="5">
        <v>44414</v>
      </c>
      <c r="BX710">
        <v>8</v>
      </c>
      <c r="BY710">
        <v>6</v>
      </c>
      <c r="BZ710">
        <v>2021</v>
      </c>
      <c r="CA710" s="5">
        <f t="shared" si="261"/>
        <v>44355</v>
      </c>
      <c r="CB710">
        <v>159</v>
      </c>
      <c r="CC710" s="7">
        <v>11</v>
      </c>
      <c r="CE710">
        <f t="shared" si="251"/>
        <v>7.4959612277867516</v>
      </c>
      <c r="CF710">
        <f t="shared" si="252"/>
        <v>2.4827501232134055</v>
      </c>
      <c r="CG710">
        <f t="shared" si="253"/>
        <v>2.6738322717622078E-2</v>
      </c>
      <c r="CH710">
        <f t="shared" si="254"/>
        <v>3.6319461749314721</v>
      </c>
      <c r="CI710">
        <f t="shared" si="255"/>
        <v>0.15629696423204101</v>
      </c>
      <c r="CJ710" s="1">
        <f t="shared" si="256"/>
        <v>0.15629696423204101</v>
      </c>
      <c r="CK710" s="7" t="s">
        <v>142</v>
      </c>
      <c r="CL710" s="7">
        <v>3</v>
      </c>
      <c r="CM710" s="7"/>
      <c r="CN710" s="7"/>
      <c r="CO710" s="7"/>
      <c r="CP710" s="7"/>
    </row>
    <row r="711" spans="1:98" x14ac:dyDescent="0.2">
      <c r="A711" s="7" t="s">
        <v>1201</v>
      </c>
      <c r="B711" s="7" t="s">
        <v>60</v>
      </c>
      <c r="C711" t="str">
        <f t="shared" si="257"/>
        <v>I</v>
      </c>
      <c r="D711" t="str">
        <f t="shared" si="258"/>
        <v>I</v>
      </c>
      <c r="E711" t="str">
        <f t="shared" si="259"/>
        <v>G</v>
      </c>
      <c r="F711" s="7">
        <v>92</v>
      </c>
      <c r="G711" s="7">
        <v>88</v>
      </c>
      <c r="H711" s="7">
        <v>14.39</v>
      </c>
      <c r="I711" s="7">
        <v>0.32</v>
      </c>
      <c r="J711" s="7">
        <v>1.4890000000000001</v>
      </c>
      <c r="K711" s="7" t="s">
        <v>867</v>
      </c>
      <c r="L711" t="str">
        <f t="shared" si="260"/>
        <v>F</v>
      </c>
      <c r="M711" s="7">
        <v>30</v>
      </c>
      <c r="N711" s="7">
        <v>0.502</v>
      </c>
      <c r="O711" s="7">
        <v>0.48699999999999999</v>
      </c>
      <c r="P711" s="7" t="s">
        <v>1213</v>
      </c>
      <c r="Q711" t="str">
        <f t="shared" si="247"/>
        <v>F</v>
      </c>
      <c r="R711" s="7"/>
      <c r="S711" s="7"/>
      <c r="T711" s="7"/>
      <c r="U711" s="7"/>
      <c r="V711" s="7"/>
      <c r="W711" s="7"/>
      <c r="X711" s="7"/>
      <c r="Y711" s="7"/>
      <c r="Z711" s="7">
        <v>1</v>
      </c>
      <c r="AA711" s="7">
        <v>6.0000000000000001E-3</v>
      </c>
      <c r="AB711" s="7"/>
      <c r="AC711" s="7"/>
      <c r="AD711" s="7"/>
      <c r="AE711" s="7"/>
      <c r="AF711" s="7"/>
      <c r="AG711" s="7"/>
      <c r="AH711" s="7"/>
      <c r="AI711" s="7"/>
      <c r="AJ711" s="7"/>
      <c r="AK711" s="7"/>
      <c r="AL711" s="7"/>
      <c r="AM711" s="7"/>
      <c r="AN711" s="7"/>
      <c r="AO711" s="7"/>
      <c r="AP711" s="7"/>
      <c r="AQ711" s="7"/>
      <c r="AR711" s="7"/>
      <c r="AS711" s="7"/>
      <c r="AT711" s="7"/>
      <c r="AU711" s="7"/>
      <c r="AV711" s="7"/>
      <c r="AW711" s="7"/>
      <c r="AX711" s="7"/>
      <c r="AY711" s="7"/>
      <c r="AZ711" s="7"/>
      <c r="BA711" s="7"/>
      <c r="BB711" s="7"/>
      <c r="BC711" s="7"/>
      <c r="BD711" s="7"/>
      <c r="BE711" s="7"/>
      <c r="BF711" s="7"/>
      <c r="BG711" s="7"/>
      <c r="BH711" s="7"/>
      <c r="BI711" s="7"/>
      <c r="BJ711" s="7"/>
      <c r="BK711" s="7"/>
      <c r="BL711" s="7"/>
      <c r="BM711" s="7"/>
      <c r="BN711" s="7"/>
      <c r="BO711" s="7"/>
      <c r="BP711" s="7"/>
      <c r="BQ711" s="7"/>
      <c r="BR711" s="7"/>
      <c r="BS711" s="7"/>
      <c r="BT711" s="7"/>
      <c r="BU711" s="7"/>
      <c r="BV711" s="7">
        <v>6.0000000000000001E-3</v>
      </c>
      <c r="BW711" s="5">
        <v>44414</v>
      </c>
      <c r="BX711">
        <v>8</v>
      </c>
      <c r="BY711">
        <v>6</v>
      </c>
      <c r="BZ711">
        <v>2021</v>
      </c>
      <c r="CA711" s="5">
        <f t="shared" si="261"/>
        <v>44355</v>
      </c>
      <c r="CB711">
        <v>159</v>
      </c>
      <c r="CC711" s="7">
        <v>11</v>
      </c>
      <c r="CE711">
        <f t="shared" si="251"/>
        <v>11.541740950313931</v>
      </c>
      <c r="CF711">
        <f t="shared" si="252"/>
        <v>2.2743425728500357</v>
      </c>
      <c r="CG711">
        <f t="shared" si="253"/>
        <v>2.5435180033383676E-2</v>
      </c>
      <c r="CH711">
        <f t="shared" si="254"/>
        <v>3.5028411134287563</v>
      </c>
      <c r="CI711">
        <f t="shared" si="255"/>
        <v>0.10423905489923566</v>
      </c>
      <c r="CJ711" s="1">
        <f t="shared" si="256"/>
        <v>0.14593467685892988</v>
      </c>
      <c r="CK711" s="7" t="s">
        <v>142</v>
      </c>
      <c r="CL711" s="7">
        <v>3</v>
      </c>
      <c r="CM711" s="7"/>
      <c r="CN711" s="7"/>
      <c r="CO711" s="7"/>
      <c r="CP711" s="7"/>
      <c r="CQ711" s="12">
        <v>2.5999999999999999E-3</v>
      </c>
      <c r="CR711">
        <f>CQ711/(H711-I711-J711-N711)*1000</f>
        <v>0.21524960675552612</v>
      </c>
      <c r="CT711">
        <v>107.67548177054729</v>
      </c>
    </row>
    <row r="712" spans="1:98" x14ac:dyDescent="0.2">
      <c r="A712" s="7" t="s">
        <v>1202</v>
      </c>
      <c r="B712" s="7" t="s">
        <v>60</v>
      </c>
      <c r="C712" t="str">
        <f t="shared" si="257"/>
        <v>I</v>
      </c>
      <c r="D712" t="str">
        <f t="shared" si="258"/>
        <v>S</v>
      </c>
      <c r="E712" t="str">
        <f t="shared" si="259"/>
        <v>G</v>
      </c>
      <c r="F712" s="7">
        <v>79</v>
      </c>
      <c r="G712" s="7">
        <v>75</v>
      </c>
      <c r="H712" s="7">
        <v>8.4740000000000002</v>
      </c>
      <c r="I712" s="7">
        <v>0.156</v>
      </c>
      <c r="J712" s="7">
        <v>1.091</v>
      </c>
      <c r="K712" s="7" t="s">
        <v>867</v>
      </c>
      <c r="L712" t="str">
        <f t="shared" si="260"/>
        <v>F</v>
      </c>
      <c r="M712" s="7">
        <v>30</v>
      </c>
      <c r="N712" s="7">
        <v>0.28599999999999998</v>
      </c>
      <c r="O712" s="7">
        <v>0.27400000000000002</v>
      </c>
      <c r="P712" s="7" t="s">
        <v>36</v>
      </c>
      <c r="Q712" t="str">
        <f t="shared" si="247"/>
        <v>MT</v>
      </c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  <c r="AL712" s="7"/>
      <c r="AM712" s="7"/>
      <c r="AN712" s="7"/>
      <c r="AO712" s="7"/>
      <c r="AP712" s="7"/>
      <c r="AQ712" s="7"/>
      <c r="AR712" s="7"/>
      <c r="AS712" s="7"/>
      <c r="AT712" s="7"/>
      <c r="AU712" s="7"/>
      <c r="AV712" s="7"/>
      <c r="AW712" s="7"/>
      <c r="AX712" s="7"/>
      <c r="AY712" s="7"/>
      <c r="AZ712" s="7"/>
      <c r="BA712" s="7"/>
      <c r="BB712" s="7"/>
      <c r="BC712" s="7"/>
      <c r="BD712" s="7"/>
      <c r="BE712" s="7"/>
      <c r="BF712" s="7"/>
      <c r="BG712" s="7"/>
      <c r="BH712" s="7"/>
      <c r="BI712" s="7"/>
      <c r="BJ712" s="7"/>
      <c r="BK712" s="7"/>
      <c r="BL712" s="7"/>
      <c r="BM712" s="7"/>
      <c r="BN712" s="7"/>
      <c r="BO712" s="7"/>
      <c r="BP712" s="7"/>
      <c r="BQ712" s="7"/>
      <c r="BR712" s="7"/>
      <c r="BS712" s="7"/>
      <c r="BT712" s="7"/>
      <c r="BU712" s="7"/>
      <c r="BW712" s="5">
        <v>44414</v>
      </c>
      <c r="BX712">
        <v>8</v>
      </c>
      <c r="BY712">
        <v>6</v>
      </c>
      <c r="BZ712">
        <v>2021</v>
      </c>
      <c r="CA712" s="5">
        <f t="shared" si="261"/>
        <v>44355</v>
      </c>
      <c r="CB712">
        <v>159</v>
      </c>
      <c r="CC712" s="7">
        <v>11</v>
      </c>
      <c r="CE712">
        <f t="shared" si="251"/>
        <v>14.77719084383042</v>
      </c>
      <c r="CF712">
        <f t="shared" si="252"/>
        <v>1.8754508295263286</v>
      </c>
      <c r="CG712">
        <f t="shared" si="253"/>
        <v>2.1585720215857203E-2</v>
      </c>
      <c r="CH712">
        <f t="shared" si="254"/>
        <v>3.3414634146341471</v>
      </c>
      <c r="CI712">
        <f t="shared" si="255"/>
        <v>0.1416096294548024</v>
      </c>
      <c r="CJ712" s="1">
        <f t="shared" si="256"/>
        <v>0.1416096294548024</v>
      </c>
      <c r="CK712" s="7" t="s">
        <v>142</v>
      </c>
      <c r="CL712" s="7">
        <v>2</v>
      </c>
      <c r="CM712" s="7"/>
      <c r="CN712" s="7"/>
      <c r="CO712" s="7"/>
      <c r="CP712" s="7"/>
    </row>
    <row r="713" spans="1:98" x14ac:dyDescent="0.2">
      <c r="A713" s="7" t="s">
        <v>1203</v>
      </c>
      <c r="B713" s="7" t="s">
        <v>60</v>
      </c>
      <c r="C713" t="str">
        <f t="shared" si="257"/>
        <v>I</v>
      </c>
      <c r="D713" t="str">
        <f t="shared" si="258"/>
        <v>S</v>
      </c>
      <c r="E713" t="str">
        <f t="shared" si="259"/>
        <v>G</v>
      </c>
      <c r="F713" s="7">
        <v>84</v>
      </c>
      <c r="G713" s="7">
        <v>78</v>
      </c>
      <c r="H713" s="7">
        <v>10.51</v>
      </c>
      <c r="I713" s="7">
        <v>0.33200000000000002</v>
      </c>
      <c r="J713" s="7">
        <v>0.73099999999999998</v>
      </c>
      <c r="K713" s="7" t="s">
        <v>867</v>
      </c>
      <c r="L713" t="str">
        <f t="shared" si="260"/>
        <v>F</v>
      </c>
      <c r="M713" s="7">
        <v>30</v>
      </c>
      <c r="N713" s="7">
        <v>0.45400000000000001</v>
      </c>
      <c r="O713" s="7">
        <v>0.39600000000000002</v>
      </c>
      <c r="P713" s="7" t="s">
        <v>36</v>
      </c>
      <c r="Q713" t="str">
        <f t="shared" si="247"/>
        <v>MT</v>
      </c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  <c r="AK713" s="7"/>
      <c r="AL713" s="7"/>
      <c r="AM713" s="7"/>
      <c r="AN713" s="7"/>
      <c r="AO713" s="7"/>
      <c r="AP713" s="7"/>
      <c r="AQ713" s="7"/>
      <c r="AR713" s="7"/>
      <c r="AS713" s="7"/>
      <c r="AT713" s="7"/>
      <c r="AU713" s="7"/>
      <c r="AV713" s="7"/>
      <c r="AW713" s="7"/>
      <c r="AX713" s="7"/>
      <c r="AY713" s="7"/>
      <c r="AZ713" s="7"/>
      <c r="BA713" s="7"/>
      <c r="BB713" s="7"/>
      <c r="BC713" s="7"/>
      <c r="BD713" s="7"/>
      <c r="BE713" s="7"/>
      <c r="BF713" s="7"/>
      <c r="BG713" s="7"/>
      <c r="BH713" s="7"/>
      <c r="BI713" s="7"/>
      <c r="BJ713" s="7"/>
      <c r="BK713" s="7"/>
      <c r="BL713" s="7"/>
      <c r="BM713" s="7"/>
      <c r="BN713" s="7"/>
      <c r="BO713" s="7"/>
      <c r="BP713" s="7"/>
      <c r="BQ713" s="7"/>
      <c r="BR713" s="7"/>
      <c r="BS713" s="7"/>
      <c r="BT713" s="7"/>
      <c r="BU713" s="7"/>
      <c r="BW713" s="5">
        <v>44414</v>
      </c>
      <c r="BX713">
        <v>8</v>
      </c>
      <c r="BY713">
        <v>6</v>
      </c>
      <c r="BZ713">
        <v>2021</v>
      </c>
      <c r="CA713" s="5">
        <f t="shared" si="261"/>
        <v>44355</v>
      </c>
      <c r="CB713">
        <v>159</v>
      </c>
      <c r="CC713" s="7">
        <v>11</v>
      </c>
      <c r="CE713">
        <f t="shared" si="251"/>
        <v>7.4752019633909397</v>
      </c>
      <c r="CF713">
        <f t="shared" si="252"/>
        <v>3.2619375122813916</v>
      </c>
      <c r="CG713">
        <f t="shared" si="253"/>
        <v>3.5143431777283796E-2</v>
      </c>
      <c r="CH713">
        <f t="shared" si="254"/>
        <v>3.9153648408147128</v>
      </c>
      <c r="CI713">
        <f t="shared" si="255"/>
        <v>0.55185537583254041</v>
      </c>
      <c r="CJ713" s="1">
        <f t="shared" si="256"/>
        <v>0.55185537583254041</v>
      </c>
      <c r="CK713" s="7" t="s">
        <v>142</v>
      </c>
      <c r="CL713" s="7">
        <v>2</v>
      </c>
      <c r="CM713" s="7"/>
      <c r="CN713" s="7"/>
      <c r="CO713" s="7"/>
      <c r="CP713" s="7"/>
      <c r="CQ713" s="12">
        <v>0.02</v>
      </c>
      <c r="CR713">
        <f>CQ713/(H713-I713-J713-N713)*1000</f>
        <v>2.2239519626376074</v>
      </c>
      <c r="CT713">
        <v>95.003892627619152</v>
      </c>
    </row>
    <row r="714" spans="1:98" ht="32" x14ac:dyDescent="0.2">
      <c r="A714" s="7" t="s">
        <v>1204</v>
      </c>
      <c r="B714" s="7" t="s">
        <v>60</v>
      </c>
      <c r="C714" t="str">
        <f t="shared" si="257"/>
        <v>I</v>
      </c>
      <c r="D714" t="str">
        <f t="shared" si="258"/>
        <v>S</v>
      </c>
      <c r="E714" t="str">
        <f t="shared" si="259"/>
        <v>G</v>
      </c>
      <c r="F714" s="7">
        <v>80</v>
      </c>
      <c r="G714" s="7">
        <v>76</v>
      </c>
      <c r="H714" s="7">
        <v>9.3070000000000004</v>
      </c>
      <c r="I714" s="7">
        <v>0.115</v>
      </c>
      <c r="J714" s="7">
        <v>3.3000000000000002E-2</v>
      </c>
      <c r="K714" s="7" t="s">
        <v>868</v>
      </c>
      <c r="L714" t="str">
        <f t="shared" si="260"/>
        <v>M</v>
      </c>
      <c r="M714" s="7">
        <v>30</v>
      </c>
      <c r="N714" s="7">
        <v>0.54300000000000004</v>
      </c>
      <c r="O714" s="7">
        <v>0.33800000000000002</v>
      </c>
      <c r="P714" s="7" t="s">
        <v>1214</v>
      </c>
      <c r="Q714" t="str">
        <f t="shared" si="247"/>
        <v>F</v>
      </c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  <c r="AK714" s="7"/>
      <c r="AL714" s="7"/>
      <c r="AM714" s="7"/>
      <c r="AN714" s="7"/>
      <c r="AO714" s="7"/>
      <c r="AP714" s="7"/>
      <c r="AQ714" s="7"/>
      <c r="AR714" s="7"/>
      <c r="AS714" s="7"/>
      <c r="AT714" s="7"/>
      <c r="AU714" s="7"/>
      <c r="AV714" s="7">
        <v>3</v>
      </c>
      <c r="AW714" s="7">
        <v>5.6000000000000001E-2</v>
      </c>
      <c r="AX714" s="7"/>
      <c r="AY714" s="7"/>
      <c r="AZ714" s="7"/>
      <c r="BA714" s="7"/>
      <c r="BB714" s="7">
        <v>1</v>
      </c>
      <c r="BC714" s="7">
        <v>7.6999999999999999E-2</v>
      </c>
      <c r="BD714" s="7"/>
      <c r="BE714" s="7"/>
      <c r="BF714" s="7"/>
      <c r="BG714" s="7"/>
      <c r="BH714" s="7"/>
      <c r="BI714" s="7"/>
      <c r="BJ714" s="7"/>
      <c r="BK714" s="7"/>
      <c r="BL714" s="7"/>
      <c r="BM714" s="7"/>
      <c r="BN714" s="7"/>
      <c r="BO714" s="7"/>
      <c r="BP714" s="7"/>
      <c r="BQ714" s="7"/>
      <c r="BR714" s="7"/>
      <c r="BS714" s="7"/>
      <c r="BT714" s="7"/>
      <c r="BU714" s="7"/>
      <c r="BV714">
        <f>0.077+0.056</f>
        <v>0.13300000000000001</v>
      </c>
      <c r="BW714" s="5">
        <v>44414</v>
      </c>
      <c r="BX714">
        <v>8</v>
      </c>
      <c r="BY714">
        <v>6</v>
      </c>
      <c r="BZ714">
        <v>2021</v>
      </c>
      <c r="CA714" s="5">
        <f t="shared" si="261"/>
        <v>44355</v>
      </c>
      <c r="CB714">
        <v>159</v>
      </c>
      <c r="CC714" s="7">
        <v>11</v>
      </c>
      <c r="CE714">
        <f t="shared" si="251"/>
        <v>0.35583351304722882</v>
      </c>
      <c r="CF714">
        <f t="shared" si="252"/>
        <v>1.2510879025239339</v>
      </c>
      <c r="CG714">
        <f t="shared" si="253"/>
        <v>1.2555955890381046E-2</v>
      </c>
      <c r="CH714">
        <f t="shared" si="254"/>
        <v>3.7685360686810125</v>
      </c>
      <c r="CI714">
        <f t="shared" si="255"/>
        <v>2.2026431718061676</v>
      </c>
      <c r="CJ714" s="1">
        <f t="shared" si="256"/>
        <v>3.6316750832706566</v>
      </c>
      <c r="CK714" s="7" t="s">
        <v>142</v>
      </c>
      <c r="CL714" s="7">
        <v>2</v>
      </c>
      <c r="CM714" s="7"/>
      <c r="CN714" s="7"/>
      <c r="CO714" s="7"/>
      <c r="CP714" s="7"/>
    </row>
    <row r="715" spans="1:98" x14ac:dyDescent="0.2">
      <c r="A715" s="7" t="s">
        <v>1205</v>
      </c>
      <c r="B715" s="7" t="s">
        <v>60</v>
      </c>
      <c r="C715" t="str">
        <f t="shared" si="257"/>
        <v>I</v>
      </c>
      <c r="D715" t="str">
        <f t="shared" si="258"/>
        <v>S</v>
      </c>
      <c r="E715" t="str">
        <f t="shared" si="259"/>
        <v>G</v>
      </c>
      <c r="F715" s="7">
        <v>77</v>
      </c>
      <c r="G715" s="7">
        <v>73</v>
      </c>
      <c r="H715" s="7">
        <v>7.806</v>
      </c>
      <c r="I715" s="7">
        <v>0.17499999999999999</v>
      </c>
      <c r="J715" s="7">
        <v>0.54800000000000004</v>
      </c>
      <c r="K715" s="7" t="s">
        <v>867</v>
      </c>
      <c r="L715" t="str">
        <f t="shared" si="260"/>
        <v>F</v>
      </c>
      <c r="M715" s="7">
        <v>30</v>
      </c>
      <c r="N715" s="7">
        <v>0.26700000000000002</v>
      </c>
      <c r="O715" s="7">
        <v>0.22600000000000001</v>
      </c>
      <c r="P715" s="7" t="s">
        <v>1215</v>
      </c>
      <c r="Q715" t="str">
        <f t="shared" si="247"/>
        <v>F</v>
      </c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  <c r="AK715" s="7"/>
      <c r="AL715" s="7"/>
      <c r="AM715" s="7"/>
      <c r="AN715" s="7"/>
      <c r="AO715" s="7"/>
      <c r="AP715" s="7"/>
      <c r="AQ715" s="7"/>
      <c r="AR715" s="7"/>
      <c r="AS715" s="7"/>
      <c r="AT715" s="7"/>
      <c r="AU715" s="7"/>
      <c r="AV715" s="7">
        <v>2</v>
      </c>
      <c r="AW715" s="7">
        <v>0.03</v>
      </c>
      <c r="AX715" s="7"/>
      <c r="AY715" s="7"/>
      <c r="AZ715" s="7"/>
      <c r="BA715" s="7"/>
      <c r="BB715" s="7"/>
      <c r="BC715" s="7"/>
      <c r="BD715" s="7"/>
      <c r="BE715" s="7"/>
      <c r="BF715" s="7"/>
      <c r="BG715" s="7"/>
      <c r="BH715" s="7"/>
      <c r="BI715" s="7"/>
      <c r="BJ715" s="7"/>
      <c r="BK715" s="7"/>
      <c r="BL715" s="7"/>
      <c r="BM715" s="7"/>
      <c r="BN715" s="7"/>
      <c r="BO715" s="7"/>
      <c r="BP715" s="7"/>
      <c r="BQ715" s="7"/>
      <c r="BR715" s="7"/>
      <c r="BS715" s="7"/>
      <c r="BT715" s="7"/>
      <c r="BU715" s="7"/>
      <c r="BV715" s="7">
        <v>0.03</v>
      </c>
      <c r="BW715" s="5">
        <v>44414</v>
      </c>
      <c r="BX715">
        <v>8</v>
      </c>
      <c r="BY715">
        <v>6</v>
      </c>
      <c r="BZ715">
        <v>2021</v>
      </c>
      <c r="CA715" s="5">
        <f t="shared" si="261"/>
        <v>44355</v>
      </c>
      <c r="CB715">
        <v>159</v>
      </c>
      <c r="CC715" s="7">
        <v>11</v>
      </c>
      <c r="CE715">
        <f t="shared" si="251"/>
        <v>7.5502893359052079</v>
      </c>
      <c r="CF715">
        <f t="shared" si="252"/>
        <v>2.2932774210457341</v>
      </c>
      <c r="CG715">
        <f t="shared" si="253"/>
        <v>2.4707045037413524E-2</v>
      </c>
      <c r="CH715">
        <f t="shared" si="254"/>
        <v>2.9815303430079156</v>
      </c>
      <c r="CI715">
        <f t="shared" si="255"/>
        <v>0.52523699718165529</v>
      </c>
      <c r="CJ715" s="1">
        <f t="shared" si="256"/>
        <v>0.90955675121701263</v>
      </c>
      <c r="CK715" s="7" t="s">
        <v>142</v>
      </c>
      <c r="CL715" s="7">
        <v>3</v>
      </c>
      <c r="CM715" s="7"/>
      <c r="CN715" s="7"/>
      <c r="CO715" s="7"/>
      <c r="CP715" s="7"/>
    </row>
    <row r="716" spans="1:98" x14ac:dyDescent="0.2">
      <c r="A716" s="7" t="s">
        <v>1206</v>
      </c>
      <c r="B716" s="7" t="s">
        <v>60</v>
      </c>
      <c r="C716" t="str">
        <f t="shared" si="257"/>
        <v>I</v>
      </c>
      <c r="D716" t="str">
        <f t="shared" si="258"/>
        <v>S</v>
      </c>
      <c r="E716" t="str">
        <f t="shared" si="259"/>
        <v>G</v>
      </c>
      <c r="F716" s="7">
        <v>75</v>
      </c>
      <c r="G716" s="7">
        <v>71</v>
      </c>
      <c r="H716" s="7">
        <v>6.6379999999999999</v>
      </c>
      <c r="I716" s="7">
        <v>0.11799999999999999</v>
      </c>
      <c r="J716" s="7">
        <v>0.58299999999999996</v>
      </c>
      <c r="K716" s="7" t="s">
        <v>867</v>
      </c>
      <c r="L716" t="str">
        <f t="shared" si="260"/>
        <v>F</v>
      </c>
      <c r="M716" s="7">
        <v>30</v>
      </c>
      <c r="N716" s="7">
        <v>0.186</v>
      </c>
      <c r="O716" s="7">
        <v>0.182</v>
      </c>
      <c r="P716" s="7" t="s">
        <v>36</v>
      </c>
      <c r="Q716" t="str">
        <f t="shared" si="247"/>
        <v>MT</v>
      </c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  <c r="AK716" s="7"/>
      <c r="AL716" s="7"/>
      <c r="AM716" s="7"/>
      <c r="AN716" s="7"/>
      <c r="AO716" s="7"/>
      <c r="AP716" s="7"/>
      <c r="AQ716" s="7"/>
      <c r="AR716" s="7"/>
      <c r="AS716" s="7"/>
      <c r="AT716" s="7"/>
      <c r="AU716" s="7"/>
      <c r="AV716" s="7"/>
      <c r="AW716" s="7"/>
      <c r="AX716" s="7"/>
      <c r="AY716" s="7"/>
      <c r="AZ716" s="7"/>
      <c r="BA716" s="7"/>
      <c r="BB716" s="7"/>
      <c r="BC716" s="7"/>
      <c r="BD716" s="7"/>
      <c r="BE716" s="7"/>
      <c r="BF716" s="7"/>
      <c r="BG716" s="7"/>
      <c r="BH716" s="7"/>
      <c r="BI716" s="7"/>
      <c r="BJ716" s="7"/>
      <c r="BK716" s="7"/>
      <c r="BL716" s="7"/>
      <c r="BM716" s="7"/>
      <c r="BN716" s="7"/>
      <c r="BO716" s="7"/>
      <c r="BP716" s="7"/>
      <c r="BQ716" s="7"/>
      <c r="BR716" s="7"/>
      <c r="BS716" s="7"/>
      <c r="BT716" s="7"/>
      <c r="BU716" s="7"/>
      <c r="BW716" s="5">
        <v>44414</v>
      </c>
      <c r="BX716">
        <v>8</v>
      </c>
      <c r="BY716">
        <v>6</v>
      </c>
      <c r="BZ716">
        <v>2021</v>
      </c>
      <c r="CA716" s="5">
        <f t="shared" si="261"/>
        <v>44355</v>
      </c>
      <c r="CB716">
        <v>159</v>
      </c>
      <c r="CC716" s="7">
        <v>11</v>
      </c>
      <c r="CE716">
        <f t="shared" si="251"/>
        <v>9.6284062758051192</v>
      </c>
      <c r="CF716">
        <f t="shared" si="252"/>
        <v>1.8098159509202454</v>
      </c>
      <c r="CG716">
        <f t="shared" si="253"/>
        <v>1.9875357924877886E-2</v>
      </c>
      <c r="CH716">
        <f t="shared" si="254"/>
        <v>2.8190830235439903</v>
      </c>
      <c r="CI716">
        <f t="shared" si="255"/>
        <v>6.0259114191021444E-2</v>
      </c>
      <c r="CJ716" s="1">
        <f t="shared" si="256"/>
        <v>6.0259114191021444E-2</v>
      </c>
      <c r="CK716" s="7" t="s">
        <v>142</v>
      </c>
      <c r="CL716" s="7">
        <v>3</v>
      </c>
      <c r="CM716" s="7"/>
      <c r="CN716" s="7"/>
      <c r="CO716" s="7"/>
      <c r="CP716" s="7"/>
      <c r="CQ716" s="12">
        <v>1.8E-3</v>
      </c>
      <c r="CR716">
        <f>CQ716/(H716-I716-J716-N716)*1000</f>
        <v>0.3129890453834116</v>
      </c>
      <c r="CT716">
        <v>114.14381589739142</v>
      </c>
    </row>
    <row r="717" spans="1:98" x14ac:dyDescent="0.2">
      <c r="A717" s="7" t="s">
        <v>1207</v>
      </c>
      <c r="B717" s="7" t="s">
        <v>60</v>
      </c>
      <c r="C717" t="str">
        <f t="shared" si="257"/>
        <v>I</v>
      </c>
      <c r="D717" t="str">
        <f t="shared" si="258"/>
        <v>S</v>
      </c>
      <c r="E717" t="str">
        <f t="shared" si="259"/>
        <v>G</v>
      </c>
      <c r="F717" s="7">
        <v>75</v>
      </c>
      <c r="G717" s="7">
        <v>71</v>
      </c>
      <c r="H717" s="7">
        <v>7.0519999999999996</v>
      </c>
      <c r="I717" s="7">
        <v>8.5999999999999993E-2</v>
      </c>
      <c r="J717" s="7">
        <v>6.9000000000000006E-2</v>
      </c>
      <c r="K717" s="7" t="s">
        <v>868</v>
      </c>
      <c r="L717" t="str">
        <f t="shared" si="260"/>
        <v>M</v>
      </c>
      <c r="M717" s="7">
        <v>30</v>
      </c>
      <c r="N717" s="7">
        <v>0.34</v>
      </c>
      <c r="O717" s="7">
        <v>0.22900000000000001</v>
      </c>
      <c r="P717" s="7" t="s">
        <v>1216</v>
      </c>
      <c r="Q717" t="str">
        <f t="shared" si="247"/>
        <v>F</v>
      </c>
      <c r="R717" s="7"/>
      <c r="S717" s="7"/>
      <c r="T717" s="7">
        <v>5</v>
      </c>
      <c r="U717" s="7">
        <v>6.7000000000000004E-2</v>
      </c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  <c r="AK717" s="7"/>
      <c r="AL717" s="7"/>
      <c r="AM717" s="7"/>
      <c r="AN717" s="7"/>
      <c r="AO717" s="7"/>
      <c r="AP717" s="7"/>
      <c r="AQ717" s="7"/>
      <c r="AR717" s="7"/>
      <c r="AS717" s="7"/>
      <c r="AT717" s="7"/>
      <c r="AU717" s="7"/>
      <c r="AV717" s="7"/>
      <c r="AW717" s="7"/>
      <c r="AX717" s="7"/>
      <c r="AY717" s="7"/>
      <c r="AZ717" s="7"/>
      <c r="BA717" s="7"/>
      <c r="BB717" s="7"/>
      <c r="BC717" s="7"/>
      <c r="BD717" s="7"/>
      <c r="BE717" s="7"/>
      <c r="BF717" s="7"/>
      <c r="BG717" s="7"/>
      <c r="BH717" s="7"/>
      <c r="BI717" s="7"/>
      <c r="BJ717" s="7"/>
      <c r="BK717" s="7"/>
      <c r="BL717" s="7"/>
      <c r="BM717" s="7"/>
      <c r="BN717" s="7"/>
      <c r="BO717" s="7"/>
      <c r="BP717" s="7"/>
      <c r="BQ717" s="7"/>
      <c r="BR717" s="7"/>
      <c r="BS717" s="7"/>
      <c r="BT717" s="7"/>
      <c r="BU717" s="7"/>
      <c r="BV717" s="7">
        <v>6.7000000000000004E-2</v>
      </c>
      <c r="BW717" s="5">
        <v>44414</v>
      </c>
      <c r="BX717">
        <v>8</v>
      </c>
      <c r="BY717">
        <v>6</v>
      </c>
      <c r="BZ717">
        <v>2021</v>
      </c>
      <c r="CA717" s="5">
        <f t="shared" si="261"/>
        <v>44355</v>
      </c>
      <c r="CB717">
        <v>159</v>
      </c>
      <c r="CC717" s="7">
        <v>11</v>
      </c>
      <c r="CE717">
        <f t="shared" si="251"/>
        <v>0.98811399112129472</v>
      </c>
      <c r="CF717">
        <f t="shared" si="252"/>
        <v>1.2345679012345681</v>
      </c>
      <c r="CG717">
        <f t="shared" si="253"/>
        <v>1.2469189502682327E-2</v>
      </c>
      <c r="CH717">
        <f t="shared" si="254"/>
        <v>3.3562948849479706</v>
      </c>
      <c r="CI717">
        <f t="shared" si="255"/>
        <v>1.5740215541690301</v>
      </c>
      <c r="CJ717" s="1">
        <f t="shared" si="256"/>
        <v>2.5241066364152016</v>
      </c>
      <c r="CK717" s="7" t="s">
        <v>142</v>
      </c>
      <c r="CL717" s="7">
        <v>1</v>
      </c>
      <c r="CM717" s="7"/>
      <c r="CN717" s="7"/>
      <c r="CO717" s="7"/>
      <c r="CP717" s="7"/>
    </row>
    <row r="718" spans="1:98" x14ac:dyDescent="0.2">
      <c r="A718" s="7" t="s">
        <v>1208</v>
      </c>
      <c r="B718" s="7" t="s">
        <v>60</v>
      </c>
      <c r="C718" t="str">
        <f t="shared" si="257"/>
        <v>I</v>
      </c>
      <c r="D718" t="str">
        <f t="shared" si="258"/>
        <v>S</v>
      </c>
      <c r="E718" t="str">
        <f t="shared" si="259"/>
        <v>G</v>
      </c>
      <c r="F718" s="7">
        <v>69</v>
      </c>
      <c r="G718" s="7">
        <v>65</v>
      </c>
      <c r="H718" s="7">
        <v>5.92</v>
      </c>
      <c r="I718" s="7">
        <v>0.156</v>
      </c>
      <c r="J718" s="7">
        <v>0.44</v>
      </c>
      <c r="K718" s="7" t="s">
        <v>867</v>
      </c>
      <c r="L718" t="str">
        <f t="shared" si="260"/>
        <v>F</v>
      </c>
      <c r="M718" s="7">
        <v>30</v>
      </c>
      <c r="N718" s="7">
        <v>0.34</v>
      </c>
      <c r="O718" s="7">
        <v>0.30499999999999999</v>
      </c>
      <c r="P718" s="7" t="s">
        <v>1217</v>
      </c>
      <c r="Q718" t="str">
        <f t="shared" si="247"/>
        <v>F</v>
      </c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  <c r="AK718" s="7"/>
      <c r="AL718" s="7"/>
      <c r="AM718" s="7"/>
      <c r="AN718" s="7"/>
      <c r="AO718" s="7"/>
      <c r="AP718" s="7"/>
      <c r="AQ718" s="7"/>
      <c r="AR718" s="7"/>
      <c r="AS718" s="7"/>
      <c r="AT718" s="7"/>
      <c r="AU718" s="7"/>
      <c r="AV718" s="7">
        <v>10</v>
      </c>
      <c r="AW718" s="7">
        <v>2.4E-2</v>
      </c>
      <c r="AX718" s="7"/>
      <c r="AY718" s="7"/>
      <c r="AZ718" s="7"/>
      <c r="BA718" s="7"/>
      <c r="BB718" s="7"/>
      <c r="BC718" s="7"/>
      <c r="BD718" s="7"/>
      <c r="BE718" s="7"/>
      <c r="BF718" s="7"/>
      <c r="BG718" s="7"/>
      <c r="BH718" s="7"/>
      <c r="BI718" s="7"/>
      <c r="BJ718" s="7"/>
      <c r="BK718" s="7"/>
      <c r="BL718" s="7"/>
      <c r="BM718" s="7"/>
      <c r="BN718" s="7"/>
      <c r="BO718" s="7"/>
      <c r="BP718" s="7"/>
      <c r="BQ718" s="7"/>
      <c r="BR718" s="7"/>
      <c r="BS718" s="7"/>
      <c r="BT718" s="7"/>
      <c r="BU718" s="7"/>
      <c r="BV718" s="7">
        <v>2.4E-2</v>
      </c>
      <c r="BW718" s="5">
        <v>44414</v>
      </c>
      <c r="BX718">
        <v>8</v>
      </c>
      <c r="BY718">
        <v>6</v>
      </c>
      <c r="BZ718">
        <v>2021</v>
      </c>
      <c r="CA718" s="5">
        <f t="shared" si="261"/>
        <v>44355</v>
      </c>
      <c r="CB718">
        <v>159</v>
      </c>
      <c r="CC718" s="7">
        <v>11</v>
      </c>
      <c r="CE718">
        <f t="shared" si="251"/>
        <v>8.0291970802919721</v>
      </c>
      <c r="CF718">
        <f t="shared" si="252"/>
        <v>2.7064538514920193</v>
      </c>
      <c r="CG718">
        <f t="shared" si="253"/>
        <v>2.9301277235161533E-2</v>
      </c>
      <c r="CH718">
        <f t="shared" si="254"/>
        <v>5.4318788958147817</v>
      </c>
      <c r="CI718">
        <f t="shared" si="255"/>
        <v>0.59121621621621678</v>
      </c>
      <c r="CJ718" s="1">
        <f t="shared" si="256"/>
        <v>0.99662162162162216</v>
      </c>
      <c r="CK718" s="7" t="s">
        <v>142</v>
      </c>
      <c r="CL718" s="7">
        <v>2</v>
      </c>
      <c r="CM718" s="7"/>
      <c r="CN718" s="7"/>
      <c r="CO718" s="7"/>
      <c r="CP718" s="7"/>
      <c r="CQ718" s="12">
        <v>4.0000000000000002E-4</v>
      </c>
      <c r="CR718">
        <f>CQ718/(H718-I718-J718-N718)*1000</f>
        <v>8.0256821829855537E-2</v>
      </c>
      <c r="CT718">
        <v>116.52836959560061</v>
      </c>
    </row>
    <row r="719" spans="1:98" x14ac:dyDescent="0.2">
      <c r="A719" s="7" t="s">
        <v>1209</v>
      </c>
      <c r="B719" s="7" t="s">
        <v>60</v>
      </c>
      <c r="C719" t="str">
        <f t="shared" si="257"/>
        <v>I</v>
      </c>
      <c r="D719" t="str">
        <f t="shared" si="258"/>
        <v>IMM</v>
      </c>
      <c r="E719" t="str">
        <f t="shared" si="259"/>
        <v>G</v>
      </c>
      <c r="F719" s="7">
        <v>62</v>
      </c>
      <c r="G719" s="7">
        <v>59</v>
      </c>
      <c r="H719" s="7">
        <v>4.0640000000000001</v>
      </c>
      <c r="I719" s="7">
        <v>8.3000000000000004E-2</v>
      </c>
      <c r="J719" s="7">
        <v>0.30199999999999999</v>
      </c>
      <c r="K719" s="7" t="s">
        <v>867</v>
      </c>
      <c r="L719" t="str">
        <f t="shared" si="260"/>
        <v>F</v>
      </c>
      <c r="M719" s="7">
        <v>30</v>
      </c>
      <c r="N719" s="7">
        <v>0.16900000000000001</v>
      </c>
      <c r="O719" s="7">
        <v>0.16500000000000001</v>
      </c>
      <c r="P719" s="7" t="s">
        <v>36</v>
      </c>
      <c r="Q719" t="str">
        <f t="shared" ref="Q719:Q742" si="262">IF(P719="MT","MT","F")</f>
        <v>MT</v>
      </c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  <c r="AK719" s="7"/>
      <c r="AL719" s="7"/>
      <c r="AM719" s="7"/>
      <c r="AN719" s="7"/>
      <c r="AO719" s="7"/>
      <c r="AP719" s="7"/>
      <c r="AQ719" s="7"/>
      <c r="AR719" s="7"/>
      <c r="AS719" s="7"/>
      <c r="AT719" s="7"/>
      <c r="AU719" s="7"/>
      <c r="AV719" s="7"/>
      <c r="AW719" s="7"/>
      <c r="AX719" s="7"/>
      <c r="AY719" s="7"/>
      <c r="AZ719" s="7"/>
      <c r="BA719" s="7"/>
      <c r="BB719" s="7"/>
      <c r="BC719" s="7"/>
      <c r="BD719" s="7"/>
      <c r="BE719" s="7"/>
      <c r="BF719" s="7"/>
      <c r="BG719" s="7"/>
      <c r="BH719" s="7"/>
      <c r="BI719" s="7"/>
      <c r="BJ719" s="7"/>
      <c r="BK719" s="7"/>
      <c r="BL719" s="7"/>
      <c r="BM719" s="7"/>
      <c r="BN719" s="7"/>
      <c r="BO719" s="7"/>
      <c r="BP719" s="7"/>
      <c r="BQ719" s="7"/>
      <c r="BR719" s="7"/>
      <c r="BS719" s="7"/>
      <c r="BT719" s="7"/>
      <c r="BU719" s="7"/>
      <c r="BW719" s="5">
        <v>44414</v>
      </c>
      <c r="BX719">
        <v>8</v>
      </c>
      <c r="BY719">
        <v>6</v>
      </c>
      <c r="BZ719">
        <v>2021</v>
      </c>
      <c r="CA719" s="5">
        <f t="shared" si="261"/>
        <v>44355</v>
      </c>
      <c r="CB719">
        <v>159</v>
      </c>
      <c r="CC719" s="7">
        <v>11</v>
      </c>
      <c r="CE719">
        <f t="shared" ref="CE719:CE750" si="263">J719/(H719-J719)*100</f>
        <v>8.0276448697501319</v>
      </c>
      <c r="CF719">
        <f t="shared" ref="CF719:CF750" si="264">I719/(H719-I719)*100</f>
        <v>2.084903290630495</v>
      </c>
      <c r="CG719">
        <f t="shared" ref="CG719:CG750" si="265">I719/(H719-I719-J719)</f>
        <v>2.2560478390867087E-2</v>
      </c>
      <c r="CH719">
        <f t="shared" ref="CH719:CH750" si="266">O719/(H719-O719)*100</f>
        <v>4.2318543216209283</v>
      </c>
      <c r="CI719">
        <f t="shared" ref="CI719:CI750" si="267">(N719-O719)/H719*100</f>
        <v>9.842519685039379E-2</v>
      </c>
      <c r="CJ719" s="1">
        <f t="shared" ref="CJ719:CJ750" si="268">(N719-O719+(BV719))/(H719)*100</f>
        <v>9.842519685039379E-2</v>
      </c>
      <c r="CK719" s="7" t="s">
        <v>142</v>
      </c>
      <c r="CL719" s="7">
        <v>3</v>
      </c>
      <c r="CM719" s="7"/>
      <c r="CN719" s="7"/>
      <c r="CO719" s="7"/>
      <c r="CP719" s="7"/>
    </row>
    <row r="720" spans="1:98" x14ac:dyDescent="0.2">
      <c r="A720" s="7" t="s">
        <v>1258</v>
      </c>
      <c r="B720" s="7" t="s">
        <v>60</v>
      </c>
      <c r="C720" t="str">
        <f t="shared" si="257"/>
        <v>B</v>
      </c>
      <c r="D720" t="str">
        <f t="shared" si="258"/>
        <v>B</v>
      </c>
      <c r="E720" t="str">
        <f t="shared" si="259"/>
        <v>N</v>
      </c>
      <c r="F720" s="7">
        <v>165</v>
      </c>
      <c r="G720" s="7">
        <v>156</v>
      </c>
      <c r="H720" s="7">
        <v>94.989000000000004</v>
      </c>
      <c r="I720" s="7">
        <v>0.96499999999999997</v>
      </c>
      <c r="J720" s="7">
        <v>1.091</v>
      </c>
      <c r="K720" s="7" t="s">
        <v>1210</v>
      </c>
      <c r="L720" t="str">
        <f t="shared" si="260"/>
        <v>F</v>
      </c>
      <c r="M720" s="7">
        <v>40</v>
      </c>
      <c r="N720" s="7">
        <v>10.848000000000001</v>
      </c>
      <c r="O720" s="7">
        <v>4.1580000000000004</v>
      </c>
      <c r="P720" s="7" t="s">
        <v>1275</v>
      </c>
      <c r="Q720" t="str">
        <f t="shared" si="262"/>
        <v>F</v>
      </c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  <c r="AK720" s="7"/>
      <c r="AL720" s="7"/>
      <c r="AM720" s="7"/>
      <c r="AN720" s="7"/>
      <c r="AO720" s="7"/>
      <c r="AP720" s="7"/>
      <c r="AQ720" s="7"/>
      <c r="AR720" s="7"/>
      <c r="AS720" s="7"/>
      <c r="AT720" s="7"/>
      <c r="AU720" s="7"/>
      <c r="AV720" s="7"/>
      <c r="AW720" s="7"/>
      <c r="AX720" s="7"/>
      <c r="AY720" s="7"/>
      <c r="AZ720" s="7"/>
      <c r="BA720" s="7"/>
      <c r="BB720" s="7"/>
      <c r="BC720" s="7"/>
      <c r="BD720" s="7"/>
      <c r="BE720" s="7"/>
      <c r="BF720" s="7"/>
      <c r="BG720" s="7"/>
      <c r="BH720" s="7"/>
      <c r="BI720" s="7"/>
      <c r="BJ720" s="7"/>
      <c r="BK720" s="7"/>
      <c r="BL720" s="7"/>
      <c r="BM720" s="7"/>
      <c r="BN720" s="7">
        <v>4</v>
      </c>
      <c r="BO720" s="7">
        <v>6.1429999999999998</v>
      </c>
      <c r="BP720" s="7"/>
      <c r="BQ720" s="7"/>
      <c r="BR720" s="7"/>
      <c r="BS720" s="7"/>
      <c r="BT720" s="7"/>
      <c r="BU720" s="7"/>
      <c r="BV720" s="7">
        <v>6.1429999999999998</v>
      </c>
      <c r="BW720" t="s">
        <v>1255</v>
      </c>
      <c r="BX720" t="str">
        <f t="shared" ref="BX720:BX731" si="269">LEFT(BW720,2)</f>
        <v>22</v>
      </c>
      <c r="BY720" t="str">
        <f t="shared" ref="BY720:BY731" si="270">MID(BW720,4,1)</f>
        <v>6</v>
      </c>
      <c r="BZ720" t="str">
        <f t="shared" ref="BZ720:BZ731" si="271">20&amp;RIGHT(BW720,2)</f>
        <v>2021</v>
      </c>
      <c r="CA720" s="5">
        <f t="shared" si="261"/>
        <v>44369</v>
      </c>
      <c r="CB720">
        <v>173</v>
      </c>
      <c r="CC720" s="7">
        <v>12</v>
      </c>
      <c r="CD720" t="s">
        <v>1286</v>
      </c>
      <c r="CE720">
        <f t="shared" si="263"/>
        <v>1.1618990819825767</v>
      </c>
      <c r="CF720">
        <f t="shared" si="264"/>
        <v>1.0263337020335233</v>
      </c>
      <c r="CG720">
        <f t="shared" si="265"/>
        <v>1.0383824906115157E-2</v>
      </c>
      <c r="CH720">
        <f t="shared" si="266"/>
        <v>4.5777322720216667</v>
      </c>
      <c r="CI720">
        <f t="shared" si="267"/>
        <v>7.0429207592458081</v>
      </c>
      <c r="CJ720" s="1">
        <f t="shared" si="268"/>
        <v>13.509985366726674</v>
      </c>
      <c r="CK720" s="7" t="s">
        <v>142</v>
      </c>
      <c r="CL720" s="7">
        <v>3</v>
      </c>
      <c r="CM720" s="7"/>
      <c r="CN720" s="7"/>
      <c r="CO720" s="7"/>
      <c r="CP720" s="7"/>
    </row>
    <row r="721" spans="1:99" x14ac:dyDescent="0.2">
      <c r="A721" s="7" t="s">
        <v>1259</v>
      </c>
      <c r="B721" s="7" t="s">
        <v>60</v>
      </c>
      <c r="C721" t="str">
        <f t="shared" si="257"/>
        <v>I</v>
      </c>
      <c r="D721" t="str">
        <f t="shared" si="258"/>
        <v>I</v>
      </c>
      <c r="E721" t="str">
        <f t="shared" si="259"/>
        <v>G</v>
      </c>
      <c r="F721" s="7">
        <v>96</v>
      </c>
      <c r="G721" s="7">
        <v>90</v>
      </c>
      <c r="H721" s="7">
        <v>15.426</v>
      </c>
      <c r="I721" s="7">
        <v>0.112</v>
      </c>
      <c r="J721" s="7">
        <v>0.158</v>
      </c>
      <c r="K721" s="7" t="s">
        <v>868</v>
      </c>
      <c r="L721" t="str">
        <f t="shared" si="260"/>
        <v>M</v>
      </c>
      <c r="M721" s="7">
        <v>30</v>
      </c>
      <c r="N721" s="7">
        <v>1.585</v>
      </c>
      <c r="O721" s="7">
        <v>0.44800000000000001</v>
      </c>
      <c r="P721" s="7" t="s">
        <v>1276</v>
      </c>
      <c r="Q721" t="str">
        <f t="shared" si="262"/>
        <v>F</v>
      </c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  <c r="AK721" s="7"/>
      <c r="AL721" s="7"/>
      <c r="AM721" s="7"/>
      <c r="AN721" s="7"/>
      <c r="AO721" s="7"/>
      <c r="AP721" s="7"/>
      <c r="AQ721" s="7"/>
      <c r="AR721" s="7"/>
      <c r="AS721" s="7"/>
      <c r="AT721" s="7"/>
      <c r="AU721" s="7"/>
      <c r="AV721" s="7"/>
      <c r="AW721" s="7"/>
      <c r="AX721" s="7"/>
      <c r="AY721" s="7"/>
      <c r="AZ721" s="7"/>
      <c r="BA721" s="7"/>
      <c r="BB721" s="7"/>
      <c r="BC721" s="7"/>
      <c r="BD721" s="7"/>
      <c r="BE721" s="7"/>
      <c r="BF721" s="7"/>
      <c r="BG721" s="7"/>
      <c r="BH721" s="7"/>
      <c r="BI721" s="7"/>
      <c r="BJ721" s="7"/>
      <c r="BK721" s="7"/>
      <c r="BL721" s="7"/>
      <c r="BM721" s="7"/>
      <c r="BN721" s="7">
        <v>1</v>
      </c>
      <c r="BO721" s="7">
        <v>1.077</v>
      </c>
      <c r="BP721" s="7"/>
      <c r="BQ721" s="7"/>
      <c r="BR721" s="7"/>
      <c r="BS721" s="7"/>
      <c r="BT721" s="7"/>
      <c r="BU721" s="7"/>
      <c r="BV721" s="7">
        <v>1.077</v>
      </c>
      <c r="BW721" t="s">
        <v>1255</v>
      </c>
      <c r="BX721" t="str">
        <f t="shared" si="269"/>
        <v>22</v>
      </c>
      <c r="BY721" t="str">
        <f t="shared" si="270"/>
        <v>6</v>
      </c>
      <c r="BZ721" t="str">
        <f t="shared" si="271"/>
        <v>2021</v>
      </c>
      <c r="CA721" s="5">
        <f t="shared" si="261"/>
        <v>44369</v>
      </c>
      <c r="CB721">
        <v>173</v>
      </c>
      <c r="CC721" s="7">
        <v>12</v>
      </c>
      <c r="CE721">
        <f t="shared" si="263"/>
        <v>1.0348441184176054</v>
      </c>
      <c r="CF721">
        <f t="shared" si="264"/>
        <v>0.73135692830090115</v>
      </c>
      <c r="CG721">
        <f t="shared" si="265"/>
        <v>7.3898126154658223E-3</v>
      </c>
      <c r="CH721">
        <f t="shared" si="266"/>
        <v>2.9910535451996263</v>
      </c>
      <c r="CI721">
        <f t="shared" si="267"/>
        <v>7.370672889926098</v>
      </c>
      <c r="CJ721" s="1">
        <f t="shared" si="268"/>
        <v>14.352392065344224</v>
      </c>
      <c r="CK721" s="7" t="s">
        <v>142</v>
      </c>
      <c r="CL721" s="7">
        <v>3</v>
      </c>
      <c r="CM721" s="7"/>
      <c r="CN721" s="7"/>
      <c r="CO721" s="7"/>
      <c r="CP721" s="7"/>
    </row>
    <row r="722" spans="1:99" x14ac:dyDescent="0.2">
      <c r="A722" s="7" t="s">
        <v>1260</v>
      </c>
      <c r="B722" s="7" t="s">
        <v>60</v>
      </c>
      <c r="C722" t="str">
        <f t="shared" si="257"/>
        <v>I</v>
      </c>
      <c r="D722" t="str">
        <f t="shared" si="258"/>
        <v>B</v>
      </c>
      <c r="E722" t="str">
        <f t="shared" si="259"/>
        <v>N</v>
      </c>
      <c r="F722" s="7">
        <v>112</v>
      </c>
      <c r="G722" s="7">
        <v>107</v>
      </c>
      <c r="H722" s="7">
        <v>29.222999999999999</v>
      </c>
      <c r="I722" s="7">
        <v>0.71399999999999997</v>
      </c>
      <c r="J722" s="7">
        <v>2.1480000000000001</v>
      </c>
      <c r="K722" s="7" t="s">
        <v>867</v>
      </c>
      <c r="L722" t="str">
        <f t="shared" si="260"/>
        <v>F</v>
      </c>
      <c r="M722" s="7">
        <v>30</v>
      </c>
      <c r="N722" s="7">
        <v>4.2960000000000003</v>
      </c>
      <c r="O722" s="7">
        <v>1.7190000000000001</v>
      </c>
      <c r="P722" s="7" t="s">
        <v>1277</v>
      </c>
      <c r="Q722" t="str">
        <f t="shared" si="262"/>
        <v>F</v>
      </c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7"/>
      <c r="AL722" s="7"/>
      <c r="AM722" s="7"/>
      <c r="AN722" s="7"/>
      <c r="AO722" s="7"/>
      <c r="AP722" s="7"/>
      <c r="AQ722" s="7"/>
      <c r="AR722" s="7"/>
      <c r="AS722" s="7"/>
      <c r="AT722" s="7"/>
      <c r="AU722" s="7"/>
      <c r="AV722" s="7"/>
      <c r="AW722" s="7"/>
      <c r="AX722" s="7"/>
      <c r="AY722" s="7"/>
      <c r="AZ722" s="7"/>
      <c r="BA722" s="7"/>
      <c r="BB722" s="7"/>
      <c r="BC722" s="7"/>
      <c r="BD722" s="7"/>
      <c r="BE722" s="7"/>
      <c r="BF722" s="7"/>
      <c r="BG722" s="7"/>
      <c r="BH722" s="7"/>
      <c r="BI722" s="7"/>
      <c r="BJ722" s="7"/>
      <c r="BK722" s="7"/>
      <c r="BL722" s="7"/>
      <c r="BM722" s="7"/>
      <c r="BN722" s="7">
        <v>2</v>
      </c>
      <c r="BO722" s="7">
        <v>2.2200000000000002</v>
      </c>
      <c r="BP722" s="7"/>
      <c r="BQ722" s="7"/>
      <c r="BR722" s="7"/>
      <c r="BS722" s="7"/>
      <c r="BT722" s="7"/>
      <c r="BU722" s="7"/>
      <c r="BV722" s="7">
        <v>2.2200000000000002</v>
      </c>
      <c r="BW722" t="s">
        <v>1255</v>
      </c>
      <c r="BX722" t="str">
        <f t="shared" si="269"/>
        <v>22</v>
      </c>
      <c r="BY722" t="str">
        <f t="shared" si="270"/>
        <v>6</v>
      </c>
      <c r="BZ722" t="str">
        <f t="shared" si="271"/>
        <v>2021</v>
      </c>
      <c r="CA722" s="5">
        <f t="shared" si="261"/>
        <v>44369</v>
      </c>
      <c r="CB722">
        <v>173</v>
      </c>
      <c r="CC722" s="7">
        <v>12</v>
      </c>
      <c r="CD722" t="s">
        <v>1286</v>
      </c>
      <c r="CE722">
        <f t="shared" si="263"/>
        <v>7.9335180055401677</v>
      </c>
      <c r="CF722">
        <f t="shared" si="264"/>
        <v>2.5044722719141319</v>
      </c>
      <c r="CG722">
        <f t="shared" si="265"/>
        <v>2.7085467167406393E-2</v>
      </c>
      <c r="CH722">
        <f t="shared" si="266"/>
        <v>6.2500000000000018</v>
      </c>
      <c r="CI722">
        <f t="shared" si="267"/>
        <v>8.8183964685350578</v>
      </c>
      <c r="CJ722" s="1">
        <f t="shared" si="268"/>
        <v>16.415152448413924</v>
      </c>
      <c r="CK722" s="7" t="s">
        <v>142</v>
      </c>
      <c r="CL722" s="7">
        <v>3</v>
      </c>
      <c r="CM722" s="7"/>
      <c r="CN722" s="7"/>
      <c r="CO722" s="7"/>
      <c r="CP722" s="7"/>
    </row>
    <row r="723" spans="1:99" x14ac:dyDescent="0.2">
      <c r="A723" s="7" t="s">
        <v>1261</v>
      </c>
      <c r="B723" s="7" t="s">
        <v>60</v>
      </c>
      <c r="C723" t="str">
        <f t="shared" si="257"/>
        <v>I</v>
      </c>
      <c r="D723" t="str">
        <f t="shared" si="258"/>
        <v>I</v>
      </c>
      <c r="E723" t="str">
        <f t="shared" si="259"/>
        <v>G</v>
      </c>
      <c r="F723" s="7">
        <v>89</v>
      </c>
      <c r="G723" s="7">
        <v>83</v>
      </c>
      <c r="H723" s="7">
        <v>11.680999999999999</v>
      </c>
      <c r="I723" s="7">
        <v>0.23899999999999999</v>
      </c>
      <c r="J723" s="7">
        <v>0.92400000000000004</v>
      </c>
      <c r="K723" s="7" t="s">
        <v>867</v>
      </c>
      <c r="L723" t="str">
        <f t="shared" si="260"/>
        <v>F</v>
      </c>
      <c r="M723" s="7">
        <v>30</v>
      </c>
      <c r="N723" s="7">
        <v>0.308</v>
      </c>
      <c r="O723" s="7">
        <v>0.29899999999999999</v>
      </c>
      <c r="P723" s="7" t="s">
        <v>36</v>
      </c>
      <c r="Q723" t="str">
        <f t="shared" si="262"/>
        <v>MT</v>
      </c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  <c r="AK723" s="7"/>
      <c r="AL723" s="7"/>
      <c r="AM723" s="7"/>
      <c r="AN723" s="7"/>
      <c r="AO723" s="7"/>
      <c r="AP723" s="7"/>
      <c r="AQ723" s="7"/>
      <c r="AR723" s="7"/>
      <c r="AS723" s="7"/>
      <c r="AT723" s="7"/>
      <c r="AU723" s="7"/>
      <c r="AV723" s="7"/>
      <c r="AW723" s="7"/>
      <c r="AX723" s="7"/>
      <c r="AY723" s="7"/>
      <c r="AZ723" s="7"/>
      <c r="BA723" s="7"/>
      <c r="BB723" s="7"/>
      <c r="BC723" s="7"/>
      <c r="BD723" s="7"/>
      <c r="BE723" s="7"/>
      <c r="BF723" s="7"/>
      <c r="BG723" s="7"/>
      <c r="BH723" s="7"/>
      <c r="BI723" s="7"/>
      <c r="BJ723" s="7"/>
      <c r="BK723" s="7"/>
      <c r="BL723" s="7"/>
      <c r="BM723" s="7"/>
      <c r="BN723" s="7"/>
      <c r="BO723" s="7"/>
      <c r="BP723" s="7"/>
      <c r="BQ723" s="7"/>
      <c r="BR723" s="7"/>
      <c r="BS723" s="7"/>
      <c r="BT723" s="7"/>
      <c r="BU723" s="7"/>
      <c r="BW723" t="s">
        <v>1255</v>
      </c>
      <c r="BX723" t="str">
        <f t="shared" si="269"/>
        <v>22</v>
      </c>
      <c r="BY723" t="str">
        <f t="shared" si="270"/>
        <v>6</v>
      </c>
      <c r="BZ723" t="str">
        <f t="shared" si="271"/>
        <v>2021</v>
      </c>
      <c r="CA723" s="5">
        <f t="shared" si="261"/>
        <v>44369</v>
      </c>
      <c r="CB723">
        <v>173</v>
      </c>
      <c r="CC723" s="7">
        <v>12</v>
      </c>
      <c r="CE723">
        <f t="shared" si="263"/>
        <v>8.5897555080412769</v>
      </c>
      <c r="CF723">
        <f t="shared" si="264"/>
        <v>2.0887956650935151</v>
      </c>
      <c r="CG723">
        <f t="shared" si="265"/>
        <v>2.2722951131393804E-2</v>
      </c>
      <c r="CH723">
        <f t="shared" si="266"/>
        <v>2.6269548409769814</v>
      </c>
      <c r="CI723">
        <f t="shared" si="267"/>
        <v>7.7048197928259635E-2</v>
      </c>
      <c r="CJ723" s="1">
        <f t="shared" si="268"/>
        <v>7.7048197928259635E-2</v>
      </c>
      <c r="CK723" s="7" t="s">
        <v>142</v>
      </c>
      <c r="CL723" s="7">
        <v>3</v>
      </c>
      <c r="CM723" s="7">
        <v>2</v>
      </c>
      <c r="CN723" s="7">
        <v>70</v>
      </c>
      <c r="CO723" s="7">
        <v>30</v>
      </c>
      <c r="CP723" s="7">
        <v>0</v>
      </c>
      <c r="CQ723" s="12">
        <v>1.9900000000000001E-2</v>
      </c>
      <c r="CR723">
        <f>CQ723/(H723-I723-J723-N723)*1000</f>
        <v>1.9490695396669935</v>
      </c>
      <c r="CS723">
        <v>6.2910096458663176</v>
      </c>
      <c r="CT723">
        <v>99.18099376433382</v>
      </c>
      <c r="CU723">
        <v>154.98429999999999</v>
      </c>
    </row>
    <row r="724" spans="1:99" x14ac:dyDescent="0.2">
      <c r="A724" s="7" t="s">
        <v>1262</v>
      </c>
      <c r="B724" s="7" t="s">
        <v>60</v>
      </c>
      <c r="C724" t="str">
        <f t="shared" si="257"/>
        <v>I</v>
      </c>
      <c r="D724" t="str">
        <f t="shared" si="258"/>
        <v>I</v>
      </c>
      <c r="E724" t="str">
        <f t="shared" si="259"/>
        <v>G</v>
      </c>
      <c r="F724" s="7">
        <v>98</v>
      </c>
      <c r="G724" s="7">
        <v>93</v>
      </c>
      <c r="H724" s="7">
        <v>18.616</v>
      </c>
      <c r="I724" s="7">
        <v>0.23300000000000001</v>
      </c>
      <c r="J724" s="7">
        <v>0.13700000000000001</v>
      </c>
      <c r="K724" s="7" t="s">
        <v>868</v>
      </c>
      <c r="L724" t="str">
        <f t="shared" si="260"/>
        <v>M</v>
      </c>
      <c r="M724" s="7">
        <v>30</v>
      </c>
      <c r="N724" s="7">
        <v>2.2759999999999998</v>
      </c>
      <c r="O724" s="7">
        <v>0.82799999999999996</v>
      </c>
      <c r="P724" s="7" t="s">
        <v>1278</v>
      </c>
      <c r="Q724" t="str">
        <f t="shared" si="262"/>
        <v>F</v>
      </c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  <c r="AK724" s="7"/>
      <c r="AL724" s="7"/>
      <c r="AM724" s="7"/>
      <c r="AN724" s="7"/>
      <c r="AO724" s="7"/>
      <c r="AP724" s="7"/>
      <c r="AQ724" s="7"/>
      <c r="AR724" s="7"/>
      <c r="AS724" s="7"/>
      <c r="AT724" s="7"/>
      <c r="AU724" s="7"/>
      <c r="AV724" s="7"/>
      <c r="AW724" s="7"/>
      <c r="AX724" s="7"/>
      <c r="AY724" s="7"/>
      <c r="AZ724" s="7"/>
      <c r="BA724" s="7"/>
      <c r="BB724" s="7"/>
      <c r="BC724" s="7"/>
      <c r="BD724" s="7"/>
      <c r="BE724" s="7"/>
      <c r="BF724" s="7"/>
      <c r="BG724" s="7"/>
      <c r="BH724" s="7"/>
      <c r="BI724" s="7"/>
      <c r="BJ724" s="7"/>
      <c r="BK724" s="7"/>
      <c r="BL724" s="7"/>
      <c r="BM724" s="7"/>
      <c r="BN724" s="7">
        <v>1</v>
      </c>
      <c r="BO724" s="7">
        <v>1.2430000000000001</v>
      </c>
      <c r="BP724" s="7"/>
      <c r="BQ724" s="7"/>
      <c r="BR724" s="7"/>
      <c r="BS724" s="7"/>
      <c r="BT724" s="7"/>
      <c r="BU724" s="7"/>
      <c r="BV724" s="7">
        <v>1.2430000000000001</v>
      </c>
      <c r="BW724" t="s">
        <v>1255</v>
      </c>
      <c r="BX724" t="str">
        <f t="shared" si="269"/>
        <v>22</v>
      </c>
      <c r="BY724" t="str">
        <f t="shared" si="270"/>
        <v>6</v>
      </c>
      <c r="BZ724" t="str">
        <f t="shared" si="271"/>
        <v>2021</v>
      </c>
      <c r="CA724" s="5">
        <f t="shared" si="261"/>
        <v>44369</v>
      </c>
      <c r="CB724">
        <v>173</v>
      </c>
      <c r="CC724" s="7">
        <v>12</v>
      </c>
      <c r="CD724" t="s">
        <v>1286</v>
      </c>
      <c r="CE724">
        <f t="shared" si="263"/>
        <v>0.74138210942150562</v>
      </c>
      <c r="CF724">
        <f t="shared" si="264"/>
        <v>1.2674753848664528</v>
      </c>
      <c r="CG724">
        <f t="shared" si="265"/>
        <v>1.2769922174723228E-2</v>
      </c>
      <c r="CH724">
        <f t="shared" si="266"/>
        <v>4.6548234765010115</v>
      </c>
      <c r="CI724">
        <f t="shared" si="267"/>
        <v>7.7782552642887834</v>
      </c>
      <c r="CJ724" s="1">
        <f t="shared" si="268"/>
        <v>14.455307262569834</v>
      </c>
      <c r="CK724" s="7" t="s">
        <v>142</v>
      </c>
      <c r="CL724" s="7">
        <v>3</v>
      </c>
      <c r="CM724" s="7"/>
      <c r="CN724" s="7"/>
      <c r="CO724" s="7"/>
      <c r="CP724" s="7"/>
    </row>
    <row r="725" spans="1:99" ht="32" x14ac:dyDescent="0.2">
      <c r="A725" s="7" t="s">
        <v>1263</v>
      </c>
      <c r="B725" s="7" t="s">
        <v>60</v>
      </c>
      <c r="C725" t="str">
        <f t="shared" si="257"/>
        <v>I</v>
      </c>
      <c r="D725" t="str">
        <f t="shared" si="258"/>
        <v>B</v>
      </c>
      <c r="E725" t="str">
        <f t="shared" si="259"/>
        <v>N</v>
      </c>
      <c r="F725" s="7">
        <v>125</v>
      </c>
      <c r="G725" s="7">
        <v>118</v>
      </c>
      <c r="H725" s="7">
        <v>44.491999999999997</v>
      </c>
      <c r="I725" s="7">
        <v>1.0900000000000001</v>
      </c>
      <c r="J725" s="7">
        <v>1.9850000000000001</v>
      </c>
      <c r="K725" s="7" t="s">
        <v>867</v>
      </c>
      <c r="L725" t="str">
        <f t="shared" si="260"/>
        <v>F</v>
      </c>
      <c r="M725" s="7">
        <v>30</v>
      </c>
      <c r="N725" s="7">
        <v>7.1760000000000002</v>
      </c>
      <c r="O725" s="7">
        <v>2.11</v>
      </c>
      <c r="P725" s="7" t="s">
        <v>1279</v>
      </c>
      <c r="Q725" t="str">
        <f t="shared" si="262"/>
        <v>F</v>
      </c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7"/>
      <c r="AL725" s="7"/>
      <c r="AM725" s="7"/>
      <c r="AN725" s="7"/>
      <c r="AO725" s="7"/>
      <c r="AP725" s="7"/>
      <c r="AQ725" s="7"/>
      <c r="AR725" s="7"/>
      <c r="AS725" s="7"/>
      <c r="AT725" s="7"/>
      <c r="AU725" s="7"/>
      <c r="AV725" s="7"/>
      <c r="AW725" s="7"/>
      <c r="AX725" s="7"/>
      <c r="AY725" s="7"/>
      <c r="AZ725" s="7"/>
      <c r="BA725" s="7"/>
      <c r="BB725" s="7"/>
      <c r="BC725" s="7"/>
      <c r="BD725" s="7"/>
      <c r="BE725" s="7"/>
      <c r="BF725" s="7"/>
      <c r="BG725" s="7"/>
      <c r="BH725" s="7"/>
      <c r="BI725" s="7"/>
      <c r="BJ725" s="7"/>
      <c r="BK725" s="7"/>
      <c r="BL725" s="7">
        <v>1</v>
      </c>
      <c r="BM725" s="7">
        <v>1.1359999999999999</v>
      </c>
      <c r="BN725" s="7">
        <v>3</v>
      </c>
      <c r="BO725" s="7">
        <v>3.4380000000000002</v>
      </c>
      <c r="BP725" s="7"/>
      <c r="BQ725" s="7"/>
      <c r="BR725" s="7"/>
      <c r="BS725" s="7"/>
      <c r="BT725" s="7"/>
      <c r="BU725" s="7"/>
      <c r="BV725">
        <f>3.438+1.136</f>
        <v>4.5739999999999998</v>
      </c>
      <c r="BW725" t="s">
        <v>1255</v>
      </c>
      <c r="BX725" t="str">
        <f t="shared" si="269"/>
        <v>22</v>
      </c>
      <c r="BY725" t="str">
        <f t="shared" si="270"/>
        <v>6</v>
      </c>
      <c r="BZ725" t="str">
        <f t="shared" si="271"/>
        <v>2021</v>
      </c>
      <c r="CA725" s="5">
        <f t="shared" si="261"/>
        <v>44369</v>
      </c>
      <c r="CB725">
        <v>173</v>
      </c>
      <c r="CC725" s="7">
        <v>12</v>
      </c>
      <c r="CD725" t="s">
        <v>1286</v>
      </c>
      <c r="CE725">
        <f t="shared" si="263"/>
        <v>4.6698190886206987</v>
      </c>
      <c r="CF725">
        <f t="shared" si="264"/>
        <v>2.511405004377679</v>
      </c>
      <c r="CG725">
        <f t="shared" si="265"/>
        <v>2.6317695632228317E-2</v>
      </c>
      <c r="CH725">
        <f t="shared" si="266"/>
        <v>4.9785286206408381</v>
      </c>
      <c r="CI725">
        <f t="shared" si="267"/>
        <v>11.386316641193925</v>
      </c>
      <c r="CJ725" s="1">
        <f t="shared" si="268"/>
        <v>21.666816506338222</v>
      </c>
      <c r="CK725" s="7" t="s">
        <v>142</v>
      </c>
      <c r="CL725" s="7">
        <v>3</v>
      </c>
      <c r="CM725" s="7"/>
      <c r="CN725" s="7"/>
      <c r="CO725" s="7"/>
      <c r="CP725" s="7"/>
    </row>
    <row r="726" spans="1:99" x14ac:dyDescent="0.2">
      <c r="A726" s="7" t="s">
        <v>1264</v>
      </c>
      <c r="B726" s="7" t="s">
        <v>60</v>
      </c>
      <c r="C726" t="str">
        <f t="shared" si="257"/>
        <v>I</v>
      </c>
      <c r="D726" t="str">
        <f t="shared" si="258"/>
        <v>S</v>
      </c>
      <c r="E726" t="str">
        <f t="shared" si="259"/>
        <v>G</v>
      </c>
      <c r="F726" s="7">
        <v>84</v>
      </c>
      <c r="G726" s="7">
        <v>79</v>
      </c>
      <c r="H726" s="7">
        <v>10.073</v>
      </c>
      <c r="I726" s="7">
        <v>0.114</v>
      </c>
      <c r="J726" s="7">
        <v>0.14099999999999999</v>
      </c>
      <c r="K726" s="7" t="s">
        <v>868</v>
      </c>
      <c r="L726" t="str">
        <f t="shared" si="260"/>
        <v>M</v>
      </c>
      <c r="M726" s="7">
        <v>30</v>
      </c>
      <c r="N726" s="7">
        <v>0.28399999999999997</v>
      </c>
      <c r="O726" s="7">
        <v>0.27700000000000002</v>
      </c>
      <c r="P726" s="7" t="s">
        <v>36</v>
      </c>
      <c r="Q726" t="str">
        <f t="shared" si="262"/>
        <v>MT</v>
      </c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  <c r="AK726" s="7"/>
      <c r="AL726" s="7"/>
      <c r="AM726" s="7"/>
      <c r="AN726" s="7"/>
      <c r="AO726" s="7"/>
      <c r="AP726" s="7"/>
      <c r="AQ726" s="7"/>
      <c r="AR726" s="7"/>
      <c r="AS726" s="7"/>
      <c r="AT726" s="7"/>
      <c r="AU726" s="7"/>
      <c r="AV726" s="7"/>
      <c r="AW726" s="7"/>
      <c r="AX726" s="7"/>
      <c r="AY726" s="7"/>
      <c r="AZ726" s="7"/>
      <c r="BA726" s="7"/>
      <c r="BB726" s="7"/>
      <c r="BC726" s="7"/>
      <c r="BD726" s="7"/>
      <c r="BE726" s="7"/>
      <c r="BF726" s="7"/>
      <c r="BG726" s="7"/>
      <c r="BH726" s="7"/>
      <c r="BI726" s="7"/>
      <c r="BJ726" s="7"/>
      <c r="BK726" s="7"/>
      <c r="BL726" s="7"/>
      <c r="BM726" s="7"/>
      <c r="BN726" s="7"/>
      <c r="BO726" s="7"/>
      <c r="BP726" s="7"/>
      <c r="BQ726" s="7"/>
      <c r="BR726" s="7"/>
      <c r="BS726" s="7"/>
      <c r="BT726" s="7"/>
      <c r="BU726" s="7"/>
      <c r="BW726" t="s">
        <v>1255</v>
      </c>
      <c r="BX726" t="str">
        <f t="shared" si="269"/>
        <v>22</v>
      </c>
      <c r="BY726" t="str">
        <f t="shared" si="270"/>
        <v>6</v>
      </c>
      <c r="BZ726" t="str">
        <f t="shared" si="271"/>
        <v>2021</v>
      </c>
      <c r="CA726" s="5">
        <f t="shared" si="261"/>
        <v>44369</v>
      </c>
      <c r="CB726">
        <v>173</v>
      </c>
      <c r="CC726" s="7">
        <v>12</v>
      </c>
      <c r="CE726">
        <f t="shared" si="263"/>
        <v>1.4196536447845347</v>
      </c>
      <c r="CF726">
        <f t="shared" si="264"/>
        <v>1.1446932422934031</v>
      </c>
      <c r="CG726">
        <f t="shared" si="265"/>
        <v>1.1611326135669181E-2</v>
      </c>
      <c r="CH726">
        <f t="shared" si="266"/>
        <v>2.8276847692935889</v>
      </c>
      <c r="CI726">
        <f t="shared" si="267"/>
        <v>6.9492703266156558E-2</v>
      </c>
      <c r="CJ726" s="1">
        <f t="shared" si="268"/>
        <v>6.9492703266156558E-2</v>
      </c>
      <c r="CK726" s="7" t="s">
        <v>142</v>
      </c>
      <c r="CL726" s="7">
        <v>3</v>
      </c>
      <c r="CM726" s="7"/>
      <c r="CN726" s="7"/>
      <c r="CO726" s="7"/>
      <c r="CP726" s="7"/>
    </row>
    <row r="727" spans="1:99" ht="32" x14ac:dyDescent="0.2">
      <c r="A727" s="7" t="s">
        <v>1265</v>
      </c>
      <c r="B727" s="7" t="s">
        <v>60</v>
      </c>
      <c r="C727" t="str">
        <f t="shared" si="257"/>
        <v>I</v>
      </c>
      <c r="D727" t="str">
        <f t="shared" si="258"/>
        <v>I</v>
      </c>
      <c r="E727" t="str">
        <f t="shared" si="259"/>
        <v>G</v>
      </c>
      <c r="F727" s="7">
        <v>108</v>
      </c>
      <c r="G727" s="7">
        <v>103</v>
      </c>
      <c r="H727" s="7">
        <v>25.398</v>
      </c>
      <c r="I727" s="7">
        <v>0.27500000000000002</v>
      </c>
      <c r="J727" s="7">
        <v>0.186</v>
      </c>
      <c r="K727" s="7" t="s">
        <v>868</v>
      </c>
      <c r="L727" t="str">
        <f t="shared" si="260"/>
        <v>M</v>
      </c>
      <c r="M727" s="7">
        <v>30</v>
      </c>
      <c r="N727" s="7">
        <v>3.4790000000000001</v>
      </c>
      <c r="O727" s="7">
        <v>0.90100000000000002</v>
      </c>
      <c r="P727" s="7" t="s">
        <v>1280</v>
      </c>
      <c r="Q727" t="str">
        <f t="shared" si="262"/>
        <v>F</v>
      </c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  <c r="AK727" s="7"/>
      <c r="AL727" s="7"/>
      <c r="AM727" s="7"/>
      <c r="AN727" s="7"/>
      <c r="AO727" s="7"/>
      <c r="AP727" s="7"/>
      <c r="AQ727" s="7"/>
      <c r="AR727" s="7"/>
      <c r="AS727" s="7"/>
      <c r="AT727" s="7"/>
      <c r="AU727" s="7"/>
      <c r="AV727" s="7"/>
      <c r="AW727" s="7"/>
      <c r="AX727" s="7"/>
      <c r="AY727" s="7"/>
      <c r="AZ727" s="7"/>
      <c r="BA727" s="7"/>
      <c r="BB727" s="7"/>
      <c r="BC727" s="7"/>
      <c r="BD727" s="7"/>
      <c r="BE727" s="7"/>
      <c r="BF727" s="7"/>
      <c r="BG727" s="7"/>
      <c r="BH727" s="7"/>
      <c r="BI727" s="7"/>
      <c r="BJ727" s="7"/>
      <c r="BK727" s="7"/>
      <c r="BL727" s="7">
        <v>1</v>
      </c>
      <c r="BM727" s="7">
        <v>0.82599999999999996</v>
      </c>
      <c r="BN727" s="7"/>
      <c r="BO727" s="7"/>
      <c r="BP727" s="7">
        <v>1</v>
      </c>
      <c r="BQ727" s="7">
        <v>1.3140000000000001</v>
      </c>
      <c r="BR727" s="7"/>
      <c r="BS727" s="7"/>
      <c r="BT727" s="7"/>
      <c r="BU727" s="7"/>
      <c r="BV727">
        <f>1.314+0.826</f>
        <v>2.14</v>
      </c>
      <c r="BW727" t="s">
        <v>1255</v>
      </c>
      <c r="BX727" t="str">
        <f t="shared" si="269"/>
        <v>22</v>
      </c>
      <c r="BY727" t="str">
        <f t="shared" si="270"/>
        <v>6</v>
      </c>
      <c r="BZ727" t="str">
        <f t="shared" si="271"/>
        <v>2021</v>
      </c>
      <c r="CA727" s="5">
        <f t="shared" si="261"/>
        <v>44369</v>
      </c>
      <c r="CB727">
        <v>173</v>
      </c>
      <c r="CC727" s="7">
        <v>12</v>
      </c>
      <c r="CD727" t="s">
        <v>1286</v>
      </c>
      <c r="CE727">
        <f t="shared" si="263"/>
        <v>0.73774393146120898</v>
      </c>
      <c r="CF727">
        <f t="shared" si="264"/>
        <v>1.0946144966763522</v>
      </c>
      <c r="CG727">
        <f t="shared" si="265"/>
        <v>1.1027790030877813E-2</v>
      </c>
      <c r="CH727">
        <f t="shared" si="266"/>
        <v>3.6780013879250522</v>
      </c>
      <c r="CI727">
        <f t="shared" si="267"/>
        <v>10.150405543743602</v>
      </c>
      <c r="CJ727" s="1">
        <f t="shared" si="268"/>
        <v>18.576265847704544</v>
      </c>
      <c r="CK727" s="7" t="s">
        <v>142</v>
      </c>
      <c r="CL727" s="7">
        <v>2</v>
      </c>
      <c r="CM727" s="7"/>
      <c r="CN727" s="7"/>
      <c r="CO727" s="7"/>
      <c r="CP727" s="7"/>
    </row>
    <row r="728" spans="1:99" x14ac:dyDescent="0.2">
      <c r="A728" s="7" t="s">
        <v>1266</v>
      </c>
      <c r="B728" s="7" t="s">
        <v>60</v>
      </c>
      <c r="C728" t="str">
        <f t="shared" si="257"/>
        <v>I</v>
      </c>
      <c r="D728" t="str">
        <f t="shared" si="258"/>
        <v>I</v>
      </c>
      <c r="E728" t="str">
        <f t="shared" si="259"/>
        <v>G</v>
      </c>
      <c r="F728" s="7">
        <v>86</v>
      </c>
      <c r="G728" s="7">
        <v>81</v>
      </c>
      <c r="H728" s="7">
        <v>12.141999999999999</v>
      </c>
      <c r="I728" s="7">
        <v>0.11899999999999999</v>
      </c>
      <c r="J728" s="7">
        <v>0.13300000000000001</v>
      </c>
      <c r="K728" s="7" t="s">
        <v>868</v>
      </c>
      <c r="L728" t="str">
        <f t="shared" si="260"/>
        <v>M</v>
      </c>
      <c r="M728" s="7">
        <v>30</v>
      </c>
      <c r="N728" s="7">
        <v>0.33800000000000002</v>
      </c>
      <c r="O728" s="7">
        <v>0.32600000000000001</v>
      </c>
      <c r="P728" s="7" t="s">
        <v>36</v>
      </c>
      <c r="Q728" t="str">
        <f t="shared" si="262"/>
        <v>MT</v>
      </c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  <c r="AK728" s="7"/>
      <c r="AL728" s="7"/>
      <c r="AM728" s="7"/>
      <c r="AN728" s="7"/>
      <c r="AO728" s="7"/>
      <c r="AP728" s="7"/>
      <c r="AQ728" s="7"/>
      <c r="AR728" s="7"/>
      <c r="AS728" s="7"/>
      <c r="AT728" s="7"/>
      <c r="AU728" s="7"/>
      <c r="AV728" s="7"/>
      <c r="AW728" s="7"/>
      <c r="AX728" s="7"/>
      <c r="AY728" s="7"/>
      <c r="AZ728" s="7"/>
      <c r="BA728" s="7"/>
      <c r="BB728" s="7"/>
      <c r="BC728" s="7"/>
      <c r="BD728" s="7"/>
      <c r="BE728" s="7"/>
      <c r="BF728" s="7"/>
      <c r="BG728" s="7"/>
      <c r="BH728" s="7"/>
      <c r="BI728" s="7"/>
      <c r="BJ728" s="7"/>
      <c r="BK728" s="7"/>
      <c r="BL728" s="7"/>
      <c r="BM728" s="7"/>
      <c r="BN728" s="7"/>
      <c r="BO728" s="7"/>
      <c r="BP728" s="7"/>
      <c r="BQ728" s="7"/>
      <c r="BR728" s="7"/>
      <c r="BS728" s="7"/>
      <c r="BT728" s="7"/>
      <c r="BU728" s="7"/>
      <c r="BW728" t="s">
        <v>1255</v>
      </c>
      <c r="BX728" t="str">
        <f t="shared" si="269"/>
        <v>22</v>
      </c>
      <c r="BY728" t="str">
        <f t="shared" si="270"/>
        <v>6</v>
      </c>
      <c r="BZ728" t="str">
        <f t="shared" si="271"/>
        <v>2021</v>
      </c>
      <c r="CA728" s="5">
        <f t="shared" si="261"/>
        <v>44369</v>
      </c>
      <c r="CB728">
        <v>173</v>
      </c>
      <c r="CC728" s="7">
        <v>12</v>
      </c>
      <c r="CE728">
        <f t="shared" si="263"/>
        <v>1.1075027063036056</v>
      </c>
      <c r="CF728">
        <f t="shared" si="264"/>
        <v>0.98976960825085247</v>
      </c>
      <c r="CG728">
        <f t="shared" si="265"/>
        <v>1.0008410428931875E-2</v>
      </c>
      <c r="CH728">
        <f t="shared" si="266"/>
        <v>2.7589708869329725</v>
      </c>
      <c r="CI728">
        <f t="shared" si="267"/>
        <v>9.8830505682754172E-2</v>
      </c>
      <c r="CJ728" s="1">
        <f t="shared" si="268"/>
        <v>9.8830505682754172E-2</v>
      </c>
      <c r="CK728" s="7" t="s">
        <v>142</v>
      </c>
      <c r="CL728" s="7">
        <v>2</v>
      </c>
      <c r="CM728" s="7"/>
      <c r="CN728" s="7"/>
      <c r="CO728" s="7"/>
      <c r="CP728" s="7"/>
    </row>
    <row r="729" spans="1:99" x14ac:dyDescent="0.2">
      <c r="A729" s="7" t="s">
        <v>1267</v>
      </c>
      <c r="B729" s="7" t="s">
        <v>60</v>
      </c>
      <c r="C729" t="str">
        <f t="shared" si="257"/>
        <v>I</v>
      </c>
      <c r="D729" t="str">
        <f t="shared" si="258"/>
        <v>I</v>
      </c>
      <c r="E729" t="str">
        <f t="shared" si="259"/>
        <v>G</v>
      </c>
      <c r="F729" s="7">
        <v>86</v>
      </c>
      <c r="G729" s="7">
        <v>80</v>
      </c>
      <c r="H729" s="7">
        <v>12.196</v>
      </c>
      <c r="I729" s="7">
        <v>0.17100000000000001</v>
      </c>
      <c r="J729" s="7">
        <v>5.5E-2</v>
      </c>
      <c r="K729" s="7" t="s">
        <v>868</v>
      </c>
      <c r="L729" t="str">
        <f t="shared" si="260"/>
        <v>M</v>
      </c>
      <c r="M729" s="7">
        <v>30</v>
      </c>
      <c r="N729" s="7">
        <v>0.46100000000000002</v>
      </c>
      <c r="O729" s="7">
        <v>0.41899999999999998</v>
      </c>
      <c r="P729" s="7" t="s">
        <v>36</v>
      </c>
      <c r="Q729" t="str">
        <f t="shared" si="262"/>
        <v>MT</v>
      </c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  <c r="AK729" s="7"/>
      <c r="AL729" s="7"/>
      <c r="AM729" s="7"/>
      <c r="AN729" s="7"/>
      <c r="AO729" s="7"/>
      <c r="AP729" s="7"/>
      <c r="AQ729" s="7"/>
      <c r="AR729" s="7"/>
      <c r="AS729" s="7"/>
      <c r="AT729" s="7"/>
      <c r="AU729" s="7"/>
      <c r="AV729" s="7"/>
      <c r="AW729" s="7"/>
      <c r="AX729" s="7"/>
      <c r="AY729" s="7"/>
      <c r="AZ729" s="7"/>
      <c r="BA729" s="7"/>
      <c r="BB729" s="7"/>
      <c r="BC729" s="7"/>
      <c r="BD729" s="7"/>
      <c r="BE729" s="7"/>
      <c r="BF729" s="7"/>
      <c r="BG729" s="7"/>
      <c r="BH729" s="7"/>
      <c r="BI729" s="7"/>
      <c r="BJ729" s="7"/>
      <c r="BK729" s="7"/>
      <c r="BL729" s="7"/>
      <c r="BM729" s="7"/>
      <c r="BN729" s="7"/>
      <c r="BO729" s="7"/>
      <c r="BP729" s="7"/>
      <c r="BQ729" s="7"/>
      <c r="BR729" s="7"/>
      <c r="BS729" s="7"/>
      <c r="BT729" s="7"/>
      <c r="BU729" s="7"/>
      <c r="BW729" t="s">
        <v>1255</v>
      </c>
      <c r="BX729" t="str">
        <f t="shared" si="269"/>
        <v>22</v>
      </c>
      <c r="BY729" t="str">
        <f t="shared" si="270"/>
        <v>6</v>
      </c>
      <c r="BZ729" t="str">
        <f t="shared" si="271"/>
        <v>2021</v>
      </c>
      <c r="CA729" s="5">
        <f t="shared" si="261"/>
        <v>44369</v>
      </c>
      <c r="CB729">
        <v>173</v>
      </c>
      <c r="CC729" s="7">
        <v>12</v>
      </c>
      <c r="CE729">
        <f t="shared" si="263"/>
        <v>0.45301046042335885</v>
      </c>
      <c r="CF729">
        <f t="shared" si="264"/>
        <v>1.4220374220374221</v>
      </c>
      <c r="CG729">
        <f t="shared" si="265"/>
        <v>1.4285714285714285E-2</v>
      </c>
      <c r="CH729">
        <f t="shared" si="266"/>
        <v>3.5577821176870175</v>
      </c>
      <c r="CI729">
        <f t="shared" si="267"/>
        <v>0.34437520498524138</v>
      </c>
      <c r="CJ729" s="1">
        <f t="shared" si="268"/>
        <v>0.34437520498524138</v>
      </c>
      <c r="CK729" s="7" t="s">
        <v>142</v>
      </c>
      <c r="CL729" s="7">
        <v>3</v>
      </c>
      <c r="CM729" s="7"/>
      <c r="CN729" s="7"/>
      <c r="CO729" s="7"/>
      <c r="CP729" s="7"/>
    </row>
    <row r="730" spans="1:99" x14ac:dyDescent="0.2">
      <c r="A730" s="7" t="s">
        <v>1268</v>
      </c>
      <c r="B730" s="7" t="s">
        <v>60</v>
      </c>
      <c r="C730" t="str">
        <f t="shared" si="257"/>
        <v>I</v>
      </c>
      <c r="D730" t="str">
        <f t="shared" si="258"/>
        <v>I</v>
      </c>
      <c r="E730" t="str">
        <f t="shared" si="259"/>
        <v>G</v>
      </c>
      <c r="F730" s="7">
        <v>89</v>
      </c>
      <c r="G730" s="7">
        <v>84</v>
      </c>
      <c r="H730" s="7">
        <v>12.776</v>
      </c>
      <c r="I730" s="7">
        <v>0.14799999999999999</v>
      </c>
      <c r="J730" s="7">
        <v>0.115</v>
      </c>
      <c r="K730" s="7" t="s">
        <v>868</v>
      </c>
      <c r="L730" t="str">
        <f t="shared" si="260"/>
        <v>M</v>
      </c>
      <c r="M730" s="7">
        <v>30</v>
      </c>
      <c r="N730" s="7">
        <v>0.92900000000000005</v>
      </c>
      <c r="O730" s="7">
        <v>0.40699999999999997</v>
      </c>
      <c r="P730" s="7" t="s">
        <v>1281</v>
      </c>
      <c r="Q730" t="str">
        <f t="shared" si="262"/>
        <v>F</v>
      </c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  <c r="AK730" s="7"/>
      <c r="AL730" s="7"/>
      <c r="AM730" s="7"/>
      <c r="AN730" s="7"/>
      <c r="AO730" s="7"/>
      <c r="AP730" s="7"/>
      <c r="AQ730" s="7"/>
      <c r="AR730" s="7"/>
      <c r="AS730" s="7"/>
      <c r="AT730" s="7"/>
      <c r="AU730" s="7"/>
      <c r="AV730" s="7"/>
      <c r="AW730" s="7"/>
      <c r="AX730" s="7"/>
      <c r="AY730" s="7"/>
      <c r="AZ730" s="7"/>
      <c r="BA730" s="7"/>
      <c r="BB730" s="7"/>
      <c r="BC730" s="7"/>
      <c r="BD730" s="7"/>
      <c r="BE730" s="7"/>
      <c r="BF730" s="7"/>
      <c r="BG730" s="7"/>
      <c r="BH730" s="7"/>
      <c r="BI730" s="7"/>
      <c r="BJ730" s="7"/>
      <c r="BK730" s="7"/>
      <c r="BL730" s="7"/>
      <c r="BM730" s="7"/>
      <c r="BN730" s="7">
        <v>1</v>
      </c>
      <c r="BO730" s="7">
        <v>0.35599999999999998</v>
      </c>
      <c r="BP730" s="7"/>
      <c r="BQ730" s="7"/>
      <c r="BR730" s="7"/>
      <c r="BS730" s="7"/>
      <c r="BT730" s="7"/>
      <c r="BU730" s="7"/>
      <c r="BV730" s="7">
        <v>0.35599999999999998</v>
      </c>
      <c r="BW730" t="s">
        <v>1255</v>
      </c>
      <c r="BX730" t="str">
        <f t="shared" si="269"/>
        <v>22</v>
      </c>
      <c r="BY730" t="str">
        <f t="shared" si="270"/>
        <v>6</v>
      </c>
      <c r="BZ730" t="str">
        <f t="shared" si="271"/>
        <v>2021</v>
      </c>
      <c r="CA730" s="5">
        <f t="shared" si="261"/>
        <v>44369</v>
      </c>
      <c r="CB730">
        <v>173</v>
      </c>
      <c r="CC730" s="7">
        <v>12</v>
      </c>
      <c r="CD730" t="s">
        <v>1286</v>
      </c>
      <c r="CE730">
        <f t="shared" si="263"/>
        <v>0.90830108206302829</v>
      </c>
      <c r="CF730">
        <f t="shared" si="264"/>
        <v>1.1719987329743426</v>
      </c>
      <c r="CG730">
        <f t="shared" si="265"/>
        <v>1.1827699192839446E-2</v>
      </c>
      <c r="CH730">
        <f t="shared" si="266"/>
        <v>3.2904842752041392</v>
      </c>
      <c r="CI730">
        <f t="shared" si="267"/>
        <v>4.085785848465874</v>
      </c>
      <c r="CJ730" s="1">
        <f t="shared" si="268"/>
        <v>6.8722604884157796</v>
      </c>
      <c r="CK730" s="7" t="s">
        <v>142</v>
      </c>
      <c r="CL730" s="7">
        <v>3</v>
      </c>
      <c r="CM730" s="7"/>
      <c r="CN730" s="7"/>
      <c r="CO730" s="7"/>
      <c r="CP730" s="7"/>
    </row>
    <row r="731" spans="1:99" x14ac:dyDescent="0.2">
      <c r="A731" s="7" t="s">
        <v>1269</v>
      </c>
      <c r="B731" s="7" t="s">
        <v>60</v>
      </c>
      <c r="C731" t="str">
        <f t="shared" si="257"/>
        <v>I</v>
      </c>
      <c r="D731" t="str">
        <f t="shared" si="258"/>
        <v>S</v>
      </c>
      <c r="E731" t="str">
        <f t="shared" si="259"/>
        <v>G</v>
      </c>
      <c r="F731" s="7">
        <v>84</v>
      </c>
      <c r="G731" s="7">
        <v>79</v>
      </c>
      <c r="H731" s="7">
        <v>10.503</v>
      </c>
      <c r="I731" s="7">
        <v>0.14000000000000001</v>
      </c>
      <c r="J731" s="7">
        <v>3.2000000000000001E-2</v>
      </c>
      <c r="K731" s="7" t="s">
        <v>1181</v>
      </c>
      <c r="L731" t="str">
        <f t="shared" si="260"/>
        <v>M</v>
      </c>
      <c r="M731" s="7">
        <v>40</v>
      </c>
      <c r="N731" s="7">
        <v>0.42599999999999999</v>
      </c>
      <c r="O731" s="7">
        <v>0.40200000000000002</v>
      </c>
      <c r="P731" s="7" t="s">
        <v>36</v>
      </c>
      <c r="Q731" t="str">
        <f t="shared" si="262"/>
        <v>MT</v>
      </c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  <c r="AK731" s="7"/>
      <c r="AL731" s="7"/>
      <c r="AM731" s="7"/>
      <c r="AN731" s="7"/>
      <c r="AO731" s="7"/>
      <c r="AP731" s="7"/>
      <c r="AQ731" s="7"/>
      <c r="AR731" s="7"/>
      <c r="AS731" s="7"/>
      <c r="AT731" s="7"/>
      <c r="AU731" s="7"/>
      <c r="AV731" s="7"/>
      <c r="AW731" s="7"/>
      <c r="AX731" s="7"/>
      <c r="AY731" s="7"/>
      <c r="AZ731" s="7"/>
      <c r="BA731" s="7"/>
      <c r="BB731" s="7"/>
      <c r="BC731" s="7"/>
      <c r="BD731" s="7"/>
      <c r="BE731" s="7"/>
      <c r="BF731" s="7"/>
      <c r="BG731" s="7"/>
      <c r="BH731" s="7"/>
      <c r="BI731" s="7"/>
      <c r="BJ731" s="7"/>
      <c r="BK731" s="7"/>
      <c r="BL731" s="7"/>
      <c r="BM731" s="7"/>
      <c r="BN731" s="7"/>
      <c r="BO731" s="7"/>
      <c r="BP731" s="7"/>
      <c r="BQ731" s="7"/>
      <c r="BR731" s="7"/>
      <c r="BS731" s="7"/>
      <c r="BT731" s="7"/>
      <c r="BU731" s="7"/>
      <c r="BW731" t="s">
        <v>1255</v>
      </c>
      <c r="BX731" t="str">
        <f t="shared" si="269"/>
        <v>22</v>
      </c>
      <c r="BY731" t="str">
        <f t="shared" si="270"/>
        <v>6</v>
      </c>
      <c r="BZ731" t="str">
        <f t="shared" si="271"/>
        <v>2021</v>
      </c>
      <c r="CA731" s="5">
        <f t="shared" si="261"/>
        <v>44369</v>
      </c>
      <c r="CB731">
        <v>173</v>
      </c>
      <c r="CC731" s="7">
        <v>12</v>
      </c>
      <c r="CE731">
        <f t="shared" si="263"/>
        <v>0.30560595931620665</v>
      </c>
      <c r="CF731">
        <f t="shared" si="264"/>
        <v>1.3509601466756731</v>
      </c>
      <c r="CG731">
        <f t="shared" si="265"/>
        <v>1.3551447100958283E-2</v>
      </c>
      <c r="CH731">
        <f t="shared" si="266"/>
        <v>3.9798039798039793</v>
      </c>
      <c r="CI731">
        <f t="shared" si="267"/>
        <v>0.22850614110254178</v>
      </c>
      <c r="CJ731" s="1">
        <f t="shared" si="268"/>
        <v>0.22850614110254178</v>
      </c>
      <c r="CK731" s="7" t="s">
        <v>142</v>
      </c>
      <c r="CL731" s="7">
        <v>3</v>
      </c>
      <c r="CM731" s="7"/>
      <c r="CN731" s="7"/>
      <c r="CO731" s="7"/>
      <c r="CP731" s="7"/>
    </row>
    <row r="732" spans="1:99" x14ac:dyDescent="0.2">
      <c r="A732" s="7" t="s">
        <v>1317</v>
      </c>
      <c r="B732" s="7" t="s">
        <v>60</v>
      </c>
      <c r="C732" t="str">
        <f t="shared" si="257"/>
        <v>I</v>
      </c>
      <c r="D732" t="str">
        <f t="shared" si="258"/>
        <v>B</v>
      </c>
      <c r="E732" t="str">
        <f t="shared" si="259"/>
        <v>N</v>
      </c>
      <c r="F732" s="7">
        <v>119</v>
      </c>
      <c r="G732" s="7">
        <v>113</v>
      </c>
      <c r="H732" s="7">
        <v>37.561999999999998</v>
      </c>
      <c r="I732" s="7">
        <v>0.44</v>
      </c>
      <c r="J732" s="7">
        <v>0.32100000000000001</v>
      </c>
      <c r="K732" s="7" t="s">
        <v>868</v>
      </c>
      <c r="L732" t="str">
        <f t="shared" si="260"/>
        <v>M</v>
      </c>
      <c r="M732" s="7">
        <v>30</v>
      </c>
      <c r="N732" s="7">
        <v>5.7460000000000004</v>
      </c>
      <c r="O732" s="7">
        <v>1.637</v>
      </c>
      <c r="P732" s="7" t="s">
        <v>1349</v>
      </c>
      <c r="Q732" t="str">
        <f t="shared" si="262"/>
        <v>F</v>
      </c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  <c r="AK732" s="7"/>
      <c r="AL732" s="7"/>
      <c r="AM732" s="7"/>
      <c r="AN732" s="7"/>
      <c r="AO732" s="7"/>
      <c r="AP732" s="7"/>
      <c r="AQ732" s="7"/>
      <c r="AR732" s="7"/>
      <c r="AS732" s="7"/>
      <c r="AT732" s="7"/>
      <c r="AU732" s="7"/>
      <c r="AV732" s="7"/>
      <c r="AW732" s="7"/>
      <c r="AX732" s="7"/>
      <c r="AY732" s="7"/>
      <c r="AZ732" s="7"/>
      <c r="BA732" s="7"/>
      <c r="BB732" s="7"/>
      <c r="BC732" s="7"/>
      <c r="BD732" s="7"/>
      <c r="BE732" s="7"/>
      <c r="BF732" s="7"/>
      <c r="BG732" s="7"/>
      <c r="BH732" s="7"/>
      <c r="BI732" s="7"/>
      <c r="BJ732" s="7"/>
      <c r="BK732" s="7"/>
      <c r="BL732" s="7"/>
      <c r="BM732" s="7"/>
      <c r="BN732" s="7">
        <v>3</v>
      </c>
      <c r="BO732" s="7">
        <v>3.7050000000000001</v>
      </c>
      <c r="BP732" s="7"/>
      <c r="BQ732" s="7"/>
      <c r="BR732" s="7"/>
      <c r="BS732" s="7"/>
      <c r="BT732" s="7"/>
      <c r="BU732" s="7"/>
      <c r="BV732" s="7">
        <v>3.7050000000000001</v>
      </c>
      <c r="BW732" s="5">
        <v>44384</v>
      </c>
      <c r="BX732">
        <v>7</v>
      </c>
      <c r="BY732">
        <v>7</v>
      </c>
      <c r="BZ732">
        <v>2021</v>
      </c>
      <c r="CA732" s="5">
        <f t="shared" si="261"/>
        <v>44384</v>
      </c>
      <c r="CB732">
        <v>188</v>
      </c>
      <c r="CC732" s="7">
        <v>13</v>
      </c>
      <c r="CD732" t="s">
        <v>1286</v>
      </c>
      <c r="CE732">
        <f t="shared" si="263"/>
        <v>0.8619532235976477</v>
      </c>
      <c r="CF732">
        <f t="shared" si="264"/>
        <v>1.1852809654652228</v>
      </c>
      <c r="CG732">
        <f t="shared" si="265"/>
        <v>1.1956196842477106E-2</v>
      </c>
      <c r="CH732">
        <f t="shared" si="266"/>
        <v>4.5567153792623527</v>
      </c>
      <c r="CI732">
        <f t="shared" si="267"/>
        <v>10.939247111442416</v>
      </c>
      <c r="CJ732" s="1">
        <f t="shared" si="268"/>
        <v>20.80293914062084</v>
      </c>
      <c r="CK732" s="7" t="s">
        <v>142</v>
      </c>
      <c r="CL732" s="7">
        <v>3</v>
      </c>
      <c r="CM732" s="7"/>
      <c r="CN732" s="7"/>
      <c r="CO732" s="7"/>
      <c r="CP732" s="7"/>
    </row>
    <row r="733" spans="1:99" ht="32" x14ac:dyDescent="0.2">
      <c r="A733" s="7" t="s">
        <v>1318</v>
      </c>
      <c r="B733" s="7" t="s">
        <v>60</v>
      </c>
      <c r="C733" t="str">
        <f t="shared" si="257"/>
        <v>I</v>
      </c>
      <c r="D733" t="str">
        <f t="shared" si="258"/>
        <v>B</v>
      </c>
      <c r="E733" t="str">
        <f t="shared" si="259"/>
        <v>N</v>
      </c>
      <c r="F733" s="7">
        <v>130</v>
      </c>
      <c r="G733" s="7">
        <v>123</v>
      </c>
      <c r="H733" s="7">
        <v>39.997999999999998</v>
      </c>
      <c r="I733" s="7">
        <v>0.38100000000000001</v>
      </c>
      <c r="J733" s="7">
        <v>0.371</v>
      </c>
      <c r="K733" s="7" t="s">
        <v>868</v>
      </c>
      <c r="L733" t="str">
        <f t="shared" si="260"/>
        <v>M</v>
      </c>
      <c r="M733" s="7">
        <v>30</v>
      </c>
      <c r="N733" s="7">
        <v>3.9769999999999999</v>
      </c>
      <c r="O733" s="7">
        <v>1.34</v>
      </c>
      <c r="P733" s="7" t="s">
        <v>1350</v>
      </c>
      <c r="Q733" t="str">
        <f t="shared" si="262"/>
        <v>F</v>
      </c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  <c r="AK733" s="7"/>
      <c r="AL733" s="7"/>
      <c r="AM733" s="7"/>
      <c r="AN733" s="7"/>
      <c r="AO733" s="7"/>
      <c r="AP733" s="7"/>
      <c r="AQ733" s="7"/>
      <c r="AR733" s="7"/>
      <c r="AS733" s="7"/>
      <c r="AT733" s="7"/>
      <c r="AU733" s="7"/>
      <c r="AV733" s="7"/>
      <c r="AW733" s="7"/>
      <c r="AX733" s="7"/>
      <c r="AY733" s="7"/>
      <c r="AZ733" s="7"/>
      <c r="BA733" s="7"/>
      <c r="BB733" s="7"/>
      <c r="BC733" s="7"/>
      <c r="BD733" s="7"/>
      <c r="BE733" s="7"/>
      <c r="BF733" s="7"/>
      <c r="BG733" s="7"/>
      <c r="BH733" s="7"/>
      <c r="BI733" s="7"/>
      <c r="BJ733" s="7"/>
      <c r="BK733" s="7"/>
      <c r="BL733" s="7">
        <v>1</v>
      </c>
      <c r="BM733" s="7">
        <v>0.88700000000000001</v>
      </c>
      <c r="BN733" s="7">
        <v>2</v>
      </c>
      <c r="BO733" s="7">
        <v>1.5</v>
      </c>
      <c r="BP733" s="7"/>
      <c r="BQ733" s="7"/>
      <c r="BR733" s="7"/>
      <c r="BS733" s="7"/>
      <c r="BT733" s="7"/>
      <c r="BU733" s="7"/>
      <c r="BV733">
        <f>0.887+1.5</f>
        <v>2.387</v>
      </c>
      <c r="BW733" s="5">
        <v>44384</v>
      </c>
      <c r="BX733">
        <v>7</v>
      </c>
      <c r="BY733">
        <v>7</v>
      </c>
      <c r="BZ733">
        <v>2021</v>
      </c>
      <c r="CA733" s="5">
        <f t="shared" si="261"/>
        <v>44384</v>
      </c>
      <c r="CB733">
        <v>188</v>
      </c>
      <c r="CC733" s="7">
        <v>13</v>
      </c>
      <c r="CD733" t="s">
        <v>1286</v>
      </c>
      <c r="CE733">
        <f t="shared" si="263"/>
        <v>0.936230347995054</v>
      </c>
      <c r="CF733">
        <f t="shared" si="264"/>
        <v>0.96170835752328543</v>
      </c>
      <c r="CG733">
        <f t="shared" si="265"/>
        <v>9.7079957193089757E-3</v>
      </c>
      <c r="CH733">
        <f t="shared" si="266"/>
        <v>3.4662941693827936</v>
      </c>
      <c r="CI733">
        <f t="shared" si="267"/>
        <v>6.5928296414820728</v>
      </c>
      <c r="CJ733" s="1">
        <f t="shared" si="268"/>
        <v>12.560628031401569</v>
      </c>
      <c r="CK733" s="7" t="s">
        <v>142</v>
      </c>
      <c r="CL733" s="7">
        <v>3</v>
      </c>
      <c r="CM733" s="7"/>
      <c r="CN733" s="7"/>
      <c r="CO733" s="7"/>
      <c r="CP733" s="7"/>
    </row>
    <row r="734" spans="1:99" ht="32" x14ac:dyDescent="0.2">
      <c r="A734" s="7" t="s">
        <v>1319</v>
      </c>
      <c r="B734" s="7" t="s">
        <v>60</v>
      </c>
      <c r="C734" t="str">
        <f t="shared" si="257"/>
        <v>I</v>
      </c>
      <c r="D734" t="str">
        <f t="shared" si="258"/>
        <v>B</v>
      </c>
      <c r="E734" t="str">
        <f t="shared" si="259"/>
        <v>N</v>
      </c>
      <c r="F734" s="7">
        <v>127</v>
      </c>
      <c r="G734" s="7">
        <v>122</v>
      </c>
      <c r="H734" s="7">
        <v>40.445999999999998</v>
      </c>
      <c r="I734" s="7">
        <v>0.71</v>
      </c>
      <c r="J734" s="7">
        <v>0.22700000000000001</v>
      </c>
      <c r="K734" s="7" t="s">
        <v>868</v>
      </c>
      <c r="L734" t="str">
        <f t="shared" si="260"/>
        <v>M</v>
      </c>
      <c r="M734" s="7">
        <v>30</v>
      </c>
      <c r="N734" s="7">
        <v>4.7539999999999996</v>
      </c>
      <c r="O734" s="7">
        <v>1.5840000000000001</v>
      </c>
      <c r="P734" s="7" t="s">
        <v>1351</v>
      </c>
      <c r="Q734" t="str">
        <f t="shared" si="262"/>
        <v>F</v>
      </c>
      <c r="R734" s="7"/>
      <c r="S734" s="7"/>
      <c r="T734" s="7">
        <v>2</v>
      </c>
      <c r="U734" s="7">
        <v>0.68600000000000005</v>
      </c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  <c r="AK734" s="7"/>
      <c r="AL734" s="7"/>
      <c r="AM734" s="7"/>
      <c r="AN734" s="7"/>
      <c r="AO734" s="7"/>
      <c r="AP734" s="7"/>
      <c r="AQ734" s="7"/>
      <c r="AR734" s="7"/>
      <c r="AS734" s="7"/>
      <c r="AT734" s="7"/>
      <c r="AU734" s="7"/>
      <c r="AV734" s="7"/>
      <c r="AW734" s="7"/>
      <c r="AX734" s="7"/>
      <c r="AY734" s="7"/>
      <c r="AZ734" s="7"/>
      <c r="BA734" s="7"/>
      <c r="BB734" s="7"/>
      <c r="BC734" s="7"/>
      <c r="BD734" s="7"/>
      <c r="BE734" s="7"/>
      <c r="BF734" s="7"/>
      <c r="BG734" s="7"/>
      <c r="BH734" s="7"/>
      <c r="BI734" s="7"/>
      <c r="BJ734" s="7"/>
      <c r="BK734" s="7"/>
      <c r="BL734" s="7"/>
      <c r="BM734" s="7"/>
      <c r="BN734" s="7">
        <v>2</v>
      </c>
      <c r="BO734" s="7">
        <v>2.2080000000000002</v>
      </c>
      <c r="BP734" s="7"/>
      <c r="BQ734" s="7"/>
      <c r="BR734" s="7"/>
      <c r="BS734" s="7"/>
      <c r="BT734" s="7"/>
      <c r="BU734" s="7"/>
      <c r="BV734">
        <f>0.686+2.208</f>
        <v>2.8940000000000001</v>
      </c>
      <c r="BW734" s="5">
        <v>44384</v>
      </c>
      <c r="BX734">
        <v>7</v>
      </c>
      <c r="BY734">
        <v>7</v>
      </c>
      <c r="BZ734">
        <v>2021</v>
      </c>
      <c r="CA734" s="5">
        <f t="shared" si="261"/>
        <v>44384</v>
      </c>
      <c r="CB734">
        <v>188</v>
      </c>
      <c r="CC734" s="7">
        <v>13</v>
      </c>
      <c r="CD734" s="7"/>
      <c r="CE734">
        <f t="shared" si="263"/>
        <v>0.56440985603819094</v>
      </c>
      <c r="CF734">
        <f t="shared" si="264"/>
        <v>1.7867928326957925</v>
      </c>
      <c r="CG734">
        <f t="shared" si="265"/>
        <v>1.7970588979726136E-2</v>
      </c>
      <c r="CH734">
        <f t="shared" si="266"/>
        <v>4.0759610930986572</v>
      </c>
      <c r="CI734">
        <f t="shared" si="267"/>
        <v>7.8376106413489577</v>
      </c>
      <c r="CJ734" s="1">
        <f t="shared" si="268"/>
        <v>14.992829946100974</v>
      </c>
      <c r="CK734" s="7" t="s">
        <v>142</v>
      </c>
      <c r="CL734" s="7">
        <v>2</v>
      </c>
      <c r="CM734" s="7"/>
      <c r="CN734" s="7"/>
      <c r="CO734" s="7"/>
      <c r="CP734" s="7"/>
    </row>
    <row r="735" spans="1:99" x14ac:dyDescent="0.2">
      <c r="A735" s="7" t="s">
        <v>1320</v>
      </c>
      <c r="B735" s="7" t="s">
        <v>60</v>
      </c>
      <c r="C735" t="str">
        <f t="shared" si="257"/>
        <v>I</v>
      </c>
      <c r="D735" t="str">
        <f t="shared" si="258"/>
        <v>I</v>
      </c>
      <c r="E735" t="str">
        <f t="shared" si="259"/>
        <v>G</v>
      </c>
      <c r="F735" s="7">
        <v>92</v>
      </c>
      <c r="G735" s="7">
        <v>88</v>
      </c>
      <c r="H735" s="7">
        <v>13.031000000000001</v>
      </c>
      <c r="I735" s="7">
        <v>0.16</v>
      </c>
      <c r="J735" s="7">
        <v>4.2000000000000003E-2</v>
      </c>
      <c r="K735" s="7" t="s">
        <v>868</v>
      </c>
      <c r="L735" t="str">
        <f t="shared" si="260"/>
        <v>M</v>
      </c>
      <c r="M735" s="7">
        <v>30</v>
      </c>
      <c r="N735" s="7">
        <v>0.48499999999999999</v>
      </c>
      <c r="O735" s="7">
        <v>0.43</v>
      </c>
      <c r="P735" s="7" t="s">
        <v>1366</v>
      </c>
      <c r="Q735" t="str">
        <f t="shared" si="262"/>
        <v>F</v>
      </c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  <c r="AK735" s="7"/>
      <c r="AL735" s="7"/>
      <c r="AM735" s="7"/>
      <c r="AN735" s="7">
        <v>10</v>
      </c>
      <c r="AO735" s="7">
        <v>0.01</v>
      </c>
      <c r="AP735" s="7"/>
      <c r="AQ735" s="7"/>
      <c r="AR735" s="7"/>
      <c r="AS735" s="7"/>
      <c r="AT735" s="7"/>
      <c r="AU735" s="7"/>
      <c r="AV735" s="7"/>
      <c r="AW735" s="7"/>
      <c r="AX735" s="7"/>
      <c r="AY735" s="7"/>
      <c r="AZ735" s="7"/>
      <c r="BA735" s="7"/>
      <c r="BB735" s="7"/>
      <c r="BC735" s="7"/>
      <c r="BD735" s="7"/>
      <c r="BE735" s="7"/>
      <c r="BF735" s="7"/>
      <c r="BG735" s="7"/>
      <c r="BH735" s="7"/>
      <c r="BI735" s="7"/>
      <c r="BJ735" s="7"/>
      <c r="BK735" s="7"/>
      <c r="BL735" s="7"/>
      <c r="BM735" s="7"/>
      <c r="BN735" s="7"/>
      <c r="BO735" s="7"/>
      <c r="BP735" s="7"/>
      <c r="BQ735" s="7"/>
      <c r="BR735" s="7"/>
      <c r="BS735" s="7"/>
      <c r="BT735" s="7"/>
      <c r="BU735" s="7"/>
      <c r="BV735" s="7">
        <v>0.01</v>
      </c>
      <c r="BW735" s="5">
        <v>44384</v>
      </c>
      <c r="BX735">
        <v>7</v>
      </c>
      <c r="BY735">
        <v>7</v>
      </c>
      <c r="BZ735">
        <v>2021</v>
      </c>
      <c r="CA735" s="5">
        <f t="shared" si="261"/>
        <v>44384</v>
      </c>
      <c r="CB735">
        <v>188</v>
      </c>
      <c r="CC735" s="7">
        <v>13</v>
      </c>
      <c r="CE735">
        <f t="shared" si="263"/>
        <v>0.32335052736931247</v>
      </c>
      <c r="CF735">
        <f t="shared" si="264"/>
        <v>1.2431046538730479</v>
      </c>
      <c r="CG735">
        <f t="shared" si="265"/>
        <v>1.2471743705666848E-2</v>
      </c>
      <c r="CH735">
        <f t="shared" si="266"/>
        <v>3.4124275851122925</v>
      </c>
      <c r="CI735">
        <f t="shared" si="267"/>
        <v>0.42207044739467414</v>
      </c>
      <c r="CJ735" s="1">
        <f t="shared" si="268"/>
        <v>0.49881052873916032</v>
      </c>
      <c r="CK735" s="7" t="s">
        <v>142</v>
      </c>
      <c r="CL735" s="7">
        <v>3</v>
      </c>
      <c r="CM735" s="7"/>
      <c r="CN735" s="7"/>
      <c r="CO735" s="7"/>
      <c r="CP735" s="7"/>
    </row>
    <row r="736" spans="1:99" x14ac:dyDescent="0.2">
      <c r="A736" s="7" t="s">
        <v>1321</v>
      </c>
      <c r="B736" s="7" t="s">
        <v>60</v>
      </c>
      <c r="C736" t="str">
        <f t="shared" si="257"/>
        <v>I</v>
      </c>
      <c r="D736" t="str">
        <f t="shared" si="258"/>
        <v>I</v>
      </c>
      <c r="E736" t="str">
        <f t="shared" si="259"/>
        <v>G</v>
      </c>
      <c r="F736" s="7">
        <v>105</v>
      </c>
      <c r="G736" s="7">
        <v>100</v>
      </c>
      <c r="H736" s="7">
        <v>23.462</v>
      </c>
      <c r="I736" s="7">
        <v>0.24099999999999999</v>
      </c>
      <c r="J736" s="7">
        <v>8.7999999999999995E-2</v>
      </c>
      <c r="K736" s="7" t="s">
        <v>868</v>
      </c>
      <c r="L736" t="str">
        <f t="shared" si="260"/>
        <v>M</v>
      </c>
      <c r="M736" s="7">
        <v>30</v>
      </c>
      <c r="N736" s="7">
        <v>3.242</v>
      </c>
      <c r="O736" s="7">
        <v>1.1559999999999999</v>
      </c>
      <c r="P736" s="7" t="s">
        <v>1380</v>
      </c>
      <c r="Q736" t="str">
        <f t="shared" si="262"/>
        <v>F</v>
      </c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  <c r="AK736" s="7"/>
      <c r="AL736" s="7"/>
      <c r="AM736" s="7"/>
      <c r="AN736" s="7"/>
      <c r="AO736" s="7"/>
      <c r="AP736" s="7"/>
      <c r="AQ736" s="7"/>
      <c r="AR736" s="7"/>
      <c r="AS736" s="7"/>
      <c r="AT736" s="7"/>
      <c r="AU736" s="7"/>
      <c r="AV736" s="7"/>
      <c r="AW736" s="7"/>
      <c r="AX736" s="7"/>
      <c r="AY736" s="7"/>
      <c r="AZ736" s="7"/>
      <c r="BA736" s="7"/>
      <c r="BB736" s="7"/>
      <c r="BC736" s="7"/>
      <c r="BD736" s="7"/>
      <c r="BE736" s="7"/>
      <c r="BF736" s="7"/>
      <c r="BG736" s="7"/>
      <c r="BH736" s="7"/>
      <c r="BI736" s="7"/>
      <c r="BJ736" s="7"/>
      <c r="BK736" s="7"/>
      <c r="BL736" s="7">
        <v>2</v>
      </c>
      <c r="BM736" s="7">
        <v>1.911</v>
      </c>
      <c r="BN736" s="7"/>
      <c r="BO736" s="7"/>
      <c r="BP736" s="7"/>
      <c r="BQ736" s="7"/>
      <c r="BR736" s="7"/>
      <c r="BS736" s="7"/>
      <c r="BT736" s="7"/>
      <c r="BU736" s="7"/>
      <c r="BV736" s="7">
        <v>1.911</v>
      </c>
      <c r="BW736" s="5">
        <v>44384</v>
      </c>
      <c r="BX736">
        <v>7</v>
      </c>
      <c r="BY736">
        <v>7</v>
      </c>
      <c r="BZ736">
        <v>2021</v>
      </c>
      <c r="CA736" s="5">
        <f t="shared" si="261"/>
        <v>44384</v>
      </c>
      <c r="CB736">
        <v>188</v>
      </c>
      <c r="CC736" s="7">
        <v>13</v>
      </c>
      <c r="CE736">
        <f t="shared" si="263"/>
        <v>0.37648669461795159</v>
      </c>
      <c r="CF736">
        <f t="shared" si="264"/>
        <v>1.0378536669394083</v>
      </c>
      <c r="CG736">
        <f t="shared" si="265"/>
        <v>1.0418017550685169E-2</v>
      </c>
      <c r="CH736">
        <f t="shared" si="266"/>
        <v>5.1824621178158337</v>
      </c>
      <c r="CI736">
        <f t="shared" si="267"/>
        <v>8.8909726366038715</v>
      </c>
      <c r="CJ736" s="1">
        <f t="shared" si="268"/>
        <v>17.036058307049696</v>
      </c>
      <c r="CK736" s="7" t="s">
        <v>142</v>
      </c>
      <c r="CL736" s="7">
        <v>3</v>
      </c>
      <c r="CM736" s="7"/>
      <c r="CN736" s="7"/>
      <c r="CO736" s="7"/>
      <c r="CP736" s="7"/>
    </row>
    <row r="737" spans="1:99" x14ac:dyDescent="0.2">
      <c r="A737" s="7" t="s">
        <v>1322</v>
      </c>
      <c r="B737" s="7" t="s">
        <v>60</v>
      </c>
      <c r="C737" t="str">
        <f t="shared" si="257"/>
        <v>I</v>
      </c>
      <c r="D737" t="str">
        <f t="shared" si="258"/>
        <v>I</v>
      </c>
      <c r="E737" t="str">
        <f t="shared" si="259"/>
        <v>G</v>
      </c>
      <c r="F737" s="7">
        <v>96</v>
      </c>
      <c r="G737" s="7">
        <v>91</v>
      </c>
      <c r="H737" s="7">
        <v>14.773</v>
      </c>
      <c r="I737" s="7">
        <v>0.16300000000000001</v>
      </c>
      <c r="J737" s="7">
        <v>7.3999999999999996E-2</v>
      </c>
      <c r="K737" s="7" t="s">
        <v>868</v>
      </c>
      <c r="L737" t="str">
        <f t="shared" si="260"/>
        <v>M</v>
      </c>
      <c r="M737" s="7">
        <v>30</v>
      </c>
      <c r="N737" s="7">
        <v>1.8879999999999999</v>
      </c>
      <c r="O737" s="7">
        <v>0.63800000000000001</v>
      </c>
      <c r="P737" s="7" t="s">
        <v>1367</v>
      </c>
      <c r="Q737" t="str">
        <f t="shared" si="262"/>
        <v>F</v>
      </c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  <c r="AK737" s="7"/>
      <c r="AL737" s="7"/>
      <c r="AM737" s="7"/>
      <c r="AN737" s="7"/>
      <c r="AO737" s="7"/>
      <c r="AP737" s="7"/>
      <c r="AQ737" s="7"/>
      <c r="AR737" s="7"/>
      <c r="AS737" s="7"/>
      <c r="AT737" s="7"/>
      <c r="AU737" s="7"/>
      <c r="AV737" s="7"/>
      <c r="AW737" s="7"/>
      <c r="AX737" s="7"/>
      <c r="AY737" s="7"/>
      <c r="AZ737" s="7"/>
      <c r="BA737" s="7"/>
      <c r="BB737" s="7"/>
      <c r="BC737" s="7"/>
      <c r="BD737" s="7"/>
      <c r="BE737" s="7"/>
      <c r="BF737" s="7"/>
      <c r="BG737" s="7"/>
      <c r="BH737" s="7"/>
      <c r="BI737" s="7"/>
      <c r="BJ737" s="7"/>
      <c r="BK737" s="7"/>
      <c r="BL737" s="7"/>
      <c r="BM737" s="7"/>
      <c r="BN737" s="7">
        <v>1</v>
      </c>
      <c r="BO737" s="7">
        <v>1.181</v>
      </c>
      <c r="BP737" s="7"/>
      <c r="BQ737" s="7"/>
      <c r="BR737" s="7"/>
      <c r="BS737" s="7"/>
      <c r="BT737" s="7"/>
      <c r="BU737" s="7"/>
      <c r="BV737" s="7">
        <v>1.181</v>
      </c>
      <c r="BW737" s="5">
        <v>44384</v>
      </c>
      <c r="BX737">
        <v>7</v>
      </c>
      <c r="BY737">
        <v>7</v>
      </c>
      <c r="BZ737">
        <v>2021</v>
      </c>
      <c r="CA737" s="5">
        <f t="shared" si="261"/>
        <v>44384</v>
      </c>
      <c r="CB737">
        <v>188</v>
      </c>
      <c r="CC737" s="7">
        <v>13</v>
      </c>
      <c r="CE737">
        <f t="shared" si="263"/>
        <v>0.50343560786448049</v>
      </c>
      <c r="CF737">
        <f t="shared" si="264"/>
        <v>1.1156741957563312</v>
      </c>
      <c r="CG737">
        <f t="shared" si="265"/>
        <v>1.1213538800220144E-2</v>
      </c>
      <c r="CH737">
        <f t="shared" si="266"/>
        <v>4.5136186770428015</v>
      </c>
      <c r="CI737">
        <f t="shared" si="267"/>
        <v>8.46138225140459</v>
      </c>
      <c r="CJ737" s="1">
        <f t="shared" si="268"/>
        <v>16.455696202531648</v>
      </c>
      <c r="CK737" s="7" t="s">
        <v>142</v>
      </c>
      <c r="CL737" s="7">
        <v>3</v>
      </c>
      <c r="CM737" s="7"/>
      <c r="CN737" s="7"/>
      <c r="CO737" s="7"/>
      <c r="CP737" s="7"/>
    </row>
    <row r="738" spans="1:99" x14ac:dyDescent="0.2">
      <c r="A738" s="7" t="s">
        <v>1323</v>
      </c>
      <c r="B738" s="7" t="s">
        <v>60</v>
      </c>
      <c r="C738" t="str">
        <f t="shared" si="257"/>
        <v>I</v>
      </c>
      <c r="D738" t="str">
        <f t="shared" si="258"/>
        <v>S</v>
      </c>
      <c r="E738" t="str">
        <f t="shared" si="259"/>
        <v>G</v>
      </c>
      <c r="F738" s="7">
        <v>77</v>
      </c>
      <c r="G738" s="7">
        <v>74</v>
      </c>
      <c r="H738" s="7">
        <v>8.6999999999999993</v>
      </c>
      <c r="I738" s="7">
        <v>0.126</v>
      </c>
      <c r="J738" s="7">
        <v>4.2999999999999997E-2</v>
      </c>
      <c r="K738" s="7" t="s">
        <v>868</v>
      </c>
      <c r="L738" t="str">
        <f t="shared" si="260"/>
        <v>M</v>
      </c>
      <c r="M738" s="7">
        <v>30</v>
      </c>
      <c r="N738" s="7">
        <v>0.42899999999999999</v>
      </c>
      <c r="O738" s="7">
        <v>0.34399999999999997</v>
      </c>
      <c r="P738" s="7" t="s">
        <v>1368</v>
      </c>
      <c r="Q738" t="str">
        <f t="shared" si="262"/>
        <v>F</v>
      </c>
      <c r="R738" s="7"/>
      <c r="S738" s="7"/>
      <c r="T738" s="7">
        <v>10</v>
      </c>
      <c r="U738" s="7">
        <v>0.06</v>
      </c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  <c r="AK738" s="7"/>
      <c r="AL738" s="7"/>
      <c r="AM738" s="7"/>
      <c r="AN738" s="7"/>
      <c r="AO738" s="7"/>
      <c r="AP738" s="7"/>
      <c r="AQ738" s="7"/>
      <c r="AR738" s="7"/>
      <c r="AS738" s="7"/>
      <c r="AT738" s="7"/>
      <c r="AU738" s="7"/>
      <c r="AV738" s="7"/>
      <c r="AW738" s="7"/>
      <c r="AX738" s="7"/>
      <c r="AY738" s="7"/>
      <c r="AZ738" s="7"/>
      <c r="BA738" s="7"/>
      <c r="BB738" s="7"/>
      <c r="BC738" s="7"/>
      <c r="BD738" s="7"/>
      <c r="BE738" s="7"/>
      <c r="BF738" s="7"/>
      <c r="BG738" s="7"/>
      <c r="BH738" s="7"/>
      <c r="BI738" s="7"/>
      <c r="BJ738" s="7"/>
      <c r="BK738" s="7"/>
      <c r="BL738" s="7"/>
      <c r="BM738" s="7"/>
      <c r="BN738" s="7"/>
      <c r="BO738" s="7"/>
      <c r="BP738" s="7"/>
      <c r="BQ738" s="7"/>
      <c r="BR738" s="7"/>
      <c r="BS738" s="7"/>
      <c r="BT738" s="7"/>
      <c r="BU738" s="7"/>
      <c r="BV738" s="7">
        <v>0.06</v>
      </c>
      <c r="BW738" s="5">
        <v>44384</v>
      </c>
      <c r="BX738">
        <v>7</v>
      </c>
      <c r="BY738">
        <v>7</v>
      </c>
      <c r="BZ738">
        <v>2021</v>
      </c>
      <c r="CA738" s="5">
        <f t="shared" si="261"/>
        <v>44384</v>
      </c>
      <c r="CB738">
        <v>188</v>
      </c>
      <c r="CC738" s="7">
        <v>13</v>
      </c>
      <c r="CD738" t="s">
        <v>1301</v>
      </c>
      <c r="CE738">
        <f t="shared" si="263"/>
        <v>0.49670786646644327</v>
      </c>
      <c r="CF738">
        <f t="shared" si="264"/>
        <v>1.4695591322603219</v>
      </c>
      <c r="CG738">
        <f t="shared" si="265"/>
        <v>1.4769663579885123E-2</v>
      </c>
      <c r="CH738">
        <f t="shared" si="266"/>
        <v>4.1168022977501195</v>
      </c>
      <c r="CI738">
        <f t="shared" si="267"/>
        <v>0.97701149425287392</v>
      </c>
      <c r="CJ738" s="1">
        <f t="shared" si="268"/>
        <v>1.666666666666667</v>
      </c>
      <c r="CK738" s="7" t="s">
        <v>142</v>
      </c>
      <c r="CL738" s="7">
        <v>2</v>
      </c>
      <c r="CM738" s="7"/>
      <c r="CN738" s="7"/>
      <c r="CO738" s="7"/>
      <c r="CP738" s="7"/>
    </row>
    <row r="739" spans="1:99" x14ac:dyDescent="0.2">
      <c r="A739" s="7" t="s">
        <v>1324</v>
      </c>
      <c r="B739" s="7" t="s">
        <v>60</v>
      </c>
      <c r="C739" t="str">
        <f t="shared" si="257"/>
        <v>I</v>
      </c>
      <c r="D739" t="str">
        <f t="shared" si="258"/>
        <v>I</v>
      </c>
      <c r="E739" t="str">
        <f t="shared" si="259"/>
        <v>G</v>
      </c>
      <c r="F739" s="7">
        <v>85</v>
      </c>
      <c r="G739" s="7">
        <v>80</v>
      </c>
      <c r="H739">
        <v>9.5609999999999999</v>
      </c>
      <c r="I739" s="7">
        <v>0.13200000000000001</v>
      </c>
      <c r="J739" s="7">
        <v>3.6999999999999998E-2</v>
      </c>
      <c r="K739" s="7" t="s">
        <v>1181</v>
      </c>
      <c r="L739" t="str">
        <f t="shared" si="260"/>
        <v>M</v>
      </c>
      <c r="M739" s="7">
        <v>40</v>
      </c>
      <c r="N739" s="7">
        <v>0.41499999999999998</v>
      </c>
      <c r="O739" s="7">
        <v>0.35599999999999998</v>
      </c>
      <c r="P739" s="7" t="s">
        <v>36</v>
      </c>
      <c r="Q739" t="str">
        <f t="shared" si="262"/>
        <v>MT</v>
      </c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  <c r="AK739" s="7"/>
      <c r="AL739" s="7"/>
      <c r="AM739" s="7"/>
      <c r="AN739" s="7"/>
      <c r="AO739" s="7"/>
      <c r="AP739" s="7"/>
      <c r="AQ739" s="7"/>
      <c r="AR739" s="7"/>
      <c r="AS739" s="7"/>
      <c r="AT739" s="7"/>
      <c r="AU739" s="7"/>
      <c r="AV739" s="7"/>
      <c r="AW739" s="7"/>
      <c r="AX739" s="7"/>
      <c r="AY739" s="7"/>
      <c r="AZ739" s="7"/>
      <c r="BA739" s="7"/>
      <c r="BB739" s="7"/>
      <c r="BC739" s="7"/>
      <c r="BD739" s="7"/>
      <c r="BE739" s="7"/>
      <c r="BF739" s="7"/>
      <c r="BG739" s="7"/>
      <c r="BH739" s="7"/>
      <c r="BI739" s="7"/>
      <c r="BJ739" s="7"/>
      <c r="BK739" s="7"/>
      <c r="BL739" s="7"/>
      <c r="BM739" s="7"/>
      <c r="BN739" s="7"/>
      <c r="BO739" s="7"/>
      <c r="BP739" s="7"/>
      <c r="BQ739" s="7"/>
      <c r="BR739" s="7"/>
      <c r="BS739" s="7"/>
      <c r="BT739" s="7"/>
      <c r="BU739" s="7"/>
      <c r="BW739" s="5">
        <v>44384</v>
      </c>
      <c r="BX739">
        <v>7</v>
      </c>
      <c r="BY739">
        <v>7</v>
      </c>
      <c r="BZ739">
        <v>2021</v>
      </c>
      <c r="CA739" s="5">
        <f t="shared" si="261"/>
        <v>44384</v>
      </c>
      <c r="CB739">
        <v>188</v>
      </c>
      <c r="CC739" s="7">
        <v>13</v>
      </c>
      <c r="CE739">
        <f t="shared" si="263"/>
        <v>0.38849223015539691</v>
      </c>
      <c r="CF739">
        <f t="shared" si="264"/>
        <v>1.3999363665287943</v>
      </c>
      <c r="CG739">
        <f t="shared" si="265"/>
        <v>1.4054514480408861E-2</v>
      </c>
      <c r="CH739">
        <f t="shared" si="266"/>
        <v>3.8674633351439431</v>
      </c>
      <c r="CI739">
        <f t="shared" si="267"/>
        <v>0.61709026252484045</v>
      </c>
      <c r="CJ739" s="1">
        <f t="shared" si="268"/>
        <v>0.61709026252484045</v>
      </c>
      <c r="CK739" s="7" t="s">
        <v>142</v>
      </c>
      <c r="CL739" s="7">
        <v>3</v>
      </c>
      <c r="CM739" s="7"/>
      <c r="CN739" s="7"/>
      <c r="CO739" s="7"/>
      <c r="CP739" s="7"/>
    </row>
    <row r="740" spans="1:99" x14ac:dyDescent="0.2">
      <c r="A740" s="7" t="s">
        <v>1325</v>
      </c>
      <c r="B740" s="7" t="s">
        <v>60</v>
      </c>
      <c r="C740" t="str">
        <f t="shared" si="257"/>
        <v>I</v>
      </c>
      <c r="D740" t="str">
        <f t="shared" si="258"/>
        <v>S</v>
      </c>
      <c r="E740" t="str">
        <f t="shared" si="259"/>
        <v>G</v>
      </c>
      <c r="F740" s="7">
        <v>75</v>
      </c>
      <c r="G740" s="7">
        <v>71</v>
      </c>
      <c r="H740" s="7">
        <v>7.5030000000000001</v>
      </c>
      <c r="I740" s="7">
        <v>0.105</v>
      </c>
      <c r="J740" s="7">
        <v>2.1999999999999999E-2</v>
      </c>
      <c r="K740" s="7" t="s">
        <v>1181</v>
      </c>
      <c r="L740" t="str">
        <f t="shared" si="260"/>
        <v>M</v>
      </c>
      <c r="M740" s="7">
        <v>40</v>
      </c>
      <c r="N740" s="7">
        <v>0.35199999999999998</v>
      </c>
      <c r="O740" s="7">
        <v>0.32</v>
      </c>
      <c r="P740" s="7" t="s">
        <v>1369</v>
      </c>
      <c r="Q740" t="str">
        <f t="shared" si="262"/>
        <v>F</v>
      </c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>
        <v>2</v>
      </c>
      <c r="AK740" s="7">
        <v>1.0999999999999999E-2</v>
      </c>
      <c r="AL740" s="7"/>
      <c r="AM740" s="7"/>
      <c r="AN740" s="7"/>
      <c r="AO740" s="7"/>
      <c r="AP740" s="7"/>
      <c r="AQ740" s="7"/>
      <c r="AR740" s="7"/>
      <c r="AS740" s="7"/>
      <c r="AT740" s="7"/>
      <c r="AU740" s="7"/>
      <c r="AV740" s="7"/>
      <c r="AW740" s="7"/>
      <c r="AX740" s="7"/>
      <c r="AY740" s="7"/>
      <c r="AZ740" s="7"/>
      <c r="BA740" s="7"/>
      <c r="BB740" s="7"/>
      <c r="BC740" s="7"/>
      <c r="BD740" s="7"/>
      <c r="BE740" s="7"/>
      <c r="BF740" s="7"/>
      <c r="BG740" s="7"/>
      <c r="BH740" s="7"/>
      <c r="BI740" s="7"/>
      <c r="BJ740" s="7"/>
      <c r="BK740" s="7"/>
      <c r="BL740" s="7"/>
      <c r="BM740" s="7"/>
      <c r="BN740" s="7"/>
      <c r="BO740" s="7"/>
      <c r="BP740" s="7"/>
      <c r="BQ740" s="7"/>
      <c r="BR740" s="7"/>
      <c r="BS740" s="7"/>
      <c r="BT740" s="7"/>
      <c r="BU740" s="7"/>
      <c r="BV740" s="7">
        <v>1.0999999999999999E-2</v>
      </c>
      <c r="BW740" s="5">
        <v>44384</v>
      </c>
      <c r="BX740">
        <v>7</v>
      </c>
      <c r="BY740">
        <v>7</v>
      </c>
      <c r="BZ740">
        <v>2021</v>
      </c>
      <c r="CA740" s="5">
        <f t="shared" si="261"/>
        <v>44384</v>
      </c>
      <c r="CB740">
        <v>188</v>
      </c>
      <c r="CC740" s="7">
        <v>13</v>
      </c>
      <c r="CE740">
        <f t="shared" si="263"/>
        <v>0.29407833177382703</v>
      </c>
      <c r="CF740">
        <f t="shared" si="264"/>
        <v>1.4193025141930251</v>
      </c>
      <c r="CG740">
        <f t="shared" si="265"/>
        <v>1.4235357917570499E-2</v>
      </c>
      <c r="CH740">
        <f t="shared" si="266"/>
        <v>4.4549631073367673</v>
      </c>
      <c r="CI740">
        <f t="shared" si="267"/>
        <v>0.42649606823937058</v>
      </c>
      <c r="CJ740" s="1">
        <f t="shared" si="268"/>
        <v>0.57310409169665422</v>
      </c>
      <c r="CK740" s="7" t="s">
        <v>142</v>
      </c>
      <c r="CL740" s="7">
        <v>3</v>
      </c>
      <c r="CM740" s="7"/>
      <c r="CN740" s="7"/>
      <c r="CO740" s="7"/>
      <c r="CP740" s="7"/>
    </row>
    <row r="741" spans="1:99" x14ac:dyDescent="0.2">
      <c r="A741" s="7" t="s">
        <v>1326</v>
      </c>
      <c r="B741" s="7" t="s">
        <v>60</v>
      </c>
      <c r="C741" t="str">
        <f t="shared" si="257"/>
        <v>I</v>
      </c>
      <c r="D741" t="str">
        <f t="shared" si="258"/>
        <v>I</v>
      </c>
      <c r="E741" t="str">
        <f t="shared" si="259"/>
        <v>G</v>
      </c>
      <c r="F741" s="7">
        <v>97</v>
      </c>
      <c r="G741" s="7">
        <v>92</v>
      </c>
      <c r="H741" s="7">
        <v>18.006</v>
      </c>
      <c r="I741" s="7">
        <v>0.26500000000000001</v>
      </c>
      <c r="J741" s="7">
        <v>7.0999999999999994E-2</v>
      </c>
      <c r="K741" s="7" t="s">
        <v>1181</v>
      </c>
      <c r="L741" t="str">
        <f t="shared" si="260"/>
        <v>M</v>
      </c>
      <c r="M741" s="7">
        <v>40</v>
      </c>
      <c r="N741" s="7">
        <v>2.4239999999999999</v>
      </c>
      <c r="O741" s="7">
        <v>0.74299999999999999</v>
      </c>
      <c r="P741" s="7" t="s">
        <v>1370</v>
      </c>
      <c r="Q741" t="str">
        <f t="shared" si="262"/>
        <v>F</v>
      </c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  <c r="AK741" s="7"/>
      <c r="AL741" s="7"/>
      <c r="AM741" s="7"/>
      <c r="AN741" s="7"/>
      <c r="AO741" s="7"/>
      <c r="AP741" s="7"/>
      <c r="AQ741" s="7"/>
      <c r="AR741" s="7"/>
      <c r="AS741" s="7"/>
      <c r="AT741" s="7"/>
      <c r="AU741" s="7"/>
      <c r="AV741" s="7"/>
      <c r="AW741" s="7"/>
      <c r="AX741" s="7"/>
      <c r="AY741" s="7"/>
      <c r="AZ741" s="7"/>
      <c r="BA741" s="7"/>
      <c r="BB741" s="7"/>
      <c r="BC741" s="7"/>
      <c r="BD741" s="7"/>
      <c r="BE741" s="7"/>
      <c r="BF741" s="7"/>
      <c r="BG741" s="7"/>
      <c r="BH741" s="7"/>
      <c r="BI741" s="7"/>
      <c r="BJ741" s="7"/>
      <c r="BK741" s="7"/>
      <c r="BL741" s="7">
        <v>2</v>
      </c>
      <c r="BM741" s="7">
        <v>1.5580000000000001</v>
      </c>
      <c r="BN741" s="7"/>
      <c r="BO741" s="7"/>
      <c r="BP741" s="7"/>
      <c r="BQ741" s="7"/>
      <c r="BR741" s="7"/>
      <c r="BS741" s="7"/>
      <c r="BT741" s="7"/>
      <c r="BU741" s="7"/>
      <c r="BV741" s="7">
        <v>1.5580000000000001</v>
      </c>
      <c r="BW741" s="5">
        <v>44384</v>
      </c>
      <c r="BX741">
        <v>7</v>
      </c>
      <c r="BY741">
        <v>7</v>
      </c>
      <c r="BZ741">
        <v>2021</v>
      </c>
      <c r="CA741" s="5">
        <f t="shared" si="261"/>
        <v>44384</v>
      </c>
      <c r="CB741">
        <v>188</v>
      </c>
      <c r="CC741" s="7">
        <v>13</v>
      </c>
      <c r="CE741">
        <f t="shared" si="263"/>
        <v>0.39587398940618901</v>
      </c>
      <c r="CF741">
        <f t="shared" si="264"/>
        <v>1.4937151231610395</v>
      </c>
      <c r="CG741">
        <f t="shared" si="265"/>
        <v>1.4997170345217886E-2</v>
      </c>
      <c r="CH741">
        <f t="shared" si="266"/>
        <v>4.3040027805132359</v>
      </c>
      <c r="CI741">
        <f t="shared" si="267"/>
        <v>9.335776963234478</v>
      </c>
      <c r="CJ741" s="1">
        <f t="shared" si="268"/>
        <v>17.988448295012773</v>
      </c>
      <c r="CK741" s="7" t="s">
        <v>142</v>
      </c>
      <c r="CL741" s="7">
        <v>3</v>
      </c>
      <c r="CM741" s="7"/>
      <c r="CN741" s="7"/>
      <c r="CO741" s="7"/>
      <c r="CP741" s="7"/>
    </row>
    <row r="742" spans="1:99" x14ac:dyDescent="0.2">
      <c r="A742" s="7" t="s">
        <v>1327</v>
      </c>
      <c r="B742" s="7" t="s">
        <v>60</v>
      </c>
      <c r="C742" t="str">
        <f t="shared" si="257"/>
        <v>I</v>
      </c>
      <c r="D742" t="str">
        <f t="shared" si="258"/>
        <v>I</v>
      </c>
      <c r="E742" t="str">
        <f t="shared" si="259"/>
        <v>G</v>
      </c>
      <c r="F742" s="7">
        <v>97</v>
      </c>
      <c r="G742" s="7">
        <v>91</v>
      </c>
      <c r="H742" s="7">
        <v>14.802</v>
      </c>
      <c r="I742" s="7">
        <v>0.23400000000000001</v>
      </c>
      <c r="J742" s="7">
        <v>3.5000000000000003E-2</v>
      </c>
      <c r="K742" s="7" t="s">
        <v>1181</v>
      </c>
      <c r="L742" t="str">
        <f t="shared" si="260"/>
        <v>M</v>
      </c>
      <c r="M742" s="7">
        <v>40</v>
      </c>
      <c r="N742" s="7">
        <v>1.2270000000000001</v>
      </c>
      <c r="O742" s="7">
        <v>0.70299999999999996</v>
      </c>
      <c r="P742" s="7" t="s">
        <v>1371</v>
      </c>
      <c r="Q742" t="str">
        <f t="shared" si="262"/>
        <v>F</v>
      </c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  <c r="AK742" s="7"/>
      <c r="AL742" s="7"/>
      <c r="AM742" s="7"/>
      <c r="AN742" s="7"/>
      <c r="AO742" s="7"/>
      <c r="AP742" s="7">
        <v>3</v>
      </c>
      <c r="AQ742" s="7">
        <v>0.48499999999999999</v>
      </c>
      <c r="AR742" s="7"/>
      <c r="AS742" s="7"/>
      <c r="AT742" s="7"/>
      <c r="AU742" s="7"/>
      <c r="AV742" s="7"/>
      <c r="AW742" s="7"/>
      <c r="AX742" s="7"/>
      <c r="AY742" s="7"/>
      <c r="AZ742" s="7"/>
      <c r="BA742" s="7"/>
      <c r="BB742" s="7"/>
      <c r="BC742" s="7"/>
      <c r="BD742" s="7"/>
      <c r="BE742" s="7"/>
      <c r="BF742" s="7"/>
      <c r="BG742" s="7"/>
      <c r="BH742" s="7"/>
      <c r="BI742" s="7"/>
      <c r="BJ742" s="7"/>
      <c r="BK742" s="7"/>
      <c r="BL742" s="7"/>
      <c r="BM742" s="7"/>
      <c r="BN742" s="7"/>
      <c r="BO742" s="7"/>
      <c r="BP742" s="7"/>
      <c r="BQ742" s="7"/>
      <c r="BR742" s="7"/>
      <c r="BS742" s="7"/>
      <c r="BT742" s="7"/>
      <c r="BU742" s="7"/>
      <c r="BV742" s="7">
        <v>0.48499999999999999</v>
      </c>
      <c r="BW742" s="5">
        <v>44384</v>
      </c>
      <c r="BX742">
        <v>7</v>
      </c>
      <c r="BY742">
        <v>7</v>
      </c>
      <c r="BZ742">
        <v>2021</v>
      </c>
      <c r="CA742" s="5">
        <f t="shared" si="261"/>
        <v>44384</v>
      </c>
      <c r="CB742">
        <v>188</v>
      </c>
      <c r="CC742" s="7">
        <v>13</v>
      </c>
      <c r="CD742" t="s">
        <v>1301</v>
      </c>
      <c r="CE742">
        <f t="shared" si="263"/>
        <v>0.23701496580212639</v>
      </c>
      <c r="CF742">
        <f t="shared" si="264"/>
        <v>1.6062602965403627</v>
      </c>
      <c r="CG742">
        <f t="shared" si="265"/>
        <v>1.6101286726759791E-2</v>
      </c>
      <c r="CH742">
        <f t="shared" si="266"/>
        <v>4.9861692318604156</v>
      </c>
      <c r="CI742">
        <f t="shared" si="267"/>
        <v>3.5400621537630057</v>
      </c>
      <c r="CJ742" s="1">
        <f t="shared" si="268"/>
        <v>6.8166463991352524</v>
      </c>
      <c r="CK742" s="7" t="s">
        <v>142</v>
      </c>
      <c r="CL742" s="7">
        <v>3</v>
      </c>
      <c r="CM742" s="7"/>
      <c r="CN742" s="7"/>
      <c r="CO742" s="7"/>
      <c r="CP742" s="7"/>
    </row>
    <row r="743" spans="1:99" x14ac:dyDescent="0.2">
      <c r="A743" s="7" t="s">
        <v>1328</v>
      </c>
      <c r="B743" s="7" t="s">
        <v>60</v>
      </c>
      <c r="C743" t="str">
        <f t="shared" si="257"/>
        <v>I</v>
      </c>
      <c r="D743" t="str">
        <f t="shared" si="258"/>
        <v>S</v>
      </c>
      <c r="E743" t="str">
        <f t="shared" si="259"/>
        <v>G</v>
      </c>
      <c r="F743" s="7">
        <v>82</v>
      </c>
      <c r="G743" s="7">
        <v>78</v>
      </c>
      <c r="H743" s="7">
        <v>10.766999999999999</v>
      </c>
      <c r="I743" s="7">
        <v>0.192</v>
      </c>
      <c r="J743" s="7">
        <v>0.06</v>
      </c>
      <c r="K743" s="7" t="s">
        <v>1337</v>
      </c>
      <c r="L743" t="str">
        <f t="shared" si="260"/>
        <v>M</v>
      </c>
      <c r="M743" t="s">
        <v>1338</v>
      </c>
      <c r="N743" s="7">
        <v>0.52200000000000002</v>
      </c>
      <c r="O743" s="7">
        <v>0.46</v>
      </c>
      <c r="P743" s="7" t="s">
        <v>1372</v>
      </c>
      <c r="Q743" t="s">
        <v>27</v>
      </c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  <c r="AK743" s="7"/>
      <c r="AL743" s="7"/>
      <c r="AM743" s="7"/>
      <c r="AN743" s="7"/>
      <c r="AO743" s="7"/>
      <c r="AP743" s="7"/>
      <c r="AQ743" s="7"/>
      <c r="AR743" s="7"/>
      <c r="AS743" s="7"/>
      <c r="AT743" s="7"/>
      <c r="AU743" s="7"/>
      <c r="AV743" s="7"/>
      <c r="AW743" s="7"/>
      <c r="AX743" s="7"/>
      <c r="AY743" s="7"/>
      <c r="AZ743" s="7"/>
      <c r="BA743" s="7"/>
      <c r="BB743" s="7"/>
      <c r="BC743" s="7"/>
      <c r="BD743" s="7"/>
      <c r="BE743" s="7"/>
      <c r="BF743" s="7"/>
      <c r="BG743" s="7"/>
      <c r="BH743" s="7"/>
      <c r="BI743" s="7"/>
      <c r="BJ743" s="7"/>
      <c r="BK743" s="7"/>
      <c r="BL743" s="7"/>
      <c r="BM743" s="7"/>
      <c r="BN743" s="7"/>
      <c r="BO743" s="7"/>
      <c r="BP743" s="7"/>
      <c r="BQ743" s="7"/>
      <c r="BR743" s="7"/>
      <c r="BS743" s="7"/>
      <c r="BT743" s="7"/>
      <c r="BU743" s="7"/>
      <c r="BW743" s="5">
        <v>44384</v>
      </c>
      <c r="BX743">
        <v>7</v>
      </c>
      <c r="BY743">
        <v>7</v>
      </c>
      <c r="BZ743">
        <v>2021</v>
      </c>
      <c r="CA743" s="5">
        <f t="shared" si="261"/>
        <v>44384</v>
      </c>
      <c r="CB743">
        <v>188</v>
      </c>
      <c r="CC743" s="7">
        <v>13</v>
      </c>
      <c r="CE743">
        <f t="shared" si="263"/>
        <v>0.56038105912020175</v>
      </c>
      <c r="CF743">
        <f t="shared" si="264"/>
        <v>1.815602836879433</v>
      </c>
      <c r="CG743">
        <f t="shared" si="265"/>
        <v>1.8259629101283884E-2</v>
      </c>
      <c r="CH743">
        <f t="shared" si="266"/>
        <v>4.4629863199767161</v>
      </c>
      <c r="CI743">
        <f t="shared" si="267"/>
        <v>0.57583356552428722</v>
      </c>
      <c r="CJ743" s="1">
        <f t="shared" si="268"/>
        <v>0.57583356552428722</v>
      </c>
      <c r="CK743" s="7" t="s">
        <v>142</v>
      </c>
      <c r="CL743" s="7">
        <v>3</v>
      </c>
      <c r="CM743" s="7"/>
      <c r="CN743" s="7"/>
      <c r="CO743" s="7"/>
      <c r="CP743" s="7"/>
    </row>
    <row r="744" spans="1:99" x14ac:dyDescent="0.2">
      <c r="A744" s="7" t="s">
        <v>1381</v>
      </c>
      <c r="B744" s="7" t="s">
        <v>60</v>
      </c>
      <c r="C744" t="str">
        <f t="shared" si="257"/>
        <v>I</v>
      </c>
      <c r="D744" t="str">
        <f t="shared" si="258"/>
        <v>S</v>
      </c>
      <c r="E744" t="str">
        <f t="shared" si="259"/>
        <v>G</v>
      </c>
      <c r="F744" s="7">
        <v>72</v>
      </c>
      <c r="G744" s="7">
        <v>68</v>
      </c>
      <c r="H744" s="7">
        <v>6.5259999999999998</v>
      </c>
      <c r="I744" s="7">
        <v>8.8999999999999996E-2</v>
      </c>
      <c r="J744" s="7">
        <v>1.7000000000000001E-2</v>
      </c>
      <c r="K744" s="7" t="s">
        <v>1181</v>
      </c>
      <c r="L744" t="str">
        <f t="shared" si="260"/>
        <v>M</v>
      </c>
      <c r="M744" s="7">
        <v>40</v>
      </c>
      <c r="N744" s="7">
        <v>0.28299999999999997</v>
      </c>
      <c r="O744" s="7">
        <v>0.247</v>
      </c>
      <c r="P744" s="7" t="s">
        <v>1393</v>
      </c>
      <c r="Q744" t="str">
        <f t="shared" ref="Q744:Q764" si="272">IF(P744="MT","MT","F")</f>
        <v>F</v>
      </c>
      <c r="R744" s="7"/>
      <c r="S744" s="7"/>
      <c r="T744" s="7">
        <v>1</v>
      </c>
      <c r="U744" s="7">
        <v>1.9E-2</v>
      </c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  <c r="AK744" s="7"/>
      <c r="AL744" s="7"/>
      <c r="AM744" s="7"/>
      <c r="AN744" s="7"/>
      <c r="AO744" s="7"/>
      <c r="AP744" s="7"/>
      <c r="AQ744" s="7"/>
      <c r="AR744" s="7"/>
      <c r="AS744" s="7"/>
      <c r="AT744" s="7"/>
      <c r="AU744" s="7"/>
      <c r="AV744" s="7"/>
      <c r="AW744" s="7"/>
      <c r="AX744" s="7"/>
      <c r="AY744" s="7"/>
      <c r="AZ744" s="7"/>
      <c r="BA744" s="7"/>
      <c r="BB744" s="7"/>
      <c r="BC744" s="7"/>
      <c r="BD744" s="7"/>
      <c r="BE744" s="7"/>
      <c r="BF744" s="7"/>
      <c r="BG744" s="7"/>
      <c r="BH744" s="7"/>
      <c r="BI744" s="7"/>
      <c r="BJ744" s="7"/>
      <c r="BK744" s="7"/>
      <c r="BL744" s="7"/>
      <c r="BM744" s="7"/>
      <c r="BN744" s="7"/>
      <c r="BO744" s="7"/>
      <c r="BP744" s="7"/>
      <c r="BQ744" s="7"/>
      <c r="BR744" s="7"/>
      <c r="BS744" s="7"/>
      <c r="BT744" s="7"/>
      <c r="BU744" s="7"/>
      <c r="BV744" s="7">
        <v>1.9E-2</v>
      </c>
      <c r="BW744" s="5" t="s">
        <v>1403</v>
      </c>
      <c r="BX744" t="str">
        <f t="shared" ref="BX744:BX752" si="273">LEFT(BW744,2)</f>
        <v>16</v>
      </c>
      <c r="BY744" t="str">
        <f t="shared" ref="BY744:BY752" si="274">MID(BW744,4,1)</f>
        <v>7</v>
      </c>
      <c r="BZ744" t="str">
        <f t="shared" ref="BZ744:BZ752" si="275">20&amp;RIGHT(BW744,2)</f>
        <v>2021</v>
      </c>
      <c r="CA744" s="5">
        <f t="shared" si="261"/>
        <v>44393</v>
      </c>
      <c r="CB744">
        <v>197</v>
      </c>
      <c r="CC744" s="7">
        <v>14</v>
      </c>
      <c r="CE744">
        <f t="shared" si="263"/>
        <v>0.26117683207866033</v>
      </c>
      <c r="CF744">
        <f t="shared" si="264"/>
        <v>1.3826316607115117</v>
      </c>
      <c r="CG744">
        <f t="shared" si="265"/>
        <v>1.3862928348909658E-2</v>
      </c>
      <c r="CH744">
        <f t="shared" si="266"/>
        <v>3.9337474120082816</v>
      </c>
      <c r="CI744">
        <f t="shared" si="267"/>
        <v>0.55163959546429631</v>
      </c>
      <c r="CJ744" s="1">
        <f t="shared" si="268"/>
        <v>0.84278271529267512</v>
      </c>
      <c r="CK744" s="7" t="s">
        <v>142</v>
      </c>
      <c r="CL744" s="7">
        <v>3</v>
      </c>
      <c r="CM744" s="7"/>
      <c r="CN744" s="7"/>
      <c r="CO744" s="7"/>
      <c r="CP744" s="7"/>
    </row>
    <row r="745" spans="1:99" x14ac:dyDescent="0.2">
      <c r="A745" s="7" t="s">
        <v>1382</v>
      </c>
      <c r="B745" s="7" t="s">
        <v>60</v>
      </c>
      <c r="C745" t="str">
        <f t="shared" si="257"/>
        <v>I</v>
      </c>
      <c r="D745" t="str">
        <f t="shared" si="258"/>
        <v>B</v>
      </c>
      <c r="E745" t="str">
        <f t="shared" si="259"/>
        <v>N</v>
      </c>
      <c r="F745" s="7">
        <v>111</v>
      </c>
      <c r="G745" s="7">
        <v>106</v>
      </c>
      <c r="H745" s="7">
        <v>26.744</v>
      </c>
      <c r="I745" s="7">
        <v>0.45800000000000002</v>
      </c>
      <c r="J745" s="7">
        <v>0.71499999999999997</v>
      </c>
      <c r="K745" s="7" t="s">
        <v>867</v>
      </c>
      <c r="L745" t="str">
        <f t="shared" si="260"/>
        <v>F</v>
      </c>
      <c r="M745" s="7">
        <v>30</v>
      </c>
      <c r="N745" s="7">
        <v>2.3959999999999999</v>
      </c>
      <c r="O745" s="7">
        <v>1.2</v>
      </c>
      <c r="P745" s="7" t="s">
        <v>1394</v>
      </c>
      <c r="Q745" t="str">
        <f t="shared" si="272"/>
        <v>F</v>
      </c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  <c r="AK745" s="7"/>
      <c r="AL745" s="7"/>
      <c r="AM745" s="7"/>
      <c r="AN745" s="7"/>
      <c r="AO745" s="7"/>
      <c r="AP745" s="7"/>
      <c r="AQ745" s="7"/>
      <c r="AR745" s="7"/>
      <c r="AS745" s="7"/>
      <c r="AT745" s="7"/>
      <c r="AU745" s="7"/>
      <c r="AV745" s="7"/>
      <c r="AW745" s="7"/>
      <c r="AX745" s="7"/>
      <c r="AY745" s="7"/>
      <c r="AZ745" s="7"/>
      <c r="BA745" s="7"/>
      <c r="BB745" s="7"/>
      <c r="BC745" s="7"/>
      <c r="BD745" s="7"/>
      <c r="BE745" s="7"/>
      <c r="BF745" s="7"/>
      <c r="BG745" s="7"/>
      <c r="BH745" s="7"/>
      <c r="BI745" s="7"/>
      <c r="BJ745" s="7"/>
      <c r="BK745" s="7"/>
      <c r="BL745" s="7"/>
      <c r="BM745" s="7"/>
      <c r="BN745" s="7">
        <v>1</v>
      </c>
      <c r="BO745" s="7">
        <v>1.08</v>
      </c>
      <c r="BP745" s="7"/>
      <c r="BQ745" s="7"/>
      <c r="BR745" s="7"/>
      <c r="BS745" s="7"/>
      <c r="BT745" s="7"/>
      <c r="BU745" s="7"/>
      <c r="BV745" s="7">
        <v>1.08</v>
      </c>
      <c r="BW745" s="5" t="s">
        <v>1403</v>
      </c>
      <c r="BX745" t="str">
        <f t="shared" si="273"/>
        <v>16</v>
      </c>
      <c r="BY745" t="str">
        <f t="shared" si="274"/>
        <v>7</v>
      </c>
      <c r="BZ745" t="str">
        <f t="shared" si="275"/>
        <v>2021</v>
      </c>
      <c r="CA745" s="5">
        <f t="shared" si="261"/>
        <v>44393</v>
      </c>
      <c r="CB745">
        <v>197</v>
      </c>
      <c r="CC745" s="7">
        <v>14</v>
      </c>
      <c r="CE745">
        <f t="shared" si="263"/>
        <v>2.7469361097237694</v>
      </c>
      <c r="CF745">
        <f t="shared" si="264"/>
        <v>1.7423723655177661</v>
      </c>
      <c r="CG745">
        <f t="shared" si="265"/>
        <v>1.7910914708067733E-2</v>
      </c>
      <c r="CH745">
        <f t="shared" si="266"/>
        <v>4.6977763858440342</v>
      </c>
      <c r="CI745">
        <f t="shared" si="267"/>
        <v>4.472031109781633</v>
      </c>
      <c r="CJ745" s="1">
        <f t="shared" si="268"/>
        <v>8.5103200717918028</v>
      </c>
      <c r="CK745" s="7" t="s">
        <v>142</v>
      </c>
      <c r="CL745" s="7">
        <v>3</v>
      </c>
      <c r="CM745" s="7"/>
      <c r="CN745" s="7"/>
      <c r="CO745" s="7"/>
      <c r="CP745" s="7"/>
    </row>
    <row r="746" spans="1:99" x14ac:dyDescent="0.2">
      <c r="A746" s="7" t="s">
        <v>1383</v>
      </c>
      <c r="B746" s="7" t="s">
        <v>60</v>
      </c>
      <c r="C746" t="str">
        <f t="shared" si="257"/>
        <v>I</v>
      </c>
      <c r="D746" t="str">
        <f t="shared" si="258"/>
        <v>I</v>
      </c>
      <c r="E746" t="str">
        <f t="shared" si="259"/>
        <v>G</v>
      </c>
      <c r="F746" s="7">
        <v>105</v>
      </c>
      <c r="G746" s="7">
        <v>100</v>
      </c>
      <c r="H746" s="7">
        <v>21.074000000000002</v>
      </c>
      <c r="I746" s="7">
        <v>0.40799999999999997</v>
      </c>
      <c r="J746" s="7">
        <v>0.83</v>
      </c>
      <c r="K746" s="7" t="s">
        <v>867</v>
      </c>
      <c r="L746" t="str">
        <f t="shared" si="260"/>
        <v>F</v>
      </c>
      <c r="M746" s="7">
        <v>30</v>
      </c>
      <c r="N746" s="7">
        <v>1.929</v>
      </c>
      <c r="O746" s="7">
        <v>1.0680000000000001</v>
      </c>
      <c r="P746" s="7" t="s">
        <v>1395</v>
      </c>
      <c r="Q746" t="str">
        <f t="shared" si="272"/>
        <v>F</v>
      </c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  <c r="AK746" s="7"/>
      <c r="AL746" s="7"/>
      <c r="AM746" s="7"/>
      <c r="AN746" s="7"/>
      <c r="AO746" s="7"/>
      <c r="AP746" s="7"/>
      <c r="AQ746" s="7"/>
      <c r="AR746" s="7"/>
      <c r="AS746" s="7"/>
      <c r="AT746" s="7"/>
      <c r="AU746" s="7"/>
      <c r="AV746" s="7"/>
      <c r="AW746" s="7"/>
      <c r="AX746" s="7"/>
      <c r="AY746" s="7"/>
      <c r="AZ746" s="7"/>
      <c r="BA746" s="7"/>
      <c r="BB746" s="7"/>
      <c r="BC746" s="7"/>
      <c r="BD746" s="7"/>
      <c r="BE746" s="7"/>
      <c r="BF746" s="7"/>
      <c r="BG746" s="7"/>
      <c r="BH746" s="7"/>
      <c r="BI746" s="7"/>
      <c r="BJ746" s="7"/>
      <c r="BK746" s="7"/>
      <c r="BL746" s="7"/>
      <c r="BM746" s="7"/>
      <c r="BN746" s="7">
        <v>1</v>
      </c>
      <c r="BO746" s="7">
        <v>0.73299999999999998</v>
      </c>
      <c r="BP746" s="7"/>
      <c r="BQ746" s="7"/>
      <c r="BR746" s="7"/>
      <c r="BS746" s="7"/>
      <c r="BT746" s="7"/>
      <c r="BU746" s="7"/>
      <c r="BV746" s="7">
        <v>0.73299999999999998</v>
      </c>
      <c r="BW746" s="5" t="s">
        <v>1403</v>
      </c>
      <c r="BX746" t="str">
        <f t="shared" si="273"/>
        <v>16</v>
      </c>
      <c r="BY746" t="str">
        <f t="shared" si="274"/>
        <v>7</v>
      </c>
      <c r="BZ746" t="str">
        <f t="shared" si="275"/>
        <v>2021</v>
      </c>
      <c r="CA746" s="5">
        <f t="shared" si="261"/>
        <v>44393</v>
      </c>
      <c r="CB746">
        <v>197</v>
      </c>
      <c r="CC746" s="7">
        <v>14</v>
      </c>
      <c r="CE746">
        <f t="shared" si="263"/>
        <v>4.0999802410590789</v>
      </c>
      <c r="CF746">
        <f t="shared" si="264"/>
        <v>1.9742572341043259</v>
      </c>
      <c r="CG746">
        <f t="shared" si="265"/>
        <v>2.0568663036902596E-2</v>
      </c>
      <c r="CH746">
        <f t="shared" si="266"/>
        <v>5.3383984804558633</v>
      </c>
      <c r="CI746">
        <f t="shared" si="267"/>
        <v>4.0856031128404666</v>
      </c>
      <c r="CJ746" s="1">
        <f t="shared" si="268"/>
        <v>7.5638227199392603</v>
      </c>
      <c r="CK746" s="7" t="s">
        <v>142</v>
      </c>
      <c r="CL746" s="7">
        <v>3</v>
      </c>
      <c r="CM746" s="7">
        <v>2</v>
      </c>
      <c r="CN746" s="7">
        <v>152</v>
      </c>
      <c r="CO746" s="7">
        <v>12</v>
      </c>
      <c r="CP746" s="7">
        <v>0</v>
      </c>
      <c r="CS746">
        <v>7.6410637078813828</v>
      </c>
      <c r="CT746">
        <v>79.849488587950717</v>
      </c>
      <c r="CU746">
        <v>185.70755084114111</v>
      </c>
    </row>
    <row r="747" spans="1:99" x14ac:dyDescent="0.2">
      <c r="A747" s="7" t="s">
        <v>1384</v>
      </c>
      <c r="B747" s="7" t="s">
        <v>60</v>
      </c>
      <c r="C747" t="str">
        <f t="shared" si="257"/>
        <v>I</v>
      </c>
      <c r="D747" t="str">
        <f t="shared" si="258"/>
        <v>B</v>
      </c>
      <c r="E747" t="str">
        <f t="shared" si="259"/>
        <v>N</v>
      </c>
      <c r="F747" s="7">
        <v>117</v>
      </c>
      <c r="G747" s="7">
        <v>111</v>
      </c>
      <c r="H747" s="7">
        <v>29.356999999999999</v>
      </c>
      <c r="I747" s="7">
        <v>0.64100000000000001</v>
      </c>
      <c r="J747" s="7">
        <v>0.10299999999999999</v>
      </c>
      <c r="K747" s="7" t="s">
        <v>1181</v>
      </c>
      <c r="L747" t="str">
        <f t="shared" si="260"/>
        <v>M</v>
      </c>
      <c r="M747" s="7">
        <v>40</v>
      </c>
      <c r="N747" s="7">
        <v>3.3290000000000002</v>
      </c>
      <c r="O747" s="7">
        <v>1.429</v>
      </c>
      <c r="P747" s="7" t="s">
        <v>1396</v>
      </c>
      <c r="Q747" t="str">
        <f t="shared" si="272"/>
        <v>F</v>
      </c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  <c r="AK747" s="7"/>
      <c r="AL747" s="7"/>
      <c r="AM747" s="7"/>
      <c r="AN747" s="7"/>
      <c r="AO747" s="7"/>
      <c r="AP747" s="7"/>
      <c r="AQ747" s="7"/>
      <c r="AR747" s="7"/>
      <c r="AS747" s="7"/>
      <c r="AT747" s="7"/>
      <c r="AU747" s="7"/>
      <c r="AV747" s="7"/>
      <c r="AW747" s="7"/>
      <c r="AX747" s="7"/>
      <c r="AY747" s="7"/>
      <c r="AZ747" s="7"/>
      <c r="BA747" s="7"/>
      <c r="BB747" s="7"/>
      <c r="BC747" s="7"/>
      <c r="BD747" s="7"/>
      <c r="BE747" s="7"/>
      <c r="BF747" s="7"/>
      <c r="BG747" s="7"/>
      <c r="BH747" s="7"/>
      <c r="BI747" s="7"/>
      <c r="BJ747" s="7"/>
      <c r="BK747" s="7"/>
      <c r="BL747" s="7">
        <v>2</v>
      </c>
      <c r="BM747" s="7">
        <v>1.7210000000000001</v>
      </c>
      <c r="BN747" s="7"/>
      <c r="BO747" s="7"/>
      <c r="BP747" s="7"/>
      <c r="BQ747" s="7"/>
      <c r="BR747" s="7"/>
      <c r="BS747" s="7"/>
      <c r="BT747" s="7"/>
      <c r="BU747" s="7"/>
      <c r="BV747" s="7">
        <v>1.7210000000000001</v>
      </c>
      <c r="BW747" s="5" t="s">
        <v>1403</v>
      </c>
      <c r="BX747" t="str">
        <f t="shared" si="273"/>
        <v>16</v>
      </c>
      <c r="BY747" t="str">
        <f t="shared" si="274"/>
        <v>7</v>
      </c>
      <c r="BZ747" t="str">
        <f t="shared" si="275"/>
        <v>2021</v>
      </c>
      <c r="CA747" s="5">
        <f t="shared" si="261"/>
        <v>44393</v>
      </c>
      <c r="CB747">
        <v>197</v>
      </c>
      <c r="CC747" s="7">
        <v>14</v>
      </c>
      <c r="CE747">
        <f t="shared" si="263"/>
        <v>0.35208860326792918</v>
      </c>
      <c r="CF747">
        <f t="shared" si="264"/>
        <v>2.2322050424850257</v>
      </c>
      <c r="CG747">
        <f t="shared" si="265"/>
        <v>2.2402404501450389E-2</v>
      </c>
      <c r="CH747">
        <f t="shared" si="266"/>
        <v>5.1167287310226293</v>
      </c>
      <c r="CI747">
        <f t="shared" si="267"/>
        <v>6.4720509588854451</v>
      </c>
      <c r="CJ747" s="1">
        <f t="shared" si="268"/>
        <v>12.334366590591683</v>
      </c>
      <c r="CK747" s="7" t="s">
        <v>142</v>
      </c>
      <c r="CL747" s="7">
        <v>3</v>
      </c>
      <c r="CM747" s="7"/>
      <c r="CN747" s="7"/>
      <c r="CO747" s="7"/>
      <c r="CP747" s="7"/>
    </row>
    <row r="748" spans="1:99" x14ac:dyDescent="0.2">
      <c r="A748" s="7" t="s">
        <v>1385</v>
      </c>
      <c r="B748" s="7" t="s">
        <v>60</v>
      </c>
      <c r="C748" t="str">
        <f t="shared" si="257"/>
        <v>I</v>
      </c>
      <c r="D748" t="str">
        <f t="shared" si="258"/>
        <v>I</v>
      </c>
      <c r="E748" t="str">
        <f t="shared" si="259"/>
        <v>G</v>
      </c>
      <c r="F748" s="7">
        <v>103</v>
      </c>
      <c r="G748" s="7">
        <v>97</v>
      </c>
      <c r="H748" s="7">
        <v>21.884</v>
      </c>
      <c r="I748" s="7">
        <v>0.28000000000000003</v>
      </c>
      <c r="J748" s="7">
        <v>0.22700000000000001</v>
      </c>
      <c r="K748" s="7" t="s">
        <v>1210</v>
      </c>
      <c r="L748" t="str">
        <f t="shared" si="260"/>
        <v>F</v>
      </c>
      <c r="M748" s="7">
        <v>40</v>
      </c>
      <c r="N748" s="7">
        <v>0.99399999999999999</v>
      </c>
      <c r="O748" s="7">
        <v>0.92</v>
      </c>
      <c r="P748" s="7" t="s">
        <v>1397</v>
      </c>
      <c r="Q748" t="str">
        <f t="shared" si="272"/>
        <v>F</v>
      </c>
      <c r="R748" s="7"/>
      <c r="S748" s="7"/>
      <c r="T748" s="7">
        <v>1</v>
      </c>
      <c r="U748" s="7">
        <v>4.2000000000000003E-2</v>
      </c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  <c r="AK748" s="7"/>
      <c r="AL748" s="7"/>
      <c r="AM748" s="7"/>
      <c r="AN748" s="7"/>
      <c r="AO748" s="7"/>
      <c r="AP748" s="7"/>
      <c r="AQ748" s="7"/>
      <c r="AR748" s="7"/>
      <c r="AS748" s="7"/>
      <c r="AT748" s="7"/>
      <c r="AU748" s="7"/>
      <c r="AV748" s="7"/>
      <c r="AW748" s="7"/>
      <c r="AX748" s="7"/>
      <c r="AY748" s="7"/>
      <c r="AZ748" s="7"/>
      <c r="BA748" s="7"/>
      <c r="BB748" s="7"/>
      <c r="BC748" s="7"/>
      <c r="BD748" s="7"/>
      <c r="BE748" s="7"/>
      <c r="BF748" s="7"/>
      <c r="BG748" s="7"/>
      <c r="BH748" s="7"/>
      <c r="BI748" s="7"/>
      <c r="BJ748" s="7"/>
      <c r="BK748" s="7"/>
      <c r="BL748" s="7"/>
      <c r="BM748" s="7"/>
      <c r="BN748" s="7"/>
      <c r="BO748" s="7"/>
      <c r="BP748" s="7"/>
      <c r="BQ748" s="7"/>
      <c r="BR748" s="7"/>
      <c r="BS748" s="7"/>
      <c r="BT748" s="7"/>
      <c r="BU748" s="7"/>
      <c r="BV748" s="7">
        <v>4.2000000000000003E-2</v>
      </c>
      <c r="BW748" s="5" t="s">
        <v>1403</v>
      </c>
      <c r="BX748" t="str">
        <f t="shared" si="273"/>
        <v>16</v>
      </c>
      <c r="BY748" t="str">
        <f t="shared" si="274"/>
        <v>7</v>
      </c>
      <c r="BZ748" t="str">
        <f t="shared" si="275"/>
        <v>2021</v>
      </c>
      <c r="CA748" s="5">
        <f t="shared" si="261"/>
        <v>44393</v>
      </c>
      <c r="CB748">
        <v>197</v>
      </c>
      <c r="CC748" s="7">
        <v>14</v>
      </c>
      <c r="CE748">
        <f t="shared" si="263"/>
        <v>1.0481599482846193</v>
      </c>
      <c r="CF748">
        <f t="shared" si="264"/>
        <v>1.2960562858729867</v>
      </c>
      <c r="CG748">
        <f t="shared" si="265"/>
        <v>1.3098189643074335E-2</v>
      </c>
      <c r="CH748">
        <f t="shared" si="266"/>
        <v>4.3884754817782863</v>
      </c>
      <c r="CI748">
        <f t="shared" si="267"/>
        <v>0.33814659111679746</v>
      </c>
      <c r="CJ748" s="1">
        <f t="shared" si="268"/>
        <v>0.53006762931822315</v>
      </c>
      <c r="CK748" s="7" t="s">
        <v>142</v>
      </c>
      <c r="CL748" s="7">
        <v>3</v>
      </c>
      <c r="CM748" s="7">
        <v>1</v>
      </c>
      <c r="CN748" s="7">
        <v>76</v>
      </c>
      <c r="CO748" s="7">
        <v>35</v>
      </c>
      <c r="CP748" s="7">
        <v>0</v>
      </c>
      <c r="CS748">
        <v>8.7053845947572306</v>
      </c>
      <c r="CT748">
        <v>92.601311213352503</v>
      </c>
      <c r="CU748">
        <v>118.59575179937718</v>
      </c>
    </row>
    <row r="749" spans="1:99" x14ac:dyDescent="0.2">
      <c r="A749" s="7" t="s">
        <v>1386</v>
      </c>
      <c r="B749" s="7" t="s">
        <v>60</v>
      </c>
      <c r="C749" t="str">
        <f t="shared" si="257"/>
        <v>I</v>
      </c>
      <c r="D749" t="str">
        <f t="shared" si="258"/>
        <v>S</v>
      </c>
      <c r="E749" t="str">
        <f t="shared" si="259"/>
        <v>G</v>
      </c>
      <c r="F749" s="7">
        <v>80</v>
      </c>
      <c r="G749" s="7">
        <v>75</v>
      </c>
      <c r="H749" s="7">
        <v>8.5449999999999999</v>
      </c>
      <c r="I749" s="7">
        <v>0.16600000000000001</v>
      </c>
      <c r="J749" s="7">
        <v>0.10199999999999999</v>
      </c>
      <c r="K749" s="7" t="s">
        <v>1210</v>
      </c>
      <c r="L749" t="str">
        <f t="shared" si="260"/>
        <v>F</v>
      </c>
      <c r="M749" s="7">
        <v>40</v>
      </c>
      <c r="N749" s="7">
        <v>0.51200000000000001</v>
      </c>
      <c r="O749" s="7">
        <v>0.41799999999999998</v>
      </c>
      <c r="P749" s="7" t="s">
        <v>1398</v>
      </c>
      <c r="Q749" t="str">
        <f t="shared" si="272"/>
        <v>F</v>
      </c>
      <c r="R749" s="7"/>
      <c r="S749" s="7"/>
      <c r="T749" s="7">
        <v>5</v>
      </c>
      <c r="U749" s="7">
        <v>7.9000000000000001E-2</v>
      </c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  <c r="AK749" s="7"/>
      <c r="AL749" s="7"/>
      <c r="AM749" s="7"/>
      <c r="AN749" s="7"/>
      <c r="AO749" s="7"/>
      <c r="AP749" s="7"/>
      <c r="AQ749" s="7"/>
      <c r="AR749" s="7"/>
      <c r="AS749" s="7"/>
      <c r="AT749" s="7"/>
      <c r="AU749" s="7"/>
      <c r="AV749" s="7"/>
      <c r="AW749" s="7"/>
      <c r="AX749" s="7"/>
      <c r="AY749" s="7"/>
      <c r="AZ749" s="7"/>
      <c r="BA749" s="7"/>
      <c r="BB749" s="7"/>
      <c r="BC749" s="7"/>
      <c r="BD749" s="7"/>
      <c r="BE749" s="7"/>
      <c r="BF749" s="7"/>
      <c r="BG749" s="7"/>
      <c r="BH749" s="7"/>
      <c r="BI749" s="7"/>
      <c r="BJ749" s="7"/>
      <c r="BK749" s="7"/>
      <c r="BL749" s="7"/>
      <c r="BM749" s="7"/>
      <c r="BN749" s="7"/>
      <c r="BO749" s="7"/>
      <c r="BP749" s="7"/>
      <c r="BQ749" s="7"/>
      <c r="BR749" s="7"/>
      <c r="BS749" s="7"/>
      <c r="BT749" s="7"/>
      <c r="BU749" s="7"/>
      <c r="BV749" s="7">
        <v>7.9000000000000001E-2</v>
      </c>
      <c r="BW749" s="5" t="s">
        <v>1403</v>
      </c>
      <c r="BX749" t="str">
        <f t="shared" si="273"/>
        <v>16</v>
      </c>
      <c r="BY749" t="str">
        <f t="shared" si="274"/>
        <v>7</v>
      </c>
      <c r="BZ749" t="str">
        <f t="shared" si="275"/>
        <v>2021</v>
      </c>
      <c r="CA749" s="5">
        <f t="shared" si="261"/>
        <v>44393</v>
      </c>
      <c r="CB749">
        <v>197</v>
      </c>
      <c r="CC749" s="7">
        <v>14</v>
      </c>
      <c r="CE749">
        <f t="shared" si="263"/>
        <v>1.2081013857633542</v>
      </c>
      <c r="CF749">
        <f t="shared" si="264"/>
        <v>1.9811433345267933</v>
      </c>
      <c r="CG749">
        <f t="shared" si="265"/>
        <v>2.005557569167573E-2</v>
      </c>
      <c r="CH749">
        <f t="shared" si="266"/>
        <v>5.1433493293958401</v>
      </c>
      <c r="CI749">
        <f t="shared" si="267"/>
        <v>1.1000585137507319</v>
      </c>
      <c r="CJ749" s="1">
        <f t="shared" si="268"/>
        <v>2.0245757753071976</v>
      </c>
      <c r="CK749" s="7" t="s">
        <v>142</v>
      </c>
      <c r="CL749" s="7">
        <v>3</v>
      </c>
      <c r="CM749" s="7">
        <v>0</v>
      </c>
      <c r="CN749" s="7">
        <v>60</v>
      </c>
      <c r="CO749" s="7">
        <v>11</v>
      </c>
      <c r="CP749" s="7">
        <v>1</v>
      </c>
      <c r="CQ749" s="12">
        <v>3.3599999999999998E-2</v>
      </c>
      <c r="CR749">
        <f>CQ749/(H749-I749-J749-N749)*1000</f>
        <v>4.3271088216355444</v>
      </c>
      <c r="CS749">
        <v>10.181720717742664</v>
      </c>
      <c r="CT749">
        <v>87.847887724830002</v>
      </c>
      <c r="CU749">
        <v>125.48127895367909</v>
      </c>
    </row>
    <row r="750" spans="1:99" x14ac:dyDescent="0.2">
      <c r="A750" s="7" t="s">
        <v>1387</v>
      </c>
      <c r="B750" s="7" t="s">
        <v>60</v>
      </c>
      <c r="C750" t="str">
        <f t="shared" si="257"/>
        <v>I</v>
      </c>
      <c r="D750" t="str">
        <f t="shared" si="258"/>
        <v>S</v>
      </c>
      <c r="E750" t="str">
        <f t="shared" si="259"/>
        <v>G</v>
      </c>
      <c r="F750" s="7">
        <v>75</v>
      </c>
      <c r="G750" s="7">
        <v>70</v>
      </c>
      <c r="H750" s="7">
        <v>6.9530000000000003</v>
      </c>
      <c r="I750" s="7">
        <v>8.5000000000000006E-2</v>
      </c>
      <c r="J750" s="7">
        <v>0.16300000000000001</v>
      </c>
      <c r="K750" s="7" t="s">
        <v>867</v>
      </c>
      <c r="L750" t="str">
        <f t="shared" si="260"/>
        <v>F</v>
      </c>
      <c r="M750" s="7">
        <v>30</v>
      </c>
      <c r="N750" s="7">
        <v>0.22700000000000001</v>
      </c>
      <c r="O750" s="7">
        <v>0.19500000000000001</v>
      </c>
      <c r="P750" s="7" t="s">
        <v>1399</v>
      </c>
      <c r="Q750" t="str">
        <f t="shared" si="272"/>
        <v>F</v>
      </c>
      <c r="R750" s="7"/>
      <c r="S750" s="7"/>
      <c r="T750" s="7">
        <v>2</v>
      </c>
      <c r="U750" s="7">
        <v>1.2999999999999999E-2</v>
      </c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  <c r="AK750" s="7"/>
      <c r="AL750" s="7"/>
      <c r="AM750" s="7"/>
      <c r="AN750" s="7"/>
      <c r="AO750" s="7"/>
      <c r="AP750" s="7"/>
      <c r="AQ750" s="7"/>
      <c r="AR750" s="7"/>
      <c r="AS750" s="7"/>
      <c r="AT750" s="7"/>
      <c r="AU750" s="7"/>
      <c r="AV750" s="7"/>
      <c r="AW750" s="7"/>
      <c r="AX750" s="7"/>
      <c r="AY750" s="7"/>
      <c r="AZ750" s="7"/>
      <c r="BA750" s="7"/>
      <c r="BB750" s="7"/>
      <c r="BC750" s="7"/>
      <c r="BD750" s="7"/>
      <c r="BE750" s="7"/>
      <c r="BF750" s="7"/>
      <c r="BG750" s="7"/>
      <c r="BH750" s="7"/>
      <c r="BI750" s="7"/>
      <c r="BJ750" s="7"/>
      <c r="BK750" s="7"/>
      <c r="BL750" s="7"/>
      <c r="BM750" s="7"/>
      <c r="BN750" s="7"/>
      <c r="BO750" s="7"/>
      <c r="BP750" s="7"/>
      <c r="BQ750" s="7"/>
      <c r="BR750" s="7"/>
      <c r="BS750" s="7"/>
      <c r="BT750" s="7"/>
      <c r="BU750" s="7"/>
      <c r="BV750" s="7">
        <v>1.2999999999999999E-2</v>
      </c>
      <c r="BW750" s="5" t="s">
        <v>1403</v>
      </c>
      <c r="BX750" t="str">
        <f t="shared" si="273"/>
        <v>16</v>
      </c>
      <c r="BY750" t="str">
        <f t="shared" si="274"/>
        <v>7</v>
      </c>
      <c r="BZ750" t="str">
        <f t="shared" si="275"/>
        <v>2021</v>
      </c>
      <c r="CA750" s="5">
        <f t="shared" si="261"/>
        <v>44393</v>
      </c>
      <c r="CB750">
        <v>197</v>
      </c>
      <c r="CC750" s="7">
        <v>14</v>
      </c>
      <c r="CD750" t="s">
        <v>1400</v>
      </c>
      <c r="CE750">
        <f t="shared" si="263"/>
        <v>2.4005891016200298</v>
      </c>
      <c r="CF750">
        <f t="shared" si="264"/>
        <v>1.2376237623762376</v>
      </c>
      <c r="CG750">
        <f t="shared" si="265"/>
        <v>1.2677106636838182E-2</v>
      </c>
      <c r="CH750">
        <f t="shared" si="266"/>
        <v>2.8854690736904409</v>
      </c>
      <c r="CI750">
        <f t="shared" si="267"/>
        <v>0.46023299295268233</v>
      </c>
      <c r="CJ750" s="1">
        <f t="shared" si="268"/>
        <v>0.64720264633970948</v>
      </c>
      <c r="CK750" s="7" t="s">
        <v>142</v>
      </c>
      <c r="CL750" s="7">
        <v>3</v>
      </c>
      <c r="CM750" s="7">
        <v>0</v>
      </c>
      <c r="CN750" s="7">
        <v>53</v>
      </c>
      <c r="CO750" s="7">
        <v>9</v>
      </c>
      <c r="CP750" s="7">
        <v>0</v>
      </c>
      <c r="CQ750" s="12">
        <v>1.9400000000000001E-2</v>
      </c>
      <c r="CR750">
        <f>CQ750/(H750-I750-J750-N750)*1000</f>
        <v>2.9947514665020072</v>
      </c>
      <c r="CS750">
        <v>8.3993837822123059</v>
      </c>
      <c r="CU750">
        <v>109.62019231057062</v>
      </c>
    </row>
    <row r="751" spans="1:99" x14ac:dyDescent="0.2">
      <c r="A751" s="7" t="s">
        <v>1388</v>
      </c>
      <c r="B751" s="7" t="s">
        <v>60</v>
      </c>
      <c r="C751" t="str">
        <f t="shared" si="257"/>
        <v>I</v>
      </c>
      <c r="D751" t="str">
        <f t="shared" si="258"/>
        <v>S</v>
      </c>
      <c r="E751" t="str">
        <f t="shared" si="259"/>
        <v>G</v>
      </c>
      <c r="F751" s="7">
        <v>73</v>
      </c>
      <c r="G751" s="7">
        <v>68</v>
      </c>
      <c r="H751" s="7">
        <v>6.0750000000000002</v>
      </c>
      <c r="I751" s="7">
        <v>7.5999999999999998E-2</v>
      </c>
      <c r="J751" s="7">
        <v>6.6000000000000003E-2</v>
      </c>
      <c r="K751" s="7" t="s">
        <v>1210</v>
      </c>
      <c r="L751" t="str">
        <f t="shared" si="260"/>
        <v>F</v>
      </c>
      <c r="M751" s="7">
        <v>40</v>
      </c>
      <c r="N751" s="7">
        <v>0.245</v>
      </c>
      <c r="O751" s="7">
        <v>0.22700000000000001</v>
      </c>
      <c r="P751" s="7" t="s">
        <v>36</v>
      </c>
      <c r="Q751" t="str">
        <f t="shared" si="272"/>
        <v>MT</v>
      </c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  <c r="AK751" s="7"/>
      <c r="AL751" s="7"/>
      <c r="AM751" s="7"/>
      <c r="AN751" s="7"/>
      <c r="AO751" s="7"/>
      <c r="AP751" s="7"/>
      <c r="AQ751" s="7"/>
      <c r="AR751" s="7"/>
      <c r="AS751" s="7"/>
      <c r="AT751" s="7"/>
      <c r="AU751" s="7"/>
      <c r="AV751" s="7"/>
      <c r="AW751" s="7"/>
      <c r="AX751" s="7"/>
      <c r="AY751" s="7"/>
      <c r="AZ751" s="7"/>
      <c r="BA751" s="7"/>
      <c r="BB751" s="7"/>
      <c r="BC751" s="7"/>
      <c r="BD751" s="7"/>
      <c r="BE751" s="7"/>
      <c r="BF751" s="7"/>
      <c r="BG751" s="7"/>
      <c r="BH751" s="7"/>
      <c r="BI751" s="7"/>
      <c r="BJ751" s="7"/>
      <c r="BK751" s="7"/>
      <c r="BL751" s="7"/>
      <c r="BM751" s="7"/>
      <c r="BN751" s="7"/>
      <c r="BO751" s="7"/>
      <c r="BP751" s="7"/>
      <c r="BQ751" s="7"/>
      <c r="BR751" s="7"/>
      <c r="BS751" s="7"/>
      <c r="BT751" s="7"/>
      <c r="BU751" s="7"/>
      <c r="BW751" s="5" t="s">
        <v>1403</v>
      </c>
      <c r="BX751" t="str">
        <f t="shared" si="273"/>
        <v>16</v>
      </c>
      <c r="BY751" t="str">
        <f t="shared" si="274"/>
        <v>7</v>
      </c>
      <c r="BZ751" t="str">
        <f t="shared" si="275"/>
        <v>2021</v>
      </c>
      <c r="CA751" s="5">
        <f t="shared" si="261"/>
        <v>44393</v>
      </c>
      <c r="CB751">
        <v>197</v>
      </c>
      <c r="CC751" s="7">
        <v>14</v>
      </c>
      <c r="CE751">
        <f t="shared" ref="CE751:CE764" si="276">J751/(H751-J751)*100</f>
        <v>1.0983524712930604</v>
      </c>
      <c r="CF751">
        <f t="shared" ref="CF751:CF764" si="277">I751/(H751-I751)*100</f>
        <v>1.2668778129688278</v>
      </c>
      <c r="CG751">
        <f t="shared" ref="CG751:CG764" si="278">I751/(H751-I751-J751)</f>
        <v>1.2809708410584862E-2</v>
      </c>
      <c r="CH751">
        <f t="shared" ref="CH751:CH764" si="279">O751/(H751-O751)*100</f>
        <v>3.8816689466484271</v>
      </c>
      <c r="CI751">
        <f t="shared" ref="CI751:CI764" si="280">(N751-O751)/H751*100</f>
        <v>0.29629629629629611</v>
      </c>
      <c r="CJ751" s="1">
        <f t="shared" ref="CJ751:CJ764" si="281">(N751-O751+(BV751))/(H751)*100</f>
        <v>0.29629629629629611</v>
      </c>
      <c r="CK751" s="7" t="s">
        <v>142</v>
      </c>
      <c r="CL751" s="7">
        <v>3</v>
      </c>
      <c r="CM751" s="7">
        <v>0</v>
      </c>
      <c r="CN751" s="7">
        <v>19</v>
      </c>
      <c r="CO751" s="7">
        <v>9</v>
      </c>
      <c r="CP751" s="7">
        <v>0</v>
      </c>
      <c r="CQ751" s="12">
        <v>5.7799999999999997E-2</v>
      </c>
      <c r="CR751">
        <f>CQ751/(H751-I751-J751-N751)*1000</f>
        <v>10.161744022503514</v>
      </c>
      <c r="CS751">
        <v>12.119608481690609</v>
      </c>
      <c r="CU751">
        <v>126.60657263445361</v>
      </c>
    </row>
    <row r="752" spans="1:99" x14ac:dyDescent="0.2">
      <c r="A752" s="7" t="s">
        <v>1389</v>
      </c>
      <c r="B752" s="7" t="s">
        <v>60</v>
      </c>
      <c r="C752" t="str">
        <f t="shared" si="257"/>
        <v>B</v>
      </c>
      <c r="D752" t="str">
        <f t="shared" si="258"/>
        <v>B</v>
      </c>
      <c r="E752" t="str">
        <f t="shared" si="259"/>
        <v>N</v>
      </c>
      <c r="F752" s="7">
        <v>162</v>
      </c>
      <c r="G752" s="7">
        <v>154</v>
      </c>
      <c r="H752" s="7">
        <v>79.481999999999999</v>
      </c>
      <c r="I752" s="7">
        <v>1.022</v>
      </c>
      <c r="J752" s="7">
        <v>1.5580000000000001</v>
      </c>
      <c r="K752" s="7" t="s">
        <v>867</v>
      </c>
      <c r="L752" t="str">
        <f t="shared" si="260"/>
        <v>F</v>
      </c>
      <c r="M752" s="7">
        <v>30</v>
      </c>
      <c r="N752" s="7">
        <v>2.7970000000000002</v>
      </c>
      <c r="O752" s="7">
        <v>2.7530000000000001</v>
      </c>
      <c r="P752" s="7" t="s">
        <v>36</v>
      </c>
      <c r="Q752" t="str">
        <f t="shared" si="272"/>
        <v>MT</v>
      </c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  <c r="AK752" s="7"/>
      <c r="AL752" s="7"/>
      <c r="AM752" s="7"/>
      <c r="AN752" s="7"/>
      <c r="AO752" s="7"/>
      <c r="AP752" s="7"/>
      <c r="AQ752" s="7"/>
      <c r="AR752" s="7"/>
      <c r="AS752" s="7"/>
      <c r="AT752" s="7"/>
      <c r="AU752" s="7"/>
      <c r="AV752" s="7"/>
      <c r="AW752" s="7"/>
      <c r="AX752" s="7"/>
      <c r="AY752" s="7"/>
      <c r="AZ752" s="7"/>
      <c r="BA752" s="7"/>
      <c r="BB752" s="7"/>
      <c r="BC752" s="7"/>
      <c r="BD752" s="7"/>
      <c r="BE752" s="7"/>
      <c r="BF752" s="7"/>
      <c r="BG752" s="7"/>
      <c r="BH752" s="7"/>
      <c r="BI752" s="7"/>
      <c r="BJ752" s="7"/>
      <c r="BK752" s="7"/>
      <c r="BL752" s="7"/>
      <c r="BM752" s="7"/>
      <c r="BN752" s="7"/>
      <c r="BO752" s="7"/>
      <c r="BP752" s="7"/>
      <c r="BQ752" s="7"/>
      <c r="BR752" s="7"/>
      <c r="BS752" s="7"/>
      <c r="BT752" s="7"/>
      <c r="BU752" s="7"/>
      <c r="BW752" s="5" t="s">
        <v>1403</v>
      </c>
      <c r="BX752" t="str">
        <f t="shared" si="273"/>
        <v>16</v>
      </c>
      <c r="BY752" t="str">
        <f t="shared" si="274"/>
        <v>7</v>
      </c>
      <c r="BZ752" t="str">
        <f t="shared" si="275"/>
        <v>2021</v>
      </c>
      <c r="CA752" s="5">
        <f t="shared" si="261"/>
        <v>44393</v>
      </c>
      <c r="CB752">
        <v>197</v>
      </c>
      <c r="CC752" s="7">
        <v>14</v>
      </c>
      <c r="CE752">
        <f t="shared" si="276"/>
        <v>1.9993840151942923</v>
      </c>
      <c r="CF752">
        <f t="shared" si="277"/>
        <v>1.3025745602854959</v>
      </c>
      <c r="CG752">
        <f t="shared" si="278"/>
        <v>1.3289641361733117E-2</v>
      </c>
      <c r="CH752">
        <f t="shared" si="279"/>
        <v>3.5879524039150774</v>
      </c>
      <c r="CI752">
        <f t="shared" si="280"/>
        <v>5.5358445937445003E-2</v>
      </c>
      <c r="CJ752" s="1">
        <f t="shared" si="281"/>
        <v>5.5358445937445003E-2</v>
      </c>
      <c r="CK752" s="7" t="s">
        <v>142</v>
      </c>
      <c r="CL752" s="7">
        <v>3</v>
      </c>
      <c r="CM752" s="7"/>
      <c r="CN752" s="7"/>
      <c r="CO752" s="7"/>
      <c r="CP752" s="7"/>
    </row>
    <row r="753" spans="1:99" x14ac:dyDescent="0.2">
      <c r="A753" s="7" t="s">
        <v>1415</v>
      </c>
      <c r="B753" s="7" t="s">
        <v>60</v>
      </c>
      <c r="C753" t="str">
        <f t="shared" si="257"/>
        <v>I</v>
      </c>
      <c r="D753" t="str">
        <f t="shared" si="258"/>
        <v>I</v>
      </c>
      <c r="E753" t="str">
        <f t="shared" si="259"/>
        <v>G</v>
      </c>
      <c r="F753" s="7">
        <v>85</v>
      </c>
      <c r="G753" s="7">
        <v>80</v>
      </c>
      <c r="H753" s="7">
        <v>10.91</v>
      </c>
      <c r="I753" s="7">
        <v>0.218</v>
      </c>
      <c r="J753" s="7">
        <v>0.17299999999999999</v>
      </c>
      <c r="K753" s="7" t="s">
        <v>867</v>
      </c>
      <c r="L753" t="str">
        <f t="shared" si="260"/>
        <v>F</v>
      </c>
      <c r="M753" s="7">
        <v>30</v>
      </c>
      <c r="N753" s="7">
        <v>0.47899999999999998</v>
      </c>
      <c r="O753" s="7">
        <v>0.42799999999999999</v>
      </c>
      <c r="P753" s="7" t="s">
        <v>1431</v>
      </c>
      <c r="Q753" t="str">
        <f t="shared" si="272"/>
        <v>F</v>
      </c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  <c r="AK753" s="7"/>
      <c r="AL753" s="7"/>
      <c r="AM753" s="7"/>
      <c r="AN753" s="7"/>
      <c r="AO753" s="7"/>
      <c r="AP753" s="7"/>
      <c r="AQ753" s="7"/>
      <c r="AR753" s="7"/>
      <c r="AS753" s="7"/>
      <c r="AT753" s="7"/>
      <c r="AU753" s="7"/>
      <c r="AV753" s="7"/>
      <c r="AW753" s="7"/>
      <c r="AX753" s="7"/>
      <c r="AY753" s="7"/>
      <c r="AZ753" s="7"/>
      <c r="BA753" s="7"/>
      <c r="BB753" s="7"/>
      <c r="BC753" s="7"/>
      <c r="BD753" s="7">
        <v>1</v>
      </c>
      <c r="BE753" s="7">
        <v>2.1000000000000001E-2</v>
      </c>
      <c r="BF753" s="7"/>
      <c r="BG753" s="7"/>
      <c r="BH753" s="7"/>
      <c r="BI753" s="7"/>
      <c r="BJ753" s="7"/>
      <c r="BK753" s="7"/>
      <c r="BL753" s="7"/>
      <c r="BM753" s="7"/>
      <c r="BN753" s="7"/>
      <c r="BO753" s="7"/>
      <c r="BP753" s="7"/>
      <c r="BQ753" s="7"/>
      <c r="BR753" s="7"/>
      <c r="BS753" s="7"/>
      <c r="BT753" s="7"/>
      <c r="BU753" s="7"/>
      <c r="BV753" s="7">
        <v>2.1000000000000001E-2</v>
      </c>
      <c r="BW753" s="5">
        <v>44204</v>
      </c>
      <c r="BX753">
        <v>1</v>
      </c>
      <c r="BY753">
        <v>8</v>
      </c>
      <c r="BZ753">
        <v>2021</v>
      </c>
      <c r="CA753" s="5">
        <f t="shared" si="261"/>
        <v>44409</v>
      </c>
      <c r="CB753">
        <v>213</v>
      </c>
      <c r="CC753" s="7">
        <v>15</v>
      </c>
      <c r="CE753">
        <f t="shared" si="276"/>
        <v>1.6112508149389959</v>
      </c>
      <c r="CF753">
        <f t="shared" si="277"/>
        <v>2.0389075944631503</v>
      </c>
      <c r="CG753">
        <f t="shared" si="278"/>
        <v>2.072440346040498E-2</v>
      </c>
      <c r="CH753">
        <f t="shared" si="279"/>
        <v>4.0831902308719714</v>
      </c>
      <c r="CI753">
        <f t="shared" si="280"/>
        <v>0.46746104491292384</v>
      </c>
      <c r="CJ753" s="1">
        <f t="shared" si="281"/>
        <v>0.65994500458295136</v>
      </c>
      <c r="CK753" s="7" t="s">
        <v>142</v>
      </c>
      <c r="CL753" s="7">
        <v>3</v>
      </c>
      <c r="CM753" s="7">
        <v>0</v>
      </c>
      <c r="CN753" s="7">
        <v>84</v>
      </c>
      <c r="CO753" s="7">
        <v>25</v>
      </c>
      <c r="CP753" s="7">
        <v>0</v>
      </c>
      <c r="CQ753" s="12">
        <v>2.9700000000000001E-2</v>
      </c>
      <c r="CR753">
        <f>CQ753/(H753-I753-J753-N753)*1000</f>
        <v>2.9581673306772904</v>
      </c>
      <c r="CS753">
        <v>5.0624101088963105</v>
      </c>
      <c r="CU753">
        <v>105.97959696644521</v>
      </c>
    </row>
    <row r="754" spans="1:99" x14ac:dyDescent="0.2">
      <c r="A754" s="7" t="s">
        <v>1416</v>
      </c>
      <c r="B754" s="7" t="s">
        <v>60</v>
      </c>
      <c r="C754" t="str">
        <f t="shared" si="257"/>
        <v>I</v>
      </c>
      <c r="D754" t="str">
        <f t="shared" si="258"/>
        <v>S</v>
      </c>
      <c r="E754" t="str">
        <f t="shared" si="259"/>
        <v>G</v>
      </c>
      <c r="F754" s="7">
        <v>78</v>
      </c>
      <c r="G754" s="7">
        <v>75</v>
      </c>
      <c r="H754" s="7">
        <v>7.7930000000000001</v>
      </c>
      <c r="I754" s="7">
        <v>0.121</v>
      </c>
      <c r="J754" s="7">
        <v>0.01</v>
      </c>
      <c r="K754" s="7" t="s">
        <v>1210</v>
      </c>
      <c r="L754" t="str">
        <f t="shared" si="260"/>
        <v>F</v>
      </c>
      <c r="M754" s="7">
        <v>40</v>
      </c>
      <c r="N754" s="7">
        <v>0.45800000000000002</v>
      </c>
      <c r="O754" s="7">
        <v>0.38400000000000001</v>
      </c>
      <c r="P754" s="7" t="s">
        <v>1432</v>
      </c>
      <c r="Q754" t="str">
        <f t="shared" si="272"/>
        <v>F</v>
      </c>
      <c r="R754" s="7"/>
      <c r="S754" s="7"/>
      <c r="T754" s="7"/>
      <c r="U754" s="7"/>
      <c r="V754" s="7">
        <v>1</v>
      </c>
      <c r="W754" s="7">
        <v>5.3999999999999999E-2</v>
      </c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  <c r="AK754" s="7"/>
      <c r="AL754" s="7"/>
      <c r="AM754" s="7"/>
      <c r="AN754" s="7"/>
      <c r="AO754" s="7"/>
      <c r="AP754" s="7"/>
      <c r="AQ754" s="7"/>
      <c r="AR754" s="7"/>
      <c r="AS754" s="7"/>
      <c r="AT754" s="7"/>
      <c r="AU754" s="7"/>
      <c r="AV754" s="7"/>
      <c r="AW754" s="7"/>
      <c r="AX754" s="7"/>
      <c r="AY754" s="7"/>
      <c r="AZ754" s="7"/>
      <c r="BA754" s="7"/>
      <c r="BB754" s="7"/>
      <c r="BC754" s="7"/>
      <c r="BD754" s="7"/>
      <c r="BE754" s="7"/>
      <c r="BF754" s="7"/>
      <c r="BG754" s="7"/>
      <c r="BH754" s="7"/>
      <c r="BI754" s="7"/>
      <c r="BJ754" s="7"/>
      <c r="BK754" s="7"/>
      <c r="BL754" s="7"/>
      <c r="BM754" s="7"/>
      <c r="BN754" s="7"/>
      <c r="BO754" s="7"/>
      <c r="BP754" s="7"/>
      <c r="BQ754" s="7"/>
      <c r="BR754" s="7"/>
      <c r="BS754" s="7"/>
      <c r="BT754" s="7"/>
      <c r="BU754" s="7"/>
      <c r="BV754" s="7">
        <v>5.3999999999999999E-2</v>
      </c>
      <c r="BW754" s="5">
        <v>44204</v>
      </c>
      <c r="BX754">
        <v>1</v>
      </c>
      <c r="BY754">
        <v>8</v>
      </c>
      <c r="BZ754">
        <v>2021</v>
      </c>
      <c r="CA754" s="5">
        <f t="shared" si="261"/>
        <v>44409</v>
      </c>
      <c r="CB754">
        <v>213</v>
      </c>
      <c r="CC754" s="7">
        <v>15</v>
      </c>
      <c r="CE754">
        <f t="shared" si="276"/>
        <v>0.12848515996402415</v>
      </c>
      <c r="CF754">
        <f t="shared" si="277"/>
        <v>1.5771637122002085</v>
      </c>
      <c r="CG754">
        <f t="shared" si="278"/>
        <v>1.5792221352127381E-2</v>
      </c>
      <c r="CH754">
        <f t="shared" si="279"/>
        <v>5.1828856795788907</v>
      </c>
      <c r="CI754">
        <f t="shared" si="280"/>
        <v>0.94957012703708465</v>
      </c>
      <c r="CJ754" s="1">
        <f t="shared" si="281"/>
        <v>1.6424996791992816</v>
      </c>
      <c r="CK754" s="7" t="s">
        <v>142</v>
      </c>
      <c r="CL754" s="7">
        <v>2</v>
      </c>
      <c r="CM754" s="7">
        <v>0</v>
      </c>
      <c r="CN754" s="7">
        <v>21</v>
      </c>
      <c r="CO754" s="7">
        <v>11</v>
      </c>
      <c r="CP754" s="7">
        <v>1</v>
      </c>
      <c r="CQ754" s="12">
        <v>5.2299999999999999E-2</v>
      </c>
      <c r="CR754">
        <f>CQ754/(H754-I754-J754-N754)*1000</f>
        <v>7.2598556357579112</v>
      </c>
      <c r="CS754">
        <v>9.1485642017567965</v>
      </c>
    </row>
    <row r="755" spans="1:99" x14ac:dyDescent="0.2">
      <c r="A755" s="7" t="s">
        <v>1417</v>
      </c>
      <c r="B755" s="7" t="s">
        <v>60</v>
      </c>
      <c r="C755" t="str">
        <f t="shared" si="257"/>
        <v>I</v>
      </c>
      <c r="D755" t="str">
        <f t="shared" si="258"/>
        <v>S</v>
      </c>
      <c r="E755" t="str">
        <f t="shared" si="259"/>
        <v>G</v>
      </c>
      <c r="F755" s="7">
        <v>82</v>
      </c>
      <c r="G755" s="7">
        <v>78</v>
      </c>
      <c r="H755" s="7">
        <v>9.3179999999999996</v>
      </c>
      <c r="I755" s="7">
        <v>0.223</v>
      </c>
      <c r="J755" s="7">
        <v>3.2000000000000001E-2</v>
      </c>
      <c r="K755" s="7" t="s">
        <v>1181</v>
      </c>
      <c r="L755" t="str">
        <f t="shared" si="260"/>
        <v>M</v>
      </c>
      <c r="M755" s="7">
        <v>40</v>
      </c>
      <c r="N755" s="7">
        <v>0.52400000000000002</v>
      </c>
      <c r="O755" s="7">
        <v>0.44400000000000001</v>
      </c>
      <c r="P755" s="7" t="s">
        <v>1433</v>
      </c>
      <c r="Q755" t="str">
        <f t="shared" si="272"/>
        <v>F</v>
      </c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  <c r="AK755" s="7"/>
      <c r="AL755" s="7"/>
      <c r="AM755" s="7"/>
      <c r="AN755" s="7"/>
      <c r="AO755" s="7"/>
      <c r="AP755" s="7"/>
      <c r="AQ755" s="7"/>
      <c r="AR755" s="7"/>
      <c r="AS755" s="7"/>
      <c r="AT755" s="7"/>
      <c r="AU755" s="7"/>
      <c r="AV755" s="7">
        <v>6</v>
      </c>
      <c r="AW755" s="7">
        <v>6.0999999999999999E-2</v>
      </c>
      <c r="AX755" s="7"/>
      <c r="AY755" s="7"/>
      <c r="AZ755" s="7"/>
      <c r="BA755" s="7"/>
      <c r="BB755" s="7"/>
      <c r="BC755" s="7"/>
      <c r="BD755" s="7"/>
      <c r="BE755" s="7"/>
      <c r="BF755" s="7"/>
      <c r="BG755" s="7"/>
      <c r="BH755" s="7"/>
      <c r="BI755" s="7"/>
      <c r="BJ755" s="7"/>
      <c r="BK755" s="7"/>
      <c r="BL755" s="7"/>
      <c r="BM755" s="7"/>
      <c r="BN755" s="7"/>
      <c r="BO755" s="7"/>
      <c r="BP755" s="7"/>
      <c r="BQ755" s="7"/>
      <c r="BR755" s="7"/>
      <c r="BS755" s="7"/>
      <c r="BT755" s="7"/>
      <c r="BU755" s="7"/>
      <c r="BV755" s="7">
        <v>6.0999999999999999E-2</v>
      </c>
      <c r="BW755" s="5">
        <v>44204</v>
      </c>
      <c r="BX755">
        <v>1</v>
      </c>
      <c r="BY755">
        <v>8</v>
      </c>
      <c r="BZ755">
        <v>2021</v>
      </c>
      <c r="CA755" s="5">
        <f t="shared" si="261"/>
        <v>44409</v>
      </c>
      <c r="CB755">
        <v>213</v>
      </c>
      <c r="CC755" s="7">
        <v>15</v>
      </c>
      <c r="CE755">
        <f t="shared" si="276"/>
        <v>0.34460478139134182</v>
      </c>
      <c r="CF755">
        <f t="shared" si="277"/>
        <v>2.4518966465090712</v>
      </c>
      <c r="CG755">
        <f t="shared" si="278"/>
        <v>2.4605539004744569E-2</v>
      </c>
      <c r="CH755">
        <f t="shared" si="279"/>
        <v>5.0033806626098718</v>
      </c>
      <c r="CI755">
        <f t="shared" si="280"/>
        <v>0.85855333762610031</v>
      </c>
      <c r="CJ755" s="1">
        <f t="shared" si="281"/>
        <v>1.5132002575660015</v>
      </c>
      <c r="CK755" s="7" t="s">
        <v>142</v>
      </c>
      <c r="CL755" s="7">
        <v>3</v>
      </c>
      <c r="CM755" s="7"/>
      <c r="CN755" s="7"/>
      <c r="CO755" s="7"/>
      <c r="CP755" s="7"/>
    </row>
    <row r="756" spans="1:99" x14ac:dyDescent="0.2">
      <c r="A756" s="7" t="s">
        <v>1418</v>
      </c>
      <c r="B756" s="7" t="s">
        <v>60</v>
      </c>
      <c r="C756" t="str">
        <f t="shared" si="257"/>
        <v>I</v>
      </c>
      <c r="D756" t="str">
        <f t="shared" si="258"/>
        <v>I</v>
      </c>
      <c r="E756" t="str">
        <f t="shared" si="259"/>
        <v>G</v>
      </c>
      <c r="F756" s="7">
        <v>103</v>
      </c>
      <c r="G756" s="7">
        <v>97</v>
      </c>
      <c r="H756" s="7">
        <v>20.375</v>
      </c>
      <c r="I756" s="7">
        <v>0.28100000000000003</v>
      </c>
      <c r="J756" s="7">
        <v>0.2</v>
      </c>
      <c r="K756" s="7" t="s">
        <v>1210</v>
      </c>
      <c r="L756" t="str">
        <f t="shared" si="260"/>
        <v>F</v>
      </c>
      <c r="M756" s="7">
        <v>40</v>
      </c>
      <c r="N756" s="7">
        <v>1.67</v>
      </c>
      <c r="O756" s="7">
        <v>0.76600000000000001</v>
      </c>
      <c r="P756" s="7" t="s">
        <v>1434</v>
      </c>
      <c r="Q756" t="str">
        <f t="shared" si="272"/>
        <v>F</v>
      </c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  <c r="AK756" s="7"/>
      <c r="AL756" s="7"/>
      <c r="AM756" s="7"/>
      <c r="AN756" s="7"/>
      <c r="AO756" s="7"/>
      <c r="AP756" s="7"/>
      <c r="AQ756" s="7"/>
      <c r="AR756" s="7"/>
      <c r="AS756" s="7"/>
      <c r="AT756" s="7"/>
      <c r="AU756" s="7"/>
      <c r="AV756" s="7"/>
      <c r="AW756" s="7"/>
      <c r="AX756" s="7"/>
      <c r="AY756" s="7"/>
      <c r="AZ756" s="7"/>
      <c r="BA756" s="7"/>
      <c r="BB756" s="7"/>
      <c r="BC756" s="7"/>
      <c r="BD756" s="7"/>
      <c r="BE756" s="7"/>
      <c r="BF756" s="7"/>
      <c r="BG756" s="7"/>
      <c r="BH756" s="7"/>
      <c r="BI756" s="7"/>
      <c r="BJ756" s="7"/>
      <c r="BK756" s="7"/>
      <c r="BL756" s="7"/>
      <c r="BM756" s="7"/>
      <c r="BN756" s="7">
        <v>1</v>
      </c>
      <c r="BO756" s="7">
        <v>0.82599999999999996</v>
      </c>
      <c r="BP756" s="7"/>
      <c r="BQ756" s="7"/>
      <c r="BR756" s="7"/>
      <c r="BS756" s="7"/>
      <c r="BT756" s="7"/>
      <c r="BU756" s="7"/>
      <c r="BV756" s="7">
        <v>0.82599999999999996</v>
      </c>
      <c r="BW756" s="5">
        <v>44204</v>
      </c>
      <c r="BX756">
        <v>1</v>
      </c>
      <c r="BY756">
        <v>8</v>
      </c>
      <c r="BZ756">
        <v>2021</v>
      </c>
      <c r="CA756" s="5">
        <f t="shared" si="261"/>
        <v>44409</v>
      </c>
      <c r="CB756">
        <v>213</v>
      </c>
      <c r="CC756" s="7">
        <v>15</v>
      </c>
      <c r="CE756">
        <f t="shared" si="276"/>
        <v>0.99132589838909546</v>
      </c>
      <c r="CF756">
        <f t="shared" si="277"/>
        <v>1.398427391261073</v>
      </c>
      <c r="CG756">
        <f t="shared" si="278"/>
        <v>1.4124861767367046E-2</v>
      </c>
      <c r="CH756">
        <f t="shared" si="279"/>
        <v>3.9063695241980723</v>
      </c>
      <c r="CI756">
        <f t="shared" si="280"/>
        <v>4.4368098159509195</v>
      </c>
      <c r="CJ756" s="1">
        <f t="shared" si="281"/>
        <v>8.4907975460122707</v>
      </c>
      <c r="CK756" s="7" t="s">
        <v>142</v>
      </c>
      <c r="CL756" s="7">
        <v>3</v>
      </c>
      <c r="CM756" s="7">
        <v>0</v>
      </c>
      <c r="CN756" s="7">
        <v>106</v>
      </c>
      <c r="CO756" s="7">
        <v>35</v>
      </c>
      <c r="CP756" s="7">
        <v>0</v>
      </c>
      <c r="CS756">
        <v>4.7149209202307105</v>
      </c>
    </row>
    <row r="757" spans="1:99" x14ac:dyDescent="0.2">
      <c r="A757" s="7" t="s">
        <v>1419</v>
      </c>
      <c r="B757" s="7" t="s">
        <v>60</v>
      </c>
      <c r="C757" t="str">
        <f t="shared" si="257"/>
        <v>I</v>
      </c>
      <c r="D757" t="str">
        <f t="shared" si="258"/>
        <v>S</v>
      </c>
      <c r="E757" t="str">
        <f t="shared" si="259"/>
        <v>G</v>
      </c>
      <c r="F757" s="7">
        <v>77</v>
      </c>
      <c r="G757" s="7">
        <v>72</v>
      </c>
      <c r="H757" s="7">
        <v>8.02</v>
      </c>
      <c r="I757" s="7">
        <v>0.13600000000000001</v>
      </c>
      <c r="J757" s="7">
        <v>1.4E-2</v>
      </c>
      <c r="K757" s="7" t="s">
        <v>1181</v>
      </c>
      <c r="L757" t="str">
        <f t="shared" si="260"/>
        <v>M</v>
      </c>
      <c r="M757" s="7">
        <v>40</v>
      </c>
      <c r="N757" s="7">
        <v>0.56299999999999994</v>
      </c>
      <c r="O757" s="7">
        <v>0.47399999999999998</v>
      </c>
      <c r="P757" s="7" t="s">
        <v>1435</v>
      </c>
      <c r="Q757" t="str">
        <f t="shared" si="272"/>
        <v>F</v>
      </c>
      <c r="R757" s="7"/>
      <c r="S757" s="7"/>
      <c r="T757" s="7">
        <v>1</v>
      </c>
      <c r="U757" s="7">
        <v>6.7000000000000004E-2</v>
      </c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  <c r="AK757" s="7"/>
      <c r="AL757" s="7"/>
      <c r="AM757" s="7"/>
      <c r="AN757" s="7"/>
      <c r="AO757" s="7"/>
      <c r="AP757" s="7"/>
      <c r="AQ757" s="7"/>
      <c r="AR757" s="7"/>
      <c r="AS757" s="7"/>
      <c r="AT757" s="7"/>
      <c r="AU757" s="7"/>
      <c r="AV757" s="7"/>
      <c r="AW757" s="7"/>
      <c r="AX757" s="7"/>
      <c r="AY757" s="7"/>
      <c r="AZ757" s="7"/>
      <c r="BA757" s="7"/>
      <c r="BB757" s="7"/>
      <c r="BC757" s="7"/>
      <c r="BD757" s="7"/>
      <c r="BE757" s="7"/>
      <c r="BF757" s="7"/>
      <c r="BG757" s="7"/>
      <c r="BH757" s="7"/>
      <c r="BI757" s="7"/>
      <c r="BJ757" s="7"/>
      <c r="BK757" s="7"/>
      <c r="BL757" s="7"/>
      <c r="BM757" s="7"/>
      <c r="BN757" s="7"/>
      <c r="BO757" s="7"/>
      <c r="BP757" s="7"/>
      <c r="BQ757" s="7"/>
      <c r="BR757" s="7"/>
      <c r="BS757" s="7"/>
      <c r="BT757" s="7"/>
      <c r="BU757" s="7"/>
      <c r="BV757" s="7">
        <v>6.7000000000000004E-2</v>
      </c>
      <c r="BW757" s="5">
        <v>44204</v>
      </c>
      <c r="BX757">
        <v>1</v>
      </c>
      <c r="BY757">
        <v>8</v>
      </c>
      <c r="BZ757">
        <v>2021</v>
      </c>
      <c r="CA757" s="5">
        <f t="shared" si="261"/>
        <v>44409</v>
      </c>
      <c r="CB757">
        <v>213</v>
      </c>
      <c r="CC757" s="7">
        <v>15</v>
      </c>
      <c r="CE757">
        <f t="shared" si="276"/>
        <v>0.17486884836372721</v>
      </c>
      <c r="CF757">
        <f t="shared" si="277"/>
        <v>1.7250126839167939</v>
      </c>
      <c r="CG757">
        <f t="shared" si="278"/>
        <v>1.728081321473952E-2</v>
      </c>
      <c r="CH757">
        <f t="shared" si="279"/>
        <v>6.281473628412404</v>
      </c>
      <c r="CI757">
        <f t="shared" si="280"/>
        <v>1.1097256857855358</v>
      </c>
      <c r="CJ757" s="1">
        <f t="shared" si="281"/>
        <v>1.9451371571072316</v>
      </c>
      <c r="CK757" s="7" t="s">
        <v>142</v>
      </c>
      <c r="CL757" s="7">
        <v>3</v>
      </c>
      <c r="CM757" s="7"/>
      <c r="CN757" s="7"/>
      <c r="CO757" s="7"/>
      <c r="CP757" s="7"/>
    </row>
    <row r="758" spans="1:99" ht="32" x14ac:dyDescent="0.2">
      <c r="A758" s="7" t="s">
        <v>1420</v>
      </c>
      <c r="B758" s="7" t="s">
        <v>60</v>
      </c>
      <c r="C758" t="str">
        <f t="shared" si="257"/>
        <v>I</v>
      </c>
      <c r="D758" t="str">
        <f t="shared" si="258"/>
        <v>B</v>
      </c>
      <c r="E758" t="str">
        <f t="shared" si="259"/>
        <v>N</v>
      </c>
      <c r="F758" s="7">
        <v>130</v>
      </c>
      <c r="G758" s="7">
        <v>123</v>
      </c>
      <c r="H758" s="7">
        <v>45.168999999999997</v>
      </c>
      <c r="I758" s="7">
        <v>0.51400000000000001</v>
      </c>
      <c r="J758" s="7">
        <v>0.498</v>
      </c>
      <c r="K758" s="7" t="s">
        <v>1181</v>
      </c>
      <c r="L758" t="str">
        <f t="shared" si="260"/>
        <v>M</v>
      </c>
      <c r="M758" s="7">
        <v>40</v>
      </c>
      <c r="N758" s="7">
        <v>6.508</v>
      </c>
      <c r="O758" s="7">
        <v>1.8720000000000001</v>
      </c>
      <c r="P758" s="7" t="s">
        <v>1436</v>
      </c>
      <c r="Q758" t="str">
        <f t="shared" si="272"/>
        <v>F</v>
      </c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  <c r="AK758" s="7"/>
      <c r="AL758" s="7"/>
      <c r="AM758" s="7"/>
      <c r="AN758" s="7"/>
      <c r="AO758" s="7"/>
      <c r="AP758" s="7"/>
      <c r="AQ758" s="7"/>
      <c r="AR758" s="7"/>
      <c r="AS758" s="7"/>
      <c r="AT758" s="7"/>
      <c r="AU758" s="7"/>
      <c r="AV758" s="7"/>
      <c r="AW758" s="7"/>
      <c r="AX758" s="7"/>
      <c r="AY758" s="7"/>
      <c r="AZ758" s="7"/>
      <c r="BA758" s="7"/>
      <c r="BB758" s="7"/>
      <c r="BC758" s="7"/>
      <c r="BD758" s="7"/>
      <c r="BE758" s="7"/>
      <c r="BF758" s="7"/>
      <c r="BG758" s="7"/>
      <c r="BH758" s="7"/>
      <c r="BI758" s="7"/>
      <c r="BJ758" s="7"/>
      <c r="BK758" s="7"/>
      <c r="BL758" s="7">
        <v>1</v>
      </c>
      <c r="BM758" s="7">
        <v>2.4670000000000001</v>
      </c>
      <c r="BN758" s="7">
        <v>1</v>
      </c>
      <c r="BO758" s="7">
        <v>1.579</v>
      </c>
      <c r="BP758" s="7"/>
      <c r="BQ758" s="7"/>
      <c r="BR758" s="7"/>
      <c r="BS758" s="7"/>
      <c r="BT758" s="7"/>
      <c r="BU758" s="7"/>
      <c r="BV758">
        <f>2.467+1.579</f>
        <v>4.0460000000000003</v>
      </c>
      <c r="BW758" s="5">
        <v>44204</v>
      </c>
      <c r="BX758">
        <v>1</v>
      </c>
      <c r="BY758">
        <v>8</v>
      </c>
      <c r="BZ758">
        <v>2021</v>
      </c>
      <c r="CA758" s="5">
        <f t="shared" si="261"/>
        <v>44409</v>
      </c>
      <c r="CB758">
        <v>213</v>
      </c>
      <c r="CC758" s="7">
        <v>15</v>
      </c>
      <c r="CE758">
        <f t="shared" si="276"/>
        <v>1.1148172192250005</v>
      </c>
      <c r="CF758">
        <f t="shared" si="277"/>
        <v>1.1510469152390552</v>
      </c>
      <c r="CG758">
        <f t="shared" si="278"/>
        <v>1.1640283533754559E-2</v>
      </c>
      <c r="CH758">
        <f t="shared" si="279"/>
        <v>4.3236251934314165</v>
      </c>
      <c r="CI758">
        <f t="shared" si="280"/>
        <v>10.263676415240543</v>
      </c>
      <c r="CJ758" s="1">
        <f t="shared" si="281"/>
        <v>19.221147247005693</v>
      </c>
      <c r="CK758" s="7" t="s">
        <v>142</v>
      </c>
      <c r="CL758" s="7">
        <v>3</v>
      </c>
      <c r="CM758" s="7"/>
      <c r="CN758" s="7"/>
      <c r="CO758" s="7"/>
      <c r="CP758" s="7"/>
    </row>
    <row r="759" spans="1:99" x14ac:dyDescent="0.2">
      <c r="A759" s="7" t="s">
        <v>1421</v>
      </c>
      <c r="B759" s="7" t="s">
        <v>60</v>
      </c>
      <c r="C759" t="str">
        <f t="shared" si="257"/>
        <v>I</v>
      </c>
      <c r="D759" t="str">
        <f t="shared" si="258"/>
        <v>S</v>
      </c>
      <c r="E759" t="str">
        <f t="shared" si="259"/>
        <v>G</v>
      </c>
      <c r="F759" s="7">
        <v>83</v>
      </c>
      <c r="G759" s="7">
        <v>79</v>
      </c>
      <c r="H759" s="7">
        <v>10.679</v>
      </c>
      <c r="I759" s="7">
        <v>0.27</v>
      </c>
      <c r="J759" s="7">
        <v>4.5999999999999999E-2</v>
      </c>
      <c r="K759" s="7" t="s">
        <v>868</v>
      </c>
      <c r="L759" t="str">
        <f t="shared" si="260"/>
        <v>M</v>
      </c>
      <c r="M759" s="7">
        <v>30</v>
      </c>
      <c r="N759" s="7">
        <v>0.48299999999999998</v>
      </c>
      <c r="O759" s="7">
        <v>0.372</v>
      </c>
      <c r="P759" s="7" t="s">
        <v>1437</v>
      </c>
      <c r="Q759" t="str">
        <f t="shared" si="272"/>
        <v>F</v>
      </c>
      <c r="R759" s="7"/>
      <c r="S759" s="7"/>
      <c r="T759" s="7">
        <v>6</v>
      </c>
      <c r="U759" s="7">
        <v>5.8999999999999997E-2</v>
      </c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  <c r="AK759" s="7"/>
      <c r="AL759" s="7"/>
      <c r="AM759" s="7"/>
      <c r="AN759" s="7"/>
      <c r="AO759" s="7"/>
      <c r="AP759" s="7"/>
      <c r="AQ759" s="7"/>
      <c r="AR759" s="7"/>
      <c r="AS759" s="7"/>
      <c r="AT759" s="7"/>
      <c r="AU759" s="7"/>
      <c r="AV759" s="7"/>
      <c r="AW759" s="7"/>
      <c r="AX759" s="7"/>
      <c r="AY759" s="7"/>
      <c r="AZ759" s="7"/>
      <c r="BA759" s="7"/>
      <c r="BB759" s="7"/>
      <c r="BC759" s="7"/>
      <c r="BD759" s="7"/>
      <c r="BE759" s="7"/>
      <c r="BF759" s="7"/>
      <c r="BG759" s="7"/>
      <c r="BH759" s="7"/>
      <c r="BI759" s="7"/>
      <c r="BJ759" s="7"/>
      <c r="BK759" s="7"/>
      <c r="BL759" s="7"/>
      <c r="BM759" s="7"/>
      <c r="BN759" s="7"/>
      <c r="BO759" s="7"/>
      <c r="BP759" s="7"/>
      <c r="BQ759" s="7"/>
      <c r="BR759" s="7"/>
      <c r="BS759" s="7"/>
      <c r="BT759" s="7"/>
      <c r="BU759" s="7"/>
      <c r="BV759" s="7">
        <v>5.8999999999999997E-2</v>
      </c>
      <c r="BW759" s="5">
        <v>44204</v>
      </c>
      <c r="BX759">
        <v>1</v>
      </c>
      <c r="BY759">
        <v>8</v>
      </c>
      <c r="BZ759">
        <v>2021</v>
      </c>
      <c r="CA759" s="5">
        <f t="shared" si="261"/>
        <v>44409</v>
      </c>
      <c r="CB759">
        <v>213</v>
      </c>
      <c r="CC759" s="7">
        <v>15</v>
      </c>
      <c r="CE759">
        <f t="shared" si="276"/>
        <v>0.43261544249036016</v>
      </c>
      <c r="CF759">
        <f t="shared" si="277"/>
        <v>2.5939091171101931</v>
      </c>
      <c r="CG759">
        <f t="shared" si="278"/>
        <v>2.6054231400173693E-2</v>
      </c>
      <c r="CH759">
        <f t="shared" si="279"/>
        <v>3.6091976326768216</v>
      </c>
      <c r="CI759">
        <f t="shared" si="280"/>
        <v>1.0394231669631988</v>
      </c>
      <c r="CJ759" s="1">
        <f t="shared" si="281"/>
        <v>1.5919093548085024</v>
      </c>
      <c r="CK759" s="7" t="s">
        <v>142</v>
      </c>
      <c r="CL759" s="7">
        <v>3</v>
      </c>
      <c r="CM759" s="7"/>
      <c r="CN759" s="7"/>
      <c r="CO759" s="7"/>
      <c r="CP759" s="7"/>
    </row>
    <row r="760" spans="1:99" x14ac:dyDescent="0.2">
      <c r="A760" s="7" t="s">
        <v>1422</v>
      </c>
      <c r="B760" s="7" t="s">
        <v>60</v>
      </c>
      <c r="C760" t="str">
        <f t="shared" si="257"/>
        <v>I</v>
      </c>
      <c r="D760" t="str">
        <f t="shared" si="258"/>
        <v>S</v>
      </c>
      <c r="E760" t="str">
        <f t="shared" si="259"/>
        <v>G</v>
      </c>
      <c r="F760" s="7">
        <v>79</v>
      </c>
      <c r="G760" s="7">
        <v>74</v>
      </c>
      <c r="H760" s="7">
        <v>8.6980000000000004</v>
      </c>
      <c r="I760" s="7">
        <v>0.14099999999999999</v>
      </c>
      <c r="J760" s="7">
        <v>3.2000000000000001E-2</v>
      </c>
      <c r="K760" s="7" t="s">
        <v>1181</v>
      </c>
      <c r="L760" t="str">
        <f t="shared" si="260"/>
        <v>M</v>
      </c>
      <c r="M760" s="7">
        <v>40</v>
      </c>
      <c r="N760" s="7">
        <v>0.42</v>
      </c>
      <c r="O760" s="7">
        <v>0.38</v>
      </c>
      <c r="P760" s="7" t="s">
        <v>1438</v>
      </c>
      <c r="Q760" t="str">
        <f t="shared" si="272"/>
        <v>F</v>
      </c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  <c r="AK760" s="7"/>
      <c r="AL760" s="7"/>
      <c r="AM760" s="7"/>
      <c r="AN760" s="7"/>
      <c r="AO760" s="7"/>
      <c r="AP760" s="7"/>
      <c r="AQ760" s="7"/>
      <c r="AR760" s="7"/>
      <c r="AS760" s="7"/>
      <c r="AT760" s="7"/>
      <c r="AU760" s="7"/>
      <c r="AV760" s="7">
        <v>4</v>
      </c>
      <c r="AW760" s="7">
        <v>2.1999999999999999E-2</v>
      </c>
      <c r="AX760" s="7"/>
      <c r="AY760" s="7"/>
      <c r="AZ760" s="7"/>
      <c r="BA760" s="7"/>
      <c r="BB760" s="7"/>
      <c r="BC760" s="7"/>
      <c r="BD760" s="7"/>
      <c r="BE760" s="7"/>
      <c r="BF760" s="7"/>
      <c r="BG760" s="7"/>
      <c r="BH760" s="7"/>
      <c r="BI760" s="7"/>
      <c r="BJ760" s="7"/>
      <c r="BK760" s="7"/>
      <c r="BL760" s="7"/>
      <c r="BM760" s="7"/>
      <c r="BN760" s="7"/>
      <c r="BO760" s="7"/>
      <c r="BP760" s="7"/>
      <c r="BQ760" s="7"/>
      <c r="BR760" s="7"/>
      <c r="BS760" s="7"/>
      <c r="BT760" s="7"/>
      <c r="BU760" s="7"/>
      <c r="BV760" s="7">
        <v>2.1999999999999999E-2</v>
      </c>
      <c r="BW760" s="5">
        <v>44204</v>
      </c>
      <c r="BX760">
        <v>1</v>
      </c>
      <c r="BY760">
        <v>8</v>
      </c>
      <c r="BZ760">
        <v>2021</v>
      </c>
      <c r="CA760" s="5">
        <f t="shared" si="261"/>
        <v>44409</v>
      </c>
      <c r="CB760">
        <v>213</v>
      </c>
      <c r="CC760" s="7">
        <v>15</v>
      </c>
      <c r="CE760">
        <f t="shared" si="276"/>
        <v>0.36925917378259865</v>
      </c>
      <c r="CF760">
        <f t="shared" si="277"/>
        <v>1.6477737524833467</v>
      </c>
      <c r="CG760">
        <f t="shared" si="278"/>
        <v>1.6539589442815247E-2</v>
      </c>
      <c r="CH760">
        <f t="shared" si="279"/>
        <v>4.5684058667949028</v>
      </c>
      <c r="CI760">
        <f t="shared" si="280"/>
        <v>0.45987583352494799</v>
      </c>
      <c r="CJ760" s="1">
        <f t="shared" si="281"/>
        <v>0.71280754196366958</v>
      </c>
      <c r="CK760" s="7" t="s">
        <v>142</v>
      </c>
      <c r="CL760" s="7">
        <v>3</v>
      </c>
      <c r="CM760" s="7"/>
      <c r="CN760" s="7"/>
      <c r="CO760" s="7"/>
      <c r="CP760" s="7"/>
    </row>
    <row r="761" spans="1:99" x14ac:dyDescent="0.2">
      <c r="A761" s="7" t="s">
        <v>1423</v>
      </c>
      <c r="B761" s="7" t="s">
        <v>60</v>
      </c>
      <c r="C761" t="str">
        <f t="shared" si="257"/>
        <v>I</v>
      </c>
      <c r="D761" t="str">
        <f t="shared" si="258"/>
        <v>S</v>
      </c>
      <c r="E761" t="str">
        <f t="shared" si="259"/>
        <v>G</v>
      </c>
      <c r="F761" s="7">
        <v>73</v>
      </c>
      <c r="G761" s="7">
        <v>67</v>
      </c>
      <c r="H761" s="7">
        <v>6.47</v>
      </c>
      <c r="I761" s="7">
        <v>9.1999999999999998E-2</v>
      </c>
      <c r="J761" s="7">
        <v>8.9999999999999993E-3</v>
      </c>
      <c r="K761" s="7" t="s">
        <v>1181</v>
      </c>
      <c r="L761" t="str">
        <f t="shared" si="260"/>
        <v>M</v>
      </c>
      <c r="M761" s="7">
        <v>40</v>
      </c>
      <c r="N761" s="7">
        <v>0.32400000000000001</v>
      </c>
      <c r="O761" s="7">
        <v>0.27500000000000002</v>
      </c>
      <c r="P761" s="7" t="s">
        <v>1439</v>
      </c>
      <c r="Q761" t="str">
        <f t="shared" si="272"/>
        <v>F</v>
      </c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  <c r="AK761" s="7"/>
      <c r="AL761" s="7"/>
      <c r="AM761" s="7"/>
      <c r="AN761" s="7">
        <v>25</v>
      </c>
      <c r="AO761" s="7">
        <v>1.4E-2</v>
      </c>
      <c r="AP761" s="7"/>
      <c r="AQ761" s="7"/>
      <c r="AR761" s="7"/>
      <c r="AS761" s="7"/>
      <c r="AT761" s="7"/>
      <c r="AU761" s="7"/>
      <c r="AV761" s="7"/>
      <c r="AW761" s="7"/>
      <c r="AX761" s="7"/>
      <c r="AY761" s="7"/>
      <c r="AZ761" s="7"/>
      <c r="BA761" s="7"/>
      <c r="BB761" s="7"/>
      <c r="BC761" s="7"/>
      <c r="BD761" s="7"/>
      <c r="BE761" s="7"/>
      <c r="BF761" s="7"/>
      <c r="BG761" s="7"/>
      <c r="BH761" s="7"/>
      <c r="BI761" s="7"/>
      <c r="BJ761" s="7"/>
      <c r="BK761" s="7"/>
      <c r="BL761" s="7"/>
      <c r="BM761" s="7"/>
      <c r="BN761" s="7"/>
      <c r="BO761" s="7"/>
      <c r="BP761" s="7"/>
      <c r="BQ761" s="7"/>
      <c r="BR761" s="7"/>
      <c r="BS761" s="7"/>
      <c r="BT761" s="7"/>
      <c r="BU761" s="7"/>
      <c r="BV761" s="7">
        <v>1.4E-2</v>
      </c>
      <c r="BW761" s="5">
        <v>44204</v>
      </c>
      <c r="BX761">
        <v>1</v>
      </c>
      <c r="BY761">
        <v>8</v>
      </c>
      <c r="BZ761">
        <v>2021</v>
      </c>
      <c r="CA761" s="5">
        <f t="shared" si="261"/>
        <v>44409</v>
      </c>
      <c r="CB761">
        <v>213</v>
      </c>
      <c r="CC761" s="7">
        <v>15</v>
      </c>
      <c r="CE761">
        <f t="shared" si="276"/>
        <v>0.13929732239591394</v>
      </c>
      <c r="CF761">
        <f t="shared" si="277"/>
        <v>1.4424584509250549</v>
      </c>
      <c r="CG761">
        <f t="shared" si="278"/>
        <v>1.444496781284346E-2</v>
      </c>
      <c r="CH761">
        <f t="shared" si="279"/>
        <v>4.4390637610976595</v>
      </c>
      <c r="CI761">
        <f t="shared" si="280"/>
        <v>0.75734157650695499</v>
      </c>
      <c r="CJ761" s="1">
        <f t="shared" si="281"/>
        <v>0.97372488408037083</v>
      </c>
      <c r="CK761" s="7" t="s">
        <v>142</v>
      </c>
      <c r="CL761" s="7">
        <v>3</v>
      </c>
      <c r="CM761" s="7"/>
      <c r="CN761" s="7"/>
      <c r="CO761" s="7"/>
      <c r="CP761" s="7"/>
    </row>
    <row r="762" spans="1:99" x14ac:dyDescent="0.2">
      <c r="A762" s="7" t="s">
        <v>1424</v>
      </c>
      <c r="B762" s="7" t="s">
        <v>60</v>
      </c>
      <c r="C762" t="str">
        <f t="shared" si="257"/>
        <v>I</v>
      </c>
      <c r="D762" t="str">
        <f t="shared" si="258"/>
        <v>S</v>
      </c>
      <c r="E762" t="str">
        <f t="shared" si="259"/>
        <v>G</v>
      </c>
      <c r="F762" s="7">
        <v>80</v>
      </c>
      <c r="G762" s="7">
        <v>76</v>
      </c>
      <c r="H762" s="7">
        <v>8.968</v>
      </c>
      <c r="I762" s="7">
        <v>0.127</v>
      </c>
      <c r="J762" s="7">
        <v>3.5999999999999997E-2</v>
      </c>
      <c r="K762" s="7" t="s">
        <v>868</v>
      </c>
      <c r="L762" t="str">
        <f t="shared" si="260"/>
        <v>M</v>
      </c>
      <c r="M762" s="7">
        <v>30</v>
      </c>
      <c r="N762" s="7">
        <v>0.38</v>
      </c>
      <c r="O762" s="7">
        <v>0.35299999999999998</v>
      </c>
      <c r="P762" s="7" t="s">
        <v>1440</v>
      </c>
      <c r="Q762" t="str">
        <f t="shared" si="272"/>
        <v>F</v>
      </c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  <c r="AK762" s="7"/>
      <c r="AL762" s="7"/>
      <c r="AM762" s="7"/>
      <c r="AN762" s="7"/>
      <c r="AO762" s="7"/>
      <c r="AP762" s="7"/>
      <c r="AQ762" s="7"/>
      <c r="AR762" s="7">
        <v>1</v>
      </c>
      <c r="AS762" s="7">
        <v>8.9999999999999993E-3</v>
      </c>
      <c r="AT762" s="7"/>
      <c r="AU762" s="7"/>
      <c r="AV762" s="7"/>
      <c r="AW762" s="7"/>
      <c r="AX762" s="7"/>
      <c r="AY762" s="7"/>
      <c r="AZ762" s="7"/>
      <c r="BA762" s="7"/>
      <c r="BB762" s="7"/>
      <c r="BC762" s="7"/>
      <c r="BD762" s="7"/>
      <c r="BE762" s="7"/>
      <c r="BF762" s="7"/>
      <c r="BG762" s="7"/>
      <c r="BH762" s="7"/>
      <c r="BI762" s="7"/>
      <c r="BJ762" s="7"/>
      <c r="BK762" s="7"/>
      <c r="BL762" s="7"/>
      <c r="BM762" s="7"/>
      <c r="BN762" s="7"/>
      <c r="BO762" s="7"/>
      <c r="BP762" s="7"/>
      <c r="BQ762" s="7"/>
      <c r="BR762" s="7"/>
      <c r="BS762" s="7"/>
      <c r="BT762" s="7"/>
      <c r="BU762" s="7"/>
      <c r="BV762" s="7">
        <v>8.9999999999999993E-3</v>
      </c>
      <c r="BW762" s="5">
        <v>44204</v>
      </c>
      <c r="BX762">
        <v>1</v>
      </c>
      <c r="BY762">
        <v>8</v>
      </c>
      <c r="BZ762">
        <v>2021</v>
      </c>
      <c r="CA762" s="5">
        <f t="shared" si="261"/>
        <v>44409</v>
      </c>
      <c r="CB762">
        <v>213</v>
      </c>
      <c r="CC762" s="7">
        <v>15</v>
      </c>
      <c r="CE762">
        <f t="shared" si="276"/>
        <v>0.40304523063143743</v>
      </c>
      <c r="CF762">
        <f t="shared" si="277"/>
        <v>1.4364890849451422</v>
      </c>
      <c r="CG762">
        <f t="shared" si="278"/>
        <v>1.4423622941510506E-2</v>
      </c>
      <c r="CH762">
        <f t="shared" si="279"/>
        <v>4.097504352872896</v>
      </c>
      <c r="CI762">
        <f t="shared" si="280"/>
        <v>0.3010704727921501</v>
      </c>
      <c r="CJ762" s="1">
        <f t="shared" si="281"/>
        <v>0.40142729705620006</v>
      </c>
      <c r="CK762" s="7" t="s">
        <v>142</v>
      </c>
      <c r="CL762" s="7">
        <v>3</v>
      </c>
      <c r="CM762" s="7"/>
      <c r="CN762" s="7"/>
      <c r="CO762" s="7"/>
      <c r="CP762" s="7"/>
    </row>
    <row r="763" spans="1:99" x14ac:dyDescent="0.2">
      <c r="A763" s="7" t="s">
        <v>1425</v>
      </c>
      <c r="B763" s="7" t="s">
        <v>60</v>
      </c>
      <c r="C763" t="str">
        <f t="shared" si="257"/>
        <v>I</v>
      </c>
      <c r="D763" t="str">
        <f t="shared" si="258"/>
        <v>S</v>
      </c>
      <c r="E763" t="str">
        <f t="shared" si="259"/>
        <v>G</v>
      </c>
      <c r="F763" s="7">
        <v>81</v>
      </c>
      <c r="G763" s="7">
        <v>72</v>
      </c>
      <c r="H763" s="7">
        <v>8.6969999999999992</v>
      </c>
      <c r="I763" s="7">
        <v>0.123</v>
      </c>
      <c r="J763" s="7">
        <v>0.03</v>
      </c>
      <c r="K763" s="7" t="s">
        <v>1181</v>
      </c>
      <c r="L763" t="str">
        <f t="shared" si="260"/>
        <v>M</v>
      </c>
      <c r="M763" s="7">
        <v>40</v>
      </c>
      <c r="N763" s="7">
        <v>0.36099999999999999</v>
      </c>
      <c r="O763" s="7">
        <v>0.27</v>
      </c>
      <c r="P763" s="7" t="s">
        <v>1441</v>
      </c>
      <c r="Q763" t="str">
        <f t="shared" si="272"/>
        <v>F</v>
      </c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  <c r="AK763" s="7"/>
      <c r="AL763" s="7"/>
      <c r="AM763" s="7"/>
      <c r="AN763" s="7"/>
      <c r="AO763" s="7"/>
      <c r="AP763" s="7"/>
      <c r="AQ763" s="7"/>
      <c r="AR763" s="7"/>
      <c r="AS763" s="7"/>
      <c r="AT763" s="7"/>
      <c r="AU763" s="7"/>
      <c r="AV763" s="7">
        <v>9</v>
      </c>
      <c r="AW763" s="7">
        <v>3.7999999999999999E-2</v>
      </c>
      <c r="AX763" s="7"/>
      <c r="AY763" s="7"/>
      <c r="AZ763" s="7"/>
      <c r="BA763" s="7"/>
      <c r="BB763" s="7"/>
      <c r="BC763" s="7"/>
      <c r="BD763" s="7"/>
      <c r="BE763" s="7"/>
      <c r="BF763" s="7"/>
      <c r="BG763" s="7"/>
      <c r="BH763" s="7"/>
      <c r="BI763" s="7"/>
      <c r="BJ763" s="7"/>
      <c r="BK763" s="7"/>
      <c r="BL763" s="7"/>
      <c r="BM763" s="7"/>
      <c r="BN763" s="7"/>
      <c r="BO763" s="7"/>
      <c r="BP763" s="7"/>
      <c r="BQ763" s="7"/>
      <c r="BR763" s="7"/>
      <c r="BS763" s="7"/>
      <c r="BT763" s="7"/>
      <c r="BU763" s="7"/>
      <c r="BV763" s="7">
        <v>3.7999999999999999E-2</v>
      </c>
      <c r="BW763" s="5">
        <v>44204</v>
      </c>
      <c r="BX763">
        <v>1</v>
      </c>
      <c r="BY763">
        <v>8</v>
      </c>
      <c r="BZ763">
        <v>2021</v>
      </c>
      <c r="CA763" s="5">
        <f t="shared" si="261"/>
        <v>44409</v>
      </c>
      <c r="CB763">
        <v>213</v>
      </c>
      <c r="CC763" s="7">
        <v>15</v>
      </c>
      <c r="CE763">
        <f t="shared" si="276"/>
        <v>0.3461405330564209</v>
      </c>
      <c r="CF763">
        <f t="shared" si="277"/>
        <v>1.4345696291112666</v>
      </c>
      <c r="CG763">
        <f t="shared" si="278"/>
        <v>1.4396067415730336E-2</v>
      </c>
      <c r="CH763">
        <f t="shared" si="279"/>
        <v>3.2039871840512641</v>
      </c>
      <c r="CI763">
        <f t="shared" si="280"/>
        <v>1.0463378176382658</v>
      </c>
      <c r="CJ763" s="1">
        <f t="shared" si="281"/>
        <v>1.483270093135564</v>
      </c>
      <c r="CK763" s="7" t="s">
        <v>142</v>
      </c>
      <c r="CL763" s="7">
        <v>3</v>
      </c>
      <c r="CM763" s="7"/>
      <c r="CN763" s="7"/>
      <c r="CO763" s="7"/>
      <c r="CP763" s="7"/>
    </row>
    <row r="764" spans="1:99" ht="32" x14ac:dyDescent="0.2">
      <c r="A764" s="7" t="s">
        <v>1426</v>
      </c>
      <c r="B764" s="7" t="s">
        <v>60</v>
      </c>
      <c r="C764" t="str">
        <f t="shared" si="257"/>
        <v>I</v>
      </c>
      <c r="D764" t="str">
        <f t="shared" si="258"/>
        <v>S</v>
      </c>
      <c r="E764" t="str">
        <f t="shared" si="259"/>
        <v>G</v>
      </c>
      <c r="F764" s="7">
        <v>79</v>
      </c>
      <c r="G764" s="7">
        <v>72</v>
      </c>
      <c r="H764" s="7">
        <v>8.3040000000000003</v>
      </c>
      <c r="I764" s="7">
        <v>0.16500000000000001</v>
      </c>
      <c r="J764" s="7">
        <v>1.6E-2</v>
      </c>
      <c r="K764" s="7" t="s">
        <v>1181</v>
      </c>
      <c r="L764" t="str">
        <f t="shared" si="260"/>
        <v>M</v>
      </c>
      <c r="M764" s="7">
        <v>40</v>
      </c>
      <c r="N764" s="7">
        <v>0.42</v>
      </c>
      <c r="O764" s="7">
        <v>0.30599999999999999</v>
      </c>
      <c r="P764" s="7" t="s">
        <v>1442</v>
      </c>
      <c r="Q764" t="str">
        <f t="shared" si="272"/>
        <v>F</v>
      </c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  <c r="AK764" s="7"/>
      <c r="AL764" s="7"/>
      <c r="AM764" s="7"/>
      <c r="AN764" s="7"/>
      <c r="AO764" s="7"/>
      <c r="AP764" s="7"/>
      <c r="AQ764" s="7"/>
      <c r="AR764" s="7"/>
      <c r="AS764" s="7"/>
      <c r="AT764" s="7"/>
      <c r="AU764" s="7"/>
      <c r="AV764" s="7">
        <v>17</v>
      </c>
      <c r="AW764" s="7">
        <v>6.6000000000000003E-2</v>
      </c>
      <c r="AX764" s="7"/>
      <c r="AY764" s="7"/>
      <c r="AZ764" s="7"/>
      <c r="BA764" s="7"/>
      <c r="BB764" s="7"/>
      <c r="BC764" s="7"/>
      <c r="BD764" s="7">
        <v>1</v>
      </c>
      <c r="BE764" s="7">
        <v>8.0000000000000002E-3</v>
      </c>
      <c r="BF764" s="7"/>
      <c r="BG764" s="7"/>
      <c r="BH764" s="7"/>
      <c r="BI764" s="7"/>
      <c r="BJ764" s="7"/>
      <c r="BK764" s="7"/>
      <c r="BL764" s="7"/>
      <c r="BM764" s="7"/>
      <c r="BN764" s="7"/>
      <c r="BO764" s="7"/>
      <c r="BP764" s="7"/>
      <c r="BQ764" s="7"/>
      <c r="BR764" s="7"/>
      <c r="BS764" s="7"/>
      <c r="BT764" s="7"/>
      <c r="BU764" s="7"/>
      <c r="BV764">
        <f>0.066+0.008</f>
        <v>7.400000000000001E-2</v>
      </c>
      <c r="BW764" s="5">
        <v>44204</v>
      </c>
      <c r="BX764">
        <v>1</v>
      </c>
      <c r="BY764">
        <v>8</v>
      </c>
      <c r="BZ764">
        <v>2021</v>
      </c>
      <c r="CA764" s="5">
        <f t="shared" si="261"/>
        <v>44409</v>
      </c>
      <c r="CB764">
        <v>213</v>
      </c>
      <c r="CC764" s="7">
        <v>15</v>
      </c>
      <c r="CE764">
        <f t="shared" si="276"/>
        <v>0.19305019305019305</v>
      </c>
      <c r="CF764">
        <f t="shared" si="277"/>
        <v>2.0272760781422776</v>
      </c>
      <c r="CG764">
        <f t="shared" si="278"/>
        <v>2.031269235504124E-2</v>
      </c>
      <c r="CH764">
        <f t="shared" si="279"/>
        <v>3.8259564891222806</v>
      </c>
      <c r="CI764">
        <f t="shared" si="280"/>
        <v>1.3728323699421963</v>
      </c>
      <c r="CJ764" s="1">
        <f t="shared" si="281"/>
        <v>2.2639691714836223</v>
      </c>
      <c r="CK764" s="7" t="s">
        <v>142</v>
      </c>
      <c r="CL764" s="7">
        <v>3</v>
      </c>
      <c r="CM764" s="7"/>
      <c r="CN764" s="7"/>
      <c r="CO764" s="7"/>
      <c r="CP764" s="7"/>
    </row>
  </sheetData>
  <sortState xmlns:xlrd2="http://schemas.microsoft.com/office/spreadsheetml/2017/richdata2" ref="A2:CQ764">
    <sortCondition ref="B2:B764"/>
    <sortCondition ref="CC2:CC764"/>
  </sortState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B7A9B-D555-4DB4-9B8F-C4E8A3258AC3}">
  <dimension ref="A3:E129"/>
  <sheetViews>
    <sheetView workbookViewId="0">
      <selection activeCell="D63" sqref="D63"/>
    </sheetView>
  </sheetViews>
  <sheetFormatPr baseColWidth="10" defaultColWidth="8.83203125" defaultRowHeight="16" x14ac:dyDescent="0.2"/>
  <cols>
    <col min="1" max="1" width="18.83203125" customWidth="1"/>
    <col min="2" max="2" width="11" bestFit="1" customWidth="1"/>
    <col min="3" max="3" width="15.33203125" bestFit="1" customWidth="1"/>
    <col min="4" max="4" width="14.1640625" bestFit="1" customWidth="1"/>
    <col min="5" max="5" width="15.33203125" bestFit="1" customWidth="1"/>
  </cols>
  <sheetData>
    <row r="3" spans="1:5" x14ac:dyDescent="0.2">
      <c r="A3" s="2" t="s">
        <v>574</v>
      </c>
      <c r="B3" t="s">
        <v>1467</v>
      </c>
      <c r="C3" t="s">
        <v>1547</v>
      </c>
      <c r="D3" t="s">
        <v>1548</v>
      </c>
      <c r="E3" t="s">
        <v>1549</v>
      </c>
    </row>
    <row r="4" spans="1:5" x14ac:dyDescent="0.2">
      <c r="A4" s="3" t="s">
        <v>1014</v>
      </c>
    </row>
    <row r="5" spans="1:5" x14ac:dyDescent="0.2">
      <c r="A5" s="4" t="s">
        <v>23</v>
      </c>
    </row>
    <row r="6" spans="1:5" x14ac:dyDescent="0.2">
      <c r="A6" s="8">
        <v>1</v>
      </c>
    </row>
    <row r="7" spans="1:5" x14ac:dyDescent="0.2">
      <c r="A7" s="4" t="s">
        <v>60</v>
      </c>
    </row>
    <row r="8" spans="1:5" x14ac:dyDescent="0.2">
      <c r="A8" s="8">
        <v>6</v>
      </c>
    </row>
    <row r="9" spans="1:5" x14ac:dyDescent="0.2">
      <c r="A9" s="3" t="s">
        <v>614</v>
      </c>
      <c r="B9">
        <v>365</v>
      </c>
      <c r="C9">
        <v>77</v>
      </c>
      <c r="D9">
        <v>60</v>
      </c>
      <c r="E9">
        <v>44</v>
      </c>
    </row>
    <row r="10" spans="1:5" x14ac:dyDescent="0.2">
      <c r="A10" s="4" t="s">
        <v>23</v>
      </c>
      <c r="B10">
        <v>19</v>
      </c>
    </row>
    <row r="11" spans="1:5" x14ac:dyDescent="0.2">
      <c r="A11" s="8">
        <v>1</v>
      </c>
      <c r="B11">
        <v>8</v>
      </c>
    </row>
    <row r="12" spans="1:5" x14ac:dyDescent="0.2">
      <c r="A12" s="8">
        <v>2</v>
      </c>
      <c r="B12">
        <v>11</v>
      </c>
    </row>
    <row r="13" spans="1:5" x14ac:dyDescent="0.2">
      <c r="A13" s="4" t="s">
        <v>46</v>
      </c>
      <c r="B13">
        <v>150</v>
      </c>
      <c r="C13">
        <v>32</v>
      </c>
      <c r="D13">
        <v>28</v>
      </c>
      <c r="E13">
        <v>33</v>
      </c>
    </row>
    <row r="14" spans="1:5" x14ac:dyDescent="0.2">
      <c r="A14" s="8">
        <v>1</v>
      </c>
      <c r="B14">
        <v>14</v>
      </c>
    </row>
    <row r="15" spans="1:5" x14ac:dyDescent="0.2">
      <c r="A15" s="8">
        <v>2</v>
      </c>
      <c r="B15">
        <v>11</v>
      </c>
      <c r="C15">
        <v>5</v>
      </c>
      <c r="D15">
        <v>4</v>
      </c>
      <c r="E15">
        <v>5</v>
      </c>
    </row>
    <row r="16" spans="1:5" x14ac:dyDescent="0.2">
      <c r="A16" s="8">
        <v>3</v>
      </c>
      <c r="B16">
        <v>7</v>
      </c>
    </row>
    <row r="17" spans="1:5" x14ac:dyDescent="0.2">
      <c r="A17" s="8">
        <v>4</v>
      </c>
      <c r="B17">
        <v>12</v>
      </c>
      <c r="C17">
        <v>5</v>
      </c>
      <c r="D17">
        <v>4</v>
      </c>
      <c r="E17">
        <v>5</v>
      </c>
    </row>
    <row r="18" spans="1:5" x14ac:dyDescent="0.2">
      <c r="A18" s="8">
        <v>5</v>
      </c>
      <c r="B18">
        <v>14</v>
      </c>
    </row>
    <row r="19" spans="1:5" x14ac:dyDescent="0.2">
      <c r="A19" s="8">
        <v>6</v>
      </c>
      <c r="B19">
        <v>16</v>
      </c>
      <c r="C19">
        <v>5</v>
      </c>
      <c r="D19">
        <v>4</v>
      </c>
      <c r="E19">
        <v>5</v>
      </c>
    </row>
    <row r="20" spans="1:5" x14ac:dyDescent="0.2">
      <c r="A20" s="8">
        <v>7</v>
      </c>
      <c r="B20">
        <v>10</v>
      </c>
    </row>
    <row r="21" spans="1:5" x14ac:dyDescent="0.2">
      <c r="A21" s="8">
        <v>8</v>
      </c>
      <c r="B21">
        <v>11</v>
      </c>
      <c r="C21">
        <v>5</v>
      </c>
      <c r="D21">
        <v>5</v>
      </c>
      <c r="E21">
        <v>5</v>
      </c>
    </row>
    <row r="22" spans="1:5" x14ac:dyDescent="0.2">
      <c r="A22" s="8">
        <v>9</v>
      </c>
      <c r="B22">
        <v>11</v>
      </c>
    </row>
    <row r="23" spans="1:5" x14ac:dyDescent="0.2">
      <c r="A23" s="8">
        <v>10</v>
      </c>
      <c r="B23">
        <v>14</v>
      </c>
      <c r="C23">
        <v>5</v>
      </c>
      <c r="D23">
        <v>4</v>
      </c>
      <c r="E23">
        <v>4</v>
      </c>
    </row>
    <row r="24" spans="1:5" x14ac:dyDescent="0.2">
      <c r="A24" s="8">
        <v>11</v>
      </c>
      <c r="B24">
        <v>10</v>
      </c>
    </row>
    <row r="25" spans="1:5" x14ac:dyDescent="0.2">
      <c r="A25" s="8">
        <v>12</v>
      </c>
      <c r="B25">
        <v>8</v>
      </c>
      <c r="C25">
        <v>3</v>
      </c>
      <c r="D25">
        <v>1</v>
      </c>
      <c r="E25">
        <v>3</v>
      </c>
    </row>
    <row r="26" spans="1:5" x14ac:dyDescent="0.2">
      <c r="A26" s="8">
        <v>13</v>
      </c>
      <c r="B26">
        <v>6</v>
      </c>
      <c r="C26">
        <v>4</v>
      </c>
      <c r="D26">
        <v>4</v>
      </c>
      <c r="E26">
        <v>3</v>
      </c>
    </row>
    <row r="27" spans="1:5" x14ac:dyDescent="0.2">
      <c r="A27" s="8">
        <v>15</v>
      </c>
      <c r="B27">
        <v>6</v>
      </c>
      <c r="D27">
        <v>2</v>
      </c>
      <c r="E27">
        <v>3</v>
      </c>
    </row>
    <row r="28" spans="1:5" x14ac:dyDescent="0.2">
      <c r="A28" s="4" t="s">
        <v>102</v>
      </c>
      <c r="B28">
        <v>53</v>
      </c>
    </row>
    <row r="29" spans="1:5" x14ac:dyDescent="0.2">
      <c r="A29" s="8">
        <v>1</v>
      </c>
      <c r="B29">
        <v>2</v>
      </c>
    </row>
    <row r="30" spans="1:5" x14ac:dyDescent="0.2">
      <c r="A30" s="8">
        <v>2</v>
      </c>
      <c r="B30">
        <v>3</v>
      </c>
    </row>
    <row r="31" spans="1:5" x14ac:dyDescent="0.2">
      <c r="A31" s="8">
        <v>3</v>
      </c>
      <c r="B31">
        <v>6</v>
      </c>
    </row>
    <row r="32" spans="1:5" x14ac:dyDescent="0.2">
      <c r="A32" s="8">
        <v>4</v>
      </c>
      <c r="B32">
        <v>11</v>
      </c>
    </row>
    <row r="33" spans="1:3" x14ac:dyDescent="0.2">
      <c r="A33" s="8">
        <v>5</v>
      </c>
      <c r="B33">
        <v>4</v>
      </c>
    </row>
    <row r="34" spans="1:3" x14ac:dyDescent="0.2">
      <c r="A34" s="8">
        <v>6</v>
      </c>
      <c r="B34">
        <v>7</v>
      </c>
    </row>
    <row r="35" spans="1:3" x14ac:dyDescent="0.2">
      <c r="A35" s="8">
        <v>7</v>
      </c>
      <c r="B35">
        <v>4</v>
      </c>
    </row>
    <row r="36" spans="1:3" x14ac:dyDescent="0.2">
      <c r="A36" s="8">
        <v>8</v>
      </c>
      <c r="B36">
        <v>2</v>
      </c>
    </row>
    <row r="37" spans="1:3" x14ac:dyDescent="0.2">
      <c r="A37" s="8">
        <v>10</v>
      </c>
      <c r="B37">
        <v>6</v>
      </c>
    </row>
    <row r="38" spans="1:3" x14ac:dyDescent="0.2">
      <c r="A38" s="8">
        <v>11</v>
      </c>
      <c r="B38">
        <v>3</v>
      </c>
    </row>
    <row r="39" spans="1:3" x14ac:dyDescent="0.2">
      <c r="A39" s="8">
        <v>12</v>
      </c>
      <c r="B39">
        <v>2</v>
      </c>
    </row>
    <row r="40" spans="1:3" x14ac:dyDescent="0.2">
      <c r="A40" s="8">
        <v>13</v>
      </c>
      <c r="B40">
        <v>3</v>
      </c>
    </row>
    <row r="41" spans="1:3" x14ac:dyDescent="0.2">
      <c r="A41" s="4" t="s">
        <v>112</v>
      </c>
      <c r="B41">
        <v>46</v>
      </c>
      <c r="C41">
        <v>12</v>
      </c>
    </row>
    <row r="42" spans="1:3" x14ac:dyDescent="0.2">
      <c r="A42" s="8">
        <v>1</v>
      </c>
      <c r="B42">
        <v>5</v>
      </c>
    </row>
    <row r="43" spans="1:3" x14ac:dyDescent="0.2">
      <c r="A43" s="8">
        <v>2</v>
      </c>
      <c r="B43">
        <v>8</v>
      </c>
      <c r="C43">
        <v>5</v>
      </c>
    </row>
    <row r="44" spans="1:3" x14ac:dyDescent="0.2">
      <c r="A44" s="8">
        <v>3</v>
      </c>
      <c r="B44">
        <v>5</v>
      </c>
      <c r="C44">
        <v>2</v>
      </c>
    </row>
    <row r="45" spans="1:3" x14ac:dyDescent="0.2">
      <c r="A45" s="8">
        <v>7</v>
      </c>
      <c r="B45">
        <v>7</v>
      </c>
      <c r="C45">
        <v>2</v>
      </c>
    </row>
    <row r="46" spans="1:3" x14ac:dyDescent="0.2">
      <c r="A46" s="8">
        <v>9</v>
      </c>
      <c r="B46">
        <v>4</v>
      </c>
      <c r="C46">
        <v>3</v>
      </c>
    </row>
    <row r="47" spans="1:3" x14ac:dyDescent="0.2">
      <c r="A47" s="8">
        <v>10</v>
      </c>
      <c r="B47">
        <v>8</v>
      </c>
    </row>
    <row r="48" spans="1:3" x14ac:dyDescent="0.2">
      <c r="A48" s="8">
        <v>12</v>
      </c>
      <c r="B48">
        <v>2</v>
      </c>
    </row>
    <row r="49" spans="1:5" x14ac:dyDescent="0.2">
      <c r="A49" s="8">
        <v>13</v>
      </c>
      <c r="B49">
        <v>1</v>
      </c>
    </row>
    <row r="50" spans="1:5" x14ac:dyDescent="0.2">
      <c r="A50" s="8">
        <v>14</v>
      </c>
      <c r="B50">
        <v>2</v>
      </c>
    </row>
    <row r="51" spans="1:5" x14ac:dyDescent="0.2">
      <c r="A51" s="8">
        <v>15</v>
      </c>
      <c r="B51">
        <v>4</v>
      </c>
    </row>
    <row r="52" spans="1:5" x14ac:dyDescent="0.2">
      <c r="A52" s="4" t="s">
        <v>60</v>
      </c>
      <c r="B52">
        <v>97</v>
      </c>
      <c r="C52">
        <v>33</v>
      </c>
      <c r="D52">
        <v>32</v>
      </c>
      <c r="E52">
        <v>11</v>
      </c>
    </row>
    <row r="53" spans="1:5" x14ac:dyDescent="0.2">
      <c r="A53" s="8">
        <v>1</v>
      </c>
      <c r="B53">
        <v>9</v>
      </c>
    </row>
    <row r="54" spans="1:5" x14ac:dyDescent="0.2">
      <c r="A54" s="8">
        <v>2</v>
      </c>
      <c r="B54">
        <v>6</v>
      </c>
      <c r="C54">
        <v>4</v>
      </c>
      <c r="D54">
        <v>4</v>
      </c>
      <c r="E54">
        <v>4</v>
      </c>
    </row>
    <row r="55" spans="1:5" x14ac:dyDescent="0.2">
      <c r="A55" s="8">
        <v>3</v>
      </c>
      <c r="B55">
        <v>5</v>
      </c>
    </row>
    <row r="56" spans="1:5" x14ac:dyDescent="0.2">
      <c r="A56" s="8">
        <v>4</v>
      </c>
      <c r="B56">
        <v>10</v>
      </c>
      <c r="C56">
        <v>5</v>
      </c>
      <c r="D56">
        <v>5</v>
      </c>
      <c r="E56">
        <v>2</v>
      </c>
    </row>
    <row r="57" spans="1:5" x14ac:dyDescent="0.2">
      <c r="A57" s="8">
        <v>5</v>
      </c>
      <c r="B57">
        <v>6</v>
      </c>
    </row>
    <row r="58" spans="1:5" x14ac:dyDescent="0.2">
      <c r="A58" s="8">
        <v>6</v>
      </c>
      <c r="B58">
        <v>10</v>
      </c>
      <c r="C58">
        <v>5</v>
      </c>
      <c r="D58">
        <v>5</v>
      </c>
      <c r="E58">
        <v>5</v>
      </c>
    </row>
    <row r="59" spans="1:5" x14ac:dyDescent="0.2">
      <c r="A59" s="8">
        <v>8</v>
      </c>
      <c r="B59">
        <v>8</v>
      </c>
      <c r="C59">
        <v>5</v>
      </c>
      <c r="D59">
        <v>5</v>
      </c>
    </row>
    <row r="60" spans="1:5" x14ac:dyDescent="0.2">
      <c r="A60" s="8">
        <v>9</v>
      </c>
      <c r="B60">
        <v>8</v>
      </c>
    </row>
    <row r="61" spans="1:5" x14ac:dyDescent="0.2">
      <c r="A61" s="8">
        <v>10</v>
      </c>
      <c r="B61">
        <v>8</v>
      </c>
      <c r="C61">
        <v>5</v>
      </c>
      <c r="D61">
        <v>4</v>
      </c>
    </row>
    <row r="62" spans="1:5" x14ac:dyDescent="0.2">
      <c r="A62" s="8">
        <v>11</v>
      </c>
      <c r="B62">
        <v>13</v>
      </c>
      <c r="D62">
        <v>5</v>
      </c>
    </row>
    <row r="63" spans="1:5" x14ac:dyDescent="0.2">
      <c r="A63" s="8">
        <v>12</v>
      </c>
      <c r="B63">
        <v>4</v>
      </c>
      <c r="C63">
        <v>1</v>
      </c>
      <c r="D63">
        <v>1</v>
      </c>
    </row>
    <row r="64" spans="1:5" x14ac:dyDescent="0.2">
      <c r="A64" s="8">
        <v>14</v>
      </c>
      <c r="B64">
        <v>7</v>
      </c>
      <c r="C64">
        <v>5</v>
      </c>
      <c r="D64">
        <v>3</v>
      </c>
    </row>
    <row r="65" spans="1:3" x14ac:dyDescent="0.2">
      <c r="A65" s="8">
        <v>15</v>
      </c>
      <c r="B65">
        <v>3</v>
      </c>
      <c r="C65">
        <v>3</v>
      </c>
    </row>
    <row r="66" spans="1:3" x14ac:dyDescent="0.2">
      <c r="A66" s="3" t="s">
        <v>612</v>
      </c>
      <c r="B66">
        <v>390</v>
      </c>
    </row>
    <row r="67" spans="1:3" x14ac:dyDescent="0.2">
      <c r="A67" s="4" t="s">
        <v>23</v>
      </c>
      <c r="B67">
        <v>12</v>
      </c>
    </row>
    <row r="68" spans="1:3" x14ac:dyDescent="0.2">
      <c r="A68" s="8">
        <v>1</v>
      </c>
      <c r="B68">
        <v>3</v>
      </c>
    </row>
    <row r="69" spans="1:3" x14ac:dyDescent="0.2">
      <c r="A69" s="8">
        <v>2</v>
      </c>
      <c r="B69">
        <v>7</v>
      </c>
    </row>
    <row r="70" spans="1:3" x14ac:dyDescent="0.2">
      <c r="A70" s="8">
        <v>3</v>
      </c>
      <c r="B70">
        <v>2</v>
      </c>
    </row>
    <row r="71" spans="1:3" x14ac:dyDescent="0.2">
      <c r="A71" s="4" t="s">
        <v>46</v>
      </c>
      <c r="B71">
        <v>133</v>
      </c>
    </row>
    <row r="72" spans="1:3" x14ac:dyDescent="0.2">
      <c r="A72" s="8">
        <v>1</v>
      </c>
      <c r="B72">
        <v>6</v>
      </c>
    </row>
    <row r="73" spans="1:3" x14ac:dyDescent="0.2">
      <c r="A73" s="8">
        <v>2</v>
      </c>
      <c r="B73">
        <v>6</v>
      </c>
    </row>
    <row r="74" spans="1:3" x14ac:dyDescent="0.2">
      <c r="A74" s="8">
        <v>3</v>
      </c>
      <c r="B74">
        <v>11</v>
      </c>
    </row>
    <row r="75" spans="1:3" x14ac:dyDescent="0.2">
      <c r="A75" s="8">
        <v>4</v>
      </c>
      <c r="B75">
        <v>13</v>
      </c>
    </row>
    <row r="76" spans="1:3" x14ac:dyDescent="0.2">
      <c r="A76" s="8">
        <v>5</v>
      </c>
      <c r="B76">
        <v>15</v>
      </c>
    </row>
    <row r="77" spans="1:3" x14ac:dyDescent="0.2">
      <c r="A77" s="8">
        <v>6</v>
      </c>
      <c r="B77">
        <v>10</v>
      </c>
    </row>
    <row r="78" spans="1:3" x14ac:dyDescent="0.2">
      <c r="A78" s="8">
        <v>7</v>
      </c>
      <c r="B78">
        <v>5</v>
      </c>
    </row>
    <row r="79" spans="1:3" x14ac:dyDescent="0.2">
      <c r="A79" s="8">
        <v>8</v>
      </c>
      <c r="B79">
        <v>16</v>
      </c>
    </row>
    <row r="80" spans="1:3" x14ac:dyDescent="0.2">
      <c r="A80" s="8">
        <v>9</v>
      </c>
      <c r="B80">
        <v>10</v>
      </c>
    </row>
    <row r="81" spans="1:2" x14ac:dyDescent="0.2">
      <c r="A81" s="8">
        <v>10</v>
      </c>
      <c r="B81">
        <v>9</v>
      </c>
    </row>
    <row r="82" spans="1:2" x14ac:dyDescent="0.2">
      <c r="A82" s="8">
        <v>11</v>
      </c>
      <c r="B82">
        <v>6</v>
      </c>
    </row>
    <row r="83" spans="1:2" x14ac:dyDescent="0.2">
      <c r="A83" s="8">
        <v>12</v>
      </c>
      <c r="B83">
        <v>12</v>
      </c>
    </row>
    <row r="84" spans="1:2" x14ac:dyDescent="0.2">
      <c r="A84" s="8">
        <v>13</v>
      </c>
      <c r="B84">
        <v>8</v>
      </c>
    </row>
    <row r="85" spans="1:2" x14ac:dyDescent="0.2">
      <c r="A85" s="8">
        <v>15</v>
      </c>
      <c r="B85">
        <v>6</v>
      </c>
    </row>
    <row r="86" spans="1:2" x14ac:dyDescent="0.2">
      <c r="A86" s="4" t="s">
        <v>102</v>
      </c>
      <c r="B86">
        <v>65</v>
      </c>
    </row>
    <row r="87" spans="1:2" x14ac:dyDescent="0.2">
      <c r="A87" s="8">
        <v>1</v>
      </c>
      <c r="B87">
        <v>8</v>
      </c>
    </row>
    <row r="88" spans="1:2" x14ac:dyDescent="0.2">
      <c r="A88" s="8">
        <v>2</v>
      </c>
      <c r="B88">
        <v>4</v>
      </c>
    </row>
    <row r="89" spans="1:2" x14ac:dyDescent="0.2">
      <c r="A89" s="8">
        <v>3</v>
      </c>
      <c r="B89">
        <v>13</v>
      </c>
    </row>
    <row r="90" spans="1:2" x14ac:dyDescent="0.2">
      <c r="A90" s="8">
        <v>4</v>
      </c>
      <c r="B90">
        <v>5</v>
      </c>
    </row>
    <row r="91" spans="1:2" x14ac:dyDescent="0.2">
      <c r="A91" s="8">
        <v>5</v>
      </c>
      <c r="B91">
        <v>8</v>
      </c>
    </row>
    <row r="92" spans="1:2" x14ac:dyDescent="0.2">
      <c r="A92" s="8">
        <v>6</v>
      </c>
      <c r="B92">
        <v>2</v>
      </c>
    </row>
    <row r="93" spans="1:2" x14ac:dyDescent="0.2">
      <c r="A93" s="8">
        <v>7</v>
      </c>
      <c r="B93">
        <v>5</v>
      </c>
    </row>
    <row r="94" spans="1:2" x14ac:dyDescent="0.2">
      <c r="A94" s="8">
        <v>8</v>
      </c>
      <c r="B94">
        <v>6</v>
      </c>
    </row>
    <row r="95" spans="1:2" x14ac:dyDescent="0.2">
      <c r="A95" s="8">
        <v>10</v>
      </c>
      <c r="B95">
        <v>3</v>
      </c>
    </row>
    <row r="96" spans="1:2" x14ac:dyDescent="0.2">
      <c r="A96" s="8">
        <v>11</v>
      </c>
      <c r="B96">
        <v>3</v>
      </c>
    </row>
    <row r="97" spans="1:2" x14ac:dyDescent="0.2">
      <c r="A97" s="8">
        <v>12</v>
      </c>
      <c r="B97">
        <v>7</v>
      </c>
    </row>
    <row r="98" spans="1:2" x14ac:dyDescent="0.2">
      <c r="A98" s="8">
        <v>13</v>
      </c>
      <c r="B98">
        <v>1</v>
      </c>
    </row>
    <row r="99" spans="1:2" x14ac:dyDescent="0.2">
      <c r="A99" s="4" t="s">
        <v>112</v>
      </c>
      <c r="B99">
        <v>54</v>
      </c>
    </row>
    <row r="100" spans="1:2" x14ac:dyDescent="0.2">
      <c r="A100" s="8">
        <v>1</v>
      </c>
      <c r="B100">
        <v>11</v>
      </c>
    </row>
    <row r="101" spans="1:2" x14ac:dyDescent="0.2">
      <c r="A101" s="8">
        <v>2</v>
      </c>
      <c r="B101">
        <v>10</v>
      </c>
    </row>
    <row r="102" spans="1:2" x14ac:dyDescent="0.2">
      <c r="A102" s="8">
        <v>3</v>
      </c>
      <c r="B102">
        <v>7</v>
      </c>
    </row>
    <row r="103" spans="1:2" x14ac:dyDescent="0.2">
      <c r="A103" s="8">
        <v>7</v>
      </c>
      <c r="B103">
        <v>3</v>
      </c>
    </row>
    <row r="104" spans="1:2" x14ac:dyDescent="0.2">
      <c r="A104" s="8">
        <v>9</v>
      </c>
      <c r="B104">
        <v>3</v>
      </c>
    </row>
    <row r="105" spans="1:2" x14ac:dyDescent="0.2">
      <c r="A105" s="8">
        <v>10</v>
      </c>
      <c r="B105">
        <v>5</v>
      </c>
    </row>
    <row r="106" spans="1:2" x14ac:dyDescent="0.2">
      <c r="A106" s="8">
        <v>11</v>
      </c>
      <c r="B106">
        <v>3</v>
      </c>
    </row>
    <row r="107" spans="1:2" x14ac:dyDescent="0.2">
      <c r="A107" s="8">
        <v>12</v>
      </c>
      <c r="B107">
        <v>1</v>
      </c>
    </row>
    <row r="108" spans="1:2" x14ac:dyDescent="0.2">
      <c r="A108" s="8">
        <v>13</v>
      </c>
      <c r="B108">
        <v>3</v>
      </c>
    </row>
    <row r="109" spans="1:2" x14ac:dyDescent="0.2">
      <c r="A109" s="8">
        <v>14</v>
      </c>
      <c r="B109">
        <v>1</v>
      </c>
    </row>
    <row r="110" spans="1:2" x14ac:dyDescent="0.2">
      <c r="A110" s="8">
        <v>15</v>
      </c>
      <c r="B110">
        <v>7</v>
      </c>
    </row>
    <row r="111" spans="1:2" x14ac:dyDescent="0.2">
      <c r="A111" s="4" t="s">
        <v>60</v>
      </c>
      <c r="B111">
        <v>126</v>
      </c>
    </row>
    <row r="112" spans="1:2" x14ac:dyDescent="0.2">
      <c r="A112" s="8">
        <v>1</v>
      </c>
      <c r="B112">
        <v>8</v>
      </c>
    </row>
    <row r="113" spans="1:2" x14ac:dyDescent="0.2">
      <c r="A113" s="8">
        <v>2</v>
      </c>
      <c r="B113">
        <v>12</v>
      </c>
    </row>
    <row r="114" spans="1:2" x14ac:dyDescent="0.2">
      <c r="A114" s="8">
        <v>3</v>
      </c>
      <c r="B114">
        <v>9</v>
      </c>
    </row>
    <row r="115" spans="1:2" x14ac:dyDescent="0.2">
      <c r="A115" s="8">
        <v>4</v>
      </c>
      <c r="B115">
        <v>11</v>
      </c>
    </row>
    <row r="116" spans="1:2" x14ac:dyDescent="0.2">
      <c r="A116" s="8">
        <v>5</v>
      </c>
      <c r="B116">
        <v>11</v>
      </c>
    </row>
    <row r="117" spans="1:2" x14ac:dyDescent="0.2">
      <c r="A117" s="8">
        <v>6</v>
      </c>
      <c r="B117">
        <v>16</v>
      </c>
    </row>
    <row r="118" spans="1:2" x14ac:dyDescent="0.2">
      <c r="A118" s="8">
        <v>8</v>
      </c>
      <c r="B118">
        <v>7</v>
      </c>
    </row>
    <row r="119" spans="1:2" x14ac:dyDescent="0.2">
      <c r="A119" s="8">
        <v>9</v>
      </c>
      <c r="B119">
        <v>9</v>
      </c>
    </row>
    <row r="120" spans="1:2" x14ac:dyDescent="0.2">
      <c r="A120" s="8">
        <v>10</v>
      </c>
      <c r="B120">
        <v>9</v>
      </c>
    </row>
    <row r="121" spans="1:2" x14ac:dyDescent="0.2">
      <c r="A121" s="8">
        <v>11</v>
      </c>
      <c r="B121">
        <v>3</v>
      </c>
    </row>
    <row r="122" spans="1:2" x14ac:dyDescent="0.2">
      <c r="A122" s="8">
        <v>12</v>
      </c>
      <c r="B122">
        <v>8</v>
      </c>
    </row>
    <row r="123" spans="1:2" x14ac:dyDescent="0.2">
      <c r="A123" s="8">
        <v>13</v>
      </c>
      <c r="B123">
        <v>12</v>
      </c>
    </row>
    <row r="124" spans="1:2" x14ac:dyDescent="0.2">
      <c r="A124" s="8">
        <v>14</v>
      </c>
      <c r="B124">
        <v>2</v>
      </c>
    </row>
    <row r="125" spans="1:2" x14ac:dyDescent="0.2">
      <c r="A125" s="8">
        <v>15</v>
      </c>
      <c r="B125">
        <v>9</v>
      </c>
    </row>
    <row r="126" spans="1:2" x14ac:dyDescent="0.2">
      <c r="A126" s="3" t="s">
        <v>584</v>
      </c>
    </row>
    <row r="127" spans="1:2" x14ac:dyDescent="0.2">
      <c r="A127" s="4" t="s">
        <v>584</v>
      </c>
    </row>
    <row r="128" spans="1:2" x14ac:dyDescent="0.2">
      <c r="A128" s="8" t="s">
        <v>584</v>
      </c>
    </row>
    <row r="129" spans="1:5" x14ac:dyDescent="0.2">
      <c r="A129" s="3" t="s">
        <v>585</v>
      </c>
      <c r="B129">
        <v>755</v>
      </c>
      <c r="C129">
        <v>77</v>
      </c>
      <c r="D129">
        <v>60</v>
      </c>
      <c r="E129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A51AC-B8D2-47C2-A928-5BDA42AE908A}">
  <dimension ref="A3:B984"/>
  <sheetViews>
    <sheetView topLeftCell="A326" workbookViewId="0">
      <selection activeCell="B344" sqref="B344"/>
    </sheetView>
  </sheetViews>
  <sheetFormatPr baseColWidth="10" defaultColWidth="8.83203125" defaultRowHeight="16" x14ac:dyDescent="0.2"/>
  <cols>
    <col min="1" max="1" width="20.33203125" bestFit="1" customWidth="1"/>
    <col min="2" max="2" width="12.83203125" bestFit="1" customWidth="1"/>
  </cols>
  <sheetData>
    <row r="3" spans="1:2" x14ac:dyDescent="0.2">
      <c r="A3" s="2" t="s">
        <v>574</v>
      </c>
      <c r="B3" t="s">
        <v>1552</v>
      </c>
    </row>
    <row r="4" spans="1:2" x14ac:dyDescent="0.2">
      <c r="A4" s="3" t="s">
        <v>1014</v>
      </c>
    </row>
    <row r="5" spans="1:2" x14ac:dyDescent="0.2">
      <c r="A5" s="4" t="s">
        <v>23</v>
      </c>
    </row>
    <row r="6" spans="1:2" x14ac:dyDescent="0.2">
      <c r="A6" s="8" t="s">
        <v>1550</v>
      </c>
    </row>
    <row r="7" spans="1:2" x14ac:dyDescent="0.2">
      <c r="A7" s="15">
        <v>1</v>
      </c>
    </row>
    <row r="8" spans="1:2" x14ac:dyDescent="0.2">
      <c r="A8" s="16" t="s">
        <v>33</v>
      </c>
    </row>
    <row r="9" spans="1:2" x14ac:dyDescent="0.2">
      <c r="A9" s="4" t="s">
        <v>60</v>
      </c>
    </row>
    <row r="10" spans="1:2" x14ac:dyDescent="0.2">
      <c r="A10" s="8" t="s">
        <v>1551</v>
      </c>
    </row>
    <row r="11" spans="1:2" x14ac:dyDescent="0.2">
      <c r="A11" s="15">
        <v>6</v>
      </c>
    </row>
    <row r="12" spans="1:2" x14ac:dyDescent="0.2">
      <c r="A12" s="16" t="s">
        <v>750</v>
      </c>
    </row>
    <row r="13" spans="1:2" x14ac:dyDescent="0.2">
      <c r="A13" s="3" t="s">
        <v>614</v>
      </c>
      <c r="B13">
        <v>5.6195999999999993</v>
      </c>
    </row>
    <row r="14" spans="1:2" x14ac:dyDescent="0.2">
      <c r="A14" s="4" t="s">
        <v>23</v>
      </c>
    </row>
    <row r="15" spans="1:2" x14ac:dyDescent="0.2">
      <c r="A15" s="8" t="s">
        <v>1550</v>
      </c>
    </row>
    <row r="16" spans="1:2" x14ac:dyDescent="0.2">
      <c r="A16" s="15">
        <v>1</v>
      </c>
    </row>
    <row r="17" spans="1:1" x14ac:dyDescent="0.2">
      <c r="A17" s="16" t="s">
        <v>22</v>
      </c>
    </row>
    <row r="18" spans="1:1" x14ac:dyDescent="0.2">
      <c r="A18" s="16" t="s">
        <v>83</v>
      </c>
    </row>
    <row r="19" spans="1:1" x14ac:dyDescent="0.2">
      <c r="A19" s="16" t="s">
        <v>86</v>
      </c>
    </row>
    <row r="20" spans="1:1" x14ac:dyDescent="0.2">
      <c r="A20" s="16" t="s">
        <v>28</v>
      </c>
    </row>
    <row r="21" spans="1:1" x14ac:dyDescent="0.2">
      <c r="A21" s="16" t="s">
        <v>31</v>
      </c>
    </row>
    <row r="22" spans="1:1" x14ac:dyDescent="0.2">
      <c r="A22" s="16" t="s">
        <v>35</v>
      </c>
    </row>
    <row r="23" spans="1:1" x14ac:dyDescent="0.2">
      <c r="A23" s="16" t="s">
        <v>42</v>
      </c>
    </row>
    <row r="24" spans="1:1" x14ac:dyDescent="0.2">
      <c r="A24" s="16" t="s">
        <v>43</v>
      </c>
    </row>
    <row r="25" spans="1:1" x14ac:dyDescent="0.2">
      <c r="A25" s="15">
        <v>2</v>
      </c>
    </row>
    <row r="26" spans="1:1" x14ac:dyDescent="0.2">
      <c r="A26" s="16" t="s">
        <v>193</v>
      </c>
    </row>
    <row r="27" spans="1:1" x14ac:dyDescent="0.2">
      <c r="A27" s="16" t="s">
        <v>195</v>
      </c>
    </row>
    <row r="28" spans="1:1" x14ac:dyDescent="0.2">
      <c r="A28" s="16" t="s">
        <v>199</v>
      </c>
    </row>
    <row r="29" spans="1:1" x14ac:dyDescent="0.2">
      <c r="A29" s="16" t="s">
        <v>201</v>
      </c>
    </row>
    <row r="30" spans="1:1" x14ac:dyDescent="0.2">
      <c r="A30" s="16" t="s">
        <v>204</v>
      </c>
    </row>
    <row r="31" spans="1:1" x14ac:dyDescent="0.2">
      <c r="A31" s="16" t="s">
        <v>205</v>
      </c>
    </row>
    <row r="32" spans="1:1" x14ac:dyDescent="0.2">
      <c r="A32" s="16" t="s">
        <v>207</v>
      </c>
    </row>
    <row r="33" spans="1:2" x14ac:dyDescent="0.2">
      <c r="A33" s="8" t="s">
        <v>1551</v>
      </c>
    </row>
    <row r="34" spans="1:2" x14ac:dyDescent="0.2">
      <c r="A34" s="15">
        <v>2</v>
      </c>
    </row>
    <row r="35" spans="1:2" x14ac:dyDescent="0.2">
      <c r="A35" s="16" t="s">
        <v>194</v>
      </c>
    </row>
    <row r="36" spans="1:2" x14ac:dyDescent="0.2">
      <c r="A36" s="16" t="s">
        <v>197</v>
      </c>
    </row>
    <row r="37" spans="1:2" x14ac:dyDescent="0.2">
      <c r="A37" s="16" t="s">
        <v>206</v>
      </c>
    </row>
    <row r="38" spans="1:2" x14ac:dyDescent="0.2">
      <c r="A38" s="16" t="s">
        <v>208</v>
      </c>
    </row>
    <row r="39" spans="1:2" x14ac:dyDescent="0.2">
      <c r="A39" s="4" t="s">
        <v>46</v>
      </c>
      <c r="B39">
        <v>1.3466999999999998</v>
      </c>
    </row>
    <row r="40" spans="1:2" x14ac:dyDescent="0.2">
      <c r="A40" s="8" t="s">
        <v>1550</v>
      </c>
      <c r="B40">
        <v>1.3466999999999998</v>
      </c>
    </row>
    <row r="41" spans="1:2" x14ac:dyDescent="0.2">
      <c r="A41" s="15">
        <v>1</v>
      </c>
    </row>
    <row r="42" spans="1:2" x14ac:dyDescent="0.2">
      <c r="A42" s="16" t="s">
        <v>45</v>
      </c>
    </row>
    <row r="43" spans="1:2" x14ac:dyDescent="0.2">
      <c r="A43" s="16" t="s">
        <v>57</v>
      </c>
    </row>
    <row r="44" spans="1:2" x14ac:dyDescent="0.2">
      <c r="A44" s="16" t="s">
        <v>96</v>
      </c>
    </row>
    <row r="45" spans="1:2" x14ac:dyDescent="0.2">
      <c r="A45" s="16" t="s">
        <v>98</v>
      </c>
    </row>
    <row r="46" spans="1:2" x14ac:dyDescent="0.2">
      <c r="A46" s="16" t="s">
        <v>100</v>
      </c>
    </row>
    <row r="47" spans="1:2" x14ac:dyDescent="0.2">
      <c r="A47" s="16" t="s">
        <v>48</v>
      </c>
    </row>
    <row r="48" spans="1:2" x14ac:dyDescent="0.2">
      <c r="A48" s="16" t="s">
        <v>50</v>
      </c>
    </row>
    <row r="49" spans="1:2" x14ac:dyDescent="0.2">
      <c r="A49" s="16" t="s">
        <v>54</v>
      </c>
    </row>
    <row r="50" spans="1:2" x14ac:dyDescent="0.2">
      <c r="A50" s="16" t="s">
        <v>55</v>
      </c>
    </row>
    <row r="51" spans="1:2" x14ac:dyDescent="0.2">
      <c r="A51" s="16" t="s">
        <v>56</v>
      </c>
    </row>
    <row r="52" spans="1:2" x14ac:dyDescent="0.2">
      <c r="A52" s="15">
        <v>2</v>
      </c>
      <c r="B52">
        <v>0.1071</v>
      </c>
    </row>
    <row r="53" spans="1:2" x14ac:dyDescent="0.2">
      <c r="A53" s="16" t="s">
        <v>169</v>
      </c>
      <c r="B53">
        <v>1.7500000000000002E-2</v>
      </c>
    </row>
    <row r="54" spans="1:2" x14ac:dyDescent="0.2">
      <c r="A54" s="16" t="s">
        <v>170</v>
      </c>
    </row>
    <row r="55" spans="1:2" x14ac:dyDescent="0.2">
      <c r="A55" s="16" t="s">
        <v>171</v>
      </c>
    </row>
    <row r="56" spans="1:2" x14ac:dyDescent="0.2">
      <c r="A56" s="16" t="s">
        <v>174</v>
      </c>
    </row>
    <row r="57" spans="1:2" x14ac:dyDescent="0.2">
      <c r="A57" s="16" t="s">
        <v>175</v>
      </c>
    </row>
    <row r="58" spans="1:2" x14ac:dyDescent="0.2">
      <c r="A58" s="16" t="s">
        <v>176</v>
      </c>
      <c r="B58">
        <v>2.4500000000000001E-2</v>
      </c>
    </row>
    <row r="59" spans="1:2" x14ac:dyDescent="0.2">
      <c r="A59" s="16" t="s">
        <v>178</v>
      </c>
      <c r="B59">
        <v>1.1999999999999999E-3</v>
      </c>
    </row>
    <row r="60" spans="1:2" x14ac:dyDescent="0.2">
      <c r="A60" s="16" t="s">
        <v>179</v>
      </c>
      <c r="B60">
        <v>4.6399999999999997E-2</v>
      </c>
    </row>
    <row r="61" spans="1:2" x14ac:dyDescent="0.2">
      <c r="A61" s="16" t="s">
        <v>180</v>
      </c>
    </row>
    <row r="62" spans="1:2" x14ac:dyDescent="0.2">
      <c r="A62" s="16" t="s">
        <v>183</v>
      </c>
      <c r="B62">
        <v>1.7500000000000002E-2</v>
      </c>
    </row>
    <row r="63" spans="1:2" x14ac:dyDescent="0.2">
      <c r="A63" s="15">
        <v>3</v>
      </c>
      <c r="B63">
        <v>9.8400000000000001E-2</v>
      </c>
    </row>
    <row r="64" spans="1:2" x14ac:dyDescent="0.2">
      <c r="A64" s="16" t="s">
        <v>258</v>
      </c>
      <c r="B64">
        <v>5.67E-2</v>
      </c>
    </row>
    <row r="65" spans="1:2" x14ac:dyDescent="0.2">
      <c r="A65" s="16" t="s">
        <v>262</v>
      </c>
      <c r="B65">
        <v>5.5999999999999999E-3</v>
      </c>
    </row>
    <row r="66" spans="1:2" x14ac:dyDescent="0.2">
      <c r="A66" s="16" t="s">
        <v>265</v>
      </c>
      <c r="B66">
        <v>1.72E-2</v>
      </c>
    </row>
    <row r="67" spans="1:2" x14ac:dyDescent="0.2">
      <c r="A67" s="16" t="s">
        <v>266</v>
      </c>
      <c r="B67">
        <v>1.0200000000000001E-2</v>
      </c>
    </row>
    <row r="68" spans="1:2" x14ac:dyDescent="0.2">
      <c r="A68" s="16" t="s">
        <v>291</v>
      </c>
      <c r="B68">
        <v>8.6999999999999994E-3</v>
      </c>
    </row>
    <row r="69" spans="1:2" x14ac:dyDescent="0.2">
      <c r="A69" s="15">
        <v>4</v>
      </c>
      <c r="B69">
        <v>0.13600000000000001</v>
      </c>
    </row>
    <row r="70" spans="1:2" x14ac:dyDescent="0.2">
      <c r="A70" s="16" t="s">
        <v>382</v>
      </c>
      <c r="B70">
        <v>2.9700000000000001E-2</v>
      </c>
    </row>
    <row r="71" spans="1:2" x14ac:dyDescent="0.2">
      <c r="A71" s="16" t="s">
        <v>384</v>
      </c>
      <c r="B71">
        <v>0.05</v>
      </c>
    </row>
    <row r="72" spans="1:2" x14ac:dyDescent="0.2">
      <c r="A72" s="16" t="s">
        <v>392</v>
      </c>
      <c r="B72">
        <v>2.6499999999999999E-2</v>
      </c>
    </row>
    <row r="73" spans="1:2" x14ac:dyDescent="0.2">
      <c r="A73" s="16" t="s">
        <v>403</v>
      </c>
      <c r="B73">
        <v>0.02</v>
      </c>
    </row>
    <row r="74" spans="1:2" x14ac:dyDescent="0.2">
      <c r="A74" s="16" t="s">
        <v>405</v>
      </c>
      <c r="B74">
        <v>9.7999999999999997E-3</v>
      </c>
    </row>
    <row r="75" spans="1:2" x14ac:dyDescent="0.2">
      <c r="A75" s="15">
        <v>5</v>
      </c>
      <c r="B75">
        <v>9.8999999999999977E-2</v>
      </c>
    </row>
    <row r="76" spans="1:2" x14ac:dyDescent="0.2">
      <c r="A76" s="16" t="s">
        <v>516</v>
      </c>
    </row>
    <row r="77" spans="1:2" x14ac:dyDescent="0.2">
      <c r="A77" s="16" t="s">
        <v>519</v>
      </c>
      <c r="B77">
        <v>2.3E-2</v>
      </c>
    </row>
    <row r="78" spans="1:2" x14ac:dyDescent="0.2">
      <c r="A78" s="16" t="s">
        <v>520</v>
      </c>
    </row>
    <row r="79" spans="1:2" x14ac:dyDescent="0.2">
      <c r="A79" s="16" t="s">
        <v>522</v>
      </c>
      <c r="B79">
        <v>2.0899999999999998E-2</v>
      </c>
    </row>
    <row r="80" spans="1:2" x14ac:dyDescent="0.2">
      <c r="A80" s="16" t="s">
        <v>495</v>
      </c>
    </row>
    <row r="81" spans="1:2" x14ac:dyDescent="0.2">
      <c r="A81" s="16" t="s">
        <v>500</v>
      </c>
    </row>
    <row r="82" spans="1:2" x14ac:dyDescent="0.2">
      <c r="A82" s="16" t="s">
        <v>503</v>
      </c>
      <c r="B82">
        <v>4.3400000000000001E-2</v>
      </c>
    </row>
    <row r="83" spans="1:2" x14ac:dyDescent="0.2">
      <c r="A83" s="16" t="s">
        <v>509</v>
      </c>
      <c r="B83">
        <v>1.09E-2</v>
      </c>
    </row>
    <row r="84" spans="1:2" x14ac:dyDescent="0.2">
      <c r="A84" s="16" t="s">
        <v>512</v>
      </c>
      <c r="B84">
        <v>8.0000000000000004E-4</v>
      </c>
    </row>
    <row r="85" spans="1:2" x14ac:dyDescent="0.2">
      <c r="A85" s="15">
        <v>6</v>
      </c>
      <c r="B85">
        <v>9.6799999999999997E-2</v>
      </c>
    </row>
    <row r="86" spans="1:2" x14ac:dyDescent="0.2">
      <c r="A86" s="16" t="s">
        <v>664</v>
      </c>
    </row>
    <row r="87" spans="1:2" x14ac:dyDescent="0.2">
      <c r="A87" s="16" t="s">
        <v>667</v>
      </c>
    </row>
    <row r="88" spans="1:2" x14ac:dyDescent="0.2">
      <c r="A88" s="16" t="s">
        <v>670</v>
      </c>
      <c r="B88">
        <v>5.4699999999999999E-2</v>
      </c>
    </row>
    <row r="89" spans="1:2" x14ac:dyDescent="0.2">
      <c r="A89" s="16" t="s">
        <v>671</v>
      </c>
    </row>
    <row r="90" spans="1:2" x14ac:dyDescent="0.2">
      <c r="A90" s="16" t="s">
        <v>672</v>
      </c>
    </row>
    <row r="91" spans="1:2" x14ac:dyDescent="0.2">
      <c r="A91" s="16" t="s">
        <v>674</v>
      </c>
      <c r="B91">
        <v>1.4500000000000001E-2</v>
      </c>
    </row>
    <row r="92" spans="1:2" x14ac:dyDescent="0.2">
      <c r="A92" s="16" t="s">
        <v>677</v>
      </c>
    </row>
    <row r="93" spans="1:2" x14ac:dyDescent="0.2">
      <c r="A93" s="16" t="s">
        <v>678</v>
      </c>
    </row>
    <row r="94" spans="1:2" x14ac:dyDescent="0.2">
      <c r="A94" s="16" t="s">
        <v>679</v>
      </c>
      <c r="B94">
        <v>8.0999999999999996E-3</v>
      </c>
    </row>
    <row r="95" spans="1:2" x14ac:dyDescent="0.2">
      <c r="A95" s="16" t="s">
        <v>680</v>
      </c>
      <c r="B95">
        <v>1.8200000000000001E-2</v>
      </c>
    </row>
    <row r="96" spans="1:2" x14ac:dyDescent="0.2">
      <c r="A96" s="16" t="s">
        <v>701</v>
      </c>
      <c r="B96">
        <v>1.2999999999999999E-3</v>
      </c>
    </row>
    <row r="97" spans="1:2" x14ac:dyDescent="0.2">
      <c r="A97" s="16" t="s">
        <v>703</v>
      </c>
    </row>
    <row r="98" spans="1:2" x14ac:dyDescent="0.2">
      <c r="A98" s="15">
        <v>7</v>
      </c>
      <c r="B98">
        <v>0.12729999999999997</v>
      </c>
    </row>
    <row r="99" spans="1:2" x14ac:dyDescent="0.2">
      <c r="A99" s="16" t="s">
        <v>775</v>
      </c>
      <c r="B99">
        <v>2.75E-2</v>
      </c>
    </row>
    <row r="100" spans="1:2" x14ac:dyDescent="0.2">
      <c r="A100" s="16" t="s">
        <v>779</v>
      </c>
      <c r="B100">
        <v>6.2799999999999995E-2</v>
      </c>
    </row>
    <row r="101" spans="1:2" x14ac:dyDescent="0.2">
      <c r="A101" s="16" t="s">
        <v>780</v>
      </c>
    </row>
    <row r="102" spans="1:2" x14ac:dyDescent="0.2">
      <c r="A102" s="16" t="s">
        <v>781</v>
      </c>
    </row>
    <row r="103" spans="1:2" x14ac:dyDescent="0.2">
      <c r="A103" s="16" t="s">
        <v>782</v>
      </c>
      <c r="B103">
        <v>1.09E-2</v>
      </c>
    </row>
    <row r="104" spans="1:2" x14ac:dyDescent="0.2">
      <c r="A104" s="16" t="s">
        <v>796</v>
      </c>
      <c r="B104">
        <v>1.11E-2</v>
      </c>
    </row>
    <row r="105" spans="1:2" x14ac:dyDescent="0.2">
      <c r="A105" s="16" t="s">
        <v>797</v>
      </c>
      <c r="B105">
        <v>1.4999999999999999E-2</v>
      </c>
    </row>
    <row r="106" spans="1:2" x14ac:dyDescent="0.2">
      <c r="A106" s="16" t="s">
        <v>798</v>
      </c>
    </row>
    <row r="107" spans="1:2" x14ac:dyDescent="0.2">
      <c r="A107" s="16" t="s">
        <v>799</v>
      </c>
    </row>
    <row r="108" spans="1:2" x14ac:dyDescent="0.2">
      <c r="A108" s="15">
        <v>8</v>
      </c>
      <c r="B108">
        <v>0.28650000000000003</v>
      </c>
    </row>
    <row r="109" spans="1:2" x14ac:dyDescent="0.2">
      <c r="A109" s="16" t="s">
        <v>861</v>
      </c>
      <c r="B109">
        <v>5.6000000000000001E-2</v>
      </c>
    </row>
    <row r="110" spans="1:2" x14ac:dyDescent="0.2">
      <c r="A110" s="16" t="s">
        <v>893</v>
      </c>
      <c r="B110">
        <v>7.2400000000000006E-2</v>
      </c>
    </row>
    <row r="111" spans="1:2" x14ac:dyDescent="0.2">
      <c r="A111" s="16" t="s">
        <v>895</v>
      </c>
      <c r="B111">
        <v>3.3500000000000002E-2</v>
      </c>
    </row>
    <row r="112" spans="1:2" x14ac:dyDescent="0.2">
      <c r="A112" s="16" t="s">
        <v>905</v>
      </c>
      <c r="B112">
        <v>3.5799999999999998E-2</v>
      </c>
    </row>
    <row r="113" spans="1:2" x14ac:dyDescent="0.2">
      <c r="A113" s="16" t="s">
        <v>906</v>
      </c>
      <c r="B113">
        <v>8.8800000000000004E-2</v>
      </c>
    </row>
    <row r="114" spans="1:2" x14ac:dyDescent="0.2">
      <c r="A114" s="15">
        <v>9</v>
      </c>
      <c r="B114">
        <v>0.19400000000000001</v>
      </c>
    </row>
    <row r="115" spans="1:2" x14ac:dyDescent="0.2">
      <c r="A115" s="16" t="s">
        <v>932</v>
      </c>
      <c r="B115">
        <v>2.0799999999999999E-2</v>
      </c>
    </row>
    <row r="116" spans="1:2" x14ac:dyDescent="0.2">
      <c r="A116" s="16" t="s">
        <v>933</v>
      </c>
    </row>
    <row r="117" spans="1:2" x14ac:dyDescent="0.2">
      <c r="A117" s="16" t="s">
        <v>934</v>
      </c>
      <c r="B117">
        <v>0.1033</v>
      </c>
    </row>
    <row r="118" spans="1:2" x14ac:dyDescent="0.2">
      <c r="A118" s="16" t="s">
        <v>935</v>
      </c>
      <c r="B118">
        <v>3.5099999999999999E-2</v>
      </c>
    </row>
    <row r="119" spans="1:2" x14ac:dyDescent="0.2">
      <c r="A119" s="16" t="s">
        <v>936</v>
      </c>
    </row>
    <row r="120" spans="1:2" x14ac:dyDescent="0.2">
      <c r="A120" s="16" t="s">
        <v>950</v>
      </c>
      <c r="B120">
        <v>2.0799999999999999E-2</v>
      </c>
    </row>
    <row r="121" spans="1:2" x14ac:dyDescent="0.2">
      <c r="A121" s="16" t="s">
        <v>957</v>
      </c>
      <c r="B121">
        <v>1.4E-2</v>
      </c>
    </row>
    <row r="122" spans="1:2" x14ac:dyDescent="0.2">
      <c r="A122" s="15">
        <v>10</v>
      </c>
      <c r="B122">
        <v>5.7000000000000002E-2</v>
      </c>
    </row>
    <row r="123" spans="1:2" x14ac:dyDescent="0.2">
      <c r="A123" s="16" t="s">
        <v>1031</v>
      </c>
      <c r="B123">
        <v>1.1299999999999999E-2</v>
      </c>
    </row>
    <row r="124" spans="1:2" x14ac:dyDescent="0.2">
      <c r="A124" s="16" t="s">
        <v>1032</v>
      </c>
    </row>
    <row r="125" spans="1:2" x14ac:dyDescent="0.2">
      <c r="A125" s="16" t="s">
        <v>1033</v>
      </c>
    </row>
    <row r="126" spans="1:2" x14ac:dyDescent="0.2">
      <c r="A126" s="16" t="s">
        <v>1034</v>
      </c>
      <c r="B126">
        <v>1.46E-2</v>
      </c>
    </row>
    <row r="127" spans="1:2" x14ac:dyDescent="0.2">
      <c r="A127" s="16" t="s">
        <v>1038</v>
      </c>
    </row>
    <row r="128" spans="1:2" x14ac:dyDescent="0.2">
      <c r="A128" s="16" t="s">
        <v>1040</v>
      </c>
    </row>
    <row r="129" spans="1:2" x14ac:dyDescent="0.2">
      <c r="A129" s="16" t="s">
        <v>1054</v>
      </c>
    </row>
    <row r="130" spans="1:2" x14ac:dyDescent="0.2">
      <c r="A130" s="16" t="s">
        <v>1060</v>
      </c>
    </row>
    <row r="131" spans="1:2" x14ac:dyDescent="0.2">
      <c r="A131" s="16" t="s">
        <v>1061</v>
      </c>
      <c r="B131">
        <v>8.6E-3</v>
      </c>
    </row>
    <row r="132" spans="1:2" x14ac:dyDescent="0.2">
      <c r="A132" s="16" t="s">
        <v>1062</v>
      </c>
      <c r="B132">
        <v>1.6500000000000001E-2</v>
      </c>
    </row>
    <row r="133" spans="1:2" x14ac:dyDescent="0.2">
      <c r="A133" s="16" t="s">
        <v>1063</v>
      </c>
      <c r="B133">
        <v>6.0000000000000001E-3</v>
      </c>
    </row>
    <row r="134" spans="1:2" x14ac:dyDescent="0.2">
      <c r="A134" s="15">
        <v>11</v>
      </c>
      <c r="B134">
        <v>5.4100000000000002E-2</v>
      </c>
    </row>
    <row r="135" spans="1:2" x14ac:dyDescent="0.2">
      <c r="A135" s="16" t="s">
        <v>1157</v>
      </c>
      <c r="B135">
        <v>1.4500000000000001E-2</v>
      </c>
    </row>
    <row r="136" spans="1:2" x14ac:dyDescent="0.2">
      <c r="A136" s="16" t="s">
        <v>1159</v>
      </c>
    </row>
    <row r="137" spans="1:2" x14ac:dyDescent="0.2">
      <c r="A137" s="16" t="s">
        <v>1160</v>
      </c>
      <c r="B137">
        <v>2.3599999999999999E-2</v>
      </c>
    </row>
    <row r="138" spans="1:2" x14ac:dyDescent="0.2">
      <c r="A138" s="16" t="s">
        <v>1161</v>
      </c>
      <c r="B138">
        <v>8.9999999999999998E-4</v>
      </c>
    </row>
    <row r="139" spans="1:2" x14ac:dyDescent="0.2">
      <c r="A139" s="16" t="s">
        <v>1164</v>
      </c>
    </row>
    <row r="140" spans="1:2" x14ac:dyDescent="0.2">
      <c r="A140" s="16" t="s">
        <v>1168</v>
      </c>
      <c r="B140">
        <v>1.26E-2</v>
      </c>
    </row>
    <row r="141" spans="1:2" x14ac:dyDescent="0.2">
      <c r="A141" s="16" t="s">
        <v>1169</v>
      </c>
    </row>
    <row r="142" spans="1:2" x14ac:dyDescent="0.2">
      <c r="A142" s="16" t="s">
        <v>1170</v>
      </c>
      <c r="B142">
        <v>2.5000000000000001E-3</v>
      </c>
    </row>
    <row r="143" spans="1:2" x14ac:dyDescent="0.2">
      <c r="A143" s="15">
        <v>12</v>
      </c>
      <c r="B143">
        <v>1.7999999999999999E-2</v>
      </c>
    </row>
    <row r="144" spans="1:2" x14ac:dyDescent="0.2">
      <c r="A144" s="16" t="s">
        <v>1239</v>
      </c>
      <c r="B144">
        <v>4.0000000000000002E-4</v>
      </c>
    </row>
    <row r="145" spans="1:2" x14ac:dyDescent="0.2">
      <c r="A145" s="16" t="s">
        <v>1244</v>
      </c>
      <c r="B145">
        <v>7.1999999999999998E-3</v>
      </c>
    </row>
    <row r="146" spans="1:2" x14ac:dyDescent="0.2">
      <c r="A146" s="16" t="s">
        <v>1246</v>
      </c>
      <c r="B146">
        <v>1.04E-2</v>
      </c>
    </row>
    <row r="147" spans="1:2" x14ac:dyDescent="0.2">
      <c r="A147" s="15">
        <v>13</v>
      </c>
      <c r="B147">
        <v>3.78E-2</v>
      </c>
    </row>
    <row r="148" spans="1:2" x14ac:dyDescent="0.2">
      <c r="A148" s="16" t="s">
        <v>1310</v>
      </c>
      <c r="B148">
        <v>7.9000000000000008E-3</v>
      </c>
    </row>
    <row r="149" spans="1:2" x14ac:dyDescent="0.2">
      <c r="A149" s="16" t="s">
        <v>1311</v>
      </c>
      <c r="B149">
        <v>1.2E-2</v>
      </c>
    </row>
    <row r="150" spans="1:2" x14ac:dyDescent="0.2">
      <c r="A150" s="16" t="s">
        <v>1314</v>
      </c>
      <c r="B150">
        <v>9.7999999999999997E-3</v>
      </c>
    </row>
    <row r="151" spans="1:2" x14ac:dyDescent="0.2">
      <c r="A151" s="16" t="s">
        <v>1316</v>
      </c>
      <c r="B151">
        <v>8.0999999999999996E-3</v>
      </c>
    </row>
    <row r="152" spans="1:2" x14ac:dyDescent="0.2">
      <c r="A152" s="15">
        <v>15</v>
      </c>
      <c r="B152">
        <v>3.4699999999999995E-2</v>
      </c>
    </row>
    <row r="153" spans="1:2" x14ac:dyDescent="0.2">
      <c r="A153" s="16" t="s">
        <v>1445</v>
      </c>
      <c r="B153">
        <v>1.2999999999999999E-3</v>
      </c>
    </row>
    <row r="154" spans="1:2" x14ac:dyDescent="0.2">
      <c r="A154" s="16" t="s">
        <v>1447</v>
      </c>
      <c r="B154">
        <v>8.0000000000000002E-3</v>
      </c>
    </row>
    <row r="155" spans="1:2" x14ac:dyDescent="0.2">
      <c r="A155" s="16" t="s">
        <v>1452</v>
      </c>
      <c r="B155">
        <v>2.5399999999999999E-2</v>
      </c>
    </row>
    <row r="156" spans="1:2" x14ac:dyDescent="0.2">
      <c r="A156" s="8" t="s">
        <v>1551</v>
      </c>
    </row>
    <row r="157" spans="1:2" x14ac:dyDescent="0.2">
      <c r="A157" s="15">
        <v>1</v>
      </c>
    </row>
    <row r="158" spans="1:2" x14ac:dyDescent="0.2">
      <c r="A158" s="16" t="s">
        <v>87</v>
      </c>
    </row>
    <row r="159" spans="1:2" x14ac:dyDescent="0.2">
      <c r="A159" s="16" t="s">
        <v>89</v>
      </c>
    </row>
    <row r="160" spans="1:2" x14ac:dyDescent="0.2">
      <c r="A160" s="16" t="s">
        <v>92</v>
      </c>
    </row>
    <row r="161" spans="1:1" x14ac:dyDescent="0.2">
      <c r="A161" s="16" t="s">
        <v>95</v>
      </c>
    </row>
    <row r="162" spans="1:1" x14ac:dyDescent="0.2">
      <c r="A162" s="15">
        <v>2</v>
      </c>
    </row>
    <row r="163" spans="1:1" x14ac:dyDescent="0.2">
      <c r="A163" s="16" t="s">
        <v>172</v>
      </c>
    </row>
    <row r="164" spans="1:1" x14ac:dyDescent="0.2">
      <c r="A164" s="15">
        <v>3</v>
      </c>
    </row>
    <row r="165" spans="1:1" x14ac:dyDescent="0.2">
      <c r="A165" s="16" t="s">
        <v>270</v>
      </c>
    </row>
    <row r="166" spans="1:1" x14ac:dyDescent="0.2">
      <c r="A166" s="16" t="s">
        <v>296</v>
      </c>
    </row>
    <row r="167" spans="1:1" x14ac:dyDescent="0.2">
      <c r="A167" s="15">
        <v>4</v>
      </c>
    </row>
    <row r="168" spans="1:1" x14ac:dyDescent="0.2">
      <c r="A168" s="16" t="s">
        <v>398</v>
      </c>
    </row>
    <row r="169" spans="1:1" x14ac:dyDescent="0.2">
      <c r="A169" s="16" t="s">
        <v>399</v>
      </c>
    </row>
    <row r="170" spans="1:1" x14ac:dyDescent="0.2">
      <c r="A170" s="16" t="s">
        <v>401</v>
      </c>
    </row>
    <row r="171" spans="1:1" x14ac:dyDescent="0.2">
      <c r="A171" s="16" t="s">
        <v>407</v>
      </c>
    </row>
    <row r="172" spans="1:1" x14ac:dyDescent="0.2">
      <c r="A172" s="16" t="s">
        <v>409</v>
      </c>
    </row>
    <row r="173" spans="1:1" x14ac:dyDescent="0.2">
      <c r="A173" s="16" t="s">
        <v>412</v>
      </c>
    </row>
    <row r="174" spans="1:1" x14ac:dyDescent="0.2">
      <c r="A174" s="16" t="s">
        <v>415</v>
      </c>
    </row>
    <row r="175" spans="1:1" x14ac:dyDescent="0.2">
      <c r="A175" s="15">
        <v>5</v>
      </c>
    </row>
    <row r="176" spans="1:1" x14ac:dyDescent="0.2">
      <c r="A176" s="16" t="s">
        <v>526</v>
      </c>
    </row>
    <row r="177" spans="1:1" x14ac:dyDescent="0.2">
      <c r="A177" s="16" t="s">
        <v>527</v>
      </c>
    </row>
    <row r="178" spans="1:1" x14ac:dyDescent="0.2">
      <c r="A178" s="16" t="s">
        <v>528</v>
      </c>
    </row>
    <row r="179" spans="1:1" x14ac:dyDescent="0.2">
      <c r="A179" s="16" t="s">
        <v>530</v>
      </c>
    </row>
    <row r="180" spans="1:1" x14ac:dyDescent="0.2">
      <c r="A180" s="16" t="s">
        <v>502</v>
      </c>
    </row>
    <row r="181" spans="1:1" x14ac:dyDescent="0.2">
      <c r="A181" s="15">
        <v>6</v>
      </c>
    </row>
    <row r="182" spans="1:1" x14ac:dyDescent="0.2">
      <c r="A182" s="16" t="s">
        <v>662</v>
      </c>
    </row>
    <row r="183" spans="1:1" x14ac:dyDescent="0.2">
      <c r="A183" s="16" t="s">
        <v>665</v>
      </c>
    </row>
    <row r="184" spans="1:1" x14ac:dyDescent="0.2">
      <c r="A184" s="16" t="s">
        <v>704</v>
      </c>
    </row>
    <row r="185" spans="1:1" x14ac:dyDescent="0.2">
      <c r="A185" s="16" t="s">
        <v>706</v>
      </c>
    </row>
    <row r="186" spans="1:1" x14ac:dyDescent="0.2">
      <c r="A186" s="15">
        <v>7</v>
      </c>
    </row>
    <row r="187" spans="1:1" x14ac:dyDescent="0.2">
      <c r="A187" s="16" t="s">
        <v>773</v>
      </c>
    </row>
    <row r="188" spans="1:1" x14ac:dyDescent="0.2">
      <c r="A188" s="15">
        <v>8</v>
      </c>
    </row>
    <row r="189" spans="1:1" x14ac:dyDescent="0.2">
      <c r="A189" s="16" t="s">
        <v>854</v>
      </c>
    </row>
    <row r="190" spans="1:1" x14ac:dyDescent="0.2">
      <c r="A190" s="16" t="s">
        <v>855</v>
      </c>
    </row>
    <row r="191" spans="1:1" x14ac:dyDescent="0.2">
      <c r="A191" s="16" t="s">
        <v>856</v>
      </c>
    </row>
    <row r="192" spans="1:1" x14ac:dyDescent="0.2">
      <c r="A192" s="16" t="s">
        <v>903</v>
      </c>
    </row>
    <row r="193" spans="1:1" x14ac:dyDescent="0.2">
      <c r="A193" s="16" t="s">
        <v>904</v>
      </c>
    </row>
    <row r="194" spans="1:1" x14ac:dyDescent="0.2">
      <c r="A194" s="16" t="s">
        <v>908</v>
      </c>
    </row>
    <row r="195" spans="1:1" x14ac:dyDescent="0.2">
      <c r="A195" s="15">
        <v>9</v>
      </c>
    </row>
    <row r="196" spans="1:1" x14ac:dyDescent="0.2">
      <c r="A196" s="16" t="s">
        <v>937</v>
      </c>
    </row>
    <row r="197" spans="1:1" x14ac:dyDescent="0.2">
      <c r="A197" s="16" t="s">
        <v>952</v>
      </c>
    </row>
    <row r="198" spans="1:1" x14ac:dyDescent="0.2">
      <c r="A198" s="16" t="s">
        <v>959</v>
      </c>
    </row>
    <row r="199" spans="1:1" x14ac:dyDescent="0.2">
      <c r="A199" s="16" t="s">
        <v>960</v>
      </c>
    </row>
    <row r="200" spans="1:1" x14ac:dyDescent="0.2">
      <c r="A200" s="15">
        <v>10</v>
      </c>
    </row>
    <row r="201" spans="1:1" x14ac:dyDescent="0.2">
      <c r="A201" s="16" t="s">
        <v>1039</v>
      </c>
    </row>
    <row r="202" spans="1:1" x14ac:dyDescent="0.2">
      <c r="A202" s="16" t="s">
        <v>1056</v>
      </c>
    </row>
    <row r="203" spans="1:1" x14ac:dyDescent="0.2">
      <c r="A203" s="16" t="s">
        <v>1057</v>
      </c>
    </row>
    <row r="204" spans="1:1" x14ac:dyDescent="0.2">
      <c r="A204" s="15">
        <v>11</v>
      </c>
    </row>
    <row r="205" spans="1:1" x14ac:dyDescent="0.2">
      <c r="A205" s="16" t="s">
        <v>1155</v>
      </c>
    </row>
    <row r="206" spans="1:1" x14ac:dyDescent="0.2">
      <c r="A206" s="16" t="s">
        <v>1158</v>
      </c>
    </row>
    <row r="207" spans="1:1" x14ac:dyDescent="0.2">
      <c r="A207" s="15">
        <v>12</v>
      </c>
    </row>
    <row r="208" spans="1:1" x14ac:dyDescent="0.2">
      <c r="A208" s="16" t="s">
        <v>1218</v>
      </c>
    </row>
    <row r="209" spans="1:1" x14ac:dyDescent="0.2">
      <c r="A209" s="16" t="s">
        <v>1219</v>
      </c>
    </row>
    <row r="210" spans="1:1" x14ac:dyDescent="0.2">
      <c r="A210" s="16" t="s">
        <v>1221</v>
      </c>
    </row>
    <row r="211" spans="1:1" x14ac:dyDescent="0.2">
      <c r="A211" s="16" t="s">
        <v>1223</v>
      </c>
    </row>
    <row r="212" spans="1:1" x14ac:dyDescent="0.2">
      <c r="A212" s="16" t="s">
        <v>1245</v>
      </c>
    </row>
    <row r="213" spans="1:1" x14ac:dyDescent="0.2">
      <c r="A213" s="15">
        <v>13</v>
      </c>
    </row>
    <row r="214" spans="1:1" x14ac:dyDescent="0.2">
      <c r="A214" s="16" t="s">
        <v>1308</v>
      </c>
    </row>
    <row r="215" spans="1:1" x14ac:dyDescent="0.2">
      <c r="A215" s="16" t="s">
        <v>1309</v>
      </c>
    </row>
    <row r="216" spans="1:1" x14ac:dyDescent="0.2">
      <c r="A216" s="15">
        <v>15</v>
      </c>
    </row>
    <row r="217" spans="1:1" x14ac:dyDescent="0.2">
      <c r="A217" s="16" t="s">
        <v>1446</v>
      </c>
    </row>
    <row r="218" spans="1:1" x14ac:dyDescent="0.2">
      <c r="A218" s="16" t="s">
        <v>1449</v>
      </c>
    </row>
    <row r="219" spans="1:1" x14ac:dyDescent="0.2">
      <c r="A219" s="16" t="s">
        <v>1453</v>
      </c>
    </row>
    <row r="220" spans="1:1" x14ac:dyDescent="0.2">
      <c r="A220" s="4" t="s">
        <v>102</v>
      </c>
    </row>
    <row r="221" spans="1:1" x14ac:dyDescent="0.2">
      <c r="A221" s="8" t="s">
        <v>1550</v>
      </c>
    </row>
    <row r="222" spans="1:1" x14ac:dyDescent="0.2">
      <c r="A222" s="15">
        <v>2</v>
      </c>
    </row>
    <row r="223" spans="1:1" x14ac:dyDescent="0.2">
      <c r="A223" s="16" t="s">
        <v>240</v>
      </c>
    </row>
    <row r="224" spans="1:1" x14ac:dyDescent="0.2">
      <c r="A224" s="15">
        <v>3</v>
      </c>
    </row>
    <row r="225" spans="1:1" x14ac:dyDescent="0.2">
      <c r="A225" s="16" t="s">
        <v>350</v>
      </c>
    </row>
    <row r="226" spans="1:1" x14ac:dyDescent="0.2">
      <c r="A226" s="16" t="s">
        <v>354</v>
      </c>
    </row>
    <row r="227" spans="1:1" x14ac:dyDescent="0.2">
      <c r="A227" s="15">
        <v>4</v>
      </c>
    </row>
    <row r="228" spans="1:1" x14ac:dyDescent="0.2">
      <c r="A228" s="16" t="s">
        <v>465</v>
      </c>
    </row>
    <row r="229" spans="1:1" x14ac:dyDescent="0.2">
      <c r="A229" s="16" t="s">
        <v>467</v>
      </c>
    </row>
    <row r="230" spans="1:1" x14ac:dyDescent="0.2">
      <c r="A230" s="16" t="s">
        <v>469</v>
      </c>
    </row>
    <row r="231" spans="1:1" x14ac:dyDescent="0.2">
      <c r="A231" s="16" t="s">
        <v>471</v>
      </c>
    </row>
    <row r="232" spans="1:1" x14ac:dyDescent="0.2">
      <c r="A232" s="16" t="s">
        <v>473</v>
      </c>
    </row>
    <row r="233" spans="1:1" x14ac:dyDescent="0.2">
      <c r="A233" s="16" t="s">
        <v>476</v>
      </c>
    </row>
    <row r="234" spans="1:1" x14ac:dyDescent="0.2">
      <c r="A234" s="16" t="s">
        <v>482</v>
      </c>
    </row>
    <row r="235" spans="1:1" x14ac:dyDescent="0.2">
      <c r="A235" s="16" t="s">
        <v>484</v>
      </c>
    </row>
    <row r="236" spans="1:1" x14ac:dyDescent="0.2">
      <c r="A236" s="15">
        <v>5</v>
      </c>
    </row>
    <row r="237" spans="1:1" x14ac:dyDescent="0.2">
      <c r="A237" s="16" t="s">
        <v>559</v>
      </c>
    </row>
    <row r="238" spans="1:1" x14ac:dyDescent="0.2">
      <c r="A238" s="16" t="s">
        <v>566</v>
      </c>
    </row>
    <row r="239" spans="1:1" x14ac:dyDescent="0.2">
      <c r="A239" s="15">
        <v>6</v>
      </c>
    </row>
    <row r="240" spans="1:1" x14ac:dyDescent="0.2">
      <c r="A240" s="16" t="s">
        <v>751</v>
      </c>
    </row>
    <row r="241" spans="1:1" x14ac:dyDescent="0.2">
      <c r="A241" s="16" t="s">
        <v>753</v>
      </c>
    </row>
    <row r="242" spans="1:1" x14ac:dyDescent="0.2">
      <c r="A242" s="16" t="s">
        <v>754</v>
      </c>
    </row>
    <row r="243" spans="1:1" x14ac:dyDescent="0.2">
      <c r="A243" s="16" t="s">
        <v>755</v>
      </c>
    </row>
    <row r="244" spans="1:1" x14ac:dyDescent="0.2">
      <c r="A244" s="16" t="s">
        <v>756</v>
      </c>
    </row>
    <row r="245" spans="1:1" x14ac:dyDescent="0.2">
      <c r="A245" s="15">
        <v>7</v>
      </c>
    </row>
    <row r="246" spans="1:1" x14ac:dyDescent="0.2">
      <c r="A246" s="16" t="s">
        <v>812</v>
      </c>
    </row>
    <row r="247" spans="1:1" x14ac:dyDescent="0.2">
      <c r="A247" s="16" t="s">
        <v>813</v>
      </c>
    </row>
    <row r="248" spans="1:1" x14ac:dyDescent="0.2">
      <c r="A248" s="16" t="s">
        <v>814</v>
      </c>
    </row>
    <row r="249" spans="1:1" x14ac:dyDescent="0.2">
      <c r="A249" s="16" t="s">
        <v>815</v>
      </c>
    </row>
    <row r="250" spans="1:1" x14ac:dyDescent="0.2">
      <c r="A250" s="15">
        <v>11</v>
      </c>
    </row>
    <row r="251" spans="1:1" x14ac:dyDescent="0.2">
      <c r="A251" s="16" t="s">
        <v>1172</v>
      </c>
    </row>
    <row r="252" spans="1:1" x14ac:dyDescent="0.2">
      <c r="A252" s="16" t="s">
        <v>1176</v>
      </c>
    </row>
    <row r="253" spans="1:1" x14ac:dyDescent="0.2">
      <c r="A253" s="15">
        <v>12</v>
      </c>
    </row>
    <row r="254" spans="1:1" x14ac:dyDescent="0.2">
      <c r="A254" s="16" t="s">
        <v>1290</v>
      </c>
    </row>
    <row r="255" spans="1:1" x14ac:dyDescent="0.2">
      <c r="A255" s="15">
        <v>13</v>
      </c>
    </row>
    <row r="256" spans="1:1" x14ac:dyDescent="0.2">
      <c r="A256" s="16" t="s">
        <v>1336</v>
      </c>
    </row>
    <row r="257" spans="1:1" x14ac:dyDescent="0.2">
      <c r="A257" s="8" t="s">
        <v>1551</v>
      </c>
    </row>
    <row r="258" spans="1:1" x14ac:dyDescent="0.2">
      <c r="A258" s="15">
        <v>1</v>
      </c>
    </row>
    <row r="259" spans="1:1" x14ac:dyDescent="0.2">
      <c r="A259" s="16" t="s">
        <v>108</v>
      </c>
    </row>
    <row r="260" spans="1:1" x14ac:dyDescent="0.2">
      <c r="A260" s="16" t="s">
        <v>130</v>
      </c>
    </row>
    <row r="261" spans="1:1" x14ac:dyDescent="0.2">
      <c r="A261" s="15">
        <v>2</v>
      </c>
    </row>
    <row r="262" spans="1:1" x14ac:dyDescent="0.2">
      <c r="A262" s="16" t="s">
        <v>244</v>
      </c>
    </row>
    <row r="263" spans="1:1" x14ac:dyDescent="0.2">
      <c r="A263" s="16" t="s">
        <v>251</v>
      </c>
    </row>
    <row r="264" spans="1:1" x14ac:dyDescent="0.2">
      <c r="A264" s="15">
        <v>3</v>
      </c>
    </row>
    <row r="265" spans="1:1" x14ac:dyDescent="0.2">
      <c r="A265" s="16" t="s">
        <v>344</v>
      </c>
    </row>
    <row r="266" spans="1:1" x14ac:dyDescent="0.2">
      <c r="A266" s="16" t="s">
        <v>364</v>
      </c>
    </row>
    <row r="267" spans="1:1" x14ac:dyDescent="0.2">
      <c r="A267" s="16" t="s">
        <v>378</v>
      </c>
    </row>
    <row r="268" spans="1:1" x14ac:dyDescent="0.2">
      <c r="A268" s="16" t="s">
        <v>380</v>
      </c>
    </row>
    <row r="269" spans="1:1" x14ac:dyDescent="0.2">
      <c r="A269" s="15">
        <v>4</v>
      </c>
    </row>
    <row r="270" spans="1:1" x14ac:dyDescent="0.2">
      <c r="A270" s="16" t="s">
        <v>464</v>
      </c>
    </row>
    <row r="271" spans="1:1" x14ac:dyDescent="0.2">
      <c r="A271" s="16" t="s">
        <v>478</v>
      </c>
    </row>
    <row r="272" spans="1:1" x14ac:dyDescent="0.2">
      <c r="A272" s="16" t="s">
        <v>486</v>
      </c>
    </row>
    <row r="273" spans="1:1" x14ac:dyDescent="0.2">
      <c r="A273" s="15">
        <v>5</v>
      </c>
    </row>
    <row r="274" spans="1:1" x14ac:dyDescent="0.2">
      <c r="A274" s="16" t="s">
        <v>560</v>
      </c>
    </row>
    <row r="275" spans="1:1" x14ac:dyDescent="0.2">
      <c r="A275" s="16" t="s">
        <v>572</v>
      </c>
    </row>
    <row r="276" spans="1:1" x14ac:dyDescent="0.2">
      <c r="A276" s="15">
        <v>6</v>
      </c>
    </row>
    <row r="277" spans="1:1" x14ac:dyDescent="0.2">
      <c r="A277" s="16" t="s">
        <v>757</v>
      </c>
    </row>
    <row r="278" spans="1:1" x14ac:dyDescent="0.2">
      <c r="A278" s="16" t="s">
        <v>759</v>
      </c>
    </row>
    <row r="279" spans="1:1" x14ac:dyDescent="0.2">
      <c r="A279" s="15">
        <v>8</v>
      </c>
    </row>
    <row r="280" spans="1:1" x14ac:dyDescent="0.2">
      <c r="A280" s="16" t="s">
        <v>890</v>
      </c>
    </row>
    <row r="281" spans="1:1" x14ac:dyDescent="0.2">
      <c r="A281" s="16" t="s">
        <v>891</v>
      </c>
    </row>
    <row r="282" spans="1:1" x14ac:dyDescent="0.2">
      <c r="A282" s="15">
        <v>10</v>
      </c>
    </row>
    <row r="283" spans="1:1" x14ac:dyDescent="0.2">
      <c r="A283" s="16" t="s">
        <v>1128</v>
      </c>
    </row>
    <row r="284" spans="1:1" x14ac:dyDescent="0.2">
      <c r="A284" s="16" t="s">
        <v>1111</v>
      </c>
    </row>
    <row r="285" spans="1:1" x14ac:dyDescent="0.2">
      <c r="A285" s="16" t="s">
        <v>1112</v>
      </c>
    </row>
    <row r="286" spans="1:1" x14ac:dyDescent="0.2">
      <c r="A286" s="16" t="s">
        <v>1114</v>
      </c>
    </row>
    <row r="287" spans="1:1" x14ac:dyDescent="0.2">
      <c r="A287" s="16" t="s">
        <v>1125</v>
      </c>
    </row>
    <row r="288" spans="1:1" x14ac:dyDescent="0.2">
      <c r="A288" s="16" t="s">
        <v>1126</v>
      </c>
    </row>
    <row r="289" spans="1:2" x14ac:dyDescent="0.2">
      <c r="A289" s="15">
        <v>11</v>
      </c>
    </row>
    <row r="290" spans="1:2" x14ac:dyDescent="0.2">
      <c r="A290" s="16" t="s">
        <v>1171</v>
      </c>
    </row>
    <row r="291" spans="1:2" x14ac:dyDescent="0.2">
      <c r="A291" s="15">
        <v>12</v>
      </c>
    </row>
    <row r="292" spans="1:2" x14ac:dyDescent="0.2">
      <c r="A292" s="16" t="s">
        <v>1272</v>
      </c>
    </row>
    <row r="293" spans="1:2" x14ac:dyDescent="0.2">
      <c r="A293" s="15">
        <v>13</v>
      </c>
    </row>
    <row r="294" spans="1:2" x14ac:dyDescent="0.2">
      <c r="A294" s="16" t="s">
        <v>1333</v>
      </c>
    </row>
    <row r="295" spans="1:2" x14ac:dyDescent="0.2">
      <c r="A295" s="16" t="s">
        <v>1335</v>
      </c>
    </row>
    <row r="296" spans="1:2" x14ac:dyDescent="0.2">
      <c r="A296" s="4" t="s">
        <v>112</v>
      </c>
      <c r="B296">
        <v>3.3976999999999995</v>
      </c>
    </row>
    <row r="297" spans="1:2" x14ac:dyDescent="0.2">
      <c r="A297" s="8" t="s">
        <v>1550</v>
      </c>
      <c r="B297">
        <v>3.3976999999999995</v>
      </c>
    </row>
    <row r="298" spans="1:2" x14ac:dyDescent="0.2">
      <c r="A298" s="15">
        <v>1</v>
      </c>
    </row>
    <row r="299" spans="1:2" x14ac:dyDescent="0.2">
      <c r="A299" s="16" t="s">
        <v>124</v>
      </c>
    </row>
    <row r="300" spans="1:2" x14ac:dyDescent="0.2">
      <c r="A300" s="16" t="s">
        <v>126</v>
      </c>
    </row>
    <row r="301" spans="1:2" x14ac:dyDescent="0.2">
      <c r="A301" s="16" t="s">
        <v>127</v>
      </c>
    </row>
    <row r="302" spans="1:2" x14ac:dyDescent="0.2">
      <c r="A302" s="16" t="s">
        <v>115</v>
      </c>
    </row>
    <row r="303" spans="1:2" x14ac:dyDescent="0.2">
      <c r="A303" s="16" t="s">
        <v>117</v>
      </c>
    </row>
    <row r="304" spans="1:2" x14ac:dyDescent="0.2">
      <c r="A304" s="15">
        <v>2</v>
      </c>
      <c r="B304">
        <v>4.2199999999999765E-2</v>
      </c>
    </row>
    <row r="305" spans="1:2" x14ac:dyDescent="0.2">
      <c r="A305" s="16" t="s">
        <v>221</v>
      </c>
      <c r="B305">
        <v>5.4999999999998384E-3</v>
      </c>
    </row>
    <row r="306" spans="1:2" x14ac:dyDescent="0.2">
      <c r="A306" s="16" t="s">
        <v>222</v>
      </c>
      <c r="B306">
        <v>2.6999999999999247E-3</v>
      </c>
    </row>
    <row r="307" spans="1:2" x14ac:dyDescent="0.2">
      <c r="A307" s="16" t="s">
        <v>229</v>
      </c>
      <c r="B307">
        <v>8.9999999999999993E-3</v>
      </c>
    </row>
    <row r="308" spans="1:2" x14ac:dyDescent="0.2">
      <c r="A308" s="16" t="s">
        <v>232</v>
      </c>
      <c r="B308">
        <v>1.0800000000000001E-2</v>
      </c>
    </row>
    <row r="309" spans="1:2" x14ac:dyDescent="0.2">
      <c r="A309" s="16" t="s">
        <v>236</v>
      </c>
      <c r="B309">
        <v>1.4200000000000001E-2</v>
      </c>
    </row>
    <row r="310" spans="1:2" x14ac:dyDescent="0.2">
      <c r="A310" s="15">
        <v>3</v>
      </c>
      <c r="B310">
        <v>2.3600000000000003E-2</v>
      </c>
    </row>
    <row r="311" spans="1:2" x14ac:dyDescent="0.2">
      <c r="A311" s="16" t="s">
        <v>325</v>
      </c>
      <c r="B311">
        <v>7.1999999999999998E-3</v>
      </c>
    </row>
    <row r="312" spans="1:2" x14ac:dyDescent="0.2">
      <c r="A312" s="16" t="s">
        <v>329</v>
      </c>
      <c r="B312">
        <v>1.6400000000000001E-2</v>
      </c>
    </row>
    <row r="313" spans="1:2" x14ac:dyDescent="0.2">
      <c r="A313" s="15">
        <v>7</v>
      </c>
      <c r="B313">
        <v>5.6999999999999995E-2</v>
      </c>
    </row>
    <row r="314" spans="1:2" x14ac:dyDescent="0.2">
      <c r="A314" s="16" t="s">
        <v>802</v>
      </c>
      <c r="B314">
        <v>1.18E-2</v>
      </c>
    </row>
    <row r="315" spans="1:2" x14ac:dyDescent="0.2">
      <c r="A315" s="16" t="s">
        <v>803</v>
      </c>
      <c r="B315">
        <v>1.38E-2</v>
      </c>
    </row>
    <row r="316" spans="1:2" x14ac:dyDescent="0.2">
      <c r="A316" s="16" t="s">
        <v>804</v>
      </c>
      <c r="B316">
        <v>1.6299999999999999E-2</v>
      </c>
    </row>
    <row r="317" spans="1:2" x14ac:dyDescent="0.2">
      <c r="A317" s="16" t="s">
        <v>806</v>
      </c>
      <c r="B317">
        <v>9.7000000000000003E-3</v>
      </c>
    </row>
    <row r="318" spans="1:2" x14ac:dyDescent="0.2">
      <c r="A318" s="16" t="s">
        <v>807</v>
      </c>
    </row>
    <row r="319" spans="1:2" x14ac:dyDescent="0.2">
      <c r="A319" s="16" t="s">
        <v>809</v>
      </c>
    </row>
    <row r="320" spans="1:2" x14ac:dyDescent="0.2">
      <c r="A320" s="16" t="s">
        <v>810</v>
      </c>
      <c r="B320">
        <v>5.4000000000000003E-3</v>
      </c>
    </row>
    <row r="321" spans="1:2" x14ac:dyDescent="0.2">
      <c r="A321" s="15">
        <v>9</v>
      </c>
      <c r="B321">
        <v>9.7599999999999992E-2</v>
      </c>
    </row>
    <row r="322" spans="1:2" x14ac:dyDescent="0.2">
      <c r="A322" s="16" t="s">
        <v>1003</v>
      </c>
      <c r="B322">
        <v>1.78E-2</v>
      </c>
    </row>
    <row r="323" spans="1:2" x14ac:dyDescent="0.2">
      <c r="A323" s="16" t="s">
        <v>1006</v>
      </c>
      <c r="B323">
        <v>1.61E-2</v>
      </c>
    </row>
    <row r="324" spans="1:2" x14ac:dyDescent="0.2">
      <c r="A324" s="16" t="s">
        <v>1007</v>
      </c>
      <c r="B324">
        <v>2.4500000000000001E-2</v>
      </c>
    </row>
    <row r="325" spans="1:2" x14ac:dyDescent="0.2">
      <c r="A325" s="16" t="s">
        <v>1008</v>
      </c>
      <c r="B325">
        <v>3.9199999999999999E-2</v>
      </c>
    </row>
    <row r="326" spans="1:2" x14ac:dyDescent="0.2">
      <c r="A326" s="15">
        <v>10</v>
      </c>
      <c r="B326">
        <v>4.529999999999984E-2</v>
      </c>
    </row>
    <row r="327" spans="1:2" x14ac:dyDescent="0.2">
      <c r="A327" s="16" t="s">
        <v>1107</v>
      </c>
      <c r="B327">
        <v>1.5800000000000002E-2</v>
      </c>
    </row>
    <row r="328" spans="1:2" x14ac:dyDescent="0.2">
      <c r="A328" s="16" t="s">
        <v>1108</v>
      </c>
    </row>
    <row r="329" spans="1:2" x14ac:dyDescent="0.2">
      <c r="A329" s="16" t="s">
        <v>1116</v>
      </c>
      <c r="B329">
        <v>2.7000000000000001E-3</v>
      </c>
    </row>
    <row r="330" spans="1:2" x14ac:dyDescent="0.2">
      <c r="A330" s="16" t="s">
        <v>1118</v>
      </c>
      <c r="B330">
        <v>5.5999999999999999E-3</v>
      </c>
    </row>
    <row r="331" spans="1:2" x14ac:dyDescent="0.2">
      <c r="A331" s="16" t="s">
        <v>1121</v>
      </c>
      <c r="B331">
        <v>8.0000000000000004E-4</v>
      </c>
    </row>
    <row r="332" spans="1:2" x14ac:dyDescent="0.2">
      <c r="A332" s="16" t="s">
        <v>1122</v>
      </c>
      <c r="B332">
        <v>1.5599999999999836E-2</v>
      </c>
    </row>
    <row r="333" spans="1:2" x14ac:dyDescent="0.2">
      <c r="A333" s="16" t="s">
        <v>1123</v>
      </c>
      <c r="B333">
        <v>4.7999999999999996E-3</v>
      </c>
    </row>
    <row r="334" spans="1:2" x14ac:dyDescent="0.2">
      <c r="A334" s="16" t="s">
        <v>1124</v>
      </c>
    </row>
    <row r="335" spans="1:2" x14ac:dyDescent="0.2">
      <c r="A335" s="15">
        <v>12</v>
      </c>
      <c r="B335">
        <v>0.41020000000000001</v>
      </c>
    </row>
    <row r="336" spans="1:2" x14ac:dyDescent="0.2">
      <c r="A336" s="16" t="s">
        <v>1293</v>
      </c>
      <c r="B336">
        <v>0.23039999999999999</v>
      </c>
    </row>
    <row r="337" spans="1:2" x14ac:dyDescent="0.2">
      <c r="A337" s="16" t="s">
        <v>1294</v>
      </c>
      <c r="B337">
        <v>0.17979999999999999</v>
      </c>
    </row>
    <row r="338" spans="1:2" x14ac:dyDescent="0.2">
      <c r="A338" s="15">
        <v>13</v>
      </c>
      <c r="B338">
        <v>0.38669999999999999</v>
      </c>
    </row>
    <row r="339" spans="1:2" x14ac:dyDescent="0.2">
      <c r="A339" s="16" t="s">
        <v>1332</v>
      </c>
      <c r="B339">
        <v>0.38669999999999999</v>
      </c>
    </row>
    <row r="340" spans="1:2" x14ac:dyDescent="0.2">
      <c r="A340" s="15">
        <v>14</v>
      </c>
      <c r="B340">
        <v>0.65649999999999997</v>
      </c>
    </row>
    <row r="341" spans="1:2" x14ac:dyDescent="0.2">
      <c r="A341" s="16" t="s">
        <v>1391</v>
      </c>
      <c r="B341">
        <v>0.28889999999999999</v>
      </c>
    </row>
    <row r="342" spans="1:2" x14ac:dyDescent="0.2">
      <c r="A342" s="16" t="s">
        <v>1392</v>
      </c>
      <c r="B342">
        <v>0.36759999999999998</v>
      </c>
    </row>
    <row r="343" spans="1:2" x14ac:dyDescent="0.2">
      <c r="A343" s="15">
        <v>15</v>
      </c>
      <c r="B343">
        <v>1.6785999999999999</v>
      </c>
    </row>
    <row r="344" spans="1:2" x14ac:dyDescent="0.2">
      <c r="A344" s="16" t="s">
        <v>1409</v>
      </c>
      <c r="B344">
        <v>0.65189999999999992</v>
      </c>
    </row>
    <row r="345" spans="1:2" x14ac:dyDescent="0.2">
      <c r="A345" s="16" t="s">
        <v>1410</v>
      </c>
      <c r="B345">
        <v>0.43779999999999997</v>
      </c>
    </row>
    <row r="346" spans="1:2" x14ac:dyDescent="0.2">
      <c r="A346" s="16" t="s">
        <v>1411</v>
      </c>
      <c r="B346">
        <v>0.34729999999999994</v>
      </c>
    </row>
    <row r="347" spans="1:2" x14ac:dyDescent="0.2">
      <c r="A347" s="16" t="s">
        <v>1413</v>
      </c>
      <c r="B347">
        <v>0.24160000000000004</v>
      </c>
    </row>
    <row r="348" spans="1:2" x14ac:dyDescent="0.2">
      <c r="A348" s="8" t="s">
        <v>1551</v>
      </c>
    </row>
    <row r="349" spans="1:2" x14ac:dyDescent="0.2">
      <c r="A349" s="15">
        <v>2</v>
      </c>
    </row>
    <row r="350" spans="1:2" x14ac:dyDescent="0.2">
      <c r="A350" s="16" t="s">
        <v>210</v>
      </c>
    </row>
    <row r="351" spans="1:2" x14ac:dyDescent="0.2">
      <c r="A351" s="16" t="s">
        <v>219</v>
      </c>
    </row>
    <row r="352" spans="1:2" x14ac:dyDescent="0.2">
      <c r="A352" s="16" t="s">
        <v>239</v>
      </c>
    </row>
    <row r="353" spans="1:2" x14ac:dyDescent="0.2">
      <c r="A353" s="15">
        <v>3</v>
      </c>
    </row>
    <row r="354" spans="1:2" x14ac:dyDescent="0.2">
      <c r="A354" s="16" t="s">
        <v>322</v>
      </c>
    </row>
    <row r="355" spans="1:2" x14ac:dyDescent="0.2">
      <c r="A355" s="16" t="s">
        <v>332</v>
      </c>
    </row>
    <row r="356" spans="1:2" x14ac:dyDescent="0.2">
      <c r="A356" s="16" t="s">
        <v>335</v>
      </c>
    </row>
    <row r="357" spans="1:2" x14ac:dyDescent="0.2">
      <c r="A357" s="4" t="s">
        <v>60</v>
      </c>
      <c r="B357">
        <v>0.87519999999999987</v>
      </c>
    </row>
    <row r="358" spans="1:2" x14ac:dyDescent="0.2">
      <c r="A358" s="8" t="s">
        <v>1550</v>
      </c>
      <c r="B358">
        <v>0.87519999999999987</v>
      </c>
    </row>
    <row r="359" spans="1:2" x14ac:dyDescent="0.2">
      <c r="A359" s="15">
        <v>1</v>
      </c>
    </row>
    <row r="360" spans="1:2" x14ac:dyDescent="0.2">
      <c r="A360" s="16" t="s">
        <v>81</v>
      </c>
    </row>
    <row r="361" spans="1:2" x14ac:dyDescent="0.2">
      <c r="A361" s="16" t="s">
        <v>70</v>
      </c>
    </row>
    <row r="362" spans="1:2" x14ac:dyDescent="0.2">
      <c r="A362" s="16" t="s">
        <v>71</v>
      </c>
    </row>
    <row r="363" spans="1:2" x14ac:dyDescent="0.2">
      <c r="A363" s="16" t="s">
        <v>72</v>
      </c>
    </row>
    <row r="364" spans="1:2" x14ac:dyDescent="0.2">
      <c r="A364" s="15">
        <v>2</v>
      </c>
      <c r="B364">
        <v>8.0999999999999996E-3</v>
      </c>
    </row>
    <row r="365" spans="1:2" x14ac:dyDescent="0.2">
      <c r="A365" s="16" t="s">
        <v>143</v>
      </c>
      <c r="B365">
        <v>2.3999999999999998E-3</v>
      </c>
    </row>
    <row r="366" spans="1:2" x14ac:dyDescent="0.2">
      <c r="A366" s="16" t="s">
        <v>147</v>
      </c>
      <c r="B366">
        <v>1.5E-3</v>
      </c>
    </row>
    <row r="367" spans="1:2" x14ac:dyDescent="0.2">
      <c r="A367" s="16" t="s">
        <v>150</v>
      </c>
      <c r="B367">
        <v>2.2000000000000001E-3</v>
      </c>
    </row>
    <row r="368" spans="1:2" x14ac:dyDescent="0.2">
      <c r="A368" s="16" t="s">
        <v>162</v>
      </c>
      <c r="B368">
        <v>2E-3</v>
      </c>
    </row>
    <row r="369" spans="1:2" x14ac:dyDescent="0.2">
      <c r="A369" s="15">
        <v>3</v>
      </c>
      <c r="B369">
        <v>0.1159</v>
      </c>
    </row>
    <row r="370" spans="1:2" x14ac:dyDescent="0.2">
      <c r="A370" s="16" t="s">
        <v>276</v>
      </c>
      <c r="B370">
        <v>8.2000000000000007E-3</v>
      </c>
    </row>
    <row r="371" spans="1:2" x14ac:dyDescent="0.2">
      <c r="A371" s="16" t="s">
        <v>281</v>
      </c>
      <c r="B371">
        <v>6.4600000000000005E-2</v>
      </c>
    </row>
    <row r="372" spans="1:2" x14ac:dyDescent="0.2">
      <c r="A372" s="16" t="s">
        <v>308</v>
      </c>
      <c r="B372">
        <v>3.73E-2</v>
      </c>
    </row>
    <row r="373" spans="1:2" x14ac:dyDescent="0.2">
      <c r="A373" s="16" t="s">
        <v>310</v>
      </c>
      <c r="B373">
        <v>5.7999999999999996E-3</v>
      </c>
    </row>
    <row r="374" spans="1:2" x14ac:dyDescent="0.2">
      <c r="A374" s="15">
        <v>4</v>
      </c>
      <c r="B374">
        <v>1.2299999999999998E-2</v>
      </c>
    </row>
    <row r="375" spans="1:2" x14ac:dyDescent="0.2">
      <c r="A375" s="16" t="s">
        <v>418</v>
      </c>
      <c r="B375">
        <v>5.9999999999999995E-4</v>
      </c>
    </row>
    <row r="376" spans="1:2" x14ac:dyDescent="0.2">
      <c r="A376" s="16" t="s">
        <v>428</v>
      </c>
      <c r="B376">
        <v>1.5E-3</v>
      </c>
    </row>
    <row r="377" spans="1:2" x14ac:dyDescent="0.2">
      <c r="A377" s="16" t="s">
        <v>430</v>
      </c>
      <c r="B377">
        <v>6.7999999999999996E-3</v>
      </c>
    </row>
    <row r="378" spans="1:2" x14ac:dyDescent="0.2">
      <c r="A378" s="16" t="s">
        <v>445</v>
      </c>
    </row>
    <row r="379" spans="1:2" x14ac:dyDescent="0.2">
      <c r="A379" s="16" t="s">
        <v>448</v>
      </c>
    </row>
    <row r="380" spans="1:2" x14ac:dyDescent="0.2">
      <c r="A380" s="16" t="s">
        <v>451</v>
      </c>
      <c r="B380">
        <v>2.3999999999999998E-3</v>
      </c>
    </row>
    <row r="381" spans="1:2" x14ac:dyDescent="0.2">
      <c r="A381" s="16" t="s">
        <v>452</v>
      </c>
    </row>
    <row r="382" spans="1:2" x14ac:dyDescent="0.2">
      <c r="A382" s="16" t="s">
        <v>456</v>
      </c>
      <c r="B382">
        <v>1E-3</v>
      </c>
    </row>
    <row r="383" spans="1:2" x14ac:dyDescent="0.2">
      <c r="A383" s="16" t="s">
        <v>458</v>
      </c>
    </row>
    <row r="384" spans="1:2" x14ac:dyDescent="0.2">
      <c r="A384" s="15">
        <v>5</v>
      </c>
      <c r="B384">
        <v>1.5900000000000001E-2</v>
      </c>
    </row>
    <row r="385" spans="1:2" x14ac:dyDescent="0.2">
      <c r="A385" s="16" t="s">
        <v>542</v>
      </c>
      <c r="B385">
        <v>3.0999999999999999E-3</v>
      </c>
    </row>
    <row r="386" spans="1:2" x14ac:dyDescent="0.2">
      <c r="A386" s="16" t="s">
        <v>546</v>
      </c>
      <c r="B386">
        <v>2.9999999999999997E-4</v>
      </c>
    </row>
    <row r="387" spans="1:2" x14ac:dyDescent="0.2">
      <c r="A387" s="16" t="s">
        <v>547</v>
      </c>
      <c r="B387">
        <v>2.2000000000000001E-3</v>
      </c>
    </row>
    <row r="388" spans="1:2" x14ac:dyDescent="0.2">
      <c r="A388" s="16" t="s">
        <v>552</v>
      </c>
      <c r="B388">
        <v>5.1999999999999998E-3</v>
      </c>
    </row>
    <row r="389" spans="1:2" x14ac:dyDescent="0.2">
      <c r="A389" s="16" t="s">
        <v>553</v>
      </c>
      <c r="B389">
        <v>5.1000000000000004E-3</v>
      </c>
    </row>
    <row r="390" spans="1:2" x14ac:dyDescent="0.2">
      <c r="A390" s="15">
        <v>6</v>
      </c>
      <c r="B390">
        <v>1.49E-2</v>
      </c>
    </row>
    <row r="391" spans="1:2" x14ac:dyDescent="0.2">
      <c r="A391" s="16" t="s">
        <v>717</v>
      </c>
    </row>
    <row r="392" spans="1:2" x14ac:dyDescent="0.2">
      <c r="A392" s="16" t="s">
        <v>718</v>
      </c>
    </row>
    <row r="393" spans="1:2" x14ac:dyDescent="0.2">
      <c r="A393" s="16" t="s">
        <v>721</v>
      </c>
    </row>
    <row r="394" spans="1:2" x14ac:dyDescent="0.2">
      <c r="A394" s="16" t="s">
        <v>723</v>
      </c>
      <c r="B394">
        <v>6.9999999999999999E-4</v>
      </c>
    </row>
    <row r="395" spans="1:2" x14ac:dyDescent="0.2">
      <c r="A395" s="16" t="s">
        <v>724</v>
      </c>
    </row>
    <row r="396" spans="1:2" x14ac:dyDescent="0.2">
      <c r="A396" s="16" t="s">
        <v>744</v>
      </c>
      <c r="B396">
        <v>3.0000000000000001E-3</v>
      </c>
    </row>
    <row r="397" spans="1:2" x14ac:dyDescent="0.2">
      <c r="A397" s="16" t="s">
        <v>746</v>
      </c>
      <c r="B397">
        <v>8.6999999999999994E-3</v>
      </c>
    </row>
    <row r="398" spans="1:2" x14ac:dyDescent="0.2">
      <c r="A398" s="16" t="s">
        <v>749</v>
      </c>
    </row>
    <row r="399" spans="1:2" x14ac:dyDescent="0.2">
      <c r="A399" s="16" t="s">
        <v>708</v>
      </c>
      <c r="B399">
        <v>1.6000000000000001E-3</v>
      </c>
    </row>
    <row r="400" spans="1:2" x14ac:dyDescent="0.2">
      <c r="A400" s="16" t="s">
        <v>712</v>
      </c>
      <c r="B400">
        <v>8.9999999999999998E-4</v>
      </c>
    </row>
    <row r="401" spans="1:2" x14ac:dyDescent="0.2">
      <c r="A401" s="15">
        <v>8</v>
      </c>
      <c r="B401">
        <v>0.1023</v>
      </c>
    </row>
    <row r="402" spans="1:2" x14ac:dyDescent="0.2">
      <c r="A402" s="16" t="s">
        <v>843</v>
      </c>
    </row>
    <row r="403" spans="1:2" x14ac:dyDescent="0.2">
      <c r="A403" s="16" t="s">
        <v>844</v>
      </c>
      <c r="B403">
        <v>2.24E-2</v>
      </c>
    </row>
    <row r="404" spans="1:2" x14ac:dyDescent="0.2">
      <c r="A404" s="16" t="s">
        <v>845</v>
      </c>
    </row>
    <row r="405" spans="1:2" x14ac:dyDescent="0.2">
      <c r="A405" s="16" t="s">
        <v>849</v>
      </c>
      <c r="B405">
        <v>4.99E-2</v>
      </c>
    </row>
    <row r="406" spans="1:2" x14ac:dyDescent="0.2">
      <c r="A406" s="16" t="s">
        <v>850</v>
      </c>
      <c r="B406">
        <v>2.0899999999999998E-2</v>
      </c>
    </row>
    <row r="407" spans="1:2" x14ac:dyDescent="0.2">
      <c r="A407" s="16" t="s">
        <v>851</v>
      </c>
      <c r="B407">
        <v>3.2000000000000002E-3</v>
      </c>
    </row>
    <row r="408" spans="1:2" x14ac:dyDescent="0.2">
      <c r="A408" s="16" t="s">
        <v>852</v>
      </c>
      <c r="B408">
        <v>5.8999999999999999E-3</v>
      </c>
    </row>
    <row r="409" spans="1:2" x14ac:dyDescent="0.2">
      <c r="A409" s="16" t="s">
        <v>853</v>
      </c>
    </row>
    <row r="410" spans="1:2" x14ac:dyDescent="0.2">
      <c r="A410" s="15">
        <v>9</v>
      </c>
      <c r="B410">
        <v>0.2177</v>
      </c>
    </row>
    <row r="411" spans="1:2" x14ac:dyDescent="0.2">
      <c r="A411" s="16" t="s">
        <v>967</v>
      </c>
      <c r="B411">
        <v>6.5699999999999995E-2</v>
      </c>
    </row>
    <row r="412" spans="1:2" x14ac:dyDescent="0.2">
      <c r="A412" s="16" t="s">
        <v>971</v>
      </c>
      <c r="B412">
        <v>7.1300000000000002E-2</v>
      </c>
    </row>
    <row r="413" spans="1:2" x14ac:dyDescent="0.2">
      <c r="A413" s="16" t="s">
        <v>974</v>
      </c>
      <c r="B413">
        <v>3.9300000000000002E-2</v>
      </c>
    </row>
    <row r="414" spans="1:2" x14ac:dyDescent="0.2">
      <c r="A414" s="16" t="s">
        <v>1001</v>
      </c>
      <c r="B414">
        <v>4.1399999999999999E-2</v>
      </c>
    </row>
    <row r="415" spans="1:2" x14ac:dyDescent="0.2">
      <c r="A415" s="15">
        <v>10</v>
      </c>
      <c r="B415">
        <v>7.46E-2</v>
      </c>
    </row>
    <row r="416" spans="1:2" x14ac:dyDescent="0.2">
      <c r="A416" s="16" t="s">
        <v>1069</v>
      </c>
    </row>
    <row r="417" spans="1:2" x14ac:dyDescent="0.2">
      <c r="A417" s="16" t="s">
        <v>1070</v>
      </c>
      <c r="B417">
        <v>2.86E-2</v>
      </c>
    </row>
    <row r="418" spans="1:2" x14ac:dyDescent="0.2">
      <c r="A418" s="16" t="s">
        <v>1071</v>
      </c>
    </row>
    <row r="419" spans="1:2" x14ac:dyDescent="0.2">
      <c r="A419" s="16" t="s">
        <v>1072</v>
      </c>
      <c r="B419">
        <v>1.1000000000000001E-3</v>
      </c>
    </row>
    <row r="420" spans="1:2" x14ac:dyDescent="0.2">
      <c r="A420" s="16" t="s">
        <v>1073</v>
      </c>
    </row>
    <row r="421" spans="1:2" x14ac:dyDescent="0.2">
      <c r="A421" s="16" t="s">
        <v>1074</v>
      </c>
      <c r="B421">
        <v>3.1099999999999999E-2</v>
      </c>
    </row>
    <row r="422" spans="1:2" x14ac:dyDescent="0.2">
      <c r="A422" s="16" t="s">
        <v>1075</v>
      </c>
      <c r="B422">
        <v>5.7999999999999996E-3</v>
      </c>
    </row>
    <row r="423" spans="1:2" x14ac:dyDescent="0.2">
      <c r="A423" s="16" t="s">
        <v>1077</v>
      </c>
      <c r="B423">
        <v>8.0000000000000002E-3</v>
      </c>
    </row>
    <row r="424" spans="1:2" x14ac:dyDescent="0.2">
      <c r="A424" s="15">
        <v>11</v>
      </c>
      <c r="B424">
        <v>0.1008</v>
      </c>
    </row>
    <row r="425" spans="1:2" x14ac:dyDescent="0.2">
      <c r="A425" s="16" t="s">
        <v>1198</v>
      </c>
      <c r="B425">
        <v>7.5999999999999998E-2</v>
      </c>
    </row>
    <row r="426" spans="1:2" x14ac:dyDescent="0.2">
      <c r="A426" s="16" t="s">
        <v>1200</v>
      </c>
    </row>
    <row r="427" spans="1:2" x14ac:dyDescent="0.2">
      <c r="A427" s="16" t="s">
        <v>1201</v>
      </c>
      <c r="B427">
        <v>2.5999999999999999E-3</v>
      </c>
    </row>
    <row r="428" spans="1:2" x14ac:dyDescent="0.2">
      <c r="A428" s="16" t="s">
        <v>1202</v>
      </c>
    </row>
    <row r="429" spans="1:2" x14ac:dyDescent="0.2">
      <c r="A429" s="16" t="s">
        <v>1203</v>
      </c>
      <c r="B429">
        <v>0.02</v>
      </c>
    </row>
    <row r="430" spans="1:2" x14ac:dyDescent="0.2">
      <c r="A430" s="16" t="s">
        <v>1205</v>
      </c>
    </row>
    <row r="431" spans="1:2" x14ac:dyDescent="0.2">
      <c r="A431" s="16" t="s">
        <v>1206</v>
      </c>
      <c r="B431">
        <v>1.8E-3</v>
      </c>
    </row>
    <row r="432" spans="1:2" x14ac:dyDescent="0.2">
      <c r="A432" s="16" t="s">
        <v>1208</v>
      </c>
      <c r="B432">
        <v>4.0000000000000002E-4</v>
      </c>
    </row>
    <row r="433" spans="1:2" x14ac:dyDescent="0.2">
      <c r="A433" s="16" t="s">
        <v>1209</v>
      </c>
    </row>
    <row r="434" spans="1:2" x14ac:dyDescent="0.2">
      <c r="A434" s="15">
        <v>12</v>
      </c>
      <c r="B434">
        <v>1.9900000000000001E-2</v>
      </c>
    </row>
    <row r="435" spans="1:2" x14ac:dyDescent="0.2">
      <c r="A435" s="16" t="s">
        <v>1261</v>
      </c>
      <c r="B435">
        <v>1.9900000000000001E-2</v>
      </c>
    </row>
    <row r="436" spans="1:2" x14ac:dyDescent="0.2">
      <c r="A436" s="15">
        <v>14</v>
      </c>
      <c r="B436">
        <v>0.1108</v>
      </c>
    </row>
    <row r="437" spans="1:2" x14ac:dyDescent="0.2">
      <c r="A437" s="16" t="s">
        <v>1383</v>
      </c>
    </row>
    <row r="438" spans="1:2" x14ac:dyDescent="0.2">
      <c r="A438" s="16" t="s">
        <v>1385</v>
      </c>
    </row>
    <row r="439" spans="1:2" x14ac:dyDescent="0.2">
      <c r="A439" s="16" t="s">
        <v>1386</v>
      </c>
      <c r="B439">
        <v>3.3599999999999998E-2</v>
      </c>
    </row>
    <row r="440" spans="1:2" x14ac:dyDescent="0.2">
      <c r="A440" s="16" t="s">
        <v>1387</v>
      </c>
      <c r="B440">
        <v>1.9400000000000001E-2</v>
      </c>
    </row>
    <row r="441" spans="1:2" x14ac:dyDescent="0.2">
      <c r="A441" s="16" t="s">
        <v>1388</v>
      </c>
      <c r="B441">
        <v>5.7799999999999997E-2</v>
      </c>
    </row>
    <row r="442" spans="1:2" x14ac:dyDescent="0.2">
      <c r="A442" s="15">
        <v>15</v>
      </c>
      <c r="B442">
        <v>8.2000000000000003E-2</v>
      </c>
    </row>
    <row r="443" spans="1:2" x14ac:dyDescent="0.2">
      <c r="A443" s="16" t="s">
        <v>1415</v>
      </c>
      <c r="B443">
        <v>2.9700000000000001E-2</v>
      </c>
    </row>
    <row r="444" spans="1:2" x14ac:dyDescent="0.2">
      <c r="A444" s="16" t="s">
        <v>1416</v>
      </c>
      <c r="B444">
        <v>5.2299999999999999E-2</v>
      </c>
    </row>
    <row r="445" spans="1:2" x14ac:dyDescent="0.2">
      <c r="A445" s="16" t="s">
        <v>1418</v>
      </c>
    </row>
    <row r="446" spans="1:2" x14ac:dyDescent="0.2">
      <c r="A446" s="8" t="s">
        <v>1551</v>
      </c>
    </row>
    <row r="447" spans="1:2" x14ac:dyDescent="0.2">
      <c r="A447" s="15">
        <v>1</v>
      </c>
    </row>
    <row r="448" spans="1:2" x14ac:dyDescent="0.2">
      <c r="A448" s="16" t="s">
        <v>59</v>
      </c>
    </row>
    <row r="449" spans="1:1" x14ac:dyDescent="0.2">
      <c r="A449" s="16" t="s">
        <v>75</v>
      </c>
    </row>
    <row r="450" spans="1:1" x14ac:dyDescent="0.2">
      <c r="A450" s="16" t="s">
        <v>79</v>
      </c>
    </row>
    <row r="451" spans="1:1" x14ac:dyDescent="0.2">
      <c r="A451" s="16" t="s">
        <v>62</v>
      </c>
    </row>
    <row r="452" spans="1:1" x14ac:dyDescent="0.2">
      <c r="A452" s="16" t="s">
        <v>67</v>
      </c>
    </row>
    <row r="453" spans="1:1" x14ac:dyDescent="0.2">
      <c r="A453" s="15">
        <v>2</v>
      </c>
    </row>
    <row r="454" spans="1:1" x14ac:dyDescent="0.2">
      <c r="A454" s="16" t="s">
        <v>145</v>
      </c>
    </row>
    <row r="455" spans="1:1" x14ac:dyDescent="0.2">
      <c r="A455" s="16" t="s">
        <v>158</v>
      </c>
    </row>
    <row r="456" spans="1:1" x14ac:dyDescent="0.2">
      <c r="A456" s="15">
        <v>3</v>
      </c>
    </row>
    <row r="457" spans="1:1" x14ac:dyDescent="0.2">
      <c r="A457" s="16" t="s">
        <v>283</v>
      </c>
    </row>
    <row r="458" spans="1:1" x14ac:dyDescent="0.2">
      <c r="A458" s="15">
        <v>4</v>
      </c>
    </row>
    <row r="459" spans="1:1" x14ac:dyDescent="0.2">
      <c r="A459" s="16" t="s">
        <v>439</v>
      </c>
    </row>
    <row r="460" spans="1:1" x14ac:dyDescent="0.2">
      <c r="A460" s="15">
        <v>5</v>
      </c>
    </row>
    <row r="461" spans="1:1" x14ac:dyDescent="0.2">
      <c r="A461" s="16" t="s">
        <v>554</v>
      </c>
    </row>
    <row r="462" spans="1:1" x14ac:dyDescent="0.2">
      <c r="A462" s="15">
        <v>9</v>
      </c>
    </row>
    <row r="463" spans="1:1" x14ac:dyDescent="0.2">
      <c r="A463" s="16" t="s">
        <v>962</v>
      </c>
    </row>
    <row r="464" spans="1:1" x14ac:dyDescent="0.2">
      <c r="A464" s="16" t="s">
        <v>963</v>
      </c>
    </row>
    <row r="465" spans="1:1" x14ac:dyDescent="0.2">
      <c r="A465" s="16" t="s">
        <v>964</v>
      </c>
    </row>
    <row r="466" spans="1:1" x14ac:dyDescent="0.2">
      <c r="A466" s="16" t="s">
        <v>965</v>
      </c>
    </row>
    <row r="467" spans="1:1" x14ac:dyDescent="0.2">
      <c r="A467" s="15">
        <v>11</v>
      </c>
    </row>
    <row r="468" spans="1:1" x14ac:dyDescent="0.2">
      <c r="A468" s="16" t="s">
        <v>1180</v>
      </c>
    </row>
    <row r="469" spans="1:1" x14ac:dyDescent="0.2">
      <c r="A469" s="16" t="s">
        <v>1196</v>
      </c>
    </row>
    <row r="470" spans="1:1" x14ac:dyDescent="0.2">
      <c r="A470" s="16" t="s">
        <v>1197</v>
      </c>
    </row>
    <row r="471" spans="1:1" x14ac:dyDescent="0.2">
      <c r="A471" s="16" t="s">
        <v>1199</v>
      </c>
    </row>
    <row r="472" spans="1:1" x14ac:dyDescent="0.2">
      <c r="A472" s="15">
        <v>12</v>
      </c>
    </row>
    <row r="473" spans="1:1" x14ac:dyDescent="0.2">
      <c r="A473" s="16" t="s">
        <v>1258</v>
      </c>
    </row>
    <row r="474" spans="1:1" x14ac:dyDescent="0.2">
      <c r="A474" s="16" t="s">
        <v>1260</v>
      </c>
    </row>
    <row r="475" spans="1:1" x14ac:dyDescent="0.2">
      <c r="A475" s="16" t="s">
        <v>1263</v>
      </c>
    </row>
    <row r="476" spans="1:1" x14ac:dyDescent="0.2">
      <c r="A476" s="15">
        <v>14</v>
      </c>
    </row>
    <row r="477" spans="1:1" x14ac:dyDescent="0.2">
      <c r="A477" s="16" t="s">
        <v>1382</v>
      </c>
    </row>
    <row r="478" spans="1:1" x14ac:dyDescent="0.2">
      <c r="A478" s="16" t="s">
        <v>1389</v>
      </c>
    </row>
    <row r="479" spans="1:1" x14ac:dyDescent="0.2">
      <c r="A479" s="3" t="s">
        <v>612</v>
      </c>
    </row>
    <row r="480" spans="1:1" x14ac:dyDescent="0.2">
      <c r="A480" s="4" t="s">
        <v>23</v>
      </c>
    </row>
    <row r="481" spans="1:1" x14ac:dyDescent="0.2">
      <c r="A481" s="8" t="s">
        <v>1550</v>
      </c>
    </row>
    <row r="482" spans="1:1" x14ac:dyDescent="0.2">
      <c r="A482" s="15">
        <v>1</v>
      </c>
    </row>
    <row r="483" spans="1:1" x14ac:dyDescent="0.2">
      <c r="A483" s="16" t="s">
        <v>44</v>
      </c>
    </row>
    <row r="484" spans="1:1" x14ac:dyDescent="0.2">
      <c r="A484" s="16" t="s">
        <v>37</v>
      </c>
    </row>
    <row r="485" spans="1:1" x14ac:dyDescent="0.2">
      <c r="A485" s="16" t="s">
        <v>40</v>
      </c>
    </row>
    <row r="486" spans="1:1" x14ac:dyDescent="0.2">
      <c r="A486" s="15">
        <v>2</v>
      </c>
    </row>
    <row r="487" spans="1:1" x14ac:dyDescent="0.2">
      <c r="A487" s="16" t="s">
        <v>189</v>
      </c>
    </row>
    <row r="488" spans="1:1" x14ac:dyDescent="0.2">
      <c r="A488" s="16" t="s">
        <v>191</v>
      </c>
    </row>
    <row r="489" spans="1:1" x14ac:dyDescent="0.2">
      <c r="A489" s="16" t="s">
        <v>196</v>
      </c>
    </row>
    <row r="490" spans="1:1" x14ac:dyDescent="0.2">
      <c r="A490" s="16" t="s">
        <v>202</v>
      </c>
    </row>
    <row r="491" spans="1:1" x14ac:dyDescent="0.2">
      <c r="A491" s="15">
        <v>3</v>
      </c>
    </row>
    <row r="492" spans="1:1" x14ac:dyDescent="0.2">
      <c r="A492" s="16" t="s">
        <v>303</v>
      </c>
    </row>
    <row r="493" spans="1:1" x14ac:dyDescent="0.2">
      <c r="A493" s="16" t="s">
        <v>306</v>
      </c>
    </row>
    <row r="494" spans="1:1" x14ac:dyDescent="0.2">
      <c r="A494" s="8" t="s">
        <v>1551</v>
      </c>
    </row>
    <row r="495" spans="1:1" x14ac:dyDescent="0.2">
      <c r="A495" s="15">
        <v>2</v>
      </c>
    </row>
    <row r="496" spans="1:1" x14ac:dyDescent="0.2">
      <c r="A496" s="16" t="s">
        <v>192</v>
      </c>
    </row>
    <row r="497" spans="1:1" x14ac:dyDescent="0.2">
      <c r="A497" s="16" t="s">
        <v>198</v>
      </c>
    </row>
    <row r="498" spans="1:1" x14ac:dyDescent="0.2">
      <c r="A498" s="16" t="s">
        <v>209</v>
      </c>
    </row>
    <row r="499" spans="1:1" x14ac:dyDescent="0.2">
      <c r="A499" s="4" t="s">
        <v>46</v>
      </c>
    </row>
    <row r="500" spans="1:1" x14ac:dyDescent="0.2">
      <c r="A500" s="8" t="s">
        <v>1550</v>
      </c>
    </row>
    <row r="501" spans="1:1" x14ac:dyDescent="0.2">
      <c r="A501" s="15">
        <v>1</v>
      </c>
    </row>
    <row r="502" spans="1:1" x14ac:dyDescent="0.2">
      <c r="A502" s="16" t="s">
        <v>97</v>
      </c>
    </row>
    <row r="503" spans="1:1" x14ac:dyDescent="0.2">
      <c r="A503" s="16" t="s">
        <v>47</v>
      </c>
    </row>
    <row r="504" spans="1:1" x14ac:dyDescent="0.2">
      <c r="A504" s="16" t="s">
        <v>51</v>
      </c>
    </row>
    <row r="505" spans="1:1" x14ac:dyDescent="0.2">
      <c r="A505" s="16" t="s">
        <v>53</v>
      </c>
    </row>
    <row r="506" spans="1:1" x14ac:dyDescent="0.2">
      <c r="A506" s="15">
        <v>2</v>
      </c>
    </row>
    <row r="507" spans="1:1" x14ac:dyDescent="0.2">
      <c r="A507" s="16" t="s">
        <v>173</v>
      </c>
    </row>
    <row r="508" spans="1:1" x14ac:dyDescent="0.2">
      <c r="A508" s="16" t="s">
        <v>177</v>
      </c>
    </row>
    <row r="509" spans="1:1" x14ac:dyDescent="0.2">
      <c r="A509" s="16" t="s">
        <v>181</v>
      </c>
    </row>
    <row r="510" spans="1:1" x14ac:dyDescent="0.2">
      <c r="A510" s="16" t="s">
        <v>182</v>
      </c>
    </row>
    <row r="511" spans="1:1" x14ac:dyDescent="0.2">
      <c r="A511" s="15">
        <v>3</v>
      </c>
    </row>
    <row r="512" spans="1:1" x14ac:dyDescent="0.2">
      <c r="A512" s="16" t="s">
        <v>254</v>
      </c>
    </row>
    <row r="513" spans="1:1" x14ac:dyDescent="0.2">
      <c r="A513" s="16" t="s">
        <v>257</v>
      </c>
    </row>
    <row r="514" spans="1:1" x14ac:dyDescent="0.2">
      <c r="A514" s="16" t="s">
        <v>260</v>
      </c>
    </row>
    <row r="515" spans="1:1" x14ac:dyDescent="0.2">
      <c r="A515" s="16" t="s">
        <v>261</v>
      </c>
    </row>
    <row r="516" spans="1:1" x14ac:dyDescent="0.2">
      <c r="A516" s="16" t="s">
        <v>263</v>
      </c>
    </row>
    <row r="517" spans="1:1" x14ac:dyDescent="0.2">
      <c r="A517" s="16" t="s">
        <v>286</v>
      </c>
    </row>
    <row r="518" spans="1:1" x14ac:dyDescent="0.2">
      <c r="A518" s="16" t="s">
        <v>289</v>
      </c>
    </row>
    <row r="519" spans="1:1" x14ac:dyDescent="0.2">
      <c r="A519" s="16" t="s">
        <v>293</v>
      </c>
    </row>
    <row r="520" spans="1:1" x14ac:dyDescent="0.2">
      <c r="A520" s="16" t="s">
        <v>294</v>
      </c>
    </row>
    <row r="521" spans="1:1" x14ac:dyDescent="0.2">
      <c r="A521" s="16" t="s">
        <v>295</v>
      </c>
    </row>
    <row r="522" spans="1:1" x14ac:dyDescent="0.2">
      <c r="A522" s="15">
        <v>4</v>
      </c>
    </row>
    <row r="523" spans="1:1" x14ac:dyDescent="0.2">
      <c r="A523" s="16" t="s">
        <v>387</v>
      </c>
    </row>
    <row r="524" spans="1:1" x14ac:dyDescent="0.2">
      <c r="A524" s="16" t="s">
        <v>388</v>
      </c>
    </row>
    <row r="525" spans="1:1" x14ac:dyDescent="0.2">
      <c r="A525" s="16" t="s">
        <v>389</v>
      </c>
    </row>
    <row r="526" spans="1:1" x14ac:dyDescent="0.2">
      <c r="A526" s="16" t="s">
        <v>390</v>
      </c>
    </row>
    <row r="527" spans="1:1" x14ac:dyDescent="0.2">
      <c r="A527" s="16" t="s">
        <v>391</v>
      </c>
    </row>
    <row r="528" spans="1:1" x14ac:dyDescent="0.2">
      <c r="A528" s="16" t="s">
        <v>393</v>
      </c>
    </row>
    <row r="529" spans="1:1" x14ac:dyDescent="0.2">
      <c r="A529" s="16" t="s">
        <v>394</v>
      </c>
    </row>
    <row r="530" spans="1:1" x14ac:dyDescent="0.2">
      <c r="A530" s="16" t="s">
        <v>396</v>
      </c>
    </row>
    <row r="531" spans="1:1" x14ac:dyDescent="0.2">
      <c r="A531" s="16" t="s">
        <v>397</v>
      </c>
    </row>
    <row r="532" spans="1:1" x14ac:dyDescent="0.2">
      <c r="A532" s="15">
        <v>5</v>
      </c>
    </row>
    <row r="533" spans="1:1" x14ac:dyDescent="0.2">
      <c r="A533" s="16" t="s">
        <v>515</v>
      </c>
    </row>
    <row r="534" spans="1:1" x14ac:dyDescent="0.2">
      <c r="A534" s="16" t="s">
        <v>518</v>
      </c>
    </row>
    <row r="535" spans="1:1" x14ac:dyDescent="0.2">
      <c r="A535" s="16" t="s">
        <v>523</v>
      </c>
    </row>
    <row r="536" spans="1:1" x14ac:dyDescent="0.2">
      <c r="A536" s="16" t="s">
        <v>525</v>
      </c>
    </row>
    <row r="537" spans="1:1" x14ac:dyDescent="0.2">
      <c r="A537" s="16" t="s">
        <v>492</v>
      </c>
    </row>
    <row r="538" spans="1:1" x14ac:dyDescent="0.2">
      <c r="A538" s="16" t="s">
        <v>494</v>
      </c>
    </row>
    <row r="539" spans="1:1" x14ac:dyDescent="0.2">
      <c r="A539" s="16" t="s">
        <v>497</v>
      </c>
    </row>
    <row r="540" spans="1:1" x14ac:dyDescent="0.2">
      <c r="A540" s="16" t="s">
        <v>498</v>
      </c>
    </row>
    <row r="541" spans="1:1" x14ac:dyDescent="0.2">
      <c r="A541" s="16" t="s">
        <v>505</v>
      </c>
    </row>
    <row r="542" spans="1:1" x14ac:dyDescent="0.2">
      <c r="A542" s="16" t="s">
        <v>506</v>
      </c>
    </row>
    <row r="543" spans="1:1" x14ac:dyDescent="0.2">
      <c r="A543" s="16" t="s">
        <v>507</v>
      </c>
    </row>
    <row r="544" spans="1:1" x14ac:dyDescent="0.2">
      <c r="A544" s="16" t="s">
        <v>511</v>
      </c>
    </row>
    <row r="545" spans="1:1" x14ac:dyDescent="0.2">
      <c r="A545" s="16" t="s">
        <v>514</v>
      </c>
    </row>
    <row r="546" spans="1:1" x14ac:dyDescent="0.2">
      <c r="A546" s="15">
        <v>6</v>
      </c>
    </row>
    <row r="547" spans="1:1" x14ac:dyDescent="0.2">
      <c r="A547" s="16" t="s">
        <v>663</v>
      </c>
    </row>
    <row r="548" spans="1:1" x14ac:dyDescent="0.2">
      <c r="A548" s="16" t="s">
        <v>666</v>
      </c>
    </row>
    <row r="549" spans="1:1" x14ac:dyDescent="0.2">
      <c r="A549" s="16" t="s">
        <v>668</v>
      </c>
    </row>
    <row r="550" spans="1:1" x14ac:dyDescent="0.2">
      <c r="A550" s="16" t="s">
        <v>669</v>
      </c>
    </row>
    <row r="551" spans="1:1" x14ac:dyDescent="0.2">
      <c r="A551" s="16" t="s">
        <v>673</v>
      </c>
    </row>
    <row r="552" spans="1:1" x14ac:dyDescent="0.2">
      <c r="A552" s="16" t="s">
        <v>675</v>
      </c>
    </row>
    <row r="553" spans="1:1" x14ac:dyDescent="0.2">
      <c r="A553" s="16" t="s">
        <v>676</v>
      </c>
    </row>
    <row r="554" spans="1:1" x14ac:dyDescent="0.2">
      <c r="A554" s="16" t="s">
        <v>702</v>
      </c>
    </row>
    <row r="555" spans="1:1" x14ac:dyDescent="0.2">
      <c r="A555" s="15">
        <v>7</v>
      </c>
    </row>
    <row r="556" spans="1:1" x14ac:dyDescent="0.2">
      <c r="A556" s="16" t="s">
        <v>774</v>
      </c>
    </row>
    <row r="557" spans="1:1" x14ac:dyDescent="0.2">
      <c r="A557" s="16" t="s">
        <v>776</v>
      </c>
    </row>
    <row r="558" spans="1:1" x14ac:dyDescent="0.2">
      <c r="A558" s="16" t="s">
        <v>777</v>
      </c>
    </row>
    <row r="559" spans="1:1" x14ac:dyDescent="0.2">
      <c r="A559" s="16" t="s">
        <v>778</v>
      </c>
    </row>
    <row r="560" spans="1:1" x14ac:dyDescent="0.2">
      <c r="A560" s="16" t="s">
        <v>795</v>
      </c>
    </row>
    <row r="561" spans="1:1" x14ac:dyDescent="0.2">
      <c r="A561" s="15">
        <v>8</v>
      </c>
    </row>
    <row r="562" spans="1:1" x14ac:dyDescent="0.2">
      <c r="A562" s="16" t="s">
        <v>857</v>
      </c>
    </row>
    <row r="563" spans="1:1" x14ac:dyDescent="0.2">
      <c r="A563" s="16" t="s">
        <v>858</v>
      </c>
    </row>
    <row r="564" spans="1:1" x14ac:dyDescent="0.2">
      <c r="A564" s="16" t="s">
        <v>859</v>
      </c>
    </row>
    <row r="565" spans="1:1" x14ac:dyDescent="0.2">
      <c r="A565" s="16" t="s">
        <v>860</v>
      </c>
    </row>
    <row r="566" spans="1:1" x14ac:dyDescent="0.2">
      <c r="A566" s="16" t="s">
        <v>894</v>
      </c>
    </row>
    <row r="567" spans="1:1" x14ac:dyDescent="0.2">
      <c r="A567" s="16" t="s">
        <v>896</v>
      </c>
    </row>
    <row r="568" spans="1:1" x14ac:dyDescent="0.2">
      <c r="A568" s="16" t="s">
        <v>897</v>
      </c>
    </row>
    <row r="569" spans="1:1" x14ac:dyDescent="0.2">
      <c r="A569" s="16" t="s">
        <v>898</v>
      </c>
    </row>
    <row r="570" spans="1:1" x14ac:dyDescent="0.2">
      <c r="A570" s="16" t="s">
        <v>899</v>
      </c>
    </row>
    <row r="571" spans="1:1" x14ac:dyDescent="0.2">
      <c r="A571" s="16" t="s">
        <v>907</v>
      </c>
    </row>
    <row r="572" spans="1:1" x14ac:dyDescent="0.2">
      <c r="A572" s="15">
        <v>9</v>
      </c>
    </row>
    <row r="573" spans="1:1" x14ac:dyDescent="0.2">
      <c r="A573" s="16" t="s">
        <v>939</v>
      </c>
    </row>
    <row r="574" spans="1:1" x14ac:dyDescent="0.2">
      <c r="A574" s="16" t="s">
        <v>949</v>
      </c>
    </row>
    <row r="575" spans="1:1" x14ac:dyDescent="0.2">
      <c r="A575" s="16" t="s">
        <v>951</v>
      </c>
    </row>
    <row r="576" spans="1:1" x14ac:dyDescent="0.2">
      <c r="A576" s="16" t="s">
        <v>953</v>
      </c>
    </row>
    <row r="577" spans="1:1" x14ac:dyDescent="0.2">
      <c r="A577" s="16" t="s">
        <v>954</v>
      </c>
    </row>
    <row r="578" spans="1:1" x14ac:dyDescent="0.2">
      <c r="A578" s="16" t="s">
        <v>955</v>
      </c>
    </row>
    <row r="579" spans="1:1" x14ac:dyDescent="0.2">
      <c r="A579" s="16" t="s">
        <v>956</v>
      </c>
    </row>
    <row r="580" spans="1:1" x14ac:dyDescent="0.2">
      <c r="A580" s="15">
        <v>10</v>
      </c>
    </row>
    <row r="581" spans="1:1" x14ac:dyDescent="0.2">
      <c r="A581" s="16" t="s">
        <v>1036</v>
      </c>
    </row>
    <row r="582" spans="1:1" x14ac:dyDescent="0.2">
      <c r="A582" s="16" t="s">
        <v>1037</v>
      </c>
    </row>
    <row r="583" spans="1:1" x14ac:dyDescent="0.2">
      <c r="A583" s="16" t="s">
        <v>1052</v>
      </c>
    </row>
    <row r="584" spans="1:1" x14ac:dyDescent="0.2">
      <c r="A584" s="16" t="s">
        <v>1053</v>
      </c>
    </row>
    <row r="585" spans="1:1" x14ac:dyDescent="0.2">
      <c r="A585" s="16" t="s">
        <v>1059</v>
      </c>
    </row>
    <row r="586" spans="1:1" x14ac:dyDescent="0.2">
      <c r="A586" s="16" t="s">
        <v>1064</v>
      </c>
    </row>
    <row r="587" spans="1:1" x14ac:dyDescent="0.2">
      <c r="A587" s="15">
        <v>11</v>
      </c>
    </row>
    <row r="588" spans="1:1" x14ac:dyDescent="0.2">
      <c r="A588" s="16" t="s">
        <v>1162</v>
      </c>
    </row>
    <row r="589" spans="1:1" x14ac:dyDescent="0.2">
      <c r="A589" s="16" t="s">
        <v>1163</v>
      </c>
    </row>
    <row r="590" spans="1:1" x14ac:dyDescent="0.2">
      <c r="A590" s="16" t="s">
        <v>1166</v>
      </c>
    </row>
    <row r="591" spans="1:1" x14ac:dyDescent="0.2">
      <c r="A591" s="16" t="s">
        <v>1167</v>
      </c>
    </row>
    <row r="592" spans="1:1" x14ac:dyDescent="0.2">
      <c r="A592" s="15">
        <v>12</v>
      </c>
    </row>
    <row r="593" spans="1:1" x14ac:dyDescent="0.2">
      <c r="A593" s="16" t="s">
        <v>1225</v>
      </c>
    </row>
    <row r="594" spans="1:1" x14ac:dyDescent="0.2">
      <c r="A594" s="16" t="s">
        <v>1226</v>
      </c>
    </row>
    <row r="595" spans="1:1" x14ac:dyDescent="0.2">
      <c r="A595" s="16" t="s">
        <v>1227</v>
      </c>
    </row>
    <row r="596" spans="1:1" x14ac:dyDescent="0.2">
      <c r="A596" s="16" t="s">
        <v>1228</v>
      </c>
    </row>
    <row r="597" spans="1:1" x14ac:dyDescent="0.2">
      <c r="A597" s="16" t="s">
        <v>1240</v>
      </c>
    </row>
    <row r="598" spans="1:1" x14ac:dyDescent="0.2">
      <c r="A598" s="16" t="s">
        <v>1241</v>
      </c>
    </row>
    <row r="599" spans="1:1" x14ac:dyDescent="0.2">
      <c r="A599" s="16" t="s">
        <v>1242</v>
      </c>
    </row>
    <row r="600" spans="1:1" x14ac:dyDescent="0.2">
      <c r="A600" s="16" t="s">
        <v>1243</v>
      </c>
    </row>
    <row r="601" spans="1:1" x14ac:dyDescent="0.2">
      <c r="A601" s="16" t="s">
        <v>1247</v>
      </c>
    </row>
    <row r="602" spans="1:1" x14ac:dyDescent="0.2">
      <c r="A602" s="15">
        <v>13</v>
      </c>
    </row>
    <row r="603" spans="1:1" x14ac:dyDescent="0.2">
      <c r="A603" s="16" t="s">
        <v>1312</v>
      </c>
    </row>
    <row r="604" spans="1:1" x14ac:dyDescent="0.2">
      <c r="A604" s="16" t="s">
        <v>1313</v>
      </c>
    </row>
    <row r="605" spans="1:1" x14ac:dyDescent="0.2">
      <c r="A605" s="16" t="s">
        <v>1315</v>
      </c>
    </row>
    <row r="606" spans="1:1" x14ac:dyDescent="0.2">
      <c r="A606" s="15">
        <v>15</v>
      </c>
    </row>
    <row r="607" spans="1:1" x14ac:dyDescent="0.2">
      <c r="A607" s="16" t="s">
        <v>1443</v>
      </c>
    </row>
    <row r="608" spans="1:1" x14ac:dyDescent="0.2">
      <c r="A608" s="16" t="s">
        <v>1444</v>
      </c>
    </row>
    <row r="609" spans="1:1" x14ac:dyDescent="0.2">
      <c r="A609" s="16" t="s">
        <v>1448</v>
      </c>
    </row>
    <row r="610" spans="1:1" x14ac:dyDescent="0.2">
      <c r="A610" s="16" t="s">
        <v>1450</v>
      </c>
    </row>
    <row r="611" spans="1:1" x14ac:dyDescent="0.2">
      <c r="A611" s="16" t="s">
        <v>1451</v>
      </c>
    </row>
    <row r="612" spans="1:1" x14ac:dyDescent="0.2">
      <c r="A612" s="8" t="s">
        <v>1551</v>
      </c>
    </row>
    <row r="613" spans="1:1" x14ac:dyDescent="0.2">
      <c r="A613" s="15">
        <v>1</v>
      </c>
    </row>
    <row r="614" spans="1:1" x14ac:dyDescent="0.2">
      <c r="A614" s="16" t="s">
        <v>90</v>
      </c>
    </row>
    <row r="615" spans="1:1" x14ac:dyDescent="0.2">
      <c r="A615" s="16" t="s">
        <v>91</v>
      </c>
    </row>
    <row r="616" spans="1:1" x14ac:dyDescent="0.2">
      <c r="A616" s="16" t="s">
        <v>94</v>
      </c>
    </row>
    <row r="617" spans="1:1" x14ac:dyDescent="0.2">
      <c r="A617" s="16" t="s">
        <v>99</v>
      </c>
    </row>
    <row r="618" spans="1:1" x14ac:dyDescent="0.2">
      <c r="A618" s="15">
        <v>2</v>
      </c>
    </row>
    <row r="619" spans="1:1" x14ac:dyDescent="0.2">
      <c r="A619" s="16" t="s">
        <v>184</v>
      </c>
    </row>
    <row r="620" spans="1:1" x14ac:dyDescent="0.2">
      <c r="A620" s="16" t="s">
        <v>185</v>
      </c>
    </row>
    <row r="621" spans="1:1" x14ac:dyDescent="0.2">
      <c r="A621" s="16" t="s">
        <v>188</v>
      </c>
    </row>
    <row r="622" spans="1:1" x14ac:dyDescent="0.2">
      <c r="A622" s="15">
        <v>3</v>
      </c>
    </row>
    <row r="623" spans="1:1" x14ac:dyDescent="0.2">
      <c r="A623" s="16" t="s">
        <v>268</v>
      </c>
    </row>
    <row r="624" spans="1:1" x14ac:dyDescent="0.2">
      <c r="A624" s="15">
        <v>4</v>
      </c>
    </row>
    <row r="625" spans="1:1" x14ac:dyDescent="0.2">
      <c r="A625" s="16" t="s">
        <v>385</v>
      </c>
    </row>
    <row r="626" spans="1:1" x14ac:dyDescent="0.2">
      <c r="A626" s="16" t="s">
        <v>411</v>
      </c>
    </row>
    <row r="627" spans="1:1" x14ac:dyDescent="0.2">
      <c r="A627" s="16" t="s">
        <v>414</v>
      </c>
    </row>
    <row r="628" spans="1:1" x14ac:dyDescent="0.2">
      <c r="A628" s="16" t="s">
        <v>417</v>
      </c>
    </row>
    <row r="629" spans="1:1" x14ac:dyDescent="0.2">
      <c r="A629" s="15">
        <v>5</v>
      </c>
    </row>
    <row r="630" spans="1:1" x14ac:dyDescent="0.2">
      <c r="A630" s="16" t="s">
        <v>529</v>
      </c>
    </row>
    <row r="631" spans="1:1" x14ac:dyDescent="0.2">
      <c r="A631" s="16" t="s">
        <v>493</v>
      </c>
    </row>
    <row r="632" spans="1:1" x14ac:dyDescent="0.2">
      <c r="A632" s="15">
        <v>6</v>
      </c>
    </row>
    <row r="633" spans="1:1" x14ac:dyDescent="0.2">
      <c r="A633" s="16" t="s">
        <v>661</v>
      </c>
    </row>
    <row r="634" spans="1:1" x14ac:dyDescent="0.2">
      <c r="A634" s="16" t="s">
        <v>705</v>
      </c>
    </row>
    <row r="635" spans="1:1" x14ac:dyDescent="0.2">
      <c r="A635" s="15">
        <v>8</v>
      </c>
    </row>
    <row r="636" spans="1:1" x14ac:dyDescent="0.2">
      <c r="A636" s="16" t="s">
        <v>862</v>
      </c>
    </row>
    <row r="637" spans="1:1" x14ac:dyDescent="0.2">
      <c r="A637" s="16" t="s">
        <v>892</v>
      </c>
    </row>
    <row r="638" spans="1:1" x14ac:dyDescent="0.2">
      <c r="A638" s="16" t="s">
        <v>900</v>
      </c>
    </row>
    <row r="639" spans="1:1" x14ac:dyDescent="0.2">
      <c r="A639" s="16" t="s">
        <v>901</v>
      </c>
    </row>
    <row r="640" spans="1:1" x14ac:dyDescent="0.2">
      <c r="A640" s="16" t="s">
        <v>902</v>
      </c>
    </row>
    <row r="641" spans="1:1" x14ac:dyDescent="0.2">
      <c r="A641" s="16" t="s">
        <v>909</v>
      </c>
    </row>
    <row r="642" spans="1:1" x14ac:dyDescent="0.2">
      <c r="A642" s="15">
        <v>9</v>
      </c>
    </row>
    <row r="643" spans="1:1" x14ac:dyDescent="0.2">
      <c r="A643" s="16" t="s">
        <v>938</v>
      </c>
    </row>
    <row r="644" spans="1:1" x14ac:dyDescent="0.2">
      <c r="A644" s="16" t="s">
        <v>958</v>
      </c>
    </row>
    <row r="645" spans="1:1" x14ac:dyDescent="0.2">
      <c r="A645" s="16" t="s">
        <v>961</v>
      </c>
    </row>
    <row r="646" spans="1:1" x14ac:dyDescent="0.2">
      <c r="A646" s="15">
        <v>10</v>
      </c>
    </row>
    <row r="647" spans="1:1" x14ac:dyDescent="0.2">
      <c r="A647" s="16" t="s">
        <v>1035</v>
      </c>
    </row>
    <row r="648" spans="1:1" x14ac:dyDescent="0.2">
      <c r="A648" s="16" t="s">
        <v>1055</v>
      </c>
    </row>
    <row r="649" spans="1:1" x14ac:dyDescent="0.2">
      <c r="A649" s="16" t="s">
        <v>1058</v>
      </c>
    </row>
    <row r="650" spans="1:1" x14ac:dyDescent="0.2">
      <c r="A650" s="15">
        <v>11</v>
      </c>
    </row>
    <row r="651" spans="1:1" x14ac:dyDescent="0.2">
      <c r="A651" s="16" t="s">
        <v>1156</v>
      </c>
    </row>
    <row r="652" spans="1:1" x14ac:dyDescent="0.2">
      <c r="A652" s="16" t="s">
        <v>1165</v>
      </c>
    </row>
    <row r="653" spans="1:1" x14ac:dyDescent="0.2">
      <c r="A653" s="15">
        <v>12</v>
      </c>
    </row>
    <row r="654" spans="1:1" x14ac:dyDescent="0.2">
      <c r="A654" s="16" t="s">
        <v>1220</v>
      </c>
    </row>
    <row r="655" spans="1:1" x14ac:dyDescent="0.2">
      <c r="A655" s="16" t="s">
        <v>1222</v>
      </c>
    </row>
    <row r="656" spans="1:1" x14ac:dyDescent="0.2">
      <c r="A656" s="16" t="s">
        <v>1224</v>
      </c>
    </row>
    <row r="657" spans="1:1" x14ac:dyDescent="0.2">
      <c r="A657" s="15">
        <v>13</v>
      </c>
    </row>
    <row r="658" spans="1:1" x14ac:dyDescent="0.2">
      <c r="A658" s="16" t="s">
        <v>1303</v>
      </c>
    </row>
    <row r="659" spans="1:1" x14ac:dyDescent="0.2">
      <c r="A659" s="16" t="s">
        <v>1304</v>
      </c>
    </row>
    <row r="660" spans="1:1" x14ac:dyDescent="0.2">
      <c r="A660" s="16" t="s">
        <v>1305</v>
      </c>
    </row>
    <row r="661" spans="1:1" x14ac:dyDescent="0.2">
      <c r="A661" s="16" t="s">
        <v>1306</v>
      </c>
    </row>
    <row r="662" spans="1:1" x14ac:dyDescent="0.2">
      <c r="A662" s="16" t="s">
        <v>1307</v>
      </c>
    </row>
    <row r="663" spans="1:1" x14ac:dyDescent="0.2">
      <c r="A663" s="15">
        <v>15</v>
      </c>
    </row>
    <row r="664" spans="1:1" x14ac:dyDescent="0.2">
      <c r="A664" s="16" t="s">
        <v>1454</v>
      </c>
    </row>
    <row r="665" spans="1:1" x14ac:dyDescent="0.2">
      <c r="A665" s="4" t="s">
        <v>102</v>
      </c>
    </row>
    <row r="666" spans="1:1" x14ac:dyDescent="0.2">
      <c r="A666" s="8" t="s">
        <v>1550</v>
      </c>
    </row>
    <row r="667" spans="1:1" x14ac:dyDescent="0.2">
      <c r="A667" s="15">
        <v>2</v>
      </c>
    </row>
    <row r="668" spans="1:1" x14ac:dyDescent="0.2">
      <c r="A668" s="16" t="s">
        <v>245</v>
      </c>
    </row>
    <row r="669" spans="1:1" x14ac:dyDescent="0.2">
      <c r="A669" s="16" t="s">
        <v>247</v>
      </c>
    </row>
    <row r="670" spans="1:1" x14ac:dyDescent="0.2">
      <c r="A670" s="16" t="s">
        <v>249</v>
      </c>
    </row>
    <row r="671" spans="1:1" x14ac:dyDescent="0.2">
      <c r="A671" s="15">
        <v>3</v>
      </c>
    </row>
    <row r="672" spans="1:1" x14ac:dyDescent="0.2">
      <c r="A672" s="16" t="s">
        <v>342</v>
      </c>
    </row>
    <row r="673" spans="1:1" x14ac:dyDescent="0.2">
      <c r="A673" s="16" t="s">
        <v>346</v>
      </c>
    </row>
    <row r="674" spans="1:1" x14ac:dyDescent="0.2">
      <c r="A674" s="16" t="s">
        <v>348</v>
      </c>
    </row>
    <row r="675" spans="1:1" x14ac:dyDescent="0.2">
      <c r="A675" s="16" t="s">
        <v>352</v>
      </c>
    </row>
    <row r="676" spans="1:1" x14ac:dyDescent="0.2">
      <c r="A676" s="16" t="s">
        <v>358</v>
      </c>
    </row>
    <row r="677" spans="1:1" x14ac:dyDescent="0.2">
      <c r="A677" s="15">
        <v>4</v>
      </c>
    </row>
    <row r="678" spans="1:1" x14ac:dyDescent="0.2">
      <c r="A678" s="16" t="s">
        <v>470</v>
      </c>
    </row>
    <row r="679" spans="1:1" x14ac:dyDescent="0.2">
      <c r="A679" s="16" t="s">
        <v>474</v>
      </c>
    </row>
    <row r="680" spans="1:1" x14ac:dyDescent="0.2">
      <c r="A680" s="15">
        <v>5</v>
      </c>
    </row>
    <row r="681" spans="1:1" x14ac:dyDescent="0.2">
      <c r="A681" s="16" t="s">
        <v>556</v>
      </c>
    </row>
    <row r="682" spans="1:1" x14ac:dyDescent="0.2">
      <c r="A682" s="16" t="s">
        <v>565</v>
      </c>
    </row>
    <row r="683" spans="1:1" x14ac:dyDescent="0.2">
      <c r="A683" s="16" t="s">
        <v>568</v>
      </c>
    </row>
    <row r="684" spans="1:1" x14ac:dyDescent="0.2">
      <c r="A684" s="15">
        <v>6</v>
      </c>
    </row>
    <row r="685" spans="1:1" x14ac:dyDescent="0.2">
      <c r="A685" s="16" t="s">
        <v>752</v>
      </c>
    </row>
    <row r="686" spans="1:1" x14ac:dyDescent="0.2">
      <c r="A686" s="15">
        <v>7</v>
      </c>
    </row>
    <row r="687" spans="1:1" x14ac:dyDescent="0.2">
      <c r="A687" s="16" t="s">
        <v>800</v>
      </c>
    </row>
    <row r="688" spans="1:1" x14ac:dyDescent="0.2">
      <c r="A688" s="16" t="s">
        <v>811</v>
      </c>
    </row>
    <row r="689" spans="1:1" x14ac:dyDescent="0.2">
      <c r="A689" s="16" t="s">
        <v>816</v>
      </c>
    </row>
    <row r="690" spans="1:1" x14ac:dyDescent="0.2">
      <c r="A690" s="16" t="s">
        <v>817</v>
      </c>
    </row>
    <row r="691" spans="1:1" x14ac:dyDescent="0.2">
      <c r="A691" s="16" t="s">
        <v>818</v>
      </c>
    </row>
    <row r="692" spans="1:1" x14ac:dyDescent="0.2">
      <c r="A692" s="15">
        <v>11</v>
      </c>
    </row>
    <row r="693" spans="1:1" x14ac:dyDescent="0.2">
      <c r="A693" s="16" t="s">
        <v>1173</v>
      </c>
    </row>
    <row r="694" spans="1:1" x14ac:dyDescent="0.2">
      <c r="A694" s="16" t="s">
        <v>1174</v>
      </c>
    </row>
    <row r="695" spans="1:1" x14ac:dyDescent="0.2">
      <c r="A695" s="16" t="s">
        <v>1175</v>
      </c>
    </row>
    <row r="696" spans="1:1" x14ac:dyDescent="0.2">
      <c r="A696" s="15">
        <v>12</v>
      </c>
    </row>
    <row r="697" spans="1:1" x14ac:dyDescent="0.2">
      <c r="A697" s="16" t="s">
        <v>1273</v>
      </c>
    </row>
    <row r="698" spans="1:1" x14ac:dyDescent="0.2">
      <c r="A698" s="16" t="s">
        <v>1288</v>
      </c>
    </row>
    <row r="699" spans="1:1" x14ac:dyDescent="0.2">
      <c r="A699" s="16" t="s">
        <v>1289</v>
      </c>
    </row>
    <row r="700" spans="1:1" x14ac:dyDescent="0.2">
      <c r="A700" s="16" t="s">
        <v>1291</v>
      </c>
    </row>
    <row r="701" spans="1:1" x14ac:dyDescent="0.2">
      <c r="A701" s="16" t="s">
        <v>1292</v>
      </c>
    </row>
    <row r="702" spans="1:1" x14ac:dyDescent="0.2">
      <c r="A702" s="8" t="s">
        <v>1551</v>
      </c>
    </row>
    <row r="703" spans="1:1" x14ac:dyDescent="0.2">
      <c r="A703" s="15">
        <v>1</v>
      </c>
    </row>
    <row r="704" spans="1:1" x14ac:dyDescent="0.2">
      <c r="A704" s="16" t="s">
        <v>101</v>
      </c>
    </row>
    <row r="705" spans="1:1" x14ac:dyDescent="0.2">
      <c r="A705" s="16" t="s">
        <v>136</v>
      </c>
    </row>
    <row r="706" spans="1:1" x14ac:dyDescent="0.2">
      <c r="A706" s="16" t="s">
        <v>106</v>
      </c>
    </row>
    <row r="707" spans="1:1" x14ac:dyDescent="0.2">
      <c r="A707" s="16" t="s">
        <v>107</v>
      </c>
    </row>
    <row r="708" spans="1:1" x14ac:dyDescent="0.2">
      <c r="A708" s="16" t="s">
        <v>109</v>
      </c>
    </row>
    <row r="709" spans="1:1" x14ac:dyDescent="0.2">
      <c r="A709" s="16" t="s">
        <v>110</v>
      </c>
    </row>
    <row r="710" spans="1:1" x14ac:dyDescent="0.2">
      <c r="A710" s="16" t="s">
        <v>132</v>
      </c>
    </row>
    <row r="711" spans="1:1" x14ac:dyDescent="0.2">
      <c r="A711" s="16" t="s">
        <v>134</v>
      </c>
    </row>
    <row r="712" spans="1:1" x14ac:dyDescent="0.2">
      <c r="A712" s="15">
        <v>2</v>
      </c>
    </row>
    <row r="713" spans="1:1" x14ac:dyDescent="0.2">
      <c r="A713" s="16" t="s">
        <v>242</v>
      </c>
    </row>
    <row r="714" spans="1:1" x14ac:dyDescent="0.2">
      <c r="A714" s="15">
        <v>3</v>
      </c>
    </row>
    <row r="715" spans="1:1" x14ac:dyDescent="0.2">
      <c r="A715" s="16" t="s">
        <v>356</v>
      </c>
    </row>
    <row r="716" spans="1:1" x14ac:dyDescent="0.2">
      <c r="A716" s="16" t="s">
        <v>362</v>
      </c>
    </row>
    <row r="717" spans="1:1" x14ac:dyDescent="0.2">
      <c r="A717" s="16" t="s">
        <v>366</v>
      </c>
    </row>
    <row r="718" spans="1:1" x14ac:dyDescent="0.2">
      <c r="A718" s="16" t="s">
        <v>368</v>
      </c>
    </row>
    <row r="719" spans="1:1" x14ac:dyDescent="0.2">
      <c r="A719" s="16" t="s">
        <v>371</v>
      </c>
    </row>
    <row r="720" spans="1:1" x14ac:dyDescent="0.2">
      <c r="A720" s="16" t="s">
        <v>373</v>
      </c>
    </row>
    <row r="721" spans="1:1" x14ac:dyDescent="0.2">
      <c r="A721" s="16" t="s">
        <v>375</v>
      </c>
    </row>
    <row r="722" spans="1:1" x14ac:dyDescent="0.2">
      <c r="A722" s="16" t="s">
        <v>377</v>
      </c>
    </row>
    <row r="723" spans="1:1" x14ac:dyDescent="0.2">
      <c r="A723" s="15">
        <v>4</v>
      </c>
    </row>
    <row r="724" spans="1:1" x14ac:dyDescent="0.2">
      <c r="A724" s="16" t="s">
        <v>480</v>
      </c>
    </row>
    <row r="725" spans="1:1" x14ac:dyDescent="0.2">
      <c r="A725" s="16" t="s">
        <v>488</v>
      </c>
    </row>
    <row r="726" spans="1:1" x14ac:dyDescent="0.2">
      <c r="A726" s="16" t="s">
        <v>490</v>
      </c>
    </row>
    <row r="727" spans="1:1" x14ac:dyDescent="0.2">
      <c r="A727" s="15">
        <v>5</v>
      </c>
    </row>
    <row r="728" spans="1:1" x14ac:dyDescent="0.2">
      <c r="A728" s="16" t="s">
        <v>562</v>
      </c>
    </row>
    <row r="729" spans="1:1" x14ac:dyDescent="0.2">
      <c r="A729" s="16" t="s">
        <v>563</v>
      </c>
    </row>
    <row r="730" spans="1:1" x14ac:dyDescent="0.2">
      <c r="A730" s="16" t="s">
        <v>564</v>
      </c>
    </row>
    <row r="731" spans="1:1" x14ac:dyDescent="0.2">
      <c r="A731" s="16" t="s">
        <v>569</v>
      </c>
    </row>
    <row r="732" spans="1:1" x14ac:dyDescent="0.2">
      <c r="A732" s="16" t="s">
        <v>570</v>
      </c>
    </row>
    <row r="733" spans="1:1" x14ac:dyDescent="0.2">
      <c r="A733" s="16" t="s">
        <v>573</v>
      </c>
    </row>
    <row r="734" spans="1:1" x14ac:dyDescent="0.2">
      <c r="A734" s="15">
        <v>6</v>
      </c>
    </row>
    <row r="735" spans="1:1" x14ac:dyDescent="0.2">
      <c r="A735" s="16" t="s">
        <v>758</v>
      </c>
    </row>
    <row r="736" spans="1:1" x14ac:dyDescent="0.2">
      <c r="A736" s="15">
        <v>8</v>
      </c>
    </row>
    <row r="737" spans="1:1" x14ac:dyDescent="0.2">
      <c r="A737" s="16" t="s">
        <v>863</v>
      </c>
    </row>
    <row r="738" spans="1:1" x14ac:dyDescent="0.2">
      <c r="A738" s="16" t="s">
        <v>864</v>
      </c>
    </row>
    <row r="739" spans="1:1" x14ac:dyDescent="0.2">
      <c r="A739" s="16" t="s">
        <v>865</v>
      </c>
    </row>
    <row r="740" spans="1:1" x14ac:dyDescent="0.2">
      <c r="A740" s="16" t="s">
        <v>866</v>
      </c>
    </row>
    <row r="741" spans="1:1" x14ac:dyDescent="0.2">
      <c r="A741" s="16" t="s">
        <v>888</v>
      </c>
    </row>
    <row r="742" spans="1:1" x14ac:dyDescent="0.2">
      <c r="A742" s="16" t="s">
        <v>889</v>
      </c>
    </row>
    <row r="743" spans="1:1" x14ac:dyDescent="0.2">
      <c r="A743" s="15">
        <v>10</v>
      </c>
    </row>
    <row r="744" spans="1:1" x14ac:dyDescent="0.2">
      <c r="A744" s="16" t="s">
        <v>1113</v>
      </c>
    </row>
    <row r="745" spans="1:1" x14ac:dyDescent="0.2">
      <c r="A745" s="16" t="s">
        <v>1115</v>
      </c>
    </row>
    <row r="746" spans="1:1" x14ac:dyDescent="0.2">
      <c r="A746" s="16" t="s">
        <v>1127</v>
      </c>
    </row>
    <row r="747" spans="1:1" x14ac:dyDescent="0.2">
      <c r="A747" s="15">
        <v>12</v>
      </c>
    </row>
    <row r="748" spans="1:1" x14ac:dyDescent="0.2">
      <c r="A748" s="16" t="s">
        <v>1271</v>
      </c>
    </row>
    <row r="749" spans="1:1" x14ac:dyDescent="0.2">
      <c r="A749" s="16" t="s">
        <v>1274</v>
      </c>
    </row>
    <row r="750" spans="1:1" x14ac:dyDescent="0.2">
      <c r="A750" s="15">
        <v>13</v>
      </c>
    </row>
    <row r="751" spans="1:1" x14ac:dyDescent="0.2">
      <c r="A751" s="16" t="s">
        <v>1334</v>
      </c>
    </row>
    <row r="752" spans="1:1" x14ac:dyDescent="0.2">
      <c r="A752" s="4" t="s">
        <v>112</v>
      </c>
    </row>
    <row r="753" spans="1:1" x14ac:dyDescent="0.2">
      <c r="A753" s="8" t="s">
        <v>1550</v>
      </c>
    </row>
    <row r="754" spans="1:1" x14ac:dyDescent="0.2">
      <c r="A754" s="15">
        <v>1</v>
      </c>
    </row>
    <row r="755" spans="1:1" x14ac:dyDescent="0.2">
      <c r="A755" s="16" t="s">
        <v>111</v>
      </c>
    </row>
    <row r="756" spans="1:1" x14ac:dyDescent="0.2">
      <c r="A756" s="16" t="s">
        <v>122</v>
      </c>
    </row>
    <row r="757" spans="1:1" x14ac:dyDescent="0.2">
      <c r="A757" s="16" t="s">
        <v>125</v>
      </c>
    </row>
    <row r="758" spans="1:1" x14ac:dyDescent="0.2">
      <c r="A758" s="16" t="s">
        <v>128</v>
      </c>
    </row>
    <row r="759" spans="1:1" x14ac:dyDescent="0.2">
      <c r="A759" s="16" t="s">
        <v>129</v>
      </c>
    </row>
    <row r="760" spans="1:1" x14ac:dyDescent="0.2">
      <c r="A760" s="16" t="s">
        <v>113</v>
      </c>
    </row>
    <row r="761" spans="1:1" x14ac:dyDescent="0.2">
      <c r="A761" s="16" t="s">
        <v>118</v>
      </c>
    </row>
    <row r="762" spans="1:1" x14ac:dyDescent="0.2">
      <c r="A762" s="16" t="s">
        <v>119</v>
      </c>
    </row>
    <row r="763" spans="1:1" x14ac:dyDescent="0.2">
      <c r="A763" s="16" t="s">
        <v>120</v>
      </c>
    </row>
    <row r="764" spans="1:1" x14ac:dyDescent="0.2">
      <c r="A764" s="16" t="s">
        <v>121</v>
      </c>
    </row>
    <row r="765" spans="1:1" x14ac:dyDescent="0.2">
      <c r="A765" s="15">
        <v>2</v>
      </c>
    </row>
    <row r="766" spans="1:1" x14ac:dyDescent="0.2">
      <c r="A766" s="16" t="s">
        <v>216</v>
      </c>
    </row>
    <row r="767" spans="1:1" x14ac:dyDescent="0.2">
      <c r="A767" s="16" t="s">
        <v>224</v>
      </c>
    </row>
    <row r="768" spans="1:1" x14ac:dyDescent="0.2">
      <c r="A768" s="16" t="s">
        <v>226</v>
      </c>
    </row>
    <row r="769" spans="1:1" x14ac:dyDescent="0.2">
      <c r="A769" s="16" t="s">
        <v>231</v>
      </c>
    </row>
    <row r="770" spans="1:1" x14ac:dyDescent="0.2">
      <c r="A770" s="16" t="s">
        <v>234</v>
      </c>
    </row>
    <row r="771" spans="1:1" x14ac:dyDescent="0.2">
      <c r="A771" s="16" t="s">
        <v>238</v>
      </c>
    </row>
    <row r="772" spans="1:1" x14ac:dyDescent="0.2">
      <c r="A772" s="15">
        <v>3</v>
      </c>
    </row>
    <row r="773" spans="1:1" x14ac:dyDescent="0.2">
      <c r="A773" s="16" t="s">
        <v>314</v>
      </c>
    </row>
    <row r="774" spans="1:1" x14ac:dyDescent="0.2">
      <c r="A774" s="16" t="s">
        <v>315</v>
      </c>
    </row>
    <row r="775" spans="1:1" x14ac:dyDescent="0.2">
      <c r="A775" s="16" t="s">
        <v>318</v>
      </c>
    </row>
    <row r="776" spans="1:1" x14ac:dyDescent="0.2">
      <c r="A776" s="16" t="s">
        <v>320</v>
      </c>
    </row>
    <row r="777" spans="1:1" x14ac:dyDescent="0.2">
      <c r="A777" s="16" t="s">
        <v>328</v>
      </c>
    </row>
    <row r="778" spans="1:1" x14ac:dyDescent="0.2">
      <c r="A778" s="16" t="s">
        <v>333</v>
      </c>
    </row>
    <row r="779" spans="1:1" x14ac:dyDescent="0.2">
      <c r="A779" s="16" t="s">
        <v>339</v>
      </c>
    </row>
    <row r="780" spans="1:1" x14ac:dyDescent="0.2">
      <c r="A780" s="15">
        <v>7</v>
      </c>
    </row>
    <row r="781" spans="1:1" x14ac:dyDescent="0.2">
      <c r="A781" s="16" t="s">
        <v>801</v>
      </c>
    </row>
    <row r="782" spans="1:1" x14ac:dyDescent="0.2">
      <c r="A782" s="16" t="s">
        <v>805</v>
      </c>
    </row>
    <row r="783" spans="1:1" x14ac:dyDescent="0.2">
      <c r="A783" s="16" t="s">
        <v>808</v>
      </c>
    </row>
    <row r="784" spans="1:1" x14ac:dyDescent="0.2">
      <c r="A784" s="15">
        <v>9</v>
      </c>
    </row>
    <row r="785" spans="1:1" x14ac:dyDescent="0.2">
      <c r="A785" s="16" t="s">
        <v>1004</v>
      </c>
    </row>
    <row r="786" spans="1:1" x14ac:dyDescent="0.2">
      <c r="A786" s="16" t="s">
        <v>1005</v>
      </c>
    </row>
    <row r="787" spans="1:1" x14ac:dyDescent="0.2">
      <c r="A787" s="15">
        <v>10</v>
      </c>
    </row>
    <row r="788" spans="1:1" x14ac:dyDescent="0.2">
      <c r="A788" s="16" t="s">
        <v>1109</v>
      </c>
    </row>
    <row r="789" spans="1:1" x14ac:dyDescent="0.2">
      <c r="A789" s="16" t="s">
        <v>1110</v>
      </c>
    </row>
    <row r="790" spans="1:1" x14ac:dyDescent="0.2">
      <c r="A790" s="16" t="s">
        <v>1117</v>
      </c>
    </row>
    <row r="791" spans="1:1" x14ac:dyDescent="0.2">
      <c r="A791" s="16" t="s">
        <v>1119</v>
      </c>
    </row>
    <row r="792" spans="1:1" x14ac:dyDescent="0.2">
      <c r="A792" s="16" t="s">
        <v>1120</v>
      </c>
    </row>
    <row r="793" spans="1:1" x14ac:dyDescent="0.2">
      <c r="A793" s="15">
        <v>11</v>
      </c>
    </row>
    <row r="794" spans="1:1" x14ac:dyDescent="0.2">
      <c r="A794" s="16" t="s">
        <v>1177</v>
      </c>
    </row>
    <row r="795" spans="1:1" x14ac:dyDescent="0.2">
      <c r="A795" s="16" t="s">
        <v>1178</v>
      </c>
    </row>
    <row r="796" spans="1:1" x14ac:dyDescent="0.2">
      <c r="A796" s="16" t="s">
        <v>1179</v>
      </c>
    </row>
    <row r="797" spans="1:1" x14ac:dyDescent="0.2">
      <c r="A797" s="15">
        <v>12</v>
      </c>
    </row>
    <row r="798" spans="1:1" x14ac:dyDescent="0.2">
      <c r="A798" s="16" t="s">
        <v>1270</v>
      </c>
    </row>
    <row r="799" spans="1:1" x14ac:dyDescent="0.2">
      <c r="A799" s="15">
        <v>13</v>
      </c>
    </row>
    <row r="800" spans="1:1" x14ac:dyDescent="0.2">
      <c r="A800" s="16" t="s">
        <v>1329</v>
      </c>
    </row>
    <row r="801" spans="1:1" x14ac:dyDescent="0.2">
      <c r="A801" s="16" t="s">
        <v>1330</v>
      </c>
    </row>
    <row r="802" spans="1:1" x14ac:dyDescent="0.2">
      <c r="A802" s="16" t="s">
        <v>1331</v>
      </c>
    </row>
    <row r="803" spans="1:1" x14ac:dyDescent="0.2">
      <c r="A803" s="15">
        <v>14</v>
      </c>
    </row>
    <row r="804" spans="1:1" x14ac:dyDescent="0.2">
      <c r="A804" s="16" t="s">
        <v>1390</v>
      </c>
    </row>
    <row r="805" spans="1:1" x14ac:dyDescent="0.2">
      <c r="A805" s="15">
        <v>15</v>
      </c>
    </row>
    <row r="806" spans="1:1" x14ac:dyDescent="0.2">
      <c r="A806" s="16" t="s">
        <v>1414</v>
      </c>
    </row>
    <row r="807" spans="1:1" x14ac:dyDescent="0.2">
      <c r="A807" s="16" t="s">
        <v>1405</v>
      </c>
    </row>
    <row r="808" spans="1:1" x14ac:dyDescent="0.2">
      <c r="A808" s="16" t="s">
        <v>1406</v>
      </c>
    </row>
    <row r="809" spans="1:1" x14ac:dyDescent="0.2">
      <c r="A809" s="16" t="s">
        <v>1407</v>
      </c>
    </row>
    <row r="810" spans="1:1" x14ac:dyDescent="0.2">
      <c r="A810" s="16" t="s">
        <v>1412</v>
      </c>
    </row>
    <row r="811" spans="1:1" x14ac:dyDescent="0.2">
      <c r="A811" s="8" t="s">
        <v>1551</v>
      </c>
    </row>
    <row r="812" spans="1:1" x14ac:dyDescent="0.2">
      <c r="A812" s="15">
        <v>1</v>
      </c>
    </row>
    <row r="813" spans="1:1" x14ac:dyDescent="0.2">
      <c r="A813" s="16" t="s">
        <v>114</v>
      </c>
    </row>
    <row r="814" spans="1:1" x14ac:dyDescent="0.2">
      <c r="A814" s="15">
        <v>2</v>
      </c>
    </row>
    <row r="815" spans="1:1" x14ac:dyDescent="0.2">
      <c r="A815" s="16" t="s">
        <v>213</v>
      </c>
    </row>
    <row r="816" spans="1:1" x14ac:dyDescent="0.2">
      <c r="A816" s="16" t="s">
        <v>215</v>
      </c>
    </row>
    <row r="817" spans="1:1" x14ac:dyDescent="0.2">
      <c r="A817" s="16" t="s">
        <v>217</v>
      </c>
    </row>
    <row r="818" spans="1:1" x14ac:dyDescent="0.2">
      <c r="A818" s="16" t="s">
        <v>235</v>
      </c>
    </row>
    <row r="819" spans="1:1" x14ac:dyDescent="0.2">
      <c r="A819" s="15">
        <v>9</v>
      </c>
    </row>
    <row r="820" spans="1:1" x14ac:dyDescent="0.2">
      <c r="A820" s="16" t="s">
        <v>1002</v>
      </c>
    </row>
    <row r="821" spans="1:1" x14ac:dyDescent="0.2">
      <c r="A821" s="15">
        <v>15</v>
      </c>
    </row>
    <row r="822" spans="1:1" x14ac:dyDescent="0.2">
      <c r="A822" s="16" t="s">
        <v>1404</v>
      </c>
    </row>
    <row r="823" spans="1:1" x14ac:dyDescent="0.2">
      <c r="A823" s="16" t="s">
        <v>1408</v>
      </c>
    </row>
    <row r="824" spans="1:1" x14ac:dyDescent="0.2">
      <c r="A824" s="4" t="s">
        <v>60</v>
      </c>
    </row>
    <row r="825" spans="1:1" x14ac:dyDescent="0.2">
      <c r="A825" s="8" t="s">
        <v>1550</v>
      </c>
    </row>
    <row r="826" spans="1:1" x14ac:dyDescent="0.2">
      <c r="A826" s="15">
        <v>1</v>
      </c>
    </row>
    <row r="827" spans="1:1" x14ac:dyDescent="0.2">
      <c r="A827" s="16" t="s">
        <v>74</v>
      </c>
    </row>
    <row r="828" spans="1:1" x14ac:dyDescent="0.2">
      <c r="A828" s="16" t="s">
        <v>76</v>
      </c>
    </row>
    <row r="829" spans="1:1" x14ac:dyDescent="0.2">
      <c r="A829" s="16" t="s">
        <v>78</v>
      </c>
    </row>
    <row r="830" spans="1:1" x14ac:dyDescent="0.2">
      <c r="A830" s="16" t="s">
        <v>80</v>
      </c>
    </row>
    <row r="831" spans="1:1" x14ac:dyDescent="0.2">
      <c r="A831" s="16" t="s">
        <v>82</v>
      </c>
    </row>
    <row r="832" spans="1:1" x14ac:dyDescent="0.2">
      <c r="A832" s="16" t="s">
        <v>73</v>
      </c>
    </row>
    <row r="833" spans="1:1" x14ac:dyDescent="0.2">
      <c r="A833" s="15">
        <v>2</v>
      </c>
    </row>
    <row r="834" spans="1:1" x14ac:dyDescent="0.2">
      <c r="A834" s="16" t="s">
        <v>138</v>
      </c>
    </row>
    <row r="835" spans="1:1" x14ac:dyDescent="0.2">
      <c r="A835" s="16" t="s">
        <v>148</v>
      </c>
    </row>
    <row r="836" spans="1:1" x14ac:dyDescent="0.2">
      <c r="A836" s="16" t="s">
        <v>151</v>
      </c>
    </row>
    <row r="837" spans="1:1" x14ac:dyDescent="0.2">
      <c r="A837" s="16" t="s">
        <v>152</v>
      </c>
    </row>
    <row r="838" spans="1:1" x14ac:dyDescent="0.2">
      <c r="A838" s="16" t="s">
        <v>154</v>
      </c>
    </row>
    <row r="839" spans="1:1" x14ac:dyDescent="0.2">
      <c r="A839" s="16" t="s">
        <v>156</v>
      </c>
    </row>
    <row r="840" spans="1:1" x14ac:dyDescent="0.2">
      <c r="A840" s="16" t="s">
        <v>159</v>
      </c>
    </row>
    <row r="841" spans="1:1" x14ac:dyDescent="0.2">
      <c r="A841" s="16" t="s">
        <v>161</v>
      </c>
    </row>
    <row r="842" spans="1:1" x14ac:dyDescent="0.2">
      <c r="A842" s="16" t="s">
        <v>164</v>
      </c>
    </row>
    <row r="843" spans="1:1" x14ac:dyDescent="0.2">
      <c r="A843" s="16" t="s">
        <v>165</v>
      </c>
    </row>
    <row r="844" spans="1:1" x14ac:dyDescent="0.2">
      <c r="A844" s="16" t="s">
        <v>166</v>
      </c>
    </row>
    <row r="845" spans="1:1" x14ac:dyDescent="0.2">
      <c r="A845" s="16" t="s">
        <v>168</v>
      </c>
    </row>
    <row r="846" spans="1:1" x14ac:dyDescent="0.2">
      <c r="A846" s="15">
        <v>3</v>
      </c>
    </row>
    <row r="847" spans="1:1" x14ac:dyDescent="0.2">
      <c r="A847" s="16" t="s">
        <v>278</v>
      </c>
    </row>
    <row r="848" spans="1:1" x14ac:dyDescent="0.2">
      <c r="A848" s="16" t="s">
        <v>280</v>
      </c>
    </row>
    <row r="849" spans="1:1" x14ac:dyDescent="0.2">
      <c r="A849" s="16" t="s">
        <v>282</v>
      </c>
    </row>
    <row r="850" spans="1:1" x14ac:dyDescent="0.2">
      <c r="A850" s="16" t="s">
        <v>299</v>
      </c>
    </row>
    <row r="851" spans="1:1" x14ac:dyDescent="0.2">
      <c r="A851" s="16" t="s">
        <v>300</v>
      </c>
    </row>
    <row r="852" spans="1:1" x14ac:dyDescent="0.2">
      <c r="A852" s="16" t="s">
        <v>301</v>
      </c>
    </row>
    <row r="853" spans="1:1" x14ac:dyDescent="0.2">
      <c r="A853" s="16" t="s">
        <v>307</v>
      </c>
    </row>
    <row r="854" spans="1:1" x14ac:dyDescent="0.2">
      <c r="A854" s="16" t="s">
        <v>312</v>
      </c>
    </row>
    <row r="855" spans="1:1" x14ac:dyDescent="0.2">
      <c r="A855" s="15">
        <v>4</v>
      </c>
    </row>
    <row r="856" spans="1:1" x14ac:dyDescent="0.2">
      <c r="A856" s="16" t="s">
        <v>421</v>
      </c>
    </row>
    <row r="857" spans="1:1" x14ac:dyDescent="0.2">
      <c r="A857" s="16" t="s">
        <v>424</v>
      </c>
    </row>
    <row r="858" spans="1:1" x14ac:dyDescent="0.2">
      <c r="A858" s="16" t="s">
        <v>426</v>
      </c>
    </row>
    <row r="859" spans="1:1" x14ac:dyDescent="0.2">
      <c r="A859" s="16" t="s">
        <v>432</v>
      </c>
    </row>
    <row r="860" spans="1:1" x14ac:dyDescent="0.2">
      <c r="A860" s="16" t="s">
        <v>434</v>
      </c>
    </row>
    <row r="861" spans="1:1" x14ac:dyDescent="0.2">
      <c r="A861" s="16" t="s">
        <v>454</v>
      </c>
    </row>
    <row r="862" spans="1:1" x14ac:dyDescent="0.2">
      <c r="A862" s="16" t="s">
        <v>457</v>
      </c>
    </row>
    <row r="863" spans="1:1" x14ac:dyDescent="0.2">
      <c r="A863" s="16" t="s">
        <v>460</v>
      </c>
    </row>
    <row r="864" spans="1:1" x14ac:dyDescent="0.2">
      <c r="A864" s="16" t="s">
        <v>462</v>
      </c>
    </row>
    <row r="865" spans="1:1" x14ac:dyDescent="0.2">
      <c r="A865" s="15">
        <v>5</v>
      </c>
    </row>
    <row r="866" spans="1:1" x14ac:dyDescent="0.2">
      <c r="A866" s="16" t="s">
        <v>531</v>
      </c>
    </row>
    <row r="867" spans="1:1" x14ac:dyDescent="0.2">
      <c r="A867" s="16" t="s">
        <v>532</v>
      </c>
    </row>
    <row r="868" spans="1:1" x14ac:dyDescent="0.2">
      <c r="A868" s="16" t="s">
        <v>534</v>
      </c>
    </row>
    <row r="869" spans="1:1" x14ac:dyDescent="0.2">
      <c r="A869" s="16" t="s">
        <v>536</v>
      </c>
    </row>
    <row r="870" spans="1:1" x14ac:dyDescent="0.2">
      <c r="A870" s="16" t="s">
        <v>538</v>
      </c>
    </row>
    <row r="871" spans="1:1" x14ac:dyDescent="0.2">
      <c r="A871" s="16" t="s">
        <v>540</v>
      </c>
    </row>
    <row r="872" spans="1:1" x14ac:dyDescent="0.2">
      <c r="A872" s="16" t="s">
        <v>541</v>
      </c>
    </row>
    <row r="873" spans="1:1" x14ac:dyDescent="0.2">
      <c r="A873" s="16" t="s">
        <v>544</v>
      </c>
    </row>
    <row r="874" spans="1:1" x14ac:dyDescent="0.2">
      <c r="A874" s="16" t="s">
        <v>551</v>
      </c>
    </row>
    <row r="875" spans="1:1" x14ac:dyDescent="0.2">
      <c r="A875" s="16" t="s">
        <v>549</v>
      </c>
    </row>
    <row r="876" spans="1:1" x14ac:dyDescent="0.2">
      <c r="A876" s="15">
        <v>6</v>
      </c>
    </row>
    <row r="877" spans="1:1" x14ac:dyDescent="0.2">
      <c r="A877" s="16" t="s">
        <v>719</v>
      </c>
    </row>
    <row r="878" spans="1:1" x14ac:dyDescent="0.2">
      <c r="A878" s="16" t="s">
        <v>720</v>
      </c>
    </row>
    <row r="879" spans="1:1" x14ac:dyDescent="0.2">
      <c r="A879" s="16" t="s">
        <v>722</v>
      </c>
    </row>
    <row r="880" spans="1:1" x14ac:dyDescent="0.2">
      <c r="A880" s="16" t="s">
        <v>725</v>
      </c>
    </row>
    <row r="881" spans="1:1" x14ac:dyDescent="0.2">
      <c r="A881" s="16" t="s">
        <v>726</v>
      </c>
    </row>
    <row r="882" spans="1:1" x14ac:dyDescent="0.2">
      <c r="A882" s="16" t="s">
        <v>745</v>
      </c>
    </row>
    <row r="883" spans="1:1" x14ac:dyDescent="0.2">
      <c r="A883" s="16" t="s">
        <v>747</v>
      </c>
    </row>
    <row r="884" spans="1:1" x14ac:dyDescent="0.2">
      <c r="A884" s="16" t="s">
        <v>748</v>
      </c>
    </row>
    <row r="885" spans="1:1" x14ac:dyDescent="0.2">
      <c r="A885" s="16" t="s">
        <v>707</v>
      </c>
    </row>
    <row r="886" spans="1:1" x14ac:dyDescent="0.2">
      <c r="A886" s="16" t="s">
        <v>709</v>
      </c>
    </row>
    <row r="887" spans="1:1" x14ac:dyDescent="0.2">
      <c r="A887" s="16" t="s">
        <v>710</v>
      </c>
    </row>
    <row r="888" spans="1:1" x14ac:dyDescent="0.2">
      <c r="A888" s="16" t="s">
        <v>711</v>
      </c>
    </row>
    <row r="889" spans="1:1" x14ac:dyDescent="0.2">
      <c r="A889" s="16" t="s">
        <v>713</v>
      </c>
    </row>
    <row r="890" spans="1:1" x14ac:dyDescent="0.2">
      <c r="A890" s="16" t="s">
        <v>714</v>
      </c>
    </row>
    <row r="891" spans="1:1" x14ac:dyDescent="0.2">
      <c r="A891" s="16" t="s">
        <v>715</v>
      </c>
    </row>
    <row r="892" spans="1:1" x14ac:dyDescent="0.2">
      <c r="A892" s="16" t="s">
        <v>716</v>
      </c>
    </row>
    <row r="893" spans="1:1" x14ac:dyDescent="0.2">
      <c r="A893" s="15">
        <v>8</v>
      </c>
    </row>
    <row r="894" spans="1:1" x14ac:dyDescent="0.2">
      <c r="A894" s="16" t="s">
        <v>819</v>
      </c>
    </row>
    <row r="895" spans="1:1" x14ac:dyDescent="0.2">
      <c r="A895" s="16" t="s">
        <v>820</v>
      </c>
    </row>
    <row r="896" spans="1:1" x14ac:dyDescent="0.2">
      <c r="A896" s="16" t="s">
        <v>841</v>
      </c>
    </row>
    <row r="897" spans="1:1" x14ac:dyDescent="0.2">
      <c r="A897" s="16" t="s">
        <v>842</v>
      </c>
    </row>
    <row r="898" spans="1:1" x14ac:dyDescent="0.2">
      <c r="A898" s="16" t="s">
        <v>846</v>
      </c>
    </row>
    <row r="899" spans="1:1" x14ac:dyDescent="0.2">
      <c r="A899" s="16" t="s">
        <v>847</v>
      </c>
    </row>
    <row r="900" spans="1:1" x14ac:dyDescent="0.2">
      <c r="A900" s="16" t="s">
        <v>848</v>
      </c>
    </row>
    <row r="901" spans="1:1" x14ac:dyDescent="0.2">
      <c r="A901" s="15">
        <v>9</v>
      </c>
    </row>
    <row r="902" spans="1:1" x14ac:dyDescent="0.2">
      <c r="A902" s="16" t="s">
        <v>968</v>
      </c>
    </row>
    <row r="903" spans="1:1" x14ac:dyDescent="0.2">
      <c r="A903" s="16" t="s">
        <v>969</v>
      </c>
    </row>
    <row r="904" spans="1:1" x14ac:dyDescent="0.2">
      <c r="A904" s="16" t="s">
        <v>970</v>
      </c>
    </row>
    <row r="905" spans="1:1" x14ac:dyDescent="0.2">
      <c r="A905" s="16" t="s">
        <v>972</v>
      </c>
    </row>
    <row r="906" spans="1:1" x14ac:dyDescent="0.2">
      <c r="A906" s="16" t="s">
        <v>973</v>
      </c>
    </row>
    <row r="907" spans="1:1" x14ac:dyDescent="0.2">
      <c r="A907" s="16" t="s">
        <v>998</v>
      </c>
    </row>
    <row r="908" spans="1:1" x14ac:dyDescent="0.2">
      <c r="A908" s="16" t="s">
        <v>999</v>
      </c>
    </row>
    <row r="909" spans="1:1" x14ac:dyDescent="0.2">
      <c r="A909" s="16" t="s">
        <v>1000</v>
      </c>
    </row>
    <row r="910" spans="1:1" x14ac:dyDescent="0.2">
      <c r="A910" s="15">
        <v>10</v>
      </c>
    </row>
    <row r="911" spans="1:1" x14ac:dyDescent="0.2">
      <c r="A911" s="16" t="s">
        <v>1067</v>
      </c>
    </row>
    <row r="912" spans="1:1" x14ac:dyDescent="0.2">
      <c r="A912" s="16" t="s">
        <v>1068</v>
      </c>
    </row>
    <row r="913" spans="1:1" x14ac:dyDescent="0.2">
      <c r="A913" s="16" t="s">
        <v>1076</v>
      </c>
    </row>
    <row r="914" spans="1:1" x14ac:dyDescent="0.2">
      <c r="A914" s="16" t="s">
        <v>1079</v>
      </c>
    </row>
    <row r="915" spans="1:1" x14ac:dyDescent="0.2">
      <c r="A915" s="16" t="s">
        <v>1080</v>
      </c>
    </row>
    <row r="916" spans="1:1" x14ac:dyDescent="0.2">
      <c r="A916" s="16" t="s">
        <v>1081</v>
      </c>
    </row>
    <row r="917" spans="1:1" x14ac:dyDescent="0.2">
      <c r="A917" s="15">
        <v>11</v>
      </c>
    </row>
    <row r="918" spans="1:1" x14ac:dyDescent="0.2">
      <c r="A918" s="16" t="s">
        <v>1204</v>
      </c>
    </row>
    <row r="919" spans="1:1" x14ac:dyDescent="0.2">
      <c r="A919" s="16" t="s">
        <v>1207</v>
      </c>
    </row>
    <row r="920" spans="1:1" x14ac:dyDescent="0.2">
      <c r="A920" s="15">
        <v>12</v>
      </c>
    </row>
    <row r="921" spans="1:1" x14ac:dyDescent="0.2">
      <c r="A921" s="16" t="s">
        <v>1259</v>
      </c>
    </row>
    <row r="922" spans="1:1" x14ac:dyDescent="0.2">
      <c r="A922" s="16" t="s">
        <v>1262</v>
      </c>
    </row>
    <row r="923" spans="1:1" x14ac:dyDescent="0.2">
      <c r="A923" s="16" t="s">
        <v>1264</v>
      </c>
    </row>
    <row r="924" spans="1:1" x14ac:dyDescent="0.2">
      <c r="A924" s="16" t="s">
        <v>1265</v>
      </c>
    </row>
    <row r="925" spans="1:1" x14ac:dyDescent="0.2">
      <c r="A925" s="16" t="s">
        <v>1266</v>
      </c>
    </row>
    <row r="926" spans="1:1" x14ac:dyDescent="0.2">
      <c r="A926" s="16" t="s">
        <v>1267</v>
      </c>
    </row>
    <row r="927" spans="1:1" x14ac:dyDescent="0.2">
      <c r="A927" s="16" t="s">
        <v>1268</v>
      </c>
    </row>
    <row r="928" spans="1:1" x14ac:dyDescent="0.2">
      <c r="A928" s="16" t="s">
        <v>1269</v>
      </c>
    </row>
    <row r="929" spans="1:1" x14ac:dyDescent="0.2">
      <c r="A929" s="15">
        <v>13</v>
      </c>
    </row>
    <row r="930" spans="1:1" x14ac:dyDescent="0.2">
      <c r="A930" s="16" t="s">
        <v>1320</v>
      </c>
    </row>
    <row r="931" spans="1:1" x14ac:dyDescent="0.2">
      <c r="A931" s="16" t="s">
        <v>1321</v>
      </c>
    </row>
    <row r="932" spans="1:1" x14ac:dyDescent="0.2">
      <c r="A932" s="16" t="s">
        <v>1322</v>
      </c>
    </row>
    <row r="933" spans="1:1" x14ac:dyDescent="0.2">
      <c r="A933" s="16" t="s">
        <v>1323</v>
      </c>
    </row>
    <row r="934" spans="1:1" x14ac:dyDescent="0.2">
      <c r="A934" s="16" t="s">
        <v>1324</v>
      </c>
    </row>
    <row r="935" spans="1:1" x14ac:dyDescent="0.2">
      <c r="A935" s="16" t="s">
        <v>1325</v>
      </c>
    </row>
    <row r="936" spans="1:1" x14ac:dyDescent="0.2">
      <c r="A936" s="16" t="s">
        <v>1326</v>
      </c>
    </row>
    <row r="937" spans="1:1" x14ac:dyDescent="0.2">
      <c r="A937" s="16" t="s">
        <v>1327</v>
      </c>
    </row>
    <row r="938" spans="1:1" x14ac:dyDescent="0.2">
      <c r="A938" s="16" t="s">
        <v>1328</v>
      </c>
    </row>
    <row r="939" spans="1:1" x14ac:dyDescent="0.2">
      <c r="A939" s="15">
        <v>14</v>
      </c>
    </row>
    <row r="940" spans="1:1" x14ac:dyDescent="0.2">
      <c r="A940" s="16" t="s">
        <v>1381</v>
      </c>
    </row>
    <row r="941" spans="1:1" x14ac:dyDescent="0.2">
      <c r="A941" s="15">
        <v>15</v>
      </c>
    </row>
    <row r="942" spans="1:1" x14ac:dyDescent="0.2">
      <c r="A942" s="16" t="s">
        <v>1417</v>
      </c>
    </row>
    <row r="943" spans="1:1" x14ac:dyDescent="0.2">
      <c r="A943" s="16" t="s">
        <v>1419</v>
      </c>
    </row>
    <row r="944" spans="1:1" x14ac:dyDescent="0.2">
      <c r="A944" s="16" t="s">
        <v>1421</v>
      </c>
    </row>
    <row r="945" spans="1:1" x14ac:dyDescent="0.2">
      <c r="A945" s="16" t="s">
        <v>1422</v>
      </c>
    </row>
    <row r="946" spans="1:1" x14ac:dyDescent="0.2">
      <c r="A946" s="16" t="s">
        <v>1423</v>
      </c>
    </row>
    <row r="947" spans="1:1" x14ac:dyDescent="0.2">
      <c r="A947" s="16" t="s">
        <v>1424</v>
      </c>
    </row>
    <row r="948" spans="1:1" x14ac:dyDescent="0.2">
      <c r="A948" s="16" t="s">
        <v>1425</v>
      </c>
    </row>
    <row r="949" spans="1:1" x14ac:dyDescent="0.2">
      <c r="A949" s="16" t="s">
        <v>1426</v>
      </c>
    </row>
    <row r="950" spans="1:1" x14ac:dyDescent="0.2">
      <c r="A950" s="8" t="s">
        <v>1551</v>
      </c>
    </row>
    <row r="951" spans="1:1" x14ac:dyDescent="0.2">
      <c r="A951" s="15">
        <v>1</v>
      </c>
    </row>
    <row r="952" spans="1:1" x14ac:dyDescent="0.2">
      <c r="A952" s="16" t="s">
        <v>61</v>
      </c>
    </row>
    <row r="953" spans="1:1" x14ac:dyDescent="0.2">
      <c r="A953" s="16" t="s">
        <v>64</v>
      </c>
    </row>
    <row r="954" spans="1:1" x14ac:dyDescent="0.2">
      <c r="A954" s="15">
        <v>3</v>
      </c>
    </row>
    <row r="955" spans="1:1" x14ac:dyDescent="0.2">
      <c r="A955" s="16" t="s">
        <v>273</v>
      </c>
    </row>
    <row r="956" spans="1:1" x14ac:dyDescent="0.2">
      <c r="A956" s="15">
        <v>4</v>
      </c>
    </row>
    <row r="957" spans="1:1" x14ac:dyDescent="0.2">
      <c r="A957" s="16" t="s">
        <v>423</v>
      </c>
    </row>
    <row r="958" spans="1:1" x14ac:dyDescent="0.2">
      <c r="A958" s="16" t="s">
        <v>436</v>
      </c>
    </row>
    <row r="959" spans="1:1" x14ac:dyDescent="0.2">
      <c r="A959" s="16" t="s">
        <v>441</v>
      </c>
    </row>
    <row r="960" spans="1:1" x14ac:dyDescent="0.2">
      <c r="A960" s="16" t="s">
        <v>443</v>
      </c>
    </row>
    <row r="961" spans="1:1" x14ac:dyDescent="0.2">
      <c r="A961" s="15">
        <v>5</v>
      </c>
    </row>
    <row r="962" spans="1:1" x14ac:dyDescent="0.2">
      <c r="A962" s="16" t="s">
        <v>555</v>
      </c>
    </row>
    <row r="963" spans="1:1" x14ac:dyDescent="0.2">
      <c r="A963" s="15">
        <v>9</v>
      </c>
    </row>
    <row r="964" spans="1:1" x14ac:dyDescent="0.2">
      <c r="A964" s="16" t="s">
        <v>966</v>
      </c>
    </row>
    <row r="965" spans="1:1" x14ac:dyDescent="0.2">
      <c r="A965" s="15">
        <v>10</v>
      </c>
    </row>
    <row r="966" spans="1:1" x14ac:dyDescent="0.2">
      <c r="A966" s="16" t="s">
        <v>1066</v>
      </c>
    </row>
    <row r="967" spans="1:1" x14ac:dyDescent="0.2">
      <c r="A967" s="16" t="s">
        <v>1065</v>
      </c>
    </row>
    <row r="968" spans="1:1" x14ac:dyDescent="0.2">
      <c r="A968" s="16" t="s">
        <v>1078</v>
      </c>
    </row>
    <row r="969" spans="1:1" x14ac:dyDescent="0.2">
      <c r="A969" s="15">
        <v>11</v>
      </c>
    </row>
    <row r="970" spans="1:1" x14ac:dyDescent="0.2">
      <c r="A970" s="16" t="s">
        <v>1195</v>
      </c>
    </row>
    <row r="971" spans="1:1" x14ac:dyDescent="0.2">
      <c r="A971" s="15">
        <v>13</v>
      </c>
    </row>
    <row r="972" spans="1:1" x14ac:dyDescent="0.2">
      <c r="A972" s="16" t="s">
        <v>1317</v>
      </c>
    </row>
    <row r="973" spans="1:1" x14ac:dyDescent="0.2">
      <c r="A973" s="16" t="s">
        <v>1318</v>
      </c>
    </row>
    <row r="974" spans="1:1" x14ac:dyDescent="0.2">
      <c r="A974" s="16" t="s">
        <v>1319</v>
      </c>
    </row>
    <row r="975" spans="1:1" x14ac:dyDescent="0.2">
      <c r="A975" s="15">
        <v>14</v>
      </c>
    </row>
    <row r="976" spans="1:1" x14ac:dyDescent="0.2">
      <c r="A976" s="16" t="s">
        <v>1384</v>
      </c>
    </row>
    <row r="977" spans="1:2" x14ac:dyDescent="0.2">
      <c r="A977" s="15">
        <v>15</v>
      </c>
    </row>
    <row r="978" spans="1:2" x14ac:dyDescent="0.2">
      <c r="A978" s="16" t="s">
        <v>1420</v>
      </c>
    </row>
    <row r="979" spans="1:2" x14ac:dyDescent="0.2">
      <c r="A979" s="3" t="s">
        <v>584</v>
      </c>
    </row>
    <row r="980" spans="1:2" x14ac:dyDescent="0.2">
      <c r="A980" s="4" t="s">
        <v>584</v>
      </c>
    </row>
    <row r="981" spans="1:2" x14ac:dyDescent="0.2">
      <c r="A981" s="8" t="s">
        <v>584</v>
      </c>
    </row>
    <row r="982" spans="1:2" x14ac:dyDescent="0.2">
      <c r="A982" s="15" t="s">
        <v>584</v>
      </c>
    </row>
    <row r="983" spans="1:2" x14ac:dyDescent="0.2">
      <c r="A983" s="16" t="s">
        <v>584</v>
      </c>
    </row>
    <row r="984" spans="1:2" x14ac:dyDescent="0.2">
      <c r="A984" s="3" t="s">
        <v>585</v>
      </c>
      <c r="B984">
        <v>5.6195999999999993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5C9D4-999A-F847-932D-237E30A2BF7A}">
  <dimension ref="A3:R138"/>
  <sheetViews>
    <sheetView workbookViewId="0">
      <selection activeCell="E16" sqref="E16"/>
    </sheetView>
  </sheetViews>
  <sheetFormatPr baseColWidth="10" defaultColWidth="11" defaultRowHeight="16" x14ac:dyDescent="0.2"/>
  <cols>
    <col min="1" max="1" width="12.1640625" bestFit="1" customWidth="1"/>
    <col min="2" max="2" width="14.1640625" bestFit="1" customWidth="1"/>
    <col min="3" max="3" width="12.83203125" bestFit="1" customWidth="1"/>
    <col min="4" max="4" width="12" bestFit="1" customWidth="1"/>
    <col min="5" max="5" width="12.83203125" bestFit="1" customWidth="1"/>
    <col min="6" max="6" width="11.83203125" bestFit="1" customWidth="1"/>
    <col min="7" max="7" width="13.83203125" bestFit="1" customWidth="1"/>
    <col min="8" max="8" width="14.1640625" bestFit="1" customWidth="1"/>
    <col min="9" max="9" width="12.83203125" bestFit="1" customWidth="1"/>
    <col min="10" max="10" width="13.83203125" bestFit="1" customWidth="1"/>
    <col min="11" max="12" width="15.6640625" bestFit="1" customWidth="1"/>
    <col min="13" max="13" width="11" style="14"/>
    <col min="14" max="14" width="17.33203125" style="13" customWidth="1"/>
    <col min="15" max="18" width="11" style="3"/>
  </cols>
  <sheetData>
    <row r="3" spans="1:11" x14ac:dyDescent="0.2">
      <c r="A3" s="2" t="s">
        <v>574</v>
      </c>
      <c r="B3" t="s">
        <v>575</v>
      </c>
      <c r="C3" t="s">
        <v>576</v>
      </c>
      <c r="D3" t="s">
        <v>577</v>
      </c>
      <c r="E3" t="s">
        <v>578</v>
      </c>
      <c r="F3" t="s">
        <v>579</v>
      </c>
      <c r="G3" t="s">
        <v>580</v>
      </c>
      <c r="H3" t="s">
        <v>581</v>
      </c>
      <c r="I3" t="s">
        <v>583</v>
      </c>
      <c r="J3" t="s">
        <v>770</v>
      </c>
      <c r="K3" t="s">
        <v>582</v>
      </c>
    </row>
    <row r="4" spans="1:11" x14ac:dyDescent="0.2">
      <c r="A4" s="3" t="s">
        <v>23</v>
      </c>
      <c r="B4">
        <v>71.6875</v>
      </c>
      <c r="C4">
        <v>0.90113194008448128</v>
      </c>
      <c r="D4">
        <v>0.63552927518821312</v>
      </c>
      <c r="E4">
        <v>2.1215393004711789</v>
      </c>
      <c r="F4">
        <v>0.35117600794731391</v>
      </c>
      <c r="G4">
        <v>2.1403424055688798</v>
      </c>
      <c r="H4">
        <v>4.0264891634418936</v>
      </c>
      <c r="I4">
        <v>0.31712438190505715</v>
      </c>
      <c r="J4">
        <v>0.40678940173514766</v>
      </c>
      <c r="K4">
        <v>32</v>
      </c>
    </row>
    <row r="5" spans="1:11" x14ac:dyDescent="0.2">
      <c r="A5" s="4">
        <v>1</v>
      </c>
      <c r="B5">
        <v>82.25</v>
      </c>
      <c r="C5">
        <v>1.0240202513833219</v>
      </c>
      <c r="D5">
        <v>0.6212852365358168</v>
      </c>
      <c r="E5">
        <v>2.0251385897736416</v>
      </c>
      <c r="F5">
        <v>0.34504923153681349</v>
      </c>
      <c r="G5">
        <v>2.0454480959539283</v>
      </c>
      <c r="H5">
        <v>4.2105484199698182</v>
      </c>
      <c r="I5">
        <v>0.52407462576371155</v>
      </c>
      <c r="K5">
        <v>12</v>
      </c>
    </row>
    <row r="6" spans="1:11" x14ac:dyDescent="0.2">
      <c r="A6" s="8">
        <v>353</v>
      </c>
      <c r="B6">
        <v>82.25</v>
      </c>
      <c r="C6">
        <v>1.0240202513833219</v>
      </c>
      <c r="D6">
        <v>0.6212852365358168</v>
      </c>
      <c r="E6">
        <v>2.0251385897736416</v>
      </c>
      <c r="F6">
        <v>0.34504923153681349</v>
      </c>
      <c r="G6">
        <v>2.0454480959539283</v>
      </c>
      <c r="H6">
        <v>4.2105484199698182</v>
      </c>
      <c r="I6">
        <v>0.52407462576371155</v>
      </c>
      <c r="K6">
        <v>12</v>
      </c>
    </row>
    <row r="7" spans="1:11" x14ac:dyDescent="0.2">
      <c r="A7" s="4">
        <v>2</v>
      </c>
      <c r="B7">
        <v>64.722222222222229</v>
      </c>
      <c r="C7">
        <v>0.90962897136187693</v>
      </c>
      <c r="D7">
        <v>0.63958468128948021</v>
      </c>
      <c r="E7">
        <v>2.1301083716246865</v>
      </c>
      <c r="F7">
        <v>0.34175066021919071</v>
      </c>
      <c r="G7">
        <v>2.1496402763751927</v>
      </c>
      <c r="H7">
        <v>3.906782468506762</v>
      </c>
      <c r="I7">
        <v>0.18444322760098092</v>
      </c>
      <c r="K7">
        <v>18</v>
      </c>
    </row>
    <row r="8" spans="1:11" x14ac:dyDescent="0.2">
      <c r="A8" s="8">
        <v>18</v>
      </c>
      <c r="B8">
        <v>64.722222222222229</v>
      </c>
      <c r="C8">
        <v>0.90962897136187693</v>
      </c>
      <c r="D8">
        <v>0.63958468128948021</v>
      </c>
      <c r="E8">
        <v>2.1301083716246865</v>
      </c>
      <c r="F8">
        <v>0.34175066021919071</v>
      </c>
      <c r="G8">
        <v>2.1496402763751927</v>
      </c>
      <c r="H8">
        <v>3.906782468506762</v>
      </c>
      <c r="I8">
        <v>0.18444322760098092</v>
      </c>
      <c r="K8">
        <v>18</v>
      </c>
    </row>
    <row r="9" spans="1:11" x14ac:dyDescent="0.2">
      <c r="A9" s="4">
        <v>3</v>
      </c>
      <c r="B9">
        <v>71</v>
      </c>
      <c r="C9">
        <v>0.1487729464442997</v>
      </c>
      <c r="D9">
        <v>5.7446759146442303E-2</v>
      </c>
      <c r="E9">
        <v>2.5746215689260659</v>
      </c>
      <c r="F9">
        <v>9.7700194940560384E-2</v>
      </c>
      <c r="G9">
        <v>2.5785802711942951</v>
      </c>
      <c r="H9">
        <v>4.0915235069545046</v>
      </c>
      <c r="I9">
        <v>0.37302842941914494</v>
      </c>
      <c r="J9">
        <v>0.40678940173514766</v>
      </c>
      <c r="K9">
        <v>2</v>
      </c>
    </row>
    <row r="10" spans="1:11" x14ac:dyDescent="0.2">
      <c r="A10" s="8">
        <v>37</v>
      </c>
      <c r="B10">
        <v>71</v>
      </c>
      <c r="C10">
        <v>0.1487729464442997</v>
      </c>
      <c r="D10">
        <v>5.7446759146442303E-2</v>
      </c>
      <c r="E10">
        <v>2.5746215689260659</v>
      </c>
      <c r="F10">
        <v>9.7700194940560384E-2</v>
      </c>
      <c r="G10">
        <v>2.5785802711942951</v>
      </c>
      <c r="H10">
        <v>4.0915235069545046</v>
      </c>
      <c r="I10">
        <v>0.37302842941914494</v>
      </c>
      <c r="J10">
        <v>0.40678940173514766</v>
      </c>
      <c r="K10">
        <v>2</v>
      </c>
    </row>
    <row r="11" spans="1:11" x14ac:dyDescent="0.2">
      <c r="A11" s="3" t="s">
        <v>46</v>
      </c>
      <c r="B11">
        <v>84.758741258741253</v>
      </c>
      <c r="C11">
        <v>2.3310273459317195</v>
      </c>
      <c r="D11">
        <v>3.4991511497398733</v>
      </c>
      <c r="E11">
        <v>2.3276373138869562</v>
      </c>
      <c r="F11">
        <v>0.80975904385908803</v>
      </c>
      <c r="G11">
        <v>0.98030954276177262</v>
      </c>
      <c r="H11">
        <v>4.5221043813422597</v>
      </c>
      <c r="I11">
        <v>0.93495020832256948</v>
      </c>
      <c r="J11">
        <v>1.6631814846226798</v>
      </c>
      <c r="K11">
        <v>286</v>
      </c>
    </row>
    <row r="12" spans="1:11" x14ac:dyDescent="0.2">
      <c r="A12" s="4">
        <v>1</v>
      </c>
      <c r="B12">
        <v>104</v>
      </c>
      <c r="C12">
        <v>1.0972680516558815</v>
      </c>
      <c r="D12">
        <v>0.6786734356530516</v>
      </c>
      <c r="E12">
        <v>2.0068288736361901</v>
      </c>
      <c r="F12">
        <v>0.50575342187389194</v>
      </c>
      <c r="G12">
        <v>2.0292199383821661</v>
      </c>
      <c r="H12">
        <v>4.2928030449454937</v>
      </c>
      <c r="I12">
        <v>0.21288121955343922</v>
      </c>
      <c r="K12">
        <v>22</v>
      </c>
    </row>
    <row r="13" spans="1:11" x14ac:dyDescent="0.2">
      <c r="A13" s="8">
        <v>353</v>
      </c>
      <c r="B13">
        <v>83.7</v>
      </c>
      <c r="C13">
        <v>1.1845998974778404</v>
      </c>
      <c r="D13">
        <v>0.64071489824232208</v>
      </c>
      <c r="E13">
        <v>2.135901557608304</v>
      </c>
      <c r="F13">
        <v>0.42626535167727603</v>
      </c>
      <c r="G13">
        <v>2.1603322288763973</v>
      </c>
      <c r="H13">
        <v>3.9395714387497067</v>
      </c>
      <c r="I13">
        <v>0.17226574887591742</v>
      </c>
      <c r="K13">
        <v>10</v>
      </c>
    </row>
    <row r="14" spans="1:11" x14ac:dyDescent="0.2">
      <c r="A14" s="8">
        <v>354</v>
      </c>
      <c r="B14">
        <v>120.91666666666667</v>
      </c>
      <c r="C14">
        <v>1.025814723256097</v>
      </c>
      <c r="D14">
        <v>0.73091910257827708</v>
      </c>
      <c r="E14">
        <v>1.8894900700251767</v>
      </c>
      <c r="F14">
        <v>0.56234875333185719</v>
      </c>
      <c r="G14">
        <v>1.9100269470237736</v>
      </c>
      <c r="H14">
        <v>4.6139226869416623</v>
      </c>
      <c r="I14">
        <v>0.249435143163209</v>
      </c>
      <c r="K14">
        <v>12</v>
      </c>
    </row>
    <row r="15" spans="1:11" x14ac:dyDescent="0.2">
      <c r="A15" s="4">
        <v>2</v>
      </c>
      <c r="B15">
        <v>81.944444444444443</v>
      </c>
      <c r="C15">
        <v>1.1335461209867981</v>
      </c>
      <c r="D15">
        <v>0.76158619515725356</v>
      </c>
      <c r="E15">
        <v>2.5827783748734818</v>
      </c>
      <c r="F15">
        <v>0.64858131585168155</v>
      </c>
      <c r="G15">
        <v>2.6139748556379541</v>
      </c>
      <c r="H15">
        <v>4.0652604852807528</v>
      </c>
      <c r="I15">
        <v>0.35655276704590788</v>
      </c>
      <c r="K15">
        <v>18</v>
      </c>
    </row>
    <row r="16" spans="1:11" x14ac:dyDescent="0.2">
      <c r="A16" s="8">
        <v>16</v>
      </c>
      <c r="B16">
        <v>81.944444444444443</v>
      </c>
      <c r="C16">
        <v>1.1335461209867981</v>
      </c>
      <c r="D16">
        <v>0.76158619515725356</v>
      </c>
      <c r="E16">
        <v>2.5827783748734818</v>
      </c>
      <c r="F16">
        <v>0.64858131585168155</v>
      </c>
      <c r="G16">
        <v>2.6139748556379541</v>
      </c>
      <c r="H16">
        <v>4.0652604852807528</v>
      </c>
      <c r="I16">
        <v>0.35655276704590788</v>
      </c>
      <c r="K16">
        <v>18</v>
      </c>
    </row>
    <row r="17" spans="1:11" x14ac:dyDescent="0.2">
      <c r="A17" s="4">
        <v>3</v>
      </c>
      <c r="B17">
        <v>71.888888888888886</v>
      </c>
      <c r="C17">
        <v>0.70399467998206899</v>
      </c>
      <c r="D17">
        <v>0.73004154140382371</v>
      </c>
      <c r="E17">
        <v>2.432029722103854</v>
      </c>
      <c r="F17">
        <v>0.47730513085657555</v>
      </c>
      <c r="G17">
        <v>2.449694982706228</v>
      </c>
      <c r="H17">
        <v>3.8995468758367644</v>
      </c>
      <c r="I17">
        <v>0.31674674902432792</v>
      </c>
      <c r="J17">
        <v>0.40848692449452539</v>
      </c>
      <c r="K17">
        <v>18</v>
      </c>
    </row>
    <row r="18" spans="1:11" x14ac:dyDescent="0.2">
      <c r="A18" s="8">
        <v>36</v>
      </c>
      <c r="B18">
        <v>74</v>
      </c>
      <c r="C18">
        <v>0.76992685342628642</v>
      </c>
      <c r="D18">
        <v>0.78867190666092479</v>
      </c>
      <c r="E18">
        <v>2.4997283819268552</v>
      </c>
      <c r="F18">
        <v>0.44652948096011519</v>
      </c>
      <c r="G18">
        <v>2.5197746654394972</v>
      </c>
      <c r="H18">
        <v>3.9834006979603029</v>
      </c>
      <c r="I18">
        <v>0.25352398802981263</v>
      </c>
      <c r="J18">
        <v>0.37673283323131773</v>
      </c>
      <c r="K18">
        <v>11</v>
      </c>
    </row>
    <row r="19" spans="1:11" x14ac:dyDescent="0.2">
      <c r="A19" s="8">
        <v>37</v>
      </c>
      <c r="B19">
        <v>68.571428571428569</v>
      </c>
      <c r="C19">
        <v>0.60038697885544123</v>
      </c>
      <c r="D19">
        <v>0.67297076048948146</v>
      </c>
      <c r="E19">
        <v>2.3256461138105657</v>
      </c>
      <c r="F19">
        <v>0.53997236389073477</v>
      </c>
      <c r="G19">
        <v>2.3395697669825184</v>
      </c>
      <c r="H19">
        <v>3.7677765839283461</v>
      </c>
      <c r="I19">
        <v>0.41609680201570898</v>
      </c>
      <c r="J19">
        <v>0.45838621076528036</v>
      </c>
      <c r="K19">
        <v>7</v>
      </c>
    </row>
    <row r="20" spans="1:11" x14ac:dyDescent="0.2">
      <c r="A20" s="4">
        <v>4</v>
      </c>
      <c r="B20">
        <v>61.32</v>
      </c>
      <c r="C20">
        <v>1.2280403202386598</v>
      </c>
      <c r="D20">
        <v>1.5734922781221918</v>
      </c>
      <c r="E20">
        <v>2.9135541725491727</v>
      </c>
      <c r="F20">
        <v>0.42644296072480092</v>
      </c>
      <c r="G20">
        <v>2.9489331743112173</v>
      </c>
      <c r="H20">
        <v>3.7052142563136932</v>
      </c>
      <c r="I20">
        <v>0.28463794847861051</v>
      </c>
      <c r="J20">
        <v>0.29898703275426464</v>
      </c>
      <c r="K20">
        <v>25</v>
      </c>
    </row>
    <row r="21" spans="1:11" x14ac:dyDescent="0.2">
      <c r="A21" s="8">
        <v>50</v>
      </c>
      <c r="B21">
        <v>61.32</v>
      </c>
      <c r="C21">
        <v>1.2280403202386598</v>
      </c>
      <c r="D21">
        <v>1.5734922781221918</v>
      </c>
      <c r="E21">
        <v>2.9135541725491727</v>
      </c>
      <c r="F21">
        <v>0.42644296072480092</v>
      </c>
      <c r="G21">
        <v>2.9489331743112173</v>
      </c>
      <c r="H21">
        <v>3.7052142563136932</v>
      </c>
      <c r="I21">
        <v>0.28463794847861051</v>
      </c>
      <c r="J21">
        <v>0.29898703275426464</v>
      </c>
      <c r="K21">
        <v>25</v>
      </c>
    </row>
    <row r="22" spans="1:11" x14ac:dyDescent="0.2">
      <c r="A22" s="4">
        <v>5</v>
      </c>
      <c r="B22">
        <v>75.482758620689651</v>
      </c>
      <c r="C22">
        <v>0.9237171406837773</v>
      </c>
      <c r="D22">
        <v>0.7761868835739788</v>
      </c>
      <c r="E22">
        <v>2.3735494093646312</v>
      </c>
      <c r="F22">
        <v>0.48757822048914784</v>
      </c>
      <c r="G22">
        <v>2.3967683428288455</v>
      </c>
      <c r="H22">
        <v>3.9520297998749516</v>
      </c>
      <c r="I22">
        <v>0.31931040070922168</v>
      </c>
      <c r="J22">
        <v>0.37501280502000439</v>
      </c>
      <c r="K22">
        <v>29</v>
      </c>
    </row>
    <row r="23" spans="1:11" x14ac:dyDescent="0.2">
      <c r="A23" s="8">
        <v>64</v>
      </c>
      <c r="B23">
        <v>75.482758620689651</v>
      </c>
      <c r="C23">
        <v>0.9237171406837773</v>
      </c>
      <c r="D23">
        <v>0.7761868835739788</v>
      </c>
      <c r="E23">
        <v>2.3735494093646312</v>
      </c>
      <c r="F23">
        <v>0.48757822048914784</v>
      </c>
      <c r="G23">
        <v>2.3967683428288455</v>
      </c>
      <c r="H23">
        <v>3.9520297998749516</v>
      </c>
      <c r="I23">
        <v>0.31931040070922168</v>
      </c>
      <c r="J23">
        <v>0.37501280502000439</v>
      </c>
      <c r="K23">
        <v>29</v>
      </c>
    </row>
    <row r="24" spans="1:11" x14ac:dyDescent="0.2">
      <c r="A24" s="4">
        <v>6</v>
      </c>
      <c r="B24">
        <v>81.461538461538467</v>
      </c>
      <c r="C24">
        <v>1.103890177932503</v>
      </c>
      <c r="D24">
        <v>0.73829004212335636</v>
      </c>
      <c r="E24">
        <v>2.4539104780343175</v>
      </c>
      <c r="F24">
        <v>0.4208707469898092</v>
      </c>
      <c r="G24">
        <v>2.4820552584781788E-2</v>
      </c>
      <c r="H24">
        <v>4.7755525512597039</v>
      </c>
      <c r="I24">
        <v>2.485632283861626</v>
      </c>
      <c r="J24">
        <v>4.0433048608286439</v>
      </c>
      <c r="K24">
        <v>26</v>
      </c>
    </row>
    <row r="25" spans="1:11" x14ac:dyDescent="0.2">
      <c r="A25" s="8">
        <v>76</v>
      </c>
      <c r="B25">
        <v>81.461538461538467</v>
      </c>
      <c r="C25">
        <v>1.103890177932503</v>
      </c>
      <c r="D25">
        <v>0.73829004212335636</v>
      </c>
      <c r="E25">
        <v>2.4539104780343175</v>
      </c>
      <c r="F25">
        <v>0.4208707469898092</v>
      </c>
      <c r="G25">
        <v>2.4820552584781788E-2</v>
      </c>
      <c r="H25">
        <v>4.7755525512597039</v>
      </c>
      <c r="I25">
        <v>2.485632283861626</v>
      </c>
      <c r="J25">
        <v>4.0433048608286439</v>
      </c>
      <c r="K25">
        <v>26</v>
      </c>
    </row>
    <row r="26" spans="1:11" x14ac:dyDescent="0.2">
      <c r="A26" s="4">
        <v>7</v>
      </c>
      <c r="B26">
        <v>80.066666666666663</v>
      </c>
      <c r="C26">
        <v>1.3058634733855499</v>
      </c>
      <c r="D26">
        <v>0.86892043492503823</v>
      </c>
      <c r="E26">
        <v>3.2153512542020763</v>
      </c>
      <c r="F26">
        <v>0.28033993496837661</v>
      </c>
      <c r="G26">
        <v>3.258418187095577E-2</v>
      </c>
      <c r="H26">
        <v>4.9387294305155587</v>
      </c>
      <c r="I26">
        <v>1.0999773864204103</v>
      </c>
      <c r="J26">
        <v>1.7861979328152662</v>
      </c>
      <c r="K26">
        <v>15</v>
      </c>
    </row>
    <row r="27" spans="1:11" x14ac:dyDescent="0.2">
      <c r="A27" s="8">
        <v>93</v>
      </c>
      <c r="B27">
        <v>80.066666666666663</v>
      </c>
      <c r="C27">
        <v>1.3058634733855499</v>
      </c>
      <c r="D27">
        <v>0.86892043492503823</v>
      </c>
      <c r="E27">
        <v>3.2153512542020763</v>
      </c>
      <c r="F27">
        <v>0.28033993496837661</v>
      </c>
      <c r="G27">
        <v>3.258418187095577E-2</v>
      </c>
      <c r="H27">
        <v>4.9387294305155587</v>
      </c>
      <c r="I27">
        <v>1.0999773864204103</v>
      </c>
      <c r="J27">
        <v>1.7861979328152662</v>
      </c>
      <c r="K27">
        <v>15</v>
      </c>
    </row>
    <row r="28" spans="1:11" x14ac:dyDescent="0.2">
      <c r="A28" s="4">
        <v>8</v>
      </c>
      <c r="B28">
        <v>94.18518518518519</v>
      </c>
      <c r="C28">
        <v>1.7090214590109554</v>
      </c>
      <c r="D28">
        <v>1.2377000370564315</v>
      </c>
      <c r="E28">
        <v>3.041151790161905</v>
      </c>
      <c r="F28">
        <v>0.77806696624409832</v>
      </c>
      <c r="G28">
        <v>3.1025385219859335E-2</v>
      </c>
      <c r="H28">
        <v>6.2041812040130306</v>
      </c>
      <c r="I28">
        <v>1.1084115212989707</v>
      </c>
      <c r="J28">
        <v>1.8157623433963803</v>
      </c>
      <c r="K28">
        <v>27</v>
      </c>
    </row>
    <row r="29" spans="1:11" x14ac:dyDescent="0.2">
      <c r="A29" s="8">
        <v>109</v>
      </c>
      <c r="B29">
        <v>117.33333333333333</v>
      </c>
      <c r="C29">
        <v>1.6348473420208867</v>
      </c>
      <c r="D29">
        <v>1.2801859136802636</v>
      </c>
      <c r="E29">
        <v>2.7857990236317023</v>
      </c>
      <c r="F29">
        <v>0.6256967680061869</v>
      </c>
      <c r="G29">
        <v>2.8396648497239427E-2</v>
      </c>
      <c r="H29">
        <v>7.1953540793381068</v>
      </c>
      <c r="I29">
        <v>0.51996535530152055</v>
      </c>
      <c r="J29">
        <v>0.77272157758966897</v>
      </c>
      <c r="K29">
        <v>9</v>
      </c>
    </row>
    <row r="30" spans="1:11" x14ac:dyDescent="0.2">
      <c r="A30" s="8">
        <v>110</v>
      </c>
      <c r="B30">
        <v>82.611111111111114</v>
      </c>
      <c r="C30">
        <v>1.7461085175059892</v>
      </c>
      <c r="D30">
        <v>1.251919792611752</v>
      </c>
      <c r="E30">
        <v>3.1688281734270074</v>
      </c>
      <c r="F30">
        <v>0.83058638965148623</v>
      </c>
      <c r="G30">
        <v>3.2339753581169278E-2</v>
      </c>
      <c r="H30">
        <v>5.7085947663504957</v>
      </c>
      <c r="I30">
        <v>1.4026346042976958</v>
      </c>
      <c r="J30">
        <v>2.3372827262997355</v>
      </c>
      <c r="K30">
        <v>18</v>
      </c>
    </row>
    <row r="31" spans="1:11" x14ac:dyDescent="0.2">
      <c r="A31" s="4">
        <v>9</v>
      </c>
      <c r="B31">
        <v>75.19047619047619</v>
      </c>
      <c r="C31">
        <v>2.786961460924406</v>
      </c>
      <c r="D31">
        <v>1.7243289073702341</v>
      </c>
      <c r="E31">
        <v>2.8437577847513529</v>
      </c>
      <c r="F31">
        <v>0.84015123254069435</v>
      </c>
      <c r="G31">
        <v>2.9348934476369652E-2</v>
      </c>
      <c r="H31">
        <v>6.5422223315868768</v>
      </c>
      <c r="I31">
        <v>2.2008285924761197</v>
      </c>
      <c r="J31">
        <v>3.8507936386081489</v>
      </c>
      <c r="K31">
        <v>21</v>
      </c>
    </row>
    <row r="32" spans="1:11" x14ac:dyDescent="0.2">
      <c r="A32" s="8">
        <v>124</v>
      </c>
      <c r="B32">
        <v>75.19047619047619</v>
      </c>
      <c r="C32">
        <v>2.786961460924406</v>
      </c>
      <c r="D32">
        <v>1.7243289073702341</v>
      </c>
      <c r="E32">
        <v>2.8437577847513529</v>
      </c>
      <c r="F32">
        <v>0.84015123254069435</v>
      </c>
      <c r="G32">
        <v>2.9348934476369652E-2</v>
      </c>
      <c r="H32">
        <v>6.5422223315868768</v>
      </c>
      <c r="I32">
        <v>2.2008285924761197</v>
      </c>
      <c r="J32">
        <v>3.8507936386081489</v>
      </c>
      <c r="K32">
        <v>21</v>
      </c>
    </row>
    <row r="33" spans="1:11" x14ac:dyDescent="0.2">
      <c r="A33" s="4">
        <v>10</v>
      </c>
      <c r="B33">
        <v>86.130434782608702</v>
      </c>
      <c r="C33">
        <v>8.0295629949202478</v>
      </c>
      <c r="D33">
        <v>6.842316825507849</v>
      </c>
      <c r="E33">
        <v>2.2050640120871661</v>
      </c>
      <c r="F33">
        <v>0.63749209177948996</v>
      </c>
      <c r="G33">
        <v>2.4182769241260737E-2</v>
      </c>
      <c r="H33">
        <v>4.6820544322439135</v>
      </c>
      <c r="I33">
        <v>1.2775451605843511</v>
      </c>
      <c r="J33">
        <v>2.1898178489614399</v>
      </c>
      <c r="K33">
        <v>23</v>
      </c>
    </row>
    <row r="34" spans="1:11" x14ac:dyDescent="0.2">
      <c r="A34" s="8">
        <v>138</v>
      </c>
      <c r="B34">
        <v>86.130434782608702</v>
      </c>
      <c r="C34">
        <v>8.0295629949202478</v>
      </c>
      <c r="D34">
        <v>6.842316825507849</v>
      </c>
      <c r="E34">
        <v>2.2050640120871661</v>
      </c>
      <c r="F34">
        <v>0.63749209177948996</v>
      </c>
      <c r="G34">
        <v>2.4182769241260737E-2</v>
      </c>
      <c r="H34">
        <v>4.6820544322439135</v>
      </c>
      <c r="I34">
        <v>1.2775451605843511</v>
      </c>
      <c r="J34">
        <v>2.1898178489614399</v>
      </c>
      <c r="K34">
        <v>23</v>
      </c>
    </row>
    <row r="35" spans="1:11" x14ac:dyDescent="0.2">
      <c r="A35" s="4">
        <v>11</v>
      </c>
      <c r="B35">
        <v>89.5625</v>
      </c>
      <c r="C35">
        <v>7.2070254302396828</v>
      </c>
      <c r="D35">
        <v>5.7803125186059088</v>
      </c>
      <c r="E35">
        <v>1.8602843304834051</v>
      </c>
      <c r="F35">
        <v>0.58254373048369801</v>
      </c>
      <c r="G35">
        <v>2.0210158050805595E-2</v>
      </c>
      <c r="H35">
        <v>3.6259178606713007</v>
      </c>
      <c r="I35">
        <v>0.80500494682765711</v>
      </c>
      <c r="J35">
        <v>1.3292423869324053</v>
      </c>
      <c r="K35">
        <v>16</v>
      </c>
    </row>
    <row r="36" spans="1:11" x14ac:dyDescent="0.2">
      <c r="A36" s="8">
        <v>157</v>
      </c>
      <c r="B36">
        <v>89.5625</v>
      </c>
      <c r="C36">
        <v>7.2070254302396828</v>
      </c>
      <c r="D36">
        <v>5.7803125186059088</v>
      </c>
      <c r="E36">
        <v>1.8602843304834051</v>
      </c>
      <c r="F36">
        <v>0.58254373048369801</v>
      </c>
      <c r="G36">
        <v>2.0210158050805595E-2</v>
      </c>
      <c r="H36">
        <v>3.6259178606713007</v>
      </c>
      <c r="I36">
        <v>0.80500494682765711</v>
      </c>
      <c r="J36">
        <v>1.3292423869324053</v>
      </c>
      <c r="K36">
        <v>16</v>
      </c>
    </row>
    <row r="37" spans="1:11" x14ac:dyDescent="0.2">
      <c r="A37" s="4">
        <v>12</v>
      </c>
      <c r="B37">
        <v>96.35</v>
      </c>
      <c r="C37">
        <v>2.8295975514968741</v>
      </c>
      <c r="D37">
        <v>3.5125840498510641</v>
      </c>
      <c r="E37">
        <v>1.2825618859087435</v>
      </c>
      <c r="F37">
        <v>0.30275731769228126</v>
      </c>
      <c r="G37">
        <v>1.3232798963532013E-2</v>
      </c>
      <c r="H37">
        <v>3.8511641207387668</v>
      </c>
      <c r="I37">
        <v>0.95087105613405698</v>
      </c>
      <c r="J37">
        <v>1.5390343756575244</v>
      </c>
      <c r="K37">
        <v>20</v>
      </c>
    </row>
    <row r="38" spans="1:11" x14ac:dyDescent="0.2">
      <c r="A38" s="8">
        <v>173</v>
      </c>
      <c r="B38">
        <v>96.35</v>
      </c>
      <c r="C38">
        <v>2.8295975514968741</v>
      </c>
      <c r="D38">
        <v>3.5125840498510641</v>
      </c>
      <c r="E38">
        <v>1.2825618859087435</v>
      </c>
      <c r="F38">
        <v>0.30275731769228126</v>
      </c>
      <c r="G38">
        <v>1.3232798963532013E-2</v>
      </c>
      <c r="H38">
        <v>3.8511641207387668</v>
      </c>
      <c r="I38">
        <v>0.95087105613405698</v>
      </c>
      <c r="J38">
        <v>1.5390343756575244</v>
      </c>
      <c r="K38">
        <v>20</v>
      </c>
    </row>
    <row r="39" spans="1:11" x14ac:dyDescent="0.2">
      <c r="A39" s="4">
        <v>13</v>
      </c>
      <c r="B39">
        <v>103.14285714285714</v>
      </c>
      <c r="C39">
        <v>1.6856437599404923</v>
      </c>
      <c r="D39">
        <v>1.6851809722456597</v>
      </c>
      <c r="E39">
        <v>1.2170178862342098</v>
      </c>
      <c r="F39">
        <v>0.23315720672527382</v>
      </c>
      <c r="G39">
        <v>1.2386415841570204E-2</v>
      </c>
      <c r="H39">
        <v>3.8329112237717835</v>
      </c>
      <c r="I39">
        <v>0.55862684966131215</v>
      </c>
      <c r="J39">
        <v>0.83943446475873251</v>
      </c>
      <c r="K39">
        <v>14</v>
      </c>
    </row>
    <row r="40" spans="1:11" x14ac:dyDescent="0.2">
      <c r="A40" s="8">
        <v>188</v>
      </c>
      <c r="B40">
        <v>103.14285714285714</v>
      </c>
      <c r="C40">
        <v>1.6856437599404923</v>
      </c>
      <c r="D40">
        <v>1.6851809722456597</v>
      </c>
      <c r="E40">
        <v>1.2170178862342098</v>
      </c>
      <c r="F40">
        <v>0.23315720672527382</v>
      </c>
      <c r="G40">
        <v>1.2386415841570204E-2</v>
      </c>
      <c r="H40">
        <v>3.8329112237717835</v>
      </c>
      <c r="I40">
        <v>0.55862684966131215</v>
      </c>
      <c r="J40">
        <v>0.83943446475873251</v>
      </c>
      <c r="K40">
        <v>14</v>
      </c>
    </row>
    <row r="41" spans="1:11" x14ac:dyDescent="0.2">
      <c r="A41" s="4">
        <v>15</v>
      </c>
      <c r="B41">
        <v>103</v>
      </c>
      <c r="C41">
        <v>1.2635165206224042</v>
      </c>
      <c r="D41">
        <v>1.0280664642462201</v>
      </c>
      <c r="E41">
        <v>1.0431311245205366</v>
      </c>
      <c r="F41">
        <v>0.21866300548164347</v>
      </c>
      <c r="G41">
        <v>1.0571313443357015E-2</v>
      </c>
      <c r="H41">
        <v>4.0047867680169107</v>
      </c>
      <c r="I41">
        <v>0.425000013858093</v>
      </c>
      <c r="J41">
        <v>0.62185246823246754</v>
      </c>
      <c r="K41">
        <v>12</v>
      </c>
    </row>
    <row r="42" spans="1:11" x14ac:dyDescent="0.2">
      <c r="A42" s="8">
        <v>213</v>
      </c>
      <c r="B42">
        <v>103</v>
      </c>
      <c r="C42">
        <v>1.2635165206224042</v>
      </c>
      <c r="D42">
        <v>1.0280664642462201</v>
      </c>
      <c r="E42">
        <v>1.0431311245205366</v>
      </c>
      <c r="F42">
        <v>0.21866300548164347</v>
      </c>
      <c r="G42">
        <v>1.0571313443357015E-2</v>
      </c>
      <c r="H42">
        <v>4.0047867680169107</v>
      </c>
      <c r="I42">
        <v>0.425000013858093</v>
      </c>
      <c r="J42">
        <v>0.62185246823246754</v>
      </c>
      <c r="K42">
        <v>12</v>
      </c>
    </row>
    <row r="43" spans="1:11" x14ac:dyDescent="0.2">
      <c r="A43" s="3" t="s">
        <v>102</v>
      </c>
      <c r="B43">
        <v>91.352941176470594</v>
      </c>
      <c r="C43">
        <v>1.2579482642455475</v>
      </c>
      <c r="D43">
        <v>2.658016574854194</v>
      </c>
      <c r="E43">
        <v>1.7506387596137822</v>
      </c>
      <c r="F43">
        <v>0.51979541503282123</v>
      </c>
      <c r="G43">
        <v>1.0564565047546439</v>
      </c>
      <c r="H43">
        <v>4.1645335994824313</v>
      </c>
      <c r="I43">
        <v>0.75816275715386827</v>
      </c>
      <c r="J43">
        <v>1.2034930907028571</v>
      </c>
      <c r="K43">
        <v>119</v>
      </c>
    </row>
    <row r="44" spans="1:11" x14ac:dyDescent="0.2">
      <c r="A44" s="4">
        <v>1</v>
      </c>
      <c r="B44">
        <v>194.3</v>
      </c>
      <c r="C44">
        <v>0.34624667594386732</v>
      </c>
      <c r="D44">
        <v>0.36856810078505509</v>
      </c>
      <c r="E44">
        <v>1.6399751489098311</v>
      </c>
      <c r="F44">
        <v>0.16312072992119589</v>
      </c>
      <c r="G44">
        <v>1.6458683366644458</v>
      </c>
      <c r="H44">
        <v>3.5706621036535764</v>
      </c>
      <c r="I44">
        <v>9.6661949016421472E-2</v>
      </c>
      <c r="K44">
        <v>10</v>
      </c>
    </row>
    <row r="45" spans="1:11" x14ac:dyDescent="0.2">
      <c r="A45" s="8">
        <v>356</v>
      </c>
      <c r="B45">
        <v>191.5</v>
      </c>
      <c r="C45">
        <v>0.29346772558603756</v>
      </c>
      <c r="D45">
        <v>0.27434677984437639</v>
      </c>
      <c r="E45">
        <v>1.5940006011939196</v>
      </c>
      <c r="F45">
        <v>0.19135268496940178</v>
      </c>
      <c r="G45">
        <v>1.5988733141967597</v>
      </c>
      <c r="H45">
        <v>3.4227783490791981</v>
      </c>
      <c r="I45">
        <v>5.3116706366336509E-2</v>
      </c>
      <c r="K45">
        <v>6</v>
      </c>
    </row>
    <row r="46" spans="1:11" x14ac:dyDescent="0.2">
      <c r="A46" s="8">
        <v>365</v>
      </c>
      <c r="B46">
        <v>198.5</v>
      </c>
      <c r="C46">
        <v>0.42541510148061212</v>
      </c>
      <c r="D46">
        <v>0.51783747842307792</v>
      </c>
      <c r="E46">
        <v>1.7089369704836979</v>
      </c>
      <c r="F46">
        <v>9.0721583209268042E-2</v>
      </c>
      <c r="G46">
        <v>1.7163608703659745</v>
      </c>
      <c r="H46">
        <v>3.7924877355151434</v>
      </c>
      <c r="I46">
        <v>0.16197981299154893</v>
      </c>
      <c r="K46">
        <v>4</v>
      </c>
    </row>
    <row r="47" spans="1:11" x14ac:dyDescent="0.2">
      <c r="A47" s="4">
        <v>2</v>
      </c>
      <c r="B47">
        <v>83.571428571428569</v>
      </c>
      <c r="C47">
        <v>0.38350254623718305</v>
      </c>
      <c r="D47">
        <v>0.41746863012802243</v>
      </c>
      <c r="E47">
        <v>1.7196153686911504</v>
      </c>
      <c r="F47">
        <v>0.3127297409303525</v>
      </c>
      <c r="G47">
        <v>1.7274214304846101</v>
      </c>
      <c r="H47">
        <v>4.3088788142847436</v>
      </c>
      <c r="I47">
        <v>1.2306095881579295</v>
      </c>
      <c r="K47">
        <v>7</v>
      </c>
    </row>
    <row r="48" spans="1:11" x14ac:dyDescent="0.2">
      <c r="A48" s="8">
        <v>21</v>
      </c>
      <c r="B48">
        <v>59.666666666666664</v>
      </c>
      <c r="C48">
        <v>0.58341708669507208</v>
      </c>
      <c r="D48">
        <v>0.50517145489862436</v>
      </c>
      <c r="E48">
        <v>1.8392531993006198</v>
      </c>
      <c r="F48">
        <v>0.38127228751426062</v>
      </c>
      <c r="G48">
        <v>1.8515051609487747</v>
      </c>
      <c r="H48">
        <v>3.7318849465447284</v>
      </c>
      <c r="I48">
        <v>1.2250192504299706</v>
      </c>
      <c r="K48">
        <v>3</v>
      </c>
    </row>
    <row r="49" spans="1:11" x14ac:dyDescent="0.2">
      <c r="A49" s="8">
        <v>22</v>
      </c>
      <c r="B49">
        <v>101.5</v>
      </c>
      <c r="C49">
        <v>0.23356664089376619</v>
      </c>
      <c r="D49">
        <v>0.32937484818615242</v>
      </c>
      <c r="E49">
        <v>1.6298869957340489</v>
      </c>
      <c r="F49">
        <v>0.27136560548980299</v>
      </c>
      <c r="G49">
        <v>1.6343586326364867</v>
      </c>
      <c r="H49">
        <v>4.7416242150897547</v>
      </c>
      <c r="I49">
        <v>1.2348023414538987</v>
      </c>
      <c r="K49">
        <v>4</v>
      </c>
    </row>
    <row r="50" spans="1:11" x14ac:dyDescent="0.2">
      <c r="A50" s="4">
        <v>3</v>
      </c>
      <c r="B50">
        <v>58.210526315789473</v>
      </c>
      <c r="C50">
        <v>0.41171503444893143</v>
      </c>
      <c r="D50">
        <v>0.47899240513056002</v>
      </c>
      <c r="E50">
        <v>1.872878943467118</v>
      </c>
      <c r="F50">
        <v>0.37418847470894251</v>
      </c>
      <c r="G50">
        <v>1.8806892882694648</v>
      </c>
      <c r="H50">
        <v>4.0445696483286255</v>
      </c>
      <c r="I50">
        <v>1.3111630005298458</v>
      </c>
      <c r="J50">
        <v>1.9973668669828184</v>
      </c>
      <c r="K50">
        <v>19</v>
      </c>
    </row>
    <row r="51" spans="1:11" x14ac:dyDescent="0.2">
      <c r="A51" s="8">
        <v>42</v>
      </c>
      <c r="B51">
        <v>58.210526315789473</v>
      </c>
      <c r="C51">
        <v>0.41171503444893143</v>
      </c>
      <c r="D51">
        <v>0.47899240513056002</v>
      </c>
      <c r="E51">
        <v>1.872878943467118</v>
      </c>
      <c r="F51">
        <v>0.37418847470894251</v>
      </c>
      <c r="G51">
        <v>1.8806892882694648</v>
      </c>
      <c r="H51">
        <v>4.0445696483286255</v>
      </c>
      <c r="I51">
        <v>1.3111630005298458</v>
      </c>
      <c r="J51">
        <v>1.9973668669828184</v>
      </c>
      <c r="K51">
        <v>19</v>
      </c>
    </row>
    <row r="52" spans="1:11" x14ac:dyDescent="0.2">
      <c r="A52" s="4">
        <v>4</v>
      </c>
      <c r="B52">
        <v>61</v>
      </c>
      <c r="C52">
        <v>0.69962353591485005</v>
      </c>
      <c r="D52">
        <v>0.45016980739720591</v>
      </c>
      <c r="E52">
        <v>2.2079028417716682</v>
      </c>
      <c r="F52">
        <v>0.43920479549634028</v>
      </c>
      <c r="G52">
        <v>2.2227446203757539</v>
      </c>
      <c r="H52">
        <v>3.9790868471140355</v>
      </c>
      <c r="I52">
        <v>0.84939404075093972</v>
      </c>
      <c r="J52">
        <v>1.1628499283272924</v>
      </c>
      <c r="K52">
        <v>16</v>
      </c>
    </row>
    <row r="53" spans="1:11" x14ac:dyDescent="0.2">
      <c r="A53" s="8">
        <v>52</v>
      </c>
      <c r="B53">
        <v>61</v>
      </c>
      <c r="C53">
        <v>0.69962353591485005</v>
      </c>
      <c r="D53">
        <v>0.45016980739720591</v>
      </c>
      <c r="E53">
        <v>2.2079028417716682</v>
      </c>
      <c r="F53">
        <v>0.43920479549634028</v>
      </c>
      <c r="G53">
        <v>2.2227446203757539</v>
      </c>
      <c r="H53">
        <v>3.9790868471140355</v>
      </c>
      <c r="I53">
        <v>0.84939404075093972</v>
      </c>
      <c r="J53">
        <v>1.1628499283272924</v>
      </c>
      <c r="K53">
        <v>16</v>
      </c>
    </row>
    <row r="54" spans="1:11" x14ac:dyDescent="0.2">
      <c r="A54" s="4">
        <v>5</v>
      </c>
      <c r="B54">
        <v>57.846153846153847</v>
      </c>
      <c r="C54">
        <v>0.45259908333333332</v>
      </c>
      <c r="D54">
        <v>0.5222639841133041</v>
      </c>
      <c r="E54">
        <v>1.9609749999999999</v>
      </c>
      <c r="F54">
        <v>0.40633646586275435</v>
      </c>
      <c r="G54">
        <v>1.9962279166666665</v>
      </c>
      <c r="H54">
        <v>3.6433229230769228</v>
      </c>
      <c r="I54">
        <v>0.37253969230769229</v>
      </c>
      <c r="J54">
        <v>0.43773360468610201</v>
      </c>
      <c r="K54">
        <v>13</v>
      </c>
    </row>
    <row r="55" spans="1:11" x14ac:dyDescent="0.2">
      <c r="A55" s="8">
        <v>66</v>
      </c>
      <c r="B55">
        <v>59.166666666666664</v>
      </c>
      <c r="C55">
        <v>0.55773220000000001</v>
      </c>
      <c r="D55">
        <v>0.62575336145857019</v>
      </c>
      <c r="E55">
        <v>1.8823316666666665</v>
      </c>
      <c r="F55">
        <v>0.25560818483817649</v>
      </c>
      <c r="G55">
        <v>1.9408342000000001</v>
      </c>
      <c r="H55">
        <v>3.6481078333333339</v>
      </c>
      <c r="I55">
        <v>0.24163133333333331</v>
      </c>
      <c r="J55">
        <v>0.28072352927270966</v>
      </c>
      <c r="K55">
        <v>6</v>
      </c>
    </row>
    <row r="56" spans="1:11" x14ac:dyDescent="0.2">
      <c r="A56" s="8">
        <v>67</v>
      </c>
      <c r="B56">
        <v>56.714285714285715</v>
      </c>
      <c r="C56">
        <v>0.37750400000000001</v>
      </c>
      <c r="D56">
        <v>0.4724664927674766</v>
      </c>
      <c r="E56">
        <v>2.0283835714285714</v>
      </c>
      <c r="F56">
        <v>0.51408788310231335</v>
      </c>
      <c r="G56">
        <v>2.0357948571428572</v>
      </c>
      <c r="H56">
        <v>3.6392215714285716</v>
      </c>
      <c r="I56">
        <v>0.48474685714285709</v>
      </c>
      <c r="J56">
        <v>0.57231366932615269</v>
      </c>
      <c r="K56">
        <v>7</v>
      </c>
    </row>
    <row r="57" spans="1:11" x14ac:dyDescent="0.2">
      <c r="A57" s="4">
        <v>6</v>
      </c>
      <c r="B57">
        <v>62.111111111111114</v>
      </c>
      <c r="C57">
        <v>0.97418660998220474</v>
      </c>
      <c r="D57">
        <v>0.50109595603212875</v>
      </c>
      <c r="E57">
        <v>1.9060203610417317</v>
      </c>
      <c r="F57">
        <v>0.31201024213107958</v>
      </c>
      <c r="G57">
        <v>1.9243410988997841E-2</v>
      </c>
      <c r="H57">
        <v>3.9686498197687499</v>
      </c>
      <c r="I57">
        <v>0.55866449345799774</v>
      </c>
      <c r="J57">
        <v>0.81551133342693172</v>
      </c>
      <c r="K57">
        <v>9</v>
      </c>
    </row>
    <row r="58" spans="1:11" x14ac:dyDescent="0.2">
      <c r="A58" s="8">
        <v>77</v>
      </c>
      <c r="B58">
        <v>64.285714285714292</v>
      </c>
      <c r="C58">
        <v>1.0631455623360528</v>
      </c>
      <c r="D58">
        <v>0.45732043079690782</v>
      </c>
      <c r="E58">
        <v>1.8575879788219747</v>
      </c>
      <c r="F58">
        <v>0.3336783727617833</v>
      </c>
      <c r="G58">
        <v>1.8773328145755695E-2</v>
      </c>
      <c r="H58">
        <v>3.7693369990300059</v>
      </c>
      <c r="I58">
        <v>0.58807960236307422</v>
      </c>
      <c r="J58">
        <v>0.89398733655723051</v>
      </c>
      <c r="K58">
        <v>7</v>
      </c>
    </row>
    <row r="59" spans="1:11" x14ac:dyDescent="0.2">
      <c r="A59" s="8">
        <v>78</v>
      </c>
      <c r="B59">
        <v>54.5</v>
      </c>
      <c r="C59">
        <v>0.66283027674373585</v>
      </c>
      <c r="D59">
        <v>0.71038299511301761</v>
      </c>
      <c r="E59">
        <v>2.0755336988108808</v>
      </c>
      <c r="F59">
        <v>0.19200567170846689</v>
      </c>
      <c r="G59">
        <v>2.0888700940345357E-2</v>
      </c>
      <c r="H59">
        <v>4.6662446923543524</v>
      </c>
      <c r="I59">
        <v>0.45571161229023027</v>
      </c>
      <c r="J59">
        <v>0.54084532247088579</v>
      </c>
      <c r="K59">
        <v>2</v>
      </c>
    </row>
    <row r="60" spans="1:11" x14ac:dyDescent="0.2">
      <c r="A60" s="4">
        <v>7</v>
      </c>
      <c r="B60">
        <v>65.444444444444443</v>
      </c>
      <c r="C60">
        <v>0.61002666330161825</v>
      </c>
      <c r="D60">
        <v>0.52721135288879573</v>
      </c>
      <c r="E60">
        <v>1.6939411920616023</v>
      </c>
      <c r="F60">
        <v>0.18594413774763299</v>
      </c>
      <c r="G60">
        <v>1.7044958444579941E-2</v>
      </c>
      <c r="H60">
        <v>4.7921930771419063</v>
      </c>
      <c r="I60">
        <v>0.93145716744018592</v>
      </c>
      <c r="J60">
        <v>1.4228579013185454</v>
      </c>
      <c r="K60">
        <v>9</v>
      </c>
    </row>
    <row r="61" spans="1:11" x14ac:dyDescent="0.2">
      <c r="A61" s="8">
        <v>97</v>
      </c>
      <c r="B61">
        <v>83</v>
      </c>
      <c r="C61">
        <v>0.22323920080366114</v>
      </c>
      <c r="D61" t="e">
        <v>#DIV/0!</v>
      </c>
      <c r="E61">
        <v>1.7219893508553303</v>
      </c>
      <c r="F61" t="e">
        <v>#DIV/0!</v>
      </c>
      <c r="G61">
        <v>1.7258998523901441E-2</v>
      </c>
      <c r="H61">
        <v>5.3255131964809399</v>
      </c>
      <c r="I61">
        <v>0.65708876266844862</v>
      </c>
      <c r="J61">
        <v>1.1025726695623124</v>
      </c>
      <c r="K61">
        <v>1</v>
      </c>
    </row>
    <row r="62" spans="1:11" x14ac:dyDescent="0.2">
      <c r="A62" s="8">
        <v>99</v>
      </c>
      <c r="B62">
        <v>63.25</v>
      </c>
      <c r="C62">
        <v>0.65837509611386291</v>
      </c>
      <c r="D62">
        <v>0.5418631055547235</v>
      </c>
      <c r="E62">
        <v>1.6904351722123865</v>
      </c>
      <c r="F62">
        <v>0.19846436970200609</v>
      </c>
      <c r="G62">
        <v>1.7018203434664758E-2</v>
      </c>
      <c r="H62">
        <v>4.7255280622245275</v>
      </c>
      <c r="I62">
        <v>0.96575321803665315</v>
      </c>
      <c r="J62">
        <v>1.4628935552880744</v>
      </c>
      <c r="K62">
        <v>8</v>
      </c>
    </row>
    <row r="63" spans="1:11" x14ac:dyDescent="0.2">
      <c r="A63" s="4">
        <v>8</v>
      </c>
      <c r="B63">
        <v>169.5</v>
      </c>
      <c r="C63">
        <v>0.81633519106019881</v>
      </c>
      <c r="D63">
        <v>0.57332184031921996</v>
      </c>
      <c r="E63">
        <v>1.6636092506085944</v>
      </c>
      <c r="F63">
        <v>0.40655881936683447</v>
      </c>
      <c r="G63">
        <v>1.679075342567294E-2</v>
      </c>
      <c r="H63">
        <v>5.2409684669552057</v>
      </c>
      <c r="I63">
        <v>1.0450545622903307</v>
      </c>
      <c r="J63">
        <v>1.9057211903987552</v>
      </c>
      <c r="K63">
        <v>8</v>
      </c>
    </row>
    <row r="64" spans="1:11" x14ac:dyDescent="0.2">
      <c r="A64" s="8">
        <v>109</v>
      </c>
      <c r="B64">
        <v>169.5</v>
      </c>
      <c r="C64">
        <v>0.81633519106019881</v>
      </c>
      <c r="D64">
        <v>0.57332184031921996</v>
      </c>
      <c r="E64">
        <v>1.6636092506085944</v>
      </c>
      <c r="F64">
        <v>0.40655881936683447</v>
      </c>
      <c r="G64">
        <v>1.679075342567294E-2</v>
      </c>
      <c r="H64">
        <v>5.2409684669552057</v>
      </c>
      <c r="I64">
        <v>1.0450545622903307</v>
      </c>
      <c r="J64">
        <v>1.9057211903987552</v>
      </c>
      <c r="K64">
        <v>8</v>
      </c>
    </row>
    <row r="65" spans="1:11" x14ac:dyDescent="0.2">
      <c r="A65" s="4">
        <v>10</v>
      </c>
      <c r="B65">
        <v>126.11111111111111</v>
      </c>
      <c r="C65">
        <v>7.5664896771635943</v>
      </c>
      <c r="D65">
        <v>5.6476598198696273</v>
      </c>
      <c r="E65">
        <v>2.1258856448494323</v>
      </c>
      <c r="F65">
        <v>0.63270567364328578</v>
      </c>
      <c r="G65">
        <v>2.3166151075272073E-2</v>
      </c>
      <c r="H65">
        <v>4.3832107409616698</v>
      </c>
      <c r="I65">
        <v>0.9371911234865592</v>
      </c>
      <c r="J65">
        <v>1.6105320255883673</v>
      </c>
      <c r="K65">
        <v>9</v>
      </c>
    </row>
    <row r="66" spans="1:11" x14ac:dyDescent="0.2">
      <c r="A66" s="8">
        <v>139</v>
      </c>
      <c r="B66">
        <v>124.2</v>
      </c>
      <c r="C66">
        <v>7.0633824821996498</v>
      </c>
      <c r="D66">
        <v>6.714017139820645</v>
      </c>
      <c r="E66">
        <v>2.2818749278071957</v>
      </c>
      <c r="F66">
        <v>0.73738586249868476</v>
      </c>
      <c r="G66">
        <v>2.4806542185464575E-2</v>
      </c>
      <c r="H66">
        <v>5.1727162639796234</v>
      </c>
      <c r="I66">
        <v>1.4991060602398862</v>
      </c>
      <c r="J66">
        <v>2.6459445455151753</v>
      </c>
      <c r="K66">
        <v>5</v>
      </c>
    </row>
    <row r="67" spans="1:11" x14ac:dyDescent="0.2">
      <c r="A67" s="8">
        <v>140</v>
      </c>
      <c r="B67">
        <v>128.5</v>
      </c>
      <c r="C67">
        <v>8.1953736708685234</v>
      </c>
      <c r="D67">
        <v>4.8992796189596923</v>
      </c>
      <c r="E67">
        <v>1.9308990411522275</v>
      </c>
      <c r="F67">
        <v>0.50127761116226999</v>
      </c>
      <c r="G67">
        <v>2.1115662187531442E-2</v>
      </c>
      <c r="H67">
        <v>3.3963288371892291</v>
      </c>
      <c r="I67">
        <v>0.23479745254490059</v>
      </c>
      <c r="J67">
        <v>0.31626637567985733</v>
      </c>
      <c r="K67">
        <v>4</v>
      </c>
    </row>
    <row r="68" spans="1:11" x14ac:dyDescent="0.2">
      <c r="A68" s="4">
        <v>11</v>
      </c>
      <c r="B68">
        <v>102.16666666666667</v>
      </c>
      <c r="C68">
        <v>2.7943537510908185</v>
      </c>
      <c r="D68">
        <v>3.9424499190498539</v>
      </c>
      <c r="E68">
        <v>1.2295374545117985</v>
      </c>
      <c r="F68">
        <v>0.26614291028837989</v>
      </c>
      <c r="G68">
        <v>1.2711777854981182E-2</v>
      </c>
      <c r="H68">
        <v>4.5069315110143755</v>
      </c>
      <c r="I68">
        <v>0.178300404559978</v>
      </c>
      <c r="J68">
        <v>0.22883284727219277</v>
      </c>
      <c r="K68">
        <v>6</v>
      </c>
    </row>
    <row r="69" spans="1:11" x14ac:dyDescent="0.2">
      <c r="A69" s="8">
        <v>158</v>
      </c>
      <c r="B69">
        <v>102.16666666666667</v>
      </c>
      <c r="C69">
        <v>2.7943537510908185</v>
      </c>
      <c r="D69">
        <v>3.9424499190498539</v>
      </c>
      <c r="E69">
        <v>1.2295374545117985</v>
      </c>
      <c r="F69">
        <v>0.26614291028837989</v>
      </c>
      <c r="G69">
        <v>1.2711777854981182E-2</v>
      </c>
      <c r="H69">
        <v>4.5069315110143755</v>
      </c>
      <c r="I69">
        <v>0.178300404559978</v>
      </c>
      <c r="J69">
        <v>0.22883284727219277</v>
      </c>
      <c r="K69">
        <v>6</v>
      </c>
    </row>
    <row r="70" spans="1:11" x14ac:dyDescent="0.2">
      <c r="A70" s="4">
        <v>12</v>
      </c>
      <c r="B70">
        <v>71.555555555555557</v>
      </c>
      <c r="C70">
        <v>0.25237671538588563</v>
      </c>
      <c r="D70">
        <v>0.36215086527542073</v>
      </c>
      <c r="E70">
        <v>0.87755271782804012</v>
      </c>
      <c r="F70">
        <v>0.12857151406565329</v>
      </c>
      <c r="G70">
        <v>8.7980993294652157E-3</v>
      </c>
      <c r="H70">
        <v>4.2817029036174299</v>
      </c>
      <c r="I70">
        <v>0.5627877194019919</v>
      </c>
      <c r="J70">
        <v>0.86035482264509811</v>
      </c>
      <c r="K70">
        <v>9</v>
      </c>
    </row>
    <row r="71" spans="1:11" x14ac:dyDescent="0.2">
      <c r="A71" s="8">
        <v>174</v>
      </c>
      <c r="B71">
        <v>65</v>
      </c>
      <c r="C71">
        <v>0.24890146921611653</v>
      </c>
      <c r="D71">
        <v>0.40972534561535134</v>
      </c>
      <c r="E71">
        <v>0.91705020273755566</v>
      </c>
      <c r="F71">
        <v>0.16291401404599123</v>
      </c>
      <c r="G71">
        <v>9.1945202326275642E-3</v>
      </c>
      <c r="H71">
        <v>4.3143288810837905</v>
      </c>
      <c r="I71">
        <v>0.78716477064638402</v>
      </c>
      <c r="J71">
        <v>1.2527084716907024</v>
      </c>
      <c r="K71">
        <v>5</v>
      </c>
    </row>
    <row r="72" spans="1:11" x14ac:dyDescent="0.2">
      <c r="A72" s="8">
        <v>175</v>
      </c>
      <c r="B72">
        <v>79.75</v>
      </c>
      <c r="C72">
        <v>0.25672077309809693</v>
      </c>
      <c r="D72">
        <v>0.35477255078433978</v>
      </c>
      <c r="E72">
        <v>0.8281808616911458</v>
      </c>
      <c r="F72">
        <v>5.3324768035965586E-2</v>
      </c>
      <c r="G72">
        <v>8.3025732005122775E-3</v>
      </c>
      <c r="H72">
        <v>4.2409204317844784</v>
      </c>
      <c r="I72">
        <v>0.28231640534650154</v>
      </c>
      <c r="J72">
        <v>0.36991276133809231</v>
      </c>
      <c r="K72">
        <v>4</v>
      </c>
    </row>
    <row r="73" spans="1:11" x14ac:dyDescent="0.2">
      <c r="A73" s="4">
        <v>13</v>
      </c>
      <c r="B73">
        <v>153.25</v>
      </c>
      <c r="C73">
        <v>2.4796595852955257</v>
      </c>
      <c r="D73">
        <v>3.6601228368102445</v>
      </c>
      <c r="E73">
        <v>0.84210873897873895</v>
      </c>
      <c r="F73">
        <v>0.14144056975268354</v>
      </c>
      <c r="G73">
        <v>8.6546261998050236E-3</v>
      </c>
      <c r="H73">
        <v>4.0085422636690247</v>
      </c>
      <c r="I73">
        <v>0.23848009304883308</v>
      </c>
      <c r="J73">
        <v>0.37702942780705417</v>
      </c>
      <c r="K73">
        <v>4</v>
      </c>
    </row>
    <row r="74" spans="1:11" x14ac:dyDescent="0.2">
      <c r="A74" s="8">
        <v>189</v>
      </c>
      <c r="B74">
        <v>153.25</v>
      </c>
      <c r="C74">
        <v>2.4796595852955257</v>
      </c>
      <c r="D74">
        <v>3.6601228368102445</v>
      </c>
      <c r="E74">
        <v>0.84210873897873895</v>
      </c>
      <c r="F74">
        <v>0.14144056975268354</v>
      </c>
      <c r="G74">
        <v>8.6546261998050236E-3</v>
      </c>
      <c r="H74">
        <v>4.0085422636690247</v>
      </c>
      <c r="I74">
        <v>0.23848009304883308</v>
      </c>
      <c r="J74">
        <v>0.37702942780705417</v>
      </c>
      <c r="K74">
        <v>4</v>
      </c>
    </row>
    <row r="75" spans="1:11" x14ac:dyDescent="0.2">
      <c r="A75" s="3" t="s">
        <v>112</v>
      </c>
      <c r="B75">
        <v>81.680000000000007</v>
      </c>
      <c r="C75">
        <v>3.0890334857352615</v>
      </c>
      <c r="D75">
        <v>5.6699544416111687</v>
      </c>
      <c r="E75">
        <v>1.9798641875144716</v>
      </c>
      <c r="F75">
        <v>0.7777159274298403</v>
      </c>
      <c r="G75">
        <v>0.88193932960133647</v>
      </c>
      <c r="H75">
        <v>4.9417725132598029</v>
      </c>
      <c r="I75">
        <v>1.1055388041860581</v>
      </c>
      <c r="J75">
        <v>2.342712050441059</v>
      </c>
      <c r="K75">
        <v>100</v>
      </c>
    </row>
    <row r="76" spans="1:11" x14ac:dyDescent="0.2">
      <c r="A76" s="4">
        <v>1</v>
      </c>
      <c r="B76">
        <v>86.8125</v>
      </c>
      <c r="C76">
        <v>0.53314931653576558</v>
      </c>
      <c r="D76">
        <v>0.64981392359494594</v>
      </c>
      <c r="E76">
        <v>1.7789626395430678</v>
      </c>
      <c r="F76">
        <v>0.49765685431999152</v>
      </c>
      <c r="G76">
        <v>1.7893617428410444</v>
      </c>
      <c r="H76">
        <v>4.4504837377524176</v>
      </c>
      <c r="I76">
        <v>0.37615938796780857</v>
      </c>
      <c r="K76">
        <v>16</v>
      </c>
    </row>
    <row r="77" spans="1:11" x14ac:dyDescent="0.2">
      <c r="A77" s="8">
        <v>356</v>
      </c>
      <c r="B77">
        <v>86.8125</v>
      </c>
      <c r="C77">
        <v>0.53314931653576558</v>
      </c>
      <c r="D77">
        <v>0.64981392359494594</v>
      </c>
      <c r="E77">
        <v>1.7789626395430678</v>
      </c>
      <c r="F77">
        <v>0.49765685431999152</v>
      </c>
      <c r="G77">
        <v>1.7893617428410444</v>
      </c>
      <c r="H77">
        <v>4.4504837377524176</v>
      </c>
      <c r="I77">
        <v>0.37615938796780857</v>
      </c>
      <c r="K77">
        <v>16</v>
      </c>
    </row>
    <row r="78" spans="1:11" x14ac:dyDescent="0.2">
      <c r="A78" s="4">
        <v>2</v>
      </c>
      <c r="B78">
        <v>85.888888888888886</v>
      </c>
      <c r="C78">
        <v>0.67546684179718142</v>
      </c>
      <c r="D78">
        <v>0.66875717968789228</v>
      </c>
      <c r="E78">
        <v>1.7787299383527089</v>
      </c>
      <c r="F78">
        <v>0.57167896056571532</v>
      </c>
      <c r="G78">
        <v>1.7914191081842408</v>
      </c>
      <c r="H78">
        <v>4.418705126529896</v>
      </c>
      <c r="I78">
        <v>0.77837160691992946</v>
      </c>
      <c r="K78">
        <v>18</v>
      </c>
    </row>
    <row r="79" spans="1:11" x14ac:dyDescent="0.2">
      <c r="A79" s="8">
        <v>20</v>
      </c>
      <c r="B79">
        <v>111.11111111111111</v>
      </c>
      <c r="C79">
        <v>0.55498613046866374</v>
      </c>
      <c r="D79">
        <v>0.53246139935942383</v>
      </c>
      <c r="E79">
        <v>1.452545260367913</v>
      </c>
      <c r="F79">
        <v>0.54953762250730709</v>
      </c>
      <c r="G79">
        <v>1.4602084436515717</v>
      </c>
      <c r="H79">
        <v>5.0990291821759612</v>
      </c>
      <c r="I79">
        <v>0.90470709641207447</v>
      </c>
      <c r="K79">
        <v>9</v>
      </c>
    </row>
    <row r="80" spans="1:11" x14ac:dyDescent="0.2">
      <c r="A80" s="8">
        <v>21</v>
      </c>
      <c r="B80">
        <v>60.666666666666664</v>
      </c>
      <c r="C80">
        <v>0.79594755312569909</v>
      </c>
      <c r="D80">
        <v>0.79636775774664359</v>
      </c>
      <c r="E80">
        <v>2.104914616337505</v>
      </c>
      <c r="F80">
        <v>0.39128272931231428</v>
      </c>
      <c r="G80">
        <v>2.1226297727169103</v>
      </c>
      <c r="H80">
        <v>3.7383810708838294</v>
      </c>
      <c r="I80">
        <v>0.65203611742778445</v>
      </c>
      <c r="K80">
        <v>9</v>
      </c>
    </row>
    <row r="81" spans="1:11" x14ac:dyDescent="0.2">
      <c r="A81" s="4">
        <v>3</v>
      </c>
      <c r="B81">
        <v>60.833333333333336</v>
      </c>
      <c r="C81">
        <v>0.76414034039242507</v>
      </c>
      <c r="D81">
        <v>0.77422636302403669</v>
      </c>
      <c r="E81">
        <v>2.1588381947547868</v>
      </c>
      <c r="F81">
        <v>0.28491695773288522</v>
      </c>
      <c r="G81">
        <v>2.1766818955957312</v>
      </c>
      <c r="H81">
        <v>3.1362702111739202</v>
      </c>
      <c r="I81">
        <v>0.72436386820542076</v>
      </c>
      <c r="J81">
        <v>0.85084320307442862</v>
      </c>
      <c r="K81">
        <v>12</v>
      </c>
    </row>
    <row r="82" spans="1:11" x14ac:dyDescent="0.2">
      <c r="A82" s="8">
        <v>40</v>
      </c>
      <c r="B82">
        <v>61.666666666666664</v>
      </c>
      <c r="C82">
        <v>0.61284386568542115</v>
      </c>
      <c r="D82">
        <v>0.73821174416395452</v>
      </c>
      <c r="E82">
        <v>2.090219928652254</v>
      </c>
      <c r="F82">
        <v>0.21791813310476457</v>
      </c>
      <c r="G82">
        <v>2.1029075751797017</v>
      </c>
      <c r="H82">
        <v>3.1094932938482103</v>
      </c>
      <c r="I82">
        <v>0.73613100939696074</v>
      </c>
      <c r="J82">
        <v>0.9539927237958522</v>
      </c>
      <c r="K82">
        <v>6</v>
      </c>
    </row>
    <row r="83" spans="1:11" x14ac:dyDescent="0.2">
      <c r="A83" s="8">
        <v>41</v>
      </c>
      <c r="B83">
        <v>60</v>
      </c>
      <c r="C83">
        <v>0.91543681509942887</v>
      </c>
      <c r="D83">
        <v>0.84784676658020675</v>
      </c>
      <c r="E83">
        <v>2.22745646085732</v>
      </c>
      <c r="F83">
        <v>0.34612461335393091</v>
      </c>
      <c r="G83">
        <v>2.2504562160117616</v>
      </c>
      <c r="H83">
        <v>3.1630471284996298</v>
      </c>
      <c r="I83">
        <v>0.71259672701388099</v>
      </c>
      <c r="J83">
        <v>0.74769368235300515</v>
      </c>
      <c r="K83">
        <v>6</v>
      </c>
    </row>
    <row r="84" spans="1:11" x14ac:dyDescent="0.2">
      <c r="A84" s="4">
        <v>7</v>
      </c>
      <c r="B84">
        <v>62.3</v>
      </c>
      <c r="C84">
        <v>1.6222311017083317</v>
      </c>
      <c r="D84">
        <v>0.85958890035519686</v>
      </c>
      <c r="E84">
        <v>2.3669995799154093</v>
      </c>
      <c r="F84">
        <v>0.31581675503280848</v>
      </c>
      <c r="G84">
        <v>2.4050201858228412E-2</v>
      </c>
      <c r="H84">
        <v>4.7454022006264536</v>
      </c>
      <c r="I84">
        <v>0.7753245907948848</v>
      </c>
      <c r="J84">
        <v>1.2183602015856685</v>
      </c>
      <c r="K84">
        <v>10</v>
      </c>
    </row>
    <row r="85" spans="1:11" x14ac:dyDescent="0.2">
      <c r="A85" s="8">
        <v>97</v>
      </c>
      <c r="B85">
        <v>63</v>
      </c>
      <c r="C85">
        <v>1.7132857056610027</v>
      </c>
      <c r="D85">
        <v>0.98391838660410269</v>
      </c>
      <c r="E85">
        <v>2.2561601248832521</v>
      </c>
      <c r="F85">
        <v>0.38673682357384792</v>
      </c>
      <c r="G85">
        <v>2.2938587574095573E-2</v>
      </c>
      <c r="H85">
        <v>4.7720670021212701</v>
      </c>
      <c r="I85">
        <v>1.100107054121146</v>
      </c>
      <c r="J85">
        <v>1.7914140244849017</v>
      </c>
      <c r="K85">
        <v>4</v>
      </c>
    </row>
    <row r="86" spans="1:11" x14ac:dyDescent="0.2">
      <c r="A86" s="8">
        <v>98</v>
      </c>
      <c r="B86">
        <v>61.833333333333336</v>
      </c>
      <c r="C86">
        <v>1.5615280324065506</v>
      </c>
      <c r="D86">
        <v>0.85912497166500823</v>
      </c>
      <c r="E86">
        <v>2.4408925499368483</v>
      </c>
      <c r="F86">
        <v>0.27094771725638922</v>
      </c>
      <c r="G86">
        <v>2.4791278047650311E-2</v>
      </c>
      <c r="H86">
        <v>4.7276256662965759</v>
      </c>
      <c r="I86">
        <v>0.55880294857737745</v>
      </c>
      <c r="J86">
        <v>0.83632431965284626</v>
      </c>
      <c r="K86">
        <v>6</v>
      </c>
    </row>
    <row r="87" spans="1:11" x14ac:dyDescent="0.2">
      <c r="A87" s="4">
        <v>9</v>
      </c>
      <c r="B87">
        <v>76</v>
      </c>
      <c r="C87">
        <v>4.7679178178820001</v>
      </c>
      <c r="D87">
        <v>3.8639422133165153</v>
      </c>
      <c r="E87">
        <v>2.7982502757408381</v>
      </c>
      <c r="F87">
        <v>1.3088203542668722</v>
      </c>
      <c r="G87">
        <v>2.9815172108667031E-2</v>
      </c>
      <c r="H87">
        <v>5.8676673723248127</v>
      </c>
      <c r="I87">
        <v>0.66499442331420155</v>
      </c>
      <c r="J87">
        <v>1.0895238833770218</v>
      </c>
      <c r="K87">
        <v>7</v>
      </c>
    </row>
    <row r="88" spans="1:11" x14ac:dyDescent="0.2">
      <c r="A88" s="8">
        <v>126</v>
      </c>
      <c r="B88">
        <v>91</v>
      </c>
      <c r="C88">
        <v>3.8384338766961799</v>
      </c>
      <c r="D88">
        <v>4.274590584579216</v>
      </c>
      <c r="E88">
        <v>2.7601583619435233</v>
      </c>
      <c r="F88">
        <v>1.237501524480894</v>
      </c>
      <c r="G88">
        <v>2.8975569113282983E-2</v>
      </c>
      <c r="H88">
        <v>5.4062717078908022</v>
      </c>
      <c r="I88">
        <v>0.26477483612090985</v>
      </c>
      <c r="J88">
        <v>0.26477483612090985</v>
      </c>
      <c r="K88">
        <v>2</v>
      </c>
    </row>
    <row r="89" spans="1:11" x14ac:dyDescent="0.2">
      <c r="A89" s="8">
        <v>128</v>
      </c>
      <c r="B89">
        <v>70</v>
      </c>
      <c r="C89">
        <v>5.1397113943563273</v>
      </c>
      <c r="D89">
        <v>4.1499740598568877</v>
      </c>
      <c r="E89">
        <v>2.8134870412597643</v>
      </c>
      <c r="F89">
        <v>1.4783936817079664</v>
      </c>
      <c r="G89">
        <v>3.0151013306820657E-2</v>
      </c>
      <c r="H89">
        <v>6.0522256380984185</v>
      </c>
      <c r="I89">
        <v>0.82508225819151826</v>
      </c>
      <c r="J89">
        <v>1.4194235022794663</v>
      </c>
      <c r="K89">
        <v>5</v>
      </c>
    </row>
    <row r="90" spans="1:11" x14ac:dyDescent="0.2">
      <c r="A90" s="4">
        <v>10</v>
      </c>
      <c r="B90">
        <v>76</v>
      </c>
      <c r="C90">
        <v>13.173176326478888</v>
      </c>
      <c r="D90">
        <v>9.673162947829189</v>
      </c>
      <c r="E90">
        <v>2.7108438150587371</v>
      </c>
      <c r="F90">
        <v>1.0227135067611688</v>
      </c>
      <c r="G90">
        <v>3.1422851262795502E-2</v>
      </c>
      <c r="H90">
        <v>5.9394065420143471</v>
      </c>
      <c r="I90">
        <v>1.8703197667713825</v>
      </c>
      <c r="J90">
        <v>3.2501557617383203</v>
      </c>
      <c r="K90">
        <v>13</v>
      </c>
    </row>
    <row r="91" spans="1:11" x14ac:dyDescent="0.2">
      <c r="A91" s="8">
        <v>139</v>
      </c>
      <c r="B91">
        <v>72.5</v>
      </c>
      <c r="C91">
        <v>10.543453534580905</v>
      </c>
      <c r="D91">
        <v>9.5876296292799736</v>
      </c>
      <c r="E91">
        <v>2.5439453319769618</v>
      </c>
      <c r="F91">
        <v>1.2088986542967401</v>
      </c>
      <c r="G91">
        <v>2.8893142092459436E-2</v>
      </c>
      <c r="H91">
        <v>6.4457826648726533</v>
      </c>
      <c r="I91">
        <v>1.6140944507243806</v>
      </c>
      <c r="J91">
        <v>2.7931410131169532</v>
      </c>
      <c r="K91">
        <v>4</v>
      </c>
    </row>
    <row r="92" spans="1:11" x14ac:dyDescent="0.2">
      <c r="A92" s="8">
        <v>140</v>
      </c>
      <c r="B92">
        <v>77.555555555555557</v>
      </c>
      <c r="C92">
        <v>14.34194201176688</v>
      </c>
      <c r="D92">
        <v>10.044383781282036</v>
      </c>
      <c r="E92">
        <v>2.7850209186506376</v>
      </c>
      <c r="F92">
        <v>1.000379086581918</v>
      </c>
      <c r="G92">
        <v>3.2547166449611531E-2</v>
      </c>
      <c r="H92">
        <v>5.7143504874106545</v>
      </c>
      <c r="I92">
        <v>1.9841976850144947</v>
      </c>
      <c r="J92">
        <v>3.4532734277922614</v>
      </c>
      <c r="K92">
        <v>9</v>
      </c>
    </row>
    <row r="93" spans="1:11" x14ac:dyDescent="0.2">
      <c r="A93" s="4">
        <v>11</v>
      </c>
      <c r="B93">
        <v>82.333333333333329</v>
      </c>
      <c r="C93">
        <v>2.9279300873891905</v>
      </c>
      <c r="D93">
        <v>1.1609230238198407</v>
      </c>
      <c r="E93">
        <v>1.2882258289744843</v>
      </c>
      <c r="F93">
        <v>0.2658708697935136</v>
      </c>
      <c r="G93">
        <v>1.3243471120649908E-2</v>
      </c>
      <c r="H93">
        <v>4.2254166514472216</v>
      </c>
      <c r="I93">
        <v>0.66714269312146557</v>
      </c>
      <c r="J93">
        <v>1.134940744040174</v>
      </c>
      <c r="K93">
        <v>3</v>
      </c>
    </row>
    <row r="94" spans="1:11" x14ac:dyDescent="0.2">
      <c r="A94" s="8">
        <v>158</v>
      </c>
      <c r="B94">
        <v>83</v>
      </c>
      <c r="C94">
        <v>4.1236037164630961</v>
      </c>
      <c r="D94" t="e">
        <v>#DIV/0!</v>
      </c>
      <c r="E94">
        <v>1.0127607859023697</v>
      </c>
      <c r="F94" t="e">
        <v>#DIV/0!</v>
      </c>
      <c r="G94">
        <v>1.0549636037556704E-2</v>
      </c>
      <c r="H94">
        <v>3.5721703011422634</v>
      </c>
      <c r="I94">
        <v>0.81211148987367177</v>
      </c>
      <c r="J94">
        <v>1.3635452175656708</v>
      </c>
      <c r="K94">
        <v>1</v>
      </c>
    </row>
    <row r="95" spans="1:11" x14ac:dyDescent="0.2">
      <c r="A95" s="8">
        <v>159</v>
      </c>
      <c r="B95">
        <v>82</v>
      </c>
      <c r="C95">
        <v>2.3300932728522374</v>
      </c>
      <c r="D95">
        <v>0.74231488842394666</v>
      </c>
      <c r="E95">
        <v>1.425958350510542</v>
      </c>
      <c r="F95">
        <v>0.16599142712030193</v>
      </c>
      <c r="G95">
        <v>1.4590388662196512E-2</v>
      </c>
      <c r="H95">
        <v>4.5520398265996995</v>
      </c>
      <c r="I95">
        <v>0.59465829474536247</v>
      </c>
      <c r="J95">
        <v>1.0206385072774256</v>
      </c>
      <c r="K95">
        <v>2</v>
      </c>
    </row>
    <row r="96" spans="1:11" x14ac:dyDescent="0.2">
      <c r="A96" s="4">
        <v>12</v>
      </c>
      <c r="B96">
        <v>88.333333333333329</v>
      </c>
      <c r="C96">
        <v>6.6539574030773663</v>
      </c>
      <c r="D96">
        <v>6.7733270206059357</v>
      </c>
      <c r="E96">
        <v>1.9168729940234543</v>
      </c>
      <c r="F96">
        <v>0.45091397261007354</v>
      </c>
      <c r="G96">
        <v>2.0681932281045722E-2</v>
      </c>
      <c r="H96">
        <v>6.0919499729125164</v>
      </c>
      <c r="I96">
        <v>0.58337627643871603</v>
      </c>
      <c r="J96">
        <v>0.82835357046867875</v>
      </c>
      <c r="K96">
        <v>3</v>
      </c>
    </row>
    <row r="97" spans="1:11" x14ac:dyDescent="0.2">
      <c r="A97" s="8">
        <v>174</v>
      </c>
      <c r="B97">
        <v>83</v>
      </c>
      <c r="C97">
        <v>0.76136837713808925</v>
      </c>
      <c r="D97" t="e">
        <v>#DIV/0!</v>
      </c>
      <c r="E97">
        <v>1.4704337779644998</v>
      </c>
      <c r="F97" t="e">
        <v>#DIV/0!</v>
      </c>
      <c r="G97">
        <v>1.4817950889077057E-2</v>
      </c>
      <c r="H97">
        <v>5.090829979332101</v>
      </c>
      <c r="I97">
        <v>0.52789566297484725</v>
      </c>
      <c r="J97">
        <v>0.77631715143359892</v>
      </c>
      <c r="K97">
        <v>1</v>
      </c>
    </row>
    <row r="98" spans="1:11" x14ac:dyDescent="0.2">
      <c r="A98" s="8">
        <v>175</v>
      </c>
      <c r="B98">
        <v>91</v>
      </c>
      <c r="C98">
        <v>9.6002519160470055</v>
      </c>
      <c r="D98">
        <v>6.2985720376297127</v>
      </c>
      <c r="E98">
        <v>2.1400926020529316</v>
      </c>
      <c r="F98">
        <v>0.32815371540940286</v>
      </c>
      <c r="G98">
        <v>2.3613922977030053E-2</v>
      </c>
      <c r="H98">
        <v>6.5925099697027232</v>
      </c>
      <c r="I98">
        <v>0.61111658317065043</v>
      </c>
      <c r="J98">
        <v>0.85437177998621872</v>
      </c>
      <c r="K98">
        <v>2</v>
      </c>
    </row>
    <row r="99" spans="1:11" x14ac:dyDescent="0.2">
      <c r="A99" s="4">
        <v>13</v>
      </c>
      <c r="B99">
        <v>99.25</v>
      </c>
      <c r="C99">
        <v>0.8010995275809103</v>
      </c>
      <c r="D99">
        <v>1.1314543430336901</v>
      </c>
      <c r="E99">
        <v>1.4537629715727616</v>
      </c>
      <c r="F99">
        <v>0.28202877428223172</v>
      </c>
      <c r="G99">
        <v>1.4647843665815233E-2</v>
      </c>
      <c r="H99">
        <v>6.8295341677170445</v>
      </c>
      <c r="I99">
        <v>4.5982324960004775</v>
      </c>
      <c r="J99">
        <v>8.7505347140977072</v>
      </c>
      <c r="K99">
        <v>4</v>
      </c>
    </row>
    <row r="100" spans="1:11" x14ac:dyDescent="0.2">
      <c r="A100" s="8">
        <v>189</v>
      </c>
      <c r="B100">
        <v>99.25</v>
      </c>
      <c r="C100">
        <v>0.8010995275809103</v>
      </c>
      <c r="D100">
        <v>1.1314543430336901</v>
      </c>
      <c r="E100">
        <v>1.4537629715727616</v>
      </c>
      <c r="F100">
        <v>0.28202877428223172</v>
      </c>
      <c r="G100">
        <v>1.4647843665815233E-2</v>
      </c>
      <c r="H100">
        <v>6.8295341677170445</v>
      </c>
      <c r="I100">
        <v>4.5982324960004775</v>
      </c>
      <c r="J100">
        <v>8.7505347140977072</v>
      </c>
      <c r="K100">
        <v>4</v>
      </c>
    </row>
    <row r="101" spans="1:11" x14ac:dyDescent="0.2">
      <c r="A101" s="4">
        <v>14</v>
      </c>
      <c r="B101">
        <v>98</v>
      </c>
      <c r="C101">
        <v>5.0362758731310837</v>
      </c>
      <c r="D101">
        <v>6.1018675225925936</v>
      </c>
      <c r="E101">
        <v>1.4673259048159784</v>
      </c>
      <c r="F101">
        <v>5.8086687351414992E-2</v>
      </c>
      <c r="G101">
        <v>1.5400300882170523E-2</v>
      </c>
      <c r="H101">
        <v>6.4954060935339442</v>
      </c>
      <c r="I101">
        <v>3.7475374830978367</v>
      </c>
      <c r="J101">
        <v>7.3253272652737005</v>
      </c>
      <c r="K101">
        <v>3</v>
      </c>
    </row>
    <row r="102" spans="1:11" x14ac:dyDescent="0.2">
      <c r="A102" s="8">
        <v>197</v>
      </c>
      <c r="B102">
        <v>98</v>
      </c>
      <c r="C102">
        <v>5.0362758731310837</v>
      </c>
      <c r="D102">
        <v>6.1018675225925936</v>
      </c>
      <c r="E102">
        <v>1.4673259048159784</v>
      </c>
      <c r="F102">
        <v>5.8086687351414992E-2</v>
      </c>
      <c r="G102">
        <v>1.5400300882170523E-2</v>
      </c>
      <c r="H102">
        <v>6.4954060935339442</v>
      </c>
      <c r="I102">
        <v>3.7475374830978367</v>
      </c>
      <c r="J102">
        <v>7.3253272652737005</v>
      </c>
      <c r="K102">
        <v>3</v>
      </c>
    </row>
    <row r="103" spans="1:11" x14ac:dyDescent="0.2">
      <c r="A103" s="4">
        <v>15</v>
      </c>
      <c r="B103">
        <v>105.18181818181819</v>
      </c>
      <c r="C103">
        <v>1.0124505531178265</v>
      </c>
      <c r="D103">
        <v>1.2217229906866012</v>
      </c>
      <c r="E103">
        <v>1.2062523542286814</v>
      </c>
      <c r="F103">
        <v>0.19443008804130524</v>
      </c>
      <c r="G103">
        <v>1.2194963903425138E-2</v>
      </c>
      <c r="H103">
        <v>5.6637402933674901</v>
      </c>
      <c r="I103">
        <v>0.99940293370242306</v>
      </c>
      <c r="J103">
        <v>1.7707799267622066</v>
      </c>
      <c r="K103">
        <v>11</v>
      </c>
    </row>
    <row r="104" spans="1:11" x14ac:dyDescent="0.2">
      <c r="A104" s="8">
        <v>213</v>
      </c>
      <c r="B104">
        <v>105.18181818181819</v>
      </c>
      <c r="C104">
        <v>1.0124505531178265</v>
      </c>
      <c r="D104">
        <v>1.2217229906866012</v>
      </c>
      <c r="E104">
        <v>1.2062523542286814</v>
      </c>
      <c r="F104">
        <v>0.19443008804130524</v>
      </c>
      <c r="G104">
        <v>1.2194963903425138E-2</v>
      </c>
      <c r="H104">
        <v>5.6637402933674901</v>
      </c>
      <c r="I104">
        <v>0.99940293370242306</v>
      </c>
      <c r="J104">
        <v>1.7707799267622066</v>
      </c>
      <c r="K104">
        <v>11</v>
      </c>
    </row>
    <row r="105" spans="1:11" x14ac:dyDescent="0.2">
      <c r="A105" s="3" t="s">
        <v>60</v>
      </c>
      <c r="B105">
        <v>88.323008849557525</v>
      </c>
      <c r="C105">
        <v>1.5847157271655614</v>
      </c>
      <c r="D105">
        <v>2.226719517692143</v>
      </c>
      <c r="E105">
        <v>2.1543150071719648</v>
      </c>
      <c r="F105">
        <v>0.70996740893527321</v>
      </c>
      <c r="G105">
        <v>0.88575628566282483</v>
      </c>
      <c r="H105">
        <v>4.4207911833454032</v>
      </c>
      <c r="I105">
        <v>1.3087672328102236</v>
      </c>
      <c r="J105">
        <v>2.5074426694424097</v>
      </c>
      <c r="K105">
        <v>226</v>
      </c>
    </row>
    <row r="106" spans="1:11" x14ac:dyDescent="0.2">
      <c r="A106" s="4">
        <v>1</v>
      </c>
      <c r="B106">
        <v>113.76470588235294</v>
      </c>
      <c r="C106">
        <v>0.76239782797354883</v>
      </c>
      <c r="D106">
        <v>0.61024969581771304</v>
      </c>
      <c r="E106">
        <v>1.6720901601098983</v>
      </c>
      <c r="F106">
        <v>0.24173474569208192</v>
      </c>
      <c r="G106">
        <v>1.6851698766338767</v>
      </c>
      <c r="H106">
        <v>4.038270275920798</v>
      </c>
      <c r="I106">
        <v>0.42453064008355323</v>
      </c>
      <c r="K106">
        <v>17</v>
      </c>
    </row>
    <row r="107" spans="1:11" x14ac:dyDescent="0.2">
      <c r="A107" s="8">
        <v>353</v>
      </c>
      <c r="B107">
        <v>113.76470588235294</v>
      </c>
      <c r="C107">
        <v>0.76239782797354883</v>
      </c>
      <c r="D107">
        <v>0.61024969581771304</v>
      </c>
      <c r="E107">
        <v>1.6720901601098983</v>
      </c>
      <c r="F107">
        <v>0.24173474569208192</v>
      </c>
      <c r="G107">
        <v>1.6851698766338767</v>
      </c>
      <c r="H107">
        <v>4.038270275920798</v>
      </c>
      <c r="I107">
        <v>0.42453064008355323</v>
      </c>
      <c r="K107">
        <v>17</v>
      </c>
    </row>
    <row r="108" spans="1:11" x14ac:dyDescent="0.2">
      <c r="A108" s="4">
        <v>2</v>
      </c>
      <c r="B108">
        <v>97.055555555555557</v>
      </c>
      <c r="C108">
        <v>0.66243791211494862</v>
      </c>
      <c r="D108">
        <v>0.72582885098286709</v>
      </c>
      <c r="E108">
        <v>2.1390263812439239</v>
      </c>
      <c r="F108">
        <v>0.5562457302663536</v>
      </c>
      <c r="G108">
        <v>2.1530030384801502</v>
      </c>
      <c r="H108">
        <v>4.7537165405389841</v>
      </c>
      <c r="I108">
        <v>0.49920125452063263</v>
      </c>
      <c r="K108">
        <v>18</v>
      </c>
    </row>
    <row r="109" spans="1:11" x14ac:dyDescent="0.2">
      <c r="A109" s="8">
        <v>16</v>
      </c>
      <c r="B109">
        <v>97.055555555555557</v>
      </c>
      <c r="C109">
        <v>0.66243791211494862</v>
      </c>
      <c r="D109">
        <v>0.72582885098286709</v>
      </c>
      <c r="E109">
        <v>2.1390263812439239</v>
      </c>
      <c r="F109">
        <v>0.5562457302663536</v>
      </c>
      <c r="G109">
        <v>2.1530030384801502</v>
      </c>
      <c r="H109">
        <v>4.7537165405389841</v>
      </c>
      <c r="I109">
        <v>0.49920125452063263</v>
      </c>
      <c r="K109">
        <v>18</v>
      </c>
    </row>
    <row r="110" spans="1:11" x14ac:dyDescent="0.2">
      <c r="A110" s="4">
        <v>3</v>
      </c>
      <c r="B110">
        <v>91.428571428571431</v>
      </c>
      <c r="C110">
        <v>0.6319010104667766</v>
      </c>
      <c r="D110">
        <v>0.63672080483286697</v>
      </c>
      <c r="E110">
        <v>2.0744341474413943</v>
      </c>
      <c r="F110">
        <v>0.5845705623493932</v>
      </c>
      <c r="G110">
        <v>2.0880142492903446</v>
      </c>
      <c r="H110">
        <v>3.969573702748062</v>
      </c>
      <c r="I110">
        <v>0.55757265909261899</v>
      </c>
      <c r="J110">
        <v>0.8437801027564038</v>
      </c>
      <c r="K110">
        <v>14</v>
      </c>
    </row>
    <row r="111" spans="1:11" x14ac:dyDescent="0.2">
      <c r="A111" s="8">
        <v>36</v>
      </c>
      <c r="B111">
        <v>91.428571428571431</v>
      </c>
      <c r="C111">
        <v>0.6319010104667766</v>
      </c>
      <c r="D111">
        <v>0.63672080483286697</v>
      </c>
      <c r="E111">
        <v>2.0744341474413943</v>
      </c>
      <c r="F111">
        <v>0.5845705623493932</v>
      </c>
      <c r="G111">
        <v>2.0880142492903446</v>
      </c>
      <c r="H111">
        <v>3.969573702748062</v>
      </c>
      <c r="I111">
        <v>0.55757265909261899</v>
      </c>
      <c r="J111">
        <v>0.8437801027564038</v>
      </c>
      <c r="K111">
        <v>14</v>
      </c>
    </row>
    <row r="112" spans="1:11" x14ac:dyDescent="0.2">
      <c r="A112" s="4">
        <v>4</v>
      </c>
      <c r="B112">
        <v>64</v>
      </c>
      <c r="C112">
        <v>0.81282237390681811</v>
      </c>
      <c r="D112">
        <v>0.68696404129361077</v>
      </c>
      <c r="E112">
        <v>2.6428132429113758</v>
      </c>
      <c r="F112">
        <v>0.78314014052923808</v>
      </c>
      <c r="G112">
        <v>2.5807507313517153</v>
      </c>
      <c r="H112">
        <v>3.7085846146250327</v>
      </c>
      <c r="I112">
        <v>0.63367503028143701</v>
      </c>
      <c r="J112">
        <v>0.88339274782246047</v>
      </c>
      <c r="K112">
        <v>23</v>
      </c>
    </row>
    <row r="113" spans="1:11" x14ac:dyDescent="0.2">
      <c r="A113" s="8">
        <v>51</v>
      </c>
      <c r="B113">
        <v>57.53846153846154</v>
      </c>
      <c r="C113">
        <v>0.60928755676124269</v>
      </c>
      <c r="D113">
        <v>0.62829891811743599</v>
      </c>
      <c r="E113">
        <v>2.7201301581511066</v>
      </c>
      <c r="F113">
        <v>0.75227874830544716</v>
      </c>
      <c r="G113">
        <v>2.5917884637427231</v>
      </c>
      <c r="H113">
        <v>3.7610556443160785</v>
      </c>
      <c r="I113">
        <v>0.72377870878850636</v>
      </c>
      <c r="J113">
        <v>0.98789510928846258</v>
      </c>
      <c r="K113">
        <v>13</v>
      </c>
    </row>
    <row r="114" spans="1:11" x14ac:dyDescent="0.2">
      <c r="A114" s="8">
        <v>52</v>
      </c>
      <c r="B114">
        <v>72.400000000000006</v>
      </c>
      <c r="C114">
        <v>1.0367106727669513</v>
      </c>
      <c r="D114">
        <v>0.70976101080836707</v>
      </c>
      <c r="E114">
        <v>2.5423012530997253</v>
      </c>
      <c r="F114">
        <v>0.85133668759636005</v>
      </c>
      <c r="G114">
        <v>2.5686092257216062</v>
      </c>
      <c r="H114">
        <v>3.6403722760266719</v>
      </c>
      <c r="I114">
        <v>0.51654024822224665</v>
      </c>
      <c r="J114">
        <v>0.74753967791665821</v>
      </c>
      <c r="K114">
        <v>10</v>
      </c>
    </row>
    <row r="115" spans="1:11" x14ac:dyDescent="0.2">
      <c r="A115" s="4">
        <v>5</v>
      </c>
      <c r="B115">
        <v>71.235294117647058</v>
      </c>
      <c r="C115">
        <v>0.69540686223002868</v>
      </c>
      <c r="D115">
        <v>0.69300712988314284</v>
      </c>
      <c r="E115">
        <v>2.5579171954211306</v>
      </c>
      <c r="F115">
        <v>0.62584193187757176</v>
      </c>
      <c r="G115">
        <v>2.5753199829618865</v>
      </c>
      <c r="H115">
        <v>3.8142096840988873</v>
      </c>
      <c r="I115">
        <v>0.32607843102350609</v>
      </c>
      <c r="J115">
        <v>0.42848125052996205</v>
      </c>
      <c r="K115">
        <v>17</v>
      </c>
    </row>
    <row r="116" spans="1:11" x14ac:dyDescent="0.2">
      <c r="A116" s="8">
        <v>64</v>
      </c>
      <c r="B116">
        <v>71.235294117647058</v>
      </c>
      <c r="C116">
        <v>0.69540686223002868</v>
      </c>
      <c r="D116">
        <v>0.69300712988314284</v>
      </c>
      <c r="E116">
        <v>2.5579171954211306</v>
      </c>
      <c r="F116">
        <v>0.62584193187757176</v>
      </c>
      <c r="G116">
        <v>2.5753199829618865</v>
      </c>
      <c r="H116">
        <v>3.8142096840988873</v>
      </c>
      <c r="I116">
        <v>0.32607843102350609</v>
      </c>
      <c r="J116">
        <v>0.42848125052996205</v>
      </c>
      <c r="K116">
        <v>17</v>
      </c>
    </row>
    <row r="117" spans="1:11" x14ac:dyDescent="0.2">
      <c r="A117" s="4">
        <v>6</v>
      </c>
      <c r="B117">
        <v>76.037037037037038</v>
      </c>
      <c r="C117">
        <v>0.74336333093308926</v>
      </c>
      <c r="D117">
        <v>0.68879780449113071</v>
      </c>
      <c r="E117">
        <v>2.3790597066506454</v>
      </c>
      <c r="F117">
        <v>0.44084219989087503</v>
      </c>
      <c r="G117">
        <v>2.3971441077039028E-2</v>
      </c>
      <c r="H117">
        <v>4.6371669002215459</v>
      </c>
      <c r="I117">
        <v>0.83880254276732791</v>
      </c>
      <c r="J117">
        <v>1.2775215268971793</v>
      </c>
      <c r="K117">
        <v>27</v>
      </c>
    </row>
    <row r="118" spans="1:11" x14ac:dyDescent="0.2">
      <c r="A118" s="8">
        <v>77</v>
      </c>
      <c r="B118">
        <v>76.037037037037038</v>
      </c>
      <c r="C118">
        <v>0.74336333093308926</v>
      </c>
      <c r="D118">
        <v>0.68879780449113071</v>
      </c>
      <c r="E118">
        <v>2.3790597066506454</v>
      </c>
      <c r="F118">
        <v>0.44084219989087503</v>
      </c>
      <c r="G118">
        <v>2.3971441077039028E-2</v>
      </c>
      <c r="H118">
        <v>4.6371669002215459</v>
      </c>
      <c r="I118">
        <v>0.83880254276732791</v>
      </c>
      <c r="J118">
        <v>1.2775215268971793</v>
      </c>
      <c r="K118">
        <v>27</v>
      </c>
    </row>
    <row r="119" spans="1:11" x14ac:dyDescent="0.2">
      <c r="A119" s="4">
        <v>8</v>
      </c>
      <c r="B119">
        <v>82.86666666666666</v>
      </c>
      <c r="C119">
        <v>1.2852160582540895</v>
      </c>
      <c r="D119">
        <v>0.88906229369580403</v>
      </c>
      <c r="E119">
        <v>2.6731683131653003</v>
      </c>
      <c r="F119">
        <v>0.92003977070568155</v>
      </c>
      <c r="G119">
        <v>2.7120804569938175E-2</v>
      </c>
      <c r="H119">
        <v>5.1910229653487336</v>
      </c>
      <c r="I119">
        <v>0.77670063164196779</v>
      </c>
      <c r="J119">
        <v>1.2314452999775334</v>
      </c>
      <c r="K119">
        <v>15</v>
      </c>
    </row>
    <row r="120" spans="1:11" x14ac:dyDescent="0.2">
      <c r="A120" s="8">
        <v>105</v>
      </c>
      <c r="B120">
        <v>82.86666666666666</v>
      </c>
      <c r="C120">
        <v>1.2852160582540895</v>
      </c>
      <c r="D120">
        <v>0.88906229369580403</v>
      </c>
      <c r="E120">
        <v>2.6731683131653003</v>
      </c>
      <c r="F120">
        <v>0.92003977070568155</v>
      </c>
      <c r="G120">
        <v>2.7120804569938175E-2</v>
      </c>
      <c r="H120">
        <v>5.1910229653487336</v>
      </c>
      <c r="I120">
        <v>0.77670063164196779</v>
      </c>
      <c r="J120">
        <v>1.2314452999775334</v>
      </c>
      <c r="K120">
        <v>15</v>
      </c>
    </row>
    <row r="121" spans="1:11" x14ac:dyDescent="0.2">
      <c r="A121" s="4">
        <v>9</v>
      </c>
      <c r="B121">
        <v>94.82352941176471</v>
      </c>
      <c r="C121">
        <v>1.7655941294453934</v>
      </c>
      <c r="D121">
        <v>0.95058460129875599</v>
      </c>
      <c r="E121">
        <v>2.6671981283308495</v>
      </c>
      <c r="F121">
        <v>0.62833838774687623</v>
      </c>
      <c r="G121">
        <v>2.7200659299788394E-2</v>
      </c>
      <c r="H121">
        <v>5.6758640029578116</v>
      </c>
      <c r="I121">
        <v>1.5396265603827402</v>
      </c>
      <c r="J121">
        <v>2.2964360427795643</v>
      </c>
      <c r="K121">
        <v>17</v>
      </c>
    </row>
    <row r="122" spans="1:11" x14ac:dyDescent="0.2">
      <c r="A122" s="8">
        <v>125</v>
      </c>
      <c r="B122">
        <v>94.82352941176471</v>
      </c>
      <c r="C122">
        <v>1.7655941294453934</v>
      </c>
      <c r="D122">
        <v>0.95058460129875599</v>
      </c>
      <c r="E122">
        <v>2.6671981283308495</v>
      </c>
      <c r="F122">
        <v>0.62833838774687623</v>
      </c>
      <c r="G122">
        <v>2.7200659299788394E-2</v>
      </c>
      <c r="H122">
        <v>5.6758640029578116</v>
      </c>
      <c r="I122">
        <v>1.5396265603827402</v>
      </c>
      <c r="J122">
        <v>2.2964360427795643</v>
      </c>
      <c r="K122">
        <v>17</v>
      </c>
    </row>
    <row r="123" spans="1:11" x14ac:dyDescent="0.2">
      <c r="A123" s="4">
        <v>10</v>
      </c>
      <c r="B123">
        <v>87.588235294117652</v>
      </c>
      <c r="C123">
        <v>3.454258944926849</v>
      </c>
      <c r="D123">
        <v>1.6412290206671281</v>
      </c>
      <c r="E123">
        <v>2.0430344353784622</v>
      </c>
      <c r="F123">
        <v>0.52320770536514694</v>
      </c>
      <c r="G123">
        <v>2.1213562038368855E-2</v>
      </c>
      <c r="H123">
        <v>5.1078633776517819</v>
      </c>
      <c r="I123">
        <v>1.3800147268039027</v>
      </c>
      <c r="J123">
        <v>2.31394473753446</v>
      </c>
      <c r="K123">
        <v>17</v>
      </c>
    </row>
    <row r="124" spans="1:11" x14ac:dyDescent="0.2">
      <c r="A124" s="8">
        <v>138</v>
      </c>
      <c r="B124">
        <v>87.588235294117652</v>
      </c>
      <c r="C124">
        <v>3.454258944926849</v>
      </c>
      <c r="D124">
        <v>1.6412290206671281</v>
      </c>
      <c r="E124">
        <v>2.0430344353784622</v>
      </c>
      <c r="F124">
        <v>0.52320770536514694</v>
      </c>
      <c r="G124">
        <v>2.1213562038368855E-2</v>
      </c>
      <c r="H124">
        <v>5.1078633776517819</v>
      </c>
      <c r="I124">
        <v>1.3800147268039027</v>
      </c>
      <c r="J124">
        <v>2.31394473753446</v>
      </c>
      <c r="K124">
        <v>17</v>
      </c>
    </row>
    <row r="125" spans="1:11" x14ac:dyDescent="0.2">
      <c r="A125" s="4">
        <v>11</v>
      </c>
      <c r="B125">
        <v>99.25</v>
      </c>
      <c r="C125">
        <v>6.6850619714291213</v>
      </c>
      <c r="D125">
        <v>4.273187322439326</v>
      </c>
      <c r="E125">
        <v>2.0796929212632675</v>
      </c>
      <c r="F125">
        <v>0.65757954303092092</v>
      </c>
      <c r="G125">
        <v>2.2377566168485748E-2</v>
      </c>
      <c r="H125">
        <v>3.9572223534543753</v>
      </c>
      <c r="I125">
        <v>0.48424350995412424</v>
      </c>
      <c r="J125">
        <v>0.76480140914483985</v>
      </c>
      <c r="K125">
        <v>16</v>
      </c>
    </row>
    <row r="126" spans="1:11" x14ac:dyDescent="0.2">
      <c r="A126" s="8">
        <v>159</v>
      </c>
      <c r="B126">
        <v>99.25</v>
      </c>
      <c r="C126">
        <v>6.6850619714291213</v>
      </c>
      <c r="D126">
        <v>4.273187322439326</v>
      </c>
      <c r="E126">
        <v>2.0796929212632675</v>
      </c>
      <c r="F126">
        <v>0.65757954303092092</v>
      </c>
      <c r="G126">
        <v>2.2377566168485748E-2</v>
      </c>
      <c r="H126">
        <v>3.9572223534543753</v>
      </c>
      <c r="I126">
        <v>0.48424350995412424</v>
      </c>
      <c r="J126">
        <v>0.76480140914483985</v>
      </c>
      <c r="K126">
        <v>16</v>
      </c>
    </row>
    <row r="127" spans="1:11" x14ac:dyDescent="0.2">
      <c r="A127" s="4">
        <v>12</v>
      </c>
      <c r="B127">
        <v>101.83333333333333</v>
      </c>
      <c r="C127">
        <v>2.421919641364648</v>
      </c>
      <c r="D127">
        <v>2.9545636407475282</v>
      </c>
      <c r="E127">
        <v>1.4419927171245206</v>
      </c>
      <c r="F127">
        <v>0.59499714885145716</v>
      </c>
      <c r="G127">
        <v>1.4915171733526968E-2</v>
      </c>
      <c r="H127">
        <v>3.8476516810155732</v>
      </c>
      <c r="I127">
        <v>4.7875838473636758</v>
      </c>
      <c r="J127">
        <v>8.8888693948731774</v>
      </c>
      <c r="K127">
        <v>12</v>
      </c>
    </row>
    <row r="128" spans="1:11" x14ac:dyDescent="0.2">
      <c r="A128" s="8">
        <v>173</v>
      </c>
      <c r="B128">
        <v>101.83333333333333</v>
      </c>
      <c r="C128">
        <v>2.421919641364648</v>
      </c>
      <c r="D128">
        <v>2.9545636407475282</v>
      </c>
      <c r="E128">
        <v>1.4419927171245206</v>
      </c>
      <c r="F128">
        <v>0.59499714885145716</v>
      </c>
      <c r="G128">
        <v>1.4915171733526968E-2</v>
      </c>
      <c r="H128">
        <v>3.8476516810155732</v>
      </c>
      <c r="I128">
        <v>4.7875838473636758</v>
      </c>
      <c r="J128">
        <v>8.8888693948731774</v>
      </c>
      <c r="K128">
        <v>12</v>
      </c>
    </row>
    <row r="129" spans="1:11" x14ac:dyDescent="0.2">
      <c r="A129" s="4">
        <v>13</v>
      </c>
      <c r="B129">
        <v>98.5</v>
      </c>
      <c r="C129">
        <v>0.49486789168390177</v>
      </c>
      <c r="D129">
        <v>0.21534534142700384</v>
      </c>
      <c r="E129">
        <v>1.3778992451513385</v>
      </c>
      <c r="F129">
        <v>0.27762320738916701</v>
      </c>
      <c r="G129">
        <v>1.3846308645767533E-2</v>
      </c>
      <c r="H129">
        <v>4.2833221745246606</v>
      </c>
      <c r="I129">
        <v>4.8846986031012856</v>
      </c>
      <c r="J129">
        <v>9.2153959530836964</v>
      </c>
      <c r="K129">
        <v>12</v>
      </c>
    </row>
    <row r="130" spans="1:11" x14ac:dyDescent="0.2">
      <c r="A130" s="8">
        <v>188</v>
      </c>
      <c r="B130">
        <v>98.5</v>
      </c>
      <c r="C130">
        <v>0.49486789168390177</v>
      </c>
      <c r="D130">
        <v>0.21534534142700384</v>
      </c>
      <c r="E130">
        <v>1.3778992451513385</v>
      </c>
      <c r="F130">
        <v>0.27762320738916701</v>
      </c>
      <c r="G130">
        <v>1.3846308645767533E-2</v>
      </c>
      <c r="H130">
        <v>4.2833221745246606</v>
      </c>
      <c r="I130">
        <v>4.8846986031012856</v>
      </c>
      <c r="J130">
        <v>9.2153959530836964</v>
      </c>
      <c r="K130">
        <v>12</v>
      </c>
    </row>
    <row r="131" spans="1:11" x14ac:dyDescent="0.2">
      <c r="A131" s="4">
        <v>14</v>
      </c>
      <c r="B131">
        <v>99.777777777777771</v>
      </c>
      <c r="C131">
        <v>1.6905298564760884</v>
      </c>
      <c r="D131">
        <v>1.2425551190545678</v>
      </c>
      <c r="E131">
        <v>1.6017491176498855</v>
      </c>
      <c r="F131">
        <v>0.38334773505685593</v>
      </c>
      <c r="G131">
        <v>1.6297236926581846E-2</v>
      </c>
      <c r="H131">
        <v>4.3303962494176531</v>
      </c>
      <c r="I131">
        <v>1.9812686241139774</v>
      </c>
      <c r="J131">
        <v>3.6449769878682545</v>
      </c>
      <c r="K131">
        <v>9</v>
      </c>
    </row>
    <row r="132" spans="1:11" x14ac:dyDescent="0.2">
      <c r="A132" s="8">
        <v>197</v>
      </c>
      <c r="B132">
        <v>99.777777777777771</v>
      </c>
      <c r="C132">
        <v>1.6905298564760884</v>
      </c>
      <c r="D132">
        <v>1.2425551190545678</v>
      </c>
      <c r="E132">
        <v>1.6017491176498855</v>
      </c>
      <c r="F132">
        <v>0.38334773505685593</v>
      </c>
      <c r="G132">
        <v>1.6297236926581846E-2</v>
      </c>
      <c r="H132">
        <v>4.3303962494176531</v>
      </c>
      <c r="I132">
        <v>1.9812686241139774</v>
      </c>
      <c r="J132">
        <v>3.6449769878682545</v>
      </c>
      <c r="K132">
        <v>9</v>
      </c>
    </row>
    <row r="133" spans="1:11" x14ac:dyDescent="0.2">
      <c r="A133" s="4">
        <v>15</v>
      </c>
      <c r="B133">
        <v>85.833333333333329</v>
      </c>
      <c r="C133">
        <v>0.52073005147325901</v>
      </c>
      <c r="D133">
        <v>0.46671341523799481</v>
      </c>
      <c r="E133">
        <v>1.7437442546922195</v>
      </c>
      <c r="F133">
        <v>0.44521534910958405</v>
      </c>
      <c r="G133">
        <v>1.7528274475104376E-2</v>
      </c>
      <c r="H133">
        <v>4.3770866838098712</v>
      </c>
      <c r="I133">
        <v>1.9218898053267353</v>
      </c>
      <c r="J133">
        <v>3.4083196028334464</v>
      </c>
      <c r="K133">
        <v>12</v>
      </c>
    </row>
    <row r="134" spans="1:11" x14ac:dyDescent="0.2">
      <c r="A134" s="8">
        <v>213</v>
      </c>
      <c r="B134">
        <v>85.833333333333329</v>
      </c>
      <c r="C134">
        <v>0.52073005147325901</v>
      </c>
      <c r="D134">
        <v>0.46671341523799481</v>
      </c>
      <c r="E134">
        <v>1.7437442546922195</v>
      </c>
      <c r="F134">
        <v>0.44521534910958405</v>
      </c>
      <c r="G134">
        <v>1.7528274475104376E-2</v>
      </c>
      <c r="H134">
        <v>4.3770866838098712</v>
      </c>
      <c r="I134">
        <v>1.9218898053267353</v>
      </c>
      <c r="J134">
        <v>3.4083196028334464</v>
      </c>
      <c r="K134">
        <v>12</v>
      </c>
    </row>
    <row r="135" spans="1:11" x14ac:dyDescent="0.2">
      <c r="A135" s="3" t="s">
        <v>584</v>
      </c>
    </row>
    <row r="136" spans="1:11" x14ac:dyDescent="0.2">
      <c r="A136" s="4" t="s">
        <v>584</v>
      </c>
    </row>
    <row r="137" spans="1:11" x14ac:dyDescent="0.2">
      <c r="A137" s="8" t="s">
        <v>584</v>
      </c>
    </row>
    <row r="138" spans="1:11" x14ac:dyDescent="0.2">
      <c r="A138" s="3" t="s">
        <v>585</v>
      </c>
      <c r="B138">
        <v>85.891218872870255</v>
      </c>
      <c r="C138">
        <v>1.9845677880181642</v>
      </c>
      <c r="D138">
        <v>3.4289449780703971</v>
      </c>
      <c r="E138">
        <v>2.1315547077966817</v>
      </c>
      <c r="F138">
        <v>0.74838580034905955</v>
      </c>
      <c r="G138">
        <v>0.99885975785842596</v>
      </c>
      <c r="H138">
        <v>4.4711250436697343</v>
      </c>
      <c r="I138">
        <v>1.0142136121987007</v>
      </c>
      <c r="J138">
        <v>1.9184283716169277</v>
      </c>
      <c r="K138">
        <v>763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5038C-FB83-44B6-B5E8-EEC6BE413168}">
  <dimension ref="A1:M44"/>
  <sheetViews>
    <sheetView workbookViewId="0">
      <selection activeCell="E39" sqref="E38:E39"/>
    </sheetView>
  </sheetViews>
  <sheetFormatPr baseColWidth="10" defaultColWidth="8.83203125" defaultRowHeight="16" x14ac:dyDescent="0.2"/>
  <cols>
    <col min="2" max="2" width="8.1640625" style="3" customWidth="1"/>
    <col min="9" max="9" width="12.33203125" bestFit="1" customWidth="1"/>
    <col min="10" max="10" width="13.33203125" bestFit="1" customWidth="1"/>
    <col min="11" max="11" width="12.33203125" bestFit="1" customWidth="1"/>
    <col min="12" max="12" width="13.33203125" bestFit="1" customWidth="1"/>
    <col min="13" max="13" width="12.33203125" bestFit="1" customWidth="1"/>
  </cols>
  <sheetData>
    <row r="1" spans="1:13" x14ac:dyDescent="0.2">
      <c r="A1" t="s">
        <v>1</v>
      </c>
      <c r="B1" s="3" t="s">
        <v>1463</v>
      </c>
      <c r="C1" t="s">
        <v>15</v>
      </c>
      <c r="D1" t="s">
        <v>1464</v>
      </c>
      <c r="E1" t="s">
        <v>16</v>
      </c>
      <c r="F1" t="s">
        <v>1465</v>
      </c>
      <c r="I1" s="2" t="s">
        <v>574</v>
      </c>
      <c r="J1" t="s">
        <v>576</v>
      </c>
      <c r="K1" t="s">
        <v>577</v>
      </c>
      <c r="L1" t="s">
        <v>578</v>
      </c>
      <c r="M1" t="s">
        <v>579</v>
      </c>
    </row>
    <row r="2" spans="1:13" x14ac:dyDescent="0.2">
      <c r="A2" t="s">
        <v>46</v>
      </c>
      <c r="B2" s="3">
        <v>1</v>
      </c>
      <c r="C2">
        <v>1.5185526314593687</v>
      </c>
      <c r="D2">
        <v>0.1868313768825047</v>
      </c>
      <c r="E2">
        <v>2.0812905016179202</v>
      </c>
      <c r="F2">
        <v>0.5459077942395627</v>
      </c>
      <c r="I2" s="3">
        <v>1</v>
      </c>
      <c r="J2">
        <v>1.4677902408901844</v>
      </c>
      <c r="K2">
        <v>4.5203932266339217E-2</v>
      </c>
      <c r="L2">
        <v>1.9053056439835949</v>
      </c>
      <c r="M2">
        <v>0.18201089532893547</v>
      </c>
    </row>
    <row r="3" spans="1:13" x14ac:dyDescent="0.2">
      <c r="A3" t="s">
        <v>46</v>
      </c>
      <c r="B3" s="3">
        <v>2</v>
      </c>
      <c r="C3">
        <v>1.6409021802097574</v>
      </c>
      <c r="D3">
        <v>0.18834568086930004</v>
      </c>
      <c r="E3">
        <v>2.7796387423762052</v>
      </c>
      <c r="F3">
        <v>0.5334593807695317</v>
      </c>
      <c r="I3" s="3">
        <v>2</v>
      </c>
      <c r="J3">
        <v>1.3276277969261199</v>
      </c>
      <c r="K3">
        <v>0.44263916993663027</v>
      </c>
      <c r="L3">
        <v>2.0602787637983462</v>
      </c>
      <c r="M3">
        <v>0.51859910790943342</v>
      </c>
    </row>
    <row r="4" spans="1:13" x14ac:dyDescent="0.2">
      <c r="A4" t="s">
        <v>46</v>
      </c>
      <c r="B4" s="3">
        <v>3</v>
      </c>
      <c r="C4">
        <v>1.6741547778945378</v>
      </c>
      <c r="D4">
        <v>0.1657337240378626</v>
      </c>
      <c r="E4">
        <v>2.5588484822214208</v>
      </c>
      <c r="F4">
        <v>0.34028648481933199</v>
      </c>
      <c r="I4" s="3">
        <v>3</v>
      </c>
      <c r="J4">
        <v>1.3959380633868703</v>
      </c>
      <c r="K4">
        <v>0.30876837924051281</v>
      </c>
      <c r="L4">
        <v>2.0535060782242165</v>
      </c>
      <c r="M4">
        <v>0.51786527032890539</v>
      </c>
    </row>
    <row r="5" spans="1:13" x14ac:dyDescent="0.2">
      <c r="A5" t="s">
        <v>46</v>
      </c>
      <c r="B5" s="3">
        <v>4</v>
      </c>
      <c r="C5">
        <v>1.6779011943101998</v>
      </c>
      <c r="D5">
        <v>0.17937114192040562</v>
      </c>
      <c r="E5">
        <v>2.7008872843196317</v>
      </c>
      <c r="F5">
        <v>0.54340476915509928</v>
      </c>
      <c r="I5" s="3">
        <v>4</v>
      </c>
      <c r="J5">
        <v>1.4307192072257251</v>
      </c>
      <c r="K5">
        <v>0.35752963145062033</v>
      </c>
      <c r="L5">
        <v>2.4363534613413211</v>
      </c>
      <c r="M5">
        <v>0.37052859353029272</v>
      </c>
    </row>
    <row r="6" spans="1:13" x14ac:dyDescent="0.2">
      <c r="A6" t="s">
        <v>46</v>
      </c>
      <c r="B6" s="3">
        <v>5</v>
      </c>
      <c r="C6">
        <v>1.6099993813521372</v>
      </c>
      <c r="D6">
        <v>0.27736523003461483</v>
      </c>
      <c r="E6">
        <v>2.2592802949494191</v>
      </c>
      <c r="F6">
        <v>0.46422334026866996</v>
      </c>
      <c r="I6" s="3">
        <v>5</v>
      </c>
      <c r="J6">
        <v>1.5984556720171783</v>
      </c>
      <c r="K6">
        <v>1.6325270301588243E-2</v>
      </c>
      <c r="L6">
        <v>2.334700669839294</v>
      </c>
      <c r="M6">
        <v>0.10666051704852221</v>
      </c>
    </row>
    <row r="7" spans="1:13" x14ac:dyDescent="0.2">
      <c r="A7" t="s">
        <v>46</v>
      </c>
      <c r="B7" s="3">
        <v>6</v>
      </c>
      <c r="C7">
        <v>1.6447125642736702</v>
      </c>
      <c r="D7">
        <v>0.1919636922959129</v>
      </c>
      <c r="E7">
        <v>2.4355666739284079</v>
      </c>
      <c r="F7">
        <v>0.50683357443539412</v>
      </c>
      <c r="I7" s="3">
        <v>6</v>
      </c>
      <c r="J7">
        <v>1.4646472139882725</v>
      </c>
      <c r="K7">
        <v>0.28933998657901761</v>
      </c>
      <c r="L7">
        <v>2.2416085395269447</v>
      </c>
      <c r="M7">
        <v>0.29753637007532258</v>
      </c>
    </row>
    <row r="8" spans="1:13" x14ac:dyDescent="0.2">
      <c r="A8" t="s">
        <v>46</v>
      </c>
      <c r="B8" s="3">
        <v>7</v>
      </c>
      <c r="C8">
        <v>1.808567773297918</v>
      </c>
      <c r="D8">
        <v>0.41068323163220244</v>
      </c>
      <c r="E8">
        <v>3.2228341133287652</v>
      </c>
      <c r="F8">
        <v>0.30867650208282577</v>
      </c>
      <c r="I8" s="3">
        <v>7</v>
      </c>
      <c r="J8">
        <v>1.6967534141872502</v>
      </c>
      <c r="K8">
        <v>0.46183714860774211</v>
      </c>
      <c r="L8">
        <v>2.3812890241097748</v>
      </c>
      <c r="M8">
        <v>0.76873334836833374</v>
      </c>
    </row>
    <row r="9" spans="1:13" x14ac:dyDescent="0.2">
      <c r="A9" t="s">
        <v>46</v>
      </c>
      <c r="B9" s="3">
        <v>8</v>
      </c>
      <c r="C9">
        <v>3.2340763290246586</v>
      </c>
      <c r="D9">
        <v>0.65995776552188012</v>
      </c>
      <c r="E9" s="9">
        <v>3.8916276697294796</v>
      </c>
      <c r="F9">
        <v>0.60190907385617942</v>
      </c>
      <c r="I9" s="3">
        <v>8</v>
      </c>
      <c r="J9">
        <v>2.6562934941355767</v>
      </c>
      <c r="K9">
        <v>0.81710832120651578</v>
      </c>
      <c r="L9">
        <v>3.4405526354703424</v>
      </c>
      <c r="M9">
        <v>0.63791643109718199</v>
      </c>
    </row>
    <row r="10" spans="1:13" x14ac:dyDescent="0.2">
      <c r="A10" t="s">
        <v>46</v>
      </c>
      <c r="B10" s="18">
        <v>9</v>
      </c>
      <c r="C10" s="9">
        <v>4.5429039119071506</v>
      </c>
      <c r="D10">
        <v>1.4119520658011155</v>
      </c>
      <c r="E10">
        <v>3.6459584865688579</v>
      </c>
      <c r="F10">
        <v>0.71630881685350456</v>
      </c>
      <c r="I10" s="3">
        <v>9</v>
      </c>
      <c r="J10">
        <v>4.8238708359664306</v>
      </c>
      <c r="K10">
        <v>2.362809676118633</v>
      </c>
      <c r="L10">
        <v>3.4473054577493385</v>
      </c>
      <c r="M10">
        <v>0.30300252590534932</v>
      </c>
    </row>
    <row r="11" spans="1:13" x14ac:dyDescent="0.2">
      <c r="A11" t="s">
        <v>46</v>
      </c>
      <c r="B11" s="18">
        <v>10</v>
      </c>
      <c r="C11" s="9">
        <v>12.211862797077353</v>
      </c>
      <c r="D11">
        <v>6.3326150514410271</v>
      </c>
      <c r="E11">
        <v>2.6117615174934747</v>
      </c>
      <c r="F11">
        <v>0.52573248478080492</v>
      </c>
      <c r="I11" s="3">
        <v>10</v>
      </c>
      <c r="J11">
        <v>11.913038538652829</v>
      </c>
      <c r="K11">
        <v>6.1137991830220031</v>
      </c>
      <c r="L11">
        <v>2.7832152460947883</v>
      </c>
      <c r="M11">
        <v>0.42713149697478875</v>
      </c>
    </row>
    <row r="12" spans="1:13" x14ac:dyDescent="0.2">
      <c r="A12" t="s">
        <v>46</v>
      </c>
      <c r="B12" s="18">
        <v>11</v>
      </c>
      <c r="C12" s="9">
        <v>10.379865866574885</v>
      </c>
      <c r="D12">
        <v>4.9035036791708713</v>
      </c>
      <c r="E12">
        <v>2.1045302400798431</v>
      </c>
      <c r="F12">
        <v>0.5589798722328303</v>
      </c>
      <c r="I12" s="3">
        <v>11</v>
      </c>
      <c r="J12">
        <v>7.9007573964465756</v>
      </c>
      <c r="K12">
        <v>2.5596162809135352</v>
      </c>
      <c r="L12">
        <v>1.9465957687709132</v>
      </c>
      <c r="M12">
        <v>0.43211425979126961</v>
      </c>
    </row>
    <row r="13" spans="1:13" x14ac:dyDescent="0.2">
      <c r="A13" t="s">
        <v>46</v>
      </c>
      <c r="B13" s="18">
        <v>12</v>
      </c>
      <c r="C13" s="9">
        <v>6.9784350830150386</v>
      </c>
      <c r="D13">
        <v>2.0324649726116704</v>
      </c>
      <c r="E13">
        <v>1.4048389375962893</v>
      </c>
      <c r="F13">
        <v>0.35329606941457342</v>
      </c>
      <c r="I13" s="3">
        <v>12</v>
      </c>
      <c r="J13">
        <v>7.8810170665986972</v>
      </c>
      <c r="K13">
        <v>1.4895208303297298</v>
      </c>
      <c r="L13">
        <v>1.9710519511481099</v>
      </c>
      <c r="M13">
        <v>0.50344702006485142</v>
      </c>
    </row>
    <row r="14" spans="1:13" x14ac:dyDescent="0.2">
      <c r="A14" t="s">
        <v>46</v>
      </c>
      <c r="B14" s="3">
        <v>13</v>
      </c>
      <c r="C14">
        <v>2.4507677800542607</v>
      </c>
      <c r="D14">
        <v>2.0054850144649601</v>
      </c>
      <c r="E14">
        <v>1.2714119096039569</v>
      </c>
      <c r="F14">
        <v>0.25391523205966593</v>
      </c>
      <c r="I14" s="3">
        <v>13</v>
      </c>
      <c r="J14">
        <v>1.6035380584824099</v>
      </c>
      <c r="K14">
        <v>1.1981637626924924</v>
      </c>
      <c r="L14">
        <v>1.0579442422495828</v>
      </c>
      <c r="M14">
        <v>0.30188887030070483</v>
      </c>
    </row>
    <row r="15" spans="1:13" x14ac:dyDescent="0.2">
      <c r="A15" t="s">
        <v>46</v>
      </c>
      <c r="B15" s="3">
        <v>15</v>
      </c>
      <c r="C15">
        <v>2.1809781662306347</v>
      </c>
      <c r="D15">
        <v>0.43889128067958116</v>
      </c>
      <c r="E15">
        <v>1.119363970862423</v>
      </c>
      <c r="F15">
        <v>0.17135861464258503</v>
      </c>
      <c r="I15" s="3">
        <v>14</v>
      </c>
      <c r="J15">
        <v>4.7211615913168794</v>
      </c>
      <c r="K15">
        <v>3.7063827577711739</v>
      </c>
      <c r="L15">
        <v>1.5118689462625938</v>
      </c>
      <c r="M15">
        <v>0.10067247011704387</v>
      </c>
    </row>
    <row r="16" spans="1:13" x14ac:dyDescent="0.2">
      <c r="A16" t="s">
        <v>102</v>
      </c>
      <c r="B16" s="3">
        <v>2</v>
      </c>
      <c r="C16">
        <v>0.70092967461388511</v>
      </c>
      <c r="D16">
        <v>3.7004088564117937E-2</v>
      </c>
      <c r="E16">
        <v>1.9112392237532423</v>
      </c>
      <c r="F16">
        <v>9.6500009050200689E-2</v>
      </c>
      <c r="I16" s="3">
        <v>15</v>
      </c>
      <c r="J16">
        <v>1.8165897479025863</v>
      </c>
      <c r="K16">
        <v>0.78982301849135783</v>
      </c>
      <c r="L16">
        <v>1.3407025883122055</v>
      </c>
      <c r="M16">
        <v>0.29188915415425631</v>
      </c>
    </row>
    <row r="17" spans="1:13" x14ac:dyDescent="0.2">
      <c r="A17" t="s">
        <v>102</v>
      </c>
      <c r="B17" s="3">
        <v>3</v>
      </c>
      <c r="C17">
        <v>1.0637377413980118</v>
      </c>
      <c r="D17">
        <v>9.9204249873769842E-2</v>
      </c>
      <c r="E17">
        <v>1.5239662625212551</v>
      </c>
      <c r="F17">
        <v>0.10628876327716072</v>
      </c>
      <c r="I17" s="3" t="s">
        <v>585</v>
      </c>
      <c r="J17">
        <v>3.8082747100929684</v>
      </c>
      <c r="K17">
        <v>3.9834182080073552</v>
      </c>
      <c r="L17">
        <v>2.2147735945747775</v>
      </c>
      <c r="M17">
        <v>0.711672991647469</v>
      </c>
    </row>
    <row r="18" spans="1:13" x14ac:dyDescent="0.2">
      <c r="A18" t="s">
        <v>102</v>
      </c>
      <c r="B18" s="3">
        <v>4</v>
      </c>
      <c r="C18">
        <v>1.0207661416296907</v>
      </c>
      <c r="D18">
        <v>8.8684758356638888E-2</v>
      </c>
      <c r="E18">
        <v>2.0128687087110437</v>
      </c>
      <c r="F18">
        <v>0.27297875769884877</v>
      </c>
    </row>
    <row r="19" spans="1:13" x14ac:dyDescent="0.2">
      <c r="A19" t="s">
        <v>102</v>
      </c>
      <c r="B19" s="3">
        <v>6</v>
      </c>
      <c r="C19">
        <v>1.130893427627252</v>
      </c>
      <c r="D19">
        <v>7.2948446805050957E-2</v>
      </c>
      <c r="E19">
        <v>1.8990422717390727</v>
      </c>
      <c r="F19">
        <v>0.38661301311057589</v>
      </c>
    </row>
    <row r="20" spans="1:13" x14ac:dyDescent="0.2">
      <c r="A20" t="s">
        <v>102</v>
      </c>
      <c r="B20" s="3">
        <v>7</v>
      </c>
      <c r="C20">
        <v>1.189274851950693</v>
      </c>
      <c r="D20">
        <v>8.9296048486083579E-2</v>
      </c>
      <c r="E20">
        <v>1.7159712730411416</v>
      </c>
      <c r="F20">
        <v>0.17770562752920174</v>
      </c>
    </row>
    <row r="21" spans="1:13" x14ac:dyDescent="0.2">
      <c r="A21" t="s">
        <v>102</v>
      </c>
      <c r="B21" s="3">
        <v>10</v>
      </c>
      <c r="C21">
        <v>11.073530066319314</v>
      </c>
      <c r="D21">
        <v>3.9532351353063251</v>
      </c>
      <c r="E21">
        <v>2.595569383948324</v>
      </c>
      <c r="F21">
        <v>0.29957567092067655</v>
      </c>
      <c r="I21" t="s">
        <v>1463</v>
      </c>
      <c r="J21" t="s">
        <v>15</v>
      </c>
      <c r="K21" t="s">
        <v>577</v>
      </c>
      <c r="L21" t="s">
        <v>16</v>
      </c>
      <c r="M21" t="s">
        <v>579</v>
      </c>
    </row>
    <row r="22" spans="1:13" x14ac:dyDescent="0.2">
      <c r="A22" t="s">
        <v>102</v>
      </c>
      <c r="B22" s="3">
        <v>11</v>
      </c>
      <c r="C22">
        <v>5.2675922398834603</v>
      </c>
      <c r="D22">
        <v>4.5279861325729005</v>
      </c>
      <c r="E22">
        <v>1.4577318868820175</v>
      </c>
      <c r="F22">
        <v>0.11483293944786405</v>
      </c>
      <c r="I22">
        <v>1</v>
      </c>
      <c r="J22">
        <v>1.4677902408901844</v>
      </c>
      <c r="K22">
        <v>4.5203932266339217E-2</v>
      </c>
      <c r="L22">
        <v>1.9053056439835949</v>
      </c>
      <c r="M22">
        <v>0.18201089532893547</v>
      </c>
    </row>
    <row r="23" spans="1:13" x14ac:dyDescent="0.2">
      <c r="A23" t="s">
        <v>102</v>
      </c>
      <c r="B23" s="3">
        <v>13</v>
      </c>
      <c r="C23">
        <v>0.75630833691055921</v>
      </c>
      <c r="D23">
        <v>5.1856604937351621E-2</v>
      </c>
      <c r="E23">
        <v>0.84447657489520878</v>
      </c>
      <c r="F23">
        <v>0.17654532286578303</v>
      </c>
      <c r="I23">
        <v>2</v>
      </c>
      <c r="J23">
        <v>1.3276277969261199</v>
      </c>
      <c r="K23">
        <v>0.44263916993663027</v>
      </c>
      <c r="L23">
        <v>2.0602787637983462</v>
      </c>
      <c r="M23">
        <v>0.51859910790943342</v>
      </c>
    </row>
    <row r="24" spans="1:13" x14ac:dyDescent="0.2">
      <c r="A24" t="s">
        <v>112</v>
      </c>
      <c r="B24" s="3">
        <v>1</v>
      </c>
      <c r="C24">
        <v>1.4529342662738718</v>
      </c>
      <c r="D24">
        <v>0.20841482020324467</v>
      </c>
      <c r="E24">
        <v>1.9168117751108333</v>
      </c>
      <c r="F24">
        <v>0.32192015084952957</v>
      </c>
      <c r="I24">
        <v>3</v>
      </c>
      <c r="J24">
        <v>1.3959380633868703</v>
      </c>
      <c r="K24">
        <v>0.30876837924051281</v>
      </c>
      <c r="L24">
        <v>2.0535060782242165</v>
      </c>
      <c r="M24">
        <v>0.51786527032890539</v>
      </c>
    </row>
    <row r="25" spans="1:13" x14ac:dyDescent="0.2">
      <c r="A25" t="s">
        <v>112</v>
      </c>
      <c r="B25" s="3">
        <v>2</v>
      </c>
      <c r="C25">
        <v>1.3297762353485074</v>
      </c>
      <c r="D25">
        <v>0.44311620436329402</v>
      </c>
      <c r="E25">
        <v>1.5465241006002657</v>
      </c>
      <c r="F25">
        <v>0.76318914521225412</v>
      </c>
      <c r="I25">
        <v>4</v>
      </c>
      <c r="J25">
        <v>1.4307192072257251</v>
      </c>
      <c r="K25">
        <v>0.35752963145062033</v>
      </c>
      <c r="L25">
        <v>2.4363534613413211</v>
      </c>
      <c r="M25">
        <v>0.37052859353029272</v>
      </c>
    </row>
    <row r="26" spans="1:13" x14ac:dyDescent="0.2">
      <c r="A26" t="s">
        <v>112</v>
      </c>
      <c r="B26" s="3">
        <v>7</v>
      </c>
      <c r="C26">
        <v>2.0924176173131404</v>
      </c>
      <c r="D26">
        <v>0.13956111325418352</v>
      </c>
      <c r="E26">
        <v>2.205061685959417</v>
      </c>
      <c r="F26">
        <v>0.33301903485966278</v>
      </c>
      <c r="I26">
        <v>5</v>
      </c>
      <c r="J26">
        <v>1.5984556720171783</v>
      </c>
      <c r="K26">
        <v>1.6325270301588243E-2</v>
      </c>
      <c r="L26">
        <v>2.334700669839294</v>
      </c>
      <c r="M26">
        <v>0.10666051704852221</v>
      </c>
    </row>
    <row r="27" spans="1:13" x14ac:dyDescent="0.2">
      <c r="A27" t="s">
        <v>112</v>
      </c>
      <c r="B27" s="18">
        <v>9</v>
      </c>
      <c r="C27" s="9">
        <v>7.3146016799217133</v>
      </c>
      <c r="D27">
        <v>3.0769876705087529</v>
      </c>
      <c r="E27" s="9">
        <v>3.5974048066950939</v>
      </c>
      <c r="F27">
        <v>1.1642919771473745</v>
      </c>
      <c r="I27">
        <v>6</v>
      </c>
      <c r="J27">
        <v>1.4646472139882725</v>
      </c>
      <c r="K27">
        <v>0.28933998657901761</v>
      </c>
      <c r="L27">
        <v>2.2416085395269447</v>
      </c>
      <c r="M27">
        <v>0.29753637007532258</v>
      </c>
    </row>
    <row r="28" spans="1:13" x14ac:dyDescent="0.2">
      <c r="A28" t="s">
        <v>112</v>
      </c>
      <c r="B28" s="18">
        <v>10</v>
      </c>
      <c r="C28" s="9">
        <v>19.639766540557822</v>
      </c>
      <c r="D28">
        <v>6.0088564764803465</v>
      </c>
      <c r="E28">
        <v>3.4200616292835107</v>
      </c>
      <c r="F28">
        <v>0.53727494351109983</v>
      </c>
      <c r="I28">
        <v>7</v>
      </c>
      <c r="J28">
        <v>1.6967534141872502</v>
      </c>
      <c r="K28">
        <v>0.46183714860774211</v>
      </c>
      <c r="L28">
        <v>2.3812890241097748</v>
      </c>
      <c r="M28">
        <v>0.76873334836833374</v>
      </c>
    </row>
    <row r="29" spans="1:13" x14ac:dyDescent="0.2">
      <c r="A29" t="s">
        <v>112</v>
      </c>
      <c r="B29" s="18">
        <v>12</v>
      </c>
      <c r="C29" s="9">
        <v>9.6002519160470055</v>
      </c>
      <c r="D29">
        <v>6.2985720376297127</v>
      </c>
      <c r="E29">
        <v>2.1400926020529316</v>
      </c>
      <c r="F29">
        <v>0.32815371540940286</v>
      </c>
      <c r="I29">
        <v>8</v>
      </c>
      <c r="J29">
        <v>2.6562934941355767</v>
      </c>
      <c r="K29">
        <v>0.81710832120651578</v>
      </c>
      <c r="L29">
        <v>3.4405526354703424</v>
      </c>
      <c r="M29">
        <v>0.63791643109718199</v>
      </c>
    </row>
    <row r="30" spans="1:13" x14ac:dyDescent="0.2">
      <c r="A30" t="s">
        <v>112</v>
      </c>
      <c r="B30" s="18">
        <v>14</v>
      </c>
      <c r="C30" s="9">
        <v>7.3419699730097729</v>
      </c>
      <c r="D30">
        <v>6.5244327595008711</v>
      </c>
      <c r="E30">
        <v>1.4406827599640317</v>
      </c>
      <c r="F30">
        <v>4.9889713261453375E-2</v>
      </c>
      <c r="I30">
        <v>9</v>
      </c>
      <c r="J30">
        <v>4.8238708359664306</v>
      </c>
      <c r="K30">
        <v>2.362809676118633</v>
      </c>
      <c r="L30">
        <v>3.4473054577493385</v>
      </c>
      <c r="M30">
        <v>0.30300252590534932</v>
      </c>
    </row>
    <row r="31" spans="1:13" x14ac:dyDescent="0.2">
      <c r="A31" t="s">
        <v>112</v>
      </c>
      <c r="B31" s="3">
        <v>15</v>
      </c>
      <c r="C31">
        <v>2.3584371197130851</v>
      </c>
      <c r="D31">
        <v>1.0656837029225477</v>
      </c>
      <c r="E31">
        <v>1.2312442280993823</v>
      </c>
      <c r="F31">
        <v>0.29475327524131245</v>
      </c>
      <c r="I31">
        <v>10</v>
      </c>
      <c r="J31">
        <v>11.913038538652829</v>
      </c>
      <c r="K31">
        <v>6.1137991830220031</v>
      </c>
      <c r="L31">
        <v>2.7832152460947883</v>
      </c>
      <c r="M31">
        <v>0.42713149697478875</v>
      </c>
    </row>
    <row r="32" spans="1:13" x14ac:dyDescent="0.2">
      <c r="A32" t="s">
        <v>60</v>
      </c>
      <c r="B32" s="3">
        <v>1</v>
      </c>
      <c r="C32">
        <v>1.4318838249373134</v>
      </c>
      <c r="D32">
        <v>0.13422249915194356</v>
      </c>
      <c r="E32">
        <v>1.7178146552220319</v>
      </c>
      <c r="F32">
        <v>0.16425145809874878</v>
      </c>
      <c r="I32">
        <v>11</v>
      </c>
      <c r="J32">
        <v>7.9007573964465756</v>
      </c>
      <c r="K32">
        <v>2.5596162809135352</v>
      </c>
      <c r="L32">
        <v>1.9465957687709132</v>
      </c>
      <c r="M32">
        <v>0.43211425979126961</v>
      </c>
    </row>
    <row r="33" spans="1:13" x14ac:dyDescent="0.2">
      <c r="A33" t="s">
        <v>60</v>
      </c>
      <c r="B33" s="3">
        <v>2</v>
      </c>
      <c r="C33">
        <v>1.63890309753233</v>
      </c>
      <c r="D33">
        <v>0.26810877830349811</v>
      </c>
      <c r="E33">
        <v>2.0037129884636715</v>
      </c>
      <c r="F33">
        <v>0.36394200072576488</v>
      </c>
      <c r="I33">
        <v>12</v>
      </c>
      <c r="J33">
        <v>7.8810170665986972</v>
      </c>
      <c r="K33">
        <v>1.4895208303297298</v>
      </c>
      <c r="L33">
        <v>1.9710519511481099</v>
      </c>
      <c r="M33">
        <v>0.50344702006485142</v>
      </c>
    </row>
    <row r="34" spans="1:13" x14ac:dyDescent="0.2">
      <c r="A34" t="s">
        <v>60</v>
      </c>
      <c r="B34" s="3">
        <v>3</v>
      </c>
      <c r="C34">
        <v>1.4499216708680616</v>
      </c>
      <c r="D34">
        <v>0.11292996499920453</v>
      </c>
      <c r="E34">
        <v>2.0777034899299744</v>
      </c>
      <c r="F34">
        <v>7.3158924130899458E-2</v>
      </c>
      <c r="I34">
        <v>13</v>
      </c>
      <c r="J34">
        <v>1.6035380584824099</v>
      </c>
      <c r="K34">
        <v>1.1981637626924924</v>
      </c>
      <c r="L34">
        <v>1.0579442422495828</v>
      </c>
      <c r="M34">
        <v>0.30188887030070483</v>
      </c>
    </row>
    <row r="35" spans="1:13" x14ac:dyDescent="0.2">
      <c r="A35" t="s">
        <v>60</v>
      </c>
      <c r="B35" s="3">
        <v>4</v>
      </c>
      <c r="C35">
        <v>1.5934902857372848</v>
      </c>
      <c r="D35">
        <v>0.16057830359871561</v>
      </c>
      <c r="E35">
        <v>2.595304390993288</v>
      </c>
      <c r="F35">
        <v>0.45231245159878997</v>
      </c>
      <c r="I35">
        <v>14</v>
      </c>
      <c r="J35">
        <v>4.7211615913168794</v>
      </c>
      <c r="K35">
        <v>3.7063827577711739</v>
      </c>
      <c r="L35">
        <v>1.5118689462625938</v>
      </c>
      <c r="M35">
        <v>0.10067247011704387</v>
      </c>
    </row>
    <row r="36" spans="1:13" x14ac:dyDescent="0.2">
      <c r="A36" t="s">
        <v>60</v>
      </c>
      <c r="B36" s="3">
        <v>5</v>
      </c>
      <c r="C36">
        <v>1.5869119626822195</v>
      </c>
      <c r="D36">
        <v>0.28546326270781325</v>
      </c>
      <c r="E36">
        <v>2.410121044729169</v>
      </c>
      <c r="F36">
        <v>0.46745851493684082</v>
      </c>
      <c r="I36">
        <v>15</v>
      </c>
      <c r="J36">
        <v>1.8165897479025863</v>
      </c>
      <c r="K36">
        <v>0.78982301849135783</v>
      </c>
      <c r="L36">
        <v>1.3407025883122055</v>
      </c>
      <c r="M36">
        <v>0.29188915415425631</v>
      </c>
    </row>
    <row r="37" spans="1:13" x14ac:dyDescent="0.2">
      <c r="A37" t="s">
        <v>60</v>
      </c>
      <c r="B37" s="3">
        <v>6</v>
      </c>
      <c r="C37">
        <v>1.618335650063895</v>
      </c>
      <c r="D37">
        <v>0.15021309704940142</v>
      </c>
      <c r="E37">
        <v>2.3902166729133532</v>
      </c>
      <c r="F37">
        <v>0.4297340136367912</v>
      </c>
    </row>
    <row r="38" spans="1:13" x14ac:dyDescent="0.2">
      <c r="A38" t="s">
        <v>60</v>
      </c>
      <c r="B38" s="3">
        <v>8</v>
      </c>
      <c r="C38">
        <v>2.0785106592464953</v>
      </c>
      <c r="D38">
        <v>0.19351359109349239</v>
      </c>
      <c r="E38">
        <v>2.9894776012112056</v>
      </c>
      <c r="F38">
        <v>1.052782304010361</v>
      </c>
    </row>
    <row r="39" spans="1:13" x14ac:dyDescent="0.2">
      <c r="A39" t="s">
        <v>60</v>
      </c>
      <c r="B39" s="3">
        <v>9</v>
      </c>
      <c r="C39">
        <v>2.6141069160704262</v>
      </c>
      <c r="D39">
        <v>0.5279095351350791</v>
      </c>
      <c r="E39" s="9">
        <v>3.0985530799840637</v>
      </c>
      <c r="F39">
        <v>0.6338823090844764</v>
      </c>
    </row>
    <row r="40" spans="1:13" x14ac:dyDescent="0.2">
      <c r="A40" t="s">
        <v>60</v>
      </c>
      <c r="B40" s="18">
        <v>10</v>
      </c>
      <c r="C40" s="9">
        <v>4.7269947506568313</v>
      </c>
      <c r="D40">
        <v>1.0141050174605653</v>
      </c>
      <c r="E40">
        <v>2.5054684536538439</v>
      </c>
      <c r="F40">
        <v>0.21033983259184777</v>
      </c>
    </row>
    <row r="41" spans="1:13" x14ac:dyDescent="0.2">
      <c r="A41" t="s">
        <v>60</v>
      </c>
      <c r="B41" s="18">
        <v>11</v>
      </c>
      <c r="C41" s="9">
        <v>8.0548140828813821</v>
      </c>
      <c r="D41">
        <v>3.4590627364136917</v>
      </c>
      <c r="E41">
        <v>2.2775251793508788</v>
      </c>
      <c r="F41">
        <v>0.56050475793644083</v>
      </c>
    </row>
    <row r="42" spans="1:13" x14ac:dyDescent="0.2">
      <c r="A42" t="s">
        <v>60</v>
      </c>
      <c r="B42" s="18">
        <v>12</v>
      </c>
      <c r="C42" s="9">
        <v>7.0643642007340475</v>
      </c>
      <c r="D42">
        <v>2.0995348616733343</v>
      </c>
      <c r="E42">
        <v>2.3682243137951087</v>
      </c>
      <c r="F42">
        <v>0.24201713365225105</v>
      </c>
    </row>
    <row r="43" spans="1:13" x14ac:dyDescent="0.2">
      <c r="A43" t="s">
        <v>60</v>
      </c>
      <c r="B43" s="3">
        <v>14</v>
      </c>
      <c r="C43">
        <v>2.1003532096239854</v>
      </c>
      <c r="D43">
        <v>1.2176985471286685</v>
      </c>
      <c r="E43">
        <v>1.5830551325611559</v>
      </c>
      <c r="F43">
        <v>0.35736663203095542</v>
      </c>
    </row>
    <row r="44" spans="1:13" x14ac:dyDescent="0.2">
      <c r="A44" t="s">
        <v>60</v>
      </c>
      <c r="B44" s="3">
        <v>15</v>
      </c>
      <c r="C44">
        <v>0.91035395776403849</v>
      </c>
      <c r="D44">
        <v>0.74469177400437303</v>
      </c>
      <c r="E44">
        <v>1.6714995659748106</v>
      </c>
      <c r="F44">
        <v>0.33049684212406755</v>
      </c>
    </row>
  </sheetData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208A1-95F5-D945-A0AA-726BEE07177E}">
  <dimension ref="A1:L188"/>
  <sheetViews>
    <sheetView zoomScaleNormal="100" workbookViewId="0">
      <pane xSplit="1" topLeftCell="B1" activePane="topRight" state="frozen"/>
      <selection activeCell="A75" sqref="A75"/>
      <selection pane="topRight" activeCell="M131" sqref="M131"/>
    </sheetView>
  </sheetViews>
  <sheetFormatPr baseColWidth="10" defaultColWidth="11" defaultRowHeight="16" x14ac:dyDescent="0.2"/>
  <sheetData>
    <row r="1" spans="1:12" x14ac:dyDescent="0.2">
      <c r="A1" t="s">
        <v>586</v>
      </c>
      <c r="B1" t="s">
        <v>1538</v>
      </c>
      <c r="C1" t="s">
        <v>587</v>
      </c>
      <c r="D1" t="s">
        <v>588</v>
      </c>
      <c r="E1" t="s">
        <v>589</v>
      </c>
      <c r="F1" t="s">
        <v>590</v>
      </c>
      <c r="G1" t="s">
        <v>591</v>
      </c>
      <c r="H1" t="s">
        <v>592</v>
      </c>
      <c r="I1" t="s">
        <v>593</v>
      </c>
      <c r="J1" t="s">
        <v>12</v>
      </c>
      <c r="K1" t="s">
        <v>594</v>
      </c>
      <c r="L1" t="s">
        <v>13</v>
      </c>
    </row>
    <row r="2" spans="1:12" x14ac:dyDescent="0.2">
      <c r="A2" t="s">
        <v>23</v>
      </c>
      <c r="B2" t="s">
        <v>1539</v>
      </c>
      <c r="C2">
        <v>8.5</v>
      </c>
      <c r="G2">
        <v>1.1000000000000001</v>
      </c>
      <c r="H2">
        <v>1.7</v>
      </c>
      <c r="I2">
        <v>450</v>
      </c>
      <c r="J2" t="s">
        <v>26</v>
      </c>
      <c r="L2">
        <v>1</v>
      </c>
    </row>
    <row r="3" spans="1:12" x14ac:dyDescent="0.2">
      <c r="A3" t="s">
        <v>46</v>
      </c>
      <c r="B3" t="s">
        <v>1539</v>
      </c>
      <c r="C3">
        <v>6.5</v>
      </c>
      <c r="G3">
        <v>0.9</v>
      </c>
      <c r="H3">
        <v>3.5</v>
      </c>
      <c r="I3">
        <v>589</v>
      </c>
      <c r="J3" t="s">
        <v>26</v>
      </c>
      <c r="L3">
        <v>1</v>
      </c>
    </row>
    <row r="4" spans="1:12" x14ac:dyDescent="0.2">
      <c r="A4" t="s">
        <v>60</v>
      </c>
      <c r="B4" t="s">
        <v>1539</v>
      </c>
      <c r="C4">
        <v>14.5</v>
      </c>
      <c r="G4">
        <v>0.9</v>
      </c>
      <c r="H4">
        <v>1.9</v>
      </c>
      <c r="I4">
        <v>716</v>
      </c>
      <c r="J4" s="1" t="s">
        <v>26</v>
      </c>
      <c r="L4">
        <v>1</v>
      </c>
    </row>
    <row r="5" spans="1:12" x14ac:dyDescent="0.2">
      <c r="A5" t="s">
        <v>23</v>
      </c>
      <c r="B5" t="s">
        <v>1539</v>
      </c>
      <c r="C5">
        <v>10.5</v>
      </c>
      <c r="G5">
        <v>1</v>
      </c>
      <c r="J5" t="s">
        <v>85</v>
      </c>
      <c r="L5">
        <v>1</v>
      </c>
    </row>
    <row r="6" spans="1:12" x14ac:dyDescent="0.2">
      <c r="A6" t="s">
        <v>23</v>
      </c>
      <c r="B6" t="s">
        <v>1539</v>
      </c>
      <c r="C6">
        <v>11.5</v>
      </c>
      <c r="G6">
        <v>0.7</v>
      </c>
      <c r="J6" t="s">
        <v>85</v>
      </c>
      <c r="L6">
        <v>1</v>
      </c>
    </row>
    <row r="7" spans="1:12" x14ac:dyDescent="0.2">
      <c r="A7" t="s">
        <v>23</v>
      </c>
      <c r="B7" t="s">
        <v>1539</v>
      </c>
      <c r="C7">
        <v>13</v>
      </c>
      <c r="G7">
        <v>1</v>
      </c>
      <c r="J7" t="s">
        <v>85</v>
      </c>
      <c r="L7">
        <v>1</v>
      </c>
    </row>
    <row r="8" spans="1:12" x14ac:dyDescent="0.2">
      <c r="A8" t="s">
        <v>46</v>
      </c>
      <c r="B8" t="s">
        <v>1539</v>
      </c>
      <c r="C8">
        <v>9.5</v>
      </c>
      <c r="G8">
        <v>1.2</v>
      </c>
      <c r="J8" t="s">
        <v>85</v>
      </c>
      <c r="L8">
        <v>1</v>
      </c>
    </row>
    <row r="9" spans="1:12" x14ac:dyDescent="0.2">
      <c r="A9" t="s">
        <v>46</v>
      </c>
      <c r="B9" t="s">
        <v>1539</v>
      </c>
      <c r="C9">
        <v>10</v>
      </c>
      <c r="G9">
        <v>0.9</v>
      </c>
      <c r="J9" t="s">
        <v>85</v>
      </c>
      <c r="L9">
        <v>1</v>
      </c>
    </row>
    <row r="10" spans="1:12" x14ac:dyDescent="0.2">
      <c r="A10" t="s">
        <v>46</v>
      </c>
      <c r="B10" t="s">
        <v>1539</v>
      </c>
      <c r="C10">
        <v>9.8000000000000007</v>
      </c>
      <c r="G10">
        <v>1</v>
      </c>
      <c r="J10" t="s">
        <v>85</v>
      </c>
      <c r="L10">
        <v>1</v>
      </c>
    </row>
    <row r="11" spans="1:12" x14ac:dyDescent="0.2">
      <c r="A11" t="s">
        <v>102</v>
      </c>
      <c r="B11" t="s">
        <v>1539</v>
      </c>
      <c r="C11">
        <v>6.5</v>
      </c>
      <c r="J11" t="s">
        <v>595</v>
      </c>
      <c r="L11">
        <v>1</v>
      </c>
    </row>
    <row r="12" spans="1:12" x14ac:dyDescent="0.2">
      <c r="A12" t="s">
        <v>112</v>
      </c>
      <c r="B12" t="s">
        <v>1539</v>
      </c>
      <c r="C12">
        <v>7.9</v>
      </c>
      <c r="H12">
        <v>2.5</v>
      </c>
      <c r="I12">
        <v>430</v>
      </c>
      <c r="J12" t="s">
        <v>595</v>
      </c>
      <c r="L12">
        <v>1</v>
      </c>
    </row>
    <row r="13" spans="1:12" x14ac:dyDescent="0.2">
      <c r="A13" t="s">
        <v>112</v>
      </c>
      <c r="B13" t="s">
        <v>1539</v>
      </c>
      <c r="C13">
        <v>9.1999999999999993</v>
      </c>
      <c r="F13">
        <v>0.7</v>
      </c>
      <c r="G13">
        <v>0</v>
      </c>
      <c r="H13">
        <v>2.9</v>
      </c>
      <c r="I13">
        <v>420</v>
      </c>
      <c r="J13" t="s">
        <v>103</v>
      </c>
      <c r="L13">
        <v>1</v>
      </c>
    </row>
    <row r="14" spans="1:12" x14ac:dyDescent="0.2">
      <c r="A14" t="s">
        <v>112</v>
      </c>
      <c r="B14" t="s">
        <v>1539</v>
      </c>
      <c r="C14">
        <v>9.6</v>
      </c>
      <c r="F14">
        <v>0.8</v>
      </c>
      <c r="G14">
        <v>0</v>
      </c>
      <c r="J14" t="s">
        <v>103</v>
      </c>
      <c r="L14">
        <v>1</v>
      </c>
    </row>
    <row r="15" spans="1:12" x14ac:dyDescent="0.2">
      <c r="A15" t="s">
        <v>112</v>
      </c>
      <c r="B15" t="s">
        <v>1539</v>
      </c>
      <c r="C15">
        <v>9.6</v>
      </c>
      <c r="F15">
        <v>0.8</v>
      </c>
      <c r="G15">
        <v>0</v>
      </c>
      <c r="J15" t="s">
        <v>103</v>
      </c>
      <c r="L15">
        <v>1</v>
      </c>
    </row>
    <row r="16" spans="1:12" x14ac:dyDescent="0.2">
      <c r="A16" t="s">
        <v>102</v>
      </c>
      <c r="B16" t="s">
        <v>1539</v>
      </c>
      <c r="C16">
        <v>8</v>
      </c>
      <c r="G16">
        <v>0</v>
      </c>
      <c r="H16">
        <v>1.3</v>
      </c>
      <c r="I16">
        <v>400</v>
      </c>
      <c r="J16" t="s">
        <v>103</v>
      </c>
      <c r="L16">
        <v>1</v>
      </c>
    </row>
    <row r="17" spans="1:12" x14ac:dyDescent="0.2">
      <c r="A17" t="s">
        <v>102</v>
      </c>
      <c r="B17" t="s">
        <v>1539</v>
      </c>
      <c r="C17">
        <v>11.2</v>
      </c>
      <c r="D17">
        <v>6</v>
      </c>
      <c r="E17">
        <v>5.2</v>
      </c>
      <c r="G17">
        <v>2</v>
      </c>
      <c r="J17" t="s">
        <v>596</v>
      </c>
      <c r="L17">
        <v>1</v>
      </c>
    </row>
    <row r="18" spans="1:12" x14ac:dyDescent="0.2">
      <c r="A18" t="s">
        <v>102</v>
      </c>
      <c r="B18" t="s">
        <v>1539</v>
      </c>
      <c r="C18">
        <v>11.2</v>
      </c>
      <c r="D18">
        <v>6.5</v>
      </c>
      <c r="E18">
        <v>4.7</v>
      </c>
      <c r="G18">
        <v>1.7</v>
      </c>
      <c r="J18" t="s">
        <v>596</v>
      </c>
      <c r="L18">
        <v>1</v>
      </c>
    </row>
    <row r="19" spans="1:12" x14ac:dyDescent="0.2">
      <c r="A19" t="s">
        <v>102</v>
      </c>
      <c r="B19" t="s">
        <v>1539</v>
      </c>
      <c r="C19">
        <v>11.4</v>
      </c>
      <c r="D19">
        <v>5.9</v>
      </c>
      <c r="E19">
        <v>5.3</v>
      </c>
      <c r="G19">
        <v>1.8</v>
      </c>
      <c r="J19" t="s">
        <v>596</v>
      </c>
      <c r="L19">
        <v>1</v>
      </c>
    </row>
    <row r="20" spans="1:12" x14ac:dyDescent="0.2">
      <c r="A20" t="s">
        <v>23</v>
      </c>
      <c r="B20" t="s">
        <v>1539</v>
      </c>
      <c r="C20">
        <v>18.399999999999999</v>
      </c>
      <c r="D20">
        <v>8.6</v>
      </c>
      <c r="E20">
        <v>9.8000000000000007</v>
      </c>
      <c r="G20">
        <v>2.8</v>
      </c>
      <c r="J20" t="s">
        <v>190</v>
      </c>
      <c r="L20">
        <v>2</v>
      </c>
    </row>
    <row r="21" spans="1:12" x14ac:dyDescent="0.2">
      <c r="A21" t="s">
        <v>23</v>
      </c>
      <c r="B21" t="s">
        <v>1539</v>
      </c>
      <c r="C21">
        <v>17.8</v>
      </c>
      <c r="D21">
        <v>8.9</v>
      </c>
      <c r="E21">
        <v>9.5</v>
      </c>
      <c r="G21">
        <v>2.8</v>
      </c>
      <c r="J21" t="s">
        <v>190</v>
      </c>
      <c r="L21">
        <v>2</v>
      </c>
    </row>
    <row r="22" spans="1:12" x14ac:dyDescent="0.2">
      <c r="A22" t="s">
        <v>23</v>
      </c>
      <c r="B22" t="s">
        <v>1539</v>
      </c>
      <c r="C22">
        <v>18</v>
      </c>
      <c r="D22">
        <v>9.6999999999999993</v>
      </c>
      <c r="E22">
        <v>8.6999999999999993</v>
      </c>
      <c r="G22">
        <v>3</v>
      </c>
      <c r="J22" t="s">
        <v>190</v>
      </c>
      <c r="L22">
        <v>2</v>
      </c>
    </row>
    <row r="23" spans="1:12" x14ac:dyDescent="0.2">
      <c r="A23" t="s">
        <v>46</v>
      </c>
      <c r="B23" t="s">
        <v>1539</v>
      </c>
      <c r="C23">
        <v>18.899999999999999</v>
      </c>
      <c r="D23">
        <v>12.7</v>
      </c>
      <c r="E23">
        <v>6.2</v>
      </c>
      <c r="G23">
        <v>1.2</v>
      </c>
      <c r="J23" t="s">
        <v>190</v>
      </c>
      <c r="L23">
        <v>2</v>
      </c>
    </row>
    <row r="24" spans="1:12" x14ac:dyDescent="0.2">
      <c r="A24" t="s">
        <v>46</v>
      </c>
      <c r="B24" t="s">
        <v>1539</v>
      </c>
      <c r="C24">
        <v>17.899999999999999</v>
      </c>
      <c r="D24">
        <v>11.8</v>
      </c>
      <c r="E24">
        <v>6.1</v>
      </c>
      <c r="G24">
        <v>0.5</v>
      </c>
      <c r="J24" t="s">
        <v>190</v>
      </c>
      <c r="L24">
        <v>2</v>
      </c>
    </row>
    <row r="25" spans="1:12" x14ac:dyDescent="0.2">
      <c r="A25" t="s">
        <v>46</v>
      </c>
      <c r="B25" t="s">
        <v>1539</v>
      </c>
      <c r="C25">
        <v>18.8</v>
      </c>
      <c r="D25">
        <v>14.3</v>
      </c>
      <c r="E25">
        <v>4.5</v>
      </c>
      <c r="G25">
        <v>1</v>
      </c>
      <c r="J25" t="s">
        <v>190</v>
      </c>
      <c r="L25">
        <v>2</v>
      </c>
    </row>
    <row r="26" spans="1:12" x14ac:dyDescent="0.2">
      <c r="A26" t="s">
        <v>60</v>
      </c>
      <c r="B26" t="s">
        <v>1539</v>
      </c>
      <c r="C26">
        <v>19.8</v>
      </c>
      <c r="D26">
        <v>10.3</v>
      </c>
      <c r="E26">
        <v>9.5</v>
      </c>
      <c r="G26">
        <v>3.4</v>
      </c>
      <c r="J26" t="s">
        <v>190</v>
      </c>
      <c r="K26">
        <v>1430</v>
      </c>
      <c r="L26">
        <v>2</v>
      </c>
    </row>
    <row r="27" spans="1:12" x14ac:dyDescent="0.2">
      <c r="A27" t="s">
        <v>60</v>
      </c>
      <c r="B27" t="s">
        <v>1539</v>
      </c>
      <c r="C27">
        <v>19.8</v>
      </c>
      <c r="D27">
        <v>10.1</v>
      </c>
      <c r="E27">
        <v>9.6999999999999993</v>
      </c>
      <c r="G27">
        <v>4.5</v>
      </c>
      <c r="J27" t="s">
        <v>190</v>
      </c>
      <c r="K27">
        <v>1430</v>
      </c>
      <c r="L27">
        <v>2</v>
      </c>
    </row>
    <row r="28" spans="1:12" x14ac:dyDescent="0.2">
      <c r="A28" t="s">
        <v>60</v>
      </c>
      <c r="B28" t="s">
        <v>1539</v>
      </c>
      <c r="C28">
        <v>19</v>
      </c>
      <c r="D28">
        <v>9.6</v>
      </c>
      <c r="E28">
        <v>9.4</v>
      </c>
      <c r="G28">
        <v>3.6</v>
      </c>
      <c r="J28" t="s">
        <v>190</v>
      </c>
      <c r="K28">
        <v>1430</v>
      </c>
      <c r="L28">
        <v>2</v>
      </c>
    </row>
    <row r="29" spans="1:12" x14ac:dyDescent="0.2">
      <c r="A29" t="s">
        <v>112</v>
      </c>
      <c r="B29" t="s">
        <v>1539</v>
      </c>
      <c r="H29">
        <v>1</v>
      </c>
      <c r="I29">
        <v>513</v>
      </c>
      <c r="J29" s="5">
        <v>44471</v>
      </c>
      <c r="L29">
        <v>3</v>
      </c>
    </row>
    <row r="30" spans="1:12" x14ac:dyDescent="0.2">
      <c r="A30" t="s">
        <v>112</v>
      </c>
      <c r="B30" t="s">
        <v>1539</v>
      </c>
      <c r="H30">
        <v>0.8</v>
      </c>
      <c r="I30">
        <v>523</v>
      </c>
      <c r="J30" s="5">
        <v>44471</v>
      </c>
      <c r="L30">
        <v>3</v>
      </c>
    </row>
    <row r="31" spans="1:12" x14ac:dyDescent="0.2">
      <c r="A31" t="s">
        <v>112</v>
      </c>
      <c r="B31" t="s">
        <v>1539</v>
      </c>
      <c r="H31">
        <v>0.6</v>
      </c>
      <c r="I31">
        <v>524</v>
      </c>
      <c r="J31" s="5">
        <v>44471</v>
      </c>
      <c r="L31">
        <v>3</v>
      </c>
    </row>
    <row r="32" spans="1:12" x14ac:dyDescent="0.2">
      <c r="A32" t="s">
        <v>102</v>
      </c>
      <c r="B32" t="s">
        <v>1539</v>
      </c>
      <c r="H32">
        <v>1.9</v>
      </c>
      <c r="I32">
        <v>440</v>
      </c>
      <c r="J32" s="5">
        <v>44471</v>
      </c>
      <c r="L32">
        <v>3</v>
      </c>
    </row>
    <row r="33" spans="1:12" x14ac:dyDescent="0.2">
      <c r="A33" t="s">
        <v>102</v>
      </c>
      <c r="B33" t="s">
        <v>1539</v>
      </c>
      <c r="H33">
        <v>1.3</v>
      </c>
      <c r="I33">
        <v>448</v>
      </c>
      <c r="J33" s="5">
        <v>44471</v>
      </c>
      <c r="L33">
        <v>3</v>
      </c>
    </row>
    <row r="34" spans="1:12" x14ac:dyDescent="0.2">
      <c r="A34" t="s">
        <v>102</v>
      </c>
      <c r="B34" t="s">
        <v>1539</v>
      </c>
      <c r="H34">
        <v>1.4</v>
      </c>
      <c r="I34">
        <v>438</v>
      </c>
      <c r="J34" s="5">
        <v>44471</v>
      </c>
      <c r="L34">
        <v>3</v>
      </c>
    </row>
    <row r="35" spans="1:12" x14ac:dyDescent="0.2">
      <c r="A35" t="s">
        <v>23</v>
      </c>
      <c r="B35" t="s">
        <v>1539</v>
      </c>
      <c r="C35">
        <v>29.2</v>
      </c>
      <c r="D35">
        <v>15.2</v>
      </c>
      <c r="E35">
        <v>14</v>
      </c>
      <c r="G35">
        <v>7.9</v>
      </c>
      <c r="H35">
        <v>0.2</v>
      </c>
      <c r="I35">
        <v>507</v>
      </c>
      <c r="J35" s="5">
        <v>44532</v>
      </c>
      <c r="L35">
        <v>3</v>
      </c>
    </row>
    <row r="36" spans="1:12" x14ac:dyDescent="0.2">
      <c r="A36" t="s">
        <v>23</v>
      </c>
      <c r="B36" t="s">
        <v>1539</v>
      </c>
      <c r="C36">
        <v>33</v>
      </c>
      <c r="D36">
        <v>19.600000000000001</v>
      </c>
      <c r="E36">
        <v>13.4</v>
      </c>
      <c r="G36">
        <v>8.1</v>
      </c>
      <c r="H36">
        <v>0.5</v>
      </c>
      <c r="I36">
        <v>496</v>
      </c>
      <c r="J36" s="5">
        <v>44532</v>
      </c>
      <c r="L36">
        <v>3</v>
      </c>
    </row>
    <row r="37" spans="1:12" x14ac:dyDescent="0.2">
      <c r="A37" t="s">
        <v>23</v>
      </c>
      <c r="B37" t="s">
        <v>1539</v>
      </c>
      <c r="C37">
        <v>25.7</v>
      </c>
      <c r="D37">
        <v>12.1</v>
      </c>
      <c r="E37">
        <v>13.6</v>
      </c>
      <c r="G37">
        <v>12.1</v>
      </c>
      <c r="H37">
        <v>0.2</v>
      </c>
      <c r="I37">
        <v>510</v>
      </c>
      <c r="J37" s="5">
        <v>44532</v>
      </c>
      <c r="L37">
        <v>3</v>
      </c>
    </row>
    <row r="38" spans="1:12" x14ac:dyDescent="0.2">
      <c r="A38" t="s">
        <v>46</v>
      </c>
      <c r="B38" t="s">
        <v>1539</v>
      </c>
      <c r="C38">
        <v>23</v>
      </c>
      <c r="D38">
        <v>14</v>
      </c>
      <c r="E38">
        <v>9</v>
      </c>
      <c r="F38">
        <v>4.7</v>
      </c>
      <c r="G38">
        <v>8</v>
      </c>
      <c r="H38">
        <v>0</v>
      </c>
      <c r="I38">
        <v>700</v>
      </c>
      <c r="J38" s="5">
        <v>44532</v>
      </c>
      <c r="L38">
        <v>3</v>
      </c>
    </row>
    <row r="39" spans="1:12" x14ac:dyDescent="0.2">
      <c r="A39" t="s">
        <v>46</v>
      </c>
      <c r="B39" t="s">
        <v>1539</v>
      </c>
      <c r="C39">
        <v>21.3</v>
      </c>
      <c r="D39">
        <v>14.8</v>
      </c>
      <c r="E39">
        <v>6.5</v>
      </c>
      <c r="F39">
        <v>6</v>
      </c>
      <c r="G39">
        <v>8.8000000000000007</v>
      </c>
      <c r="H39">
        <v>0.3</v>
      </c>
      <c r="I39">
        <v>676</v>
      </c>
      <c r="J39" s="5">
        <v>44532</v>
      </c>
      <c r="L39">
        <v>3</v>
      </c>
    </row>
    <row r="40" spans="1:12" x14ac:dyDescent="0.2">
      <c r="A40" t="s">
        <v>46</v>
      </c>
      <c r="B40" t="s">
        <v>1539</v>
      </c>
      <c r="C40">
        <v>22.2</v>
      </c>
      <c r="D40">
        <v>13.8</v>
      </c>
      <c r="E40">
        <v>8.4</v>
      </c>
      <c r="F40">
        <v>7</v>
      </c>
      <c r="G40">
        <v>10</v>
      </c>
      <c r="H40">
        <v>0.3</v>
      </c>
      <c r="I40">
        <v>684</v>
      </c>
      <c r="J40" s="5">
        <v>44532</v>
      </c>
      <c r="L40">
        <v>3</v>
      </c>
    </row>
    <row r="41" spans="1:12" x14ac:dyDescent="0.2">
      <c r="A41" t="s">
        <v>102</v>
      </c>
      <c r="B41" t="s">
        <v>1539</v>
      </c>
      <c r="C41">
        <v>22.7</v>
      </c>
      <c r="D41">
        <v>18.899999999999999</v>
      </c>
      <c r="E41">
        <v>3.8</v>
      </c>
      <c r="G41">
        <v>7.7</v>
      </c>
      <c r="H41">
        <v>0.2</v>
      </c>
      <c r="I41">
        <v>467</v>
      </c>
      <c r="J41" t="s">
        <v>597</v>
      </c>
      <c r="L41">
        <v>3</v>
      </c>
    </row>
    <row r="42" spans="1:12" x14ac:dyDescent="0.2">
      <c r="A42" t="s">
        <v>102</v>
      </c>
      <c r="B42" t="s">
        <v>1539</v>
      </c>
      <c r="C42">
        <v>30.7</v>
      </c>
      <c r="D42">
        <v>21.5</v>
      </c>
      <c r="E42">
        <v>9.1999999999999993</v>
      </c>
      <c r="G42">
        <v>1.1000000000000001</v>
      </c>
      <c r="H42">
        <v>0.3</v>
      </c>
      <c r="I42">
        <v>476</v>
      </c>
      <c r="J42" t="s">
        <v>597</v>
      </c>
      <c r="L42">
        <v>3</v>
      </c>
    </row>
    <row r="43" spans="1:12" x14ac:dyDescent="0.2">
      <c r="A43" t="s">
        <v>102</v>
      </c>
      <c r="B43" t="s">
        <v>1539</v>
      </c>
      <c r="C43">
        <v>24.1</v>
      </c>
      <c r="D43">
        <v>17.3</v>
      </c>
      <c r="E43">
        <v>6.8</v>
      </c>
      <c r="G43">
        <v>12.6</v>
      </c>
      <c r="H43">
        <v>0.2</v>
      </c>
      <c r="I43">
        <v>470</v>
      </c>
      <c r="J43" t="s">
        <v>597</v>
      </c>
      <c r="L43">
        <v>3</v>
      </c>
    </row>
    <row r="44" spans="1:12" x14ac:dyDescent="0.2">
      <c r="A44" t="s">
        <v>112</v>
      </c>
      <c r="B44" t="s">
        <v>1539</v>
      </c>
      <c r="C44">
        <v>28</v>
      </c>
      <c r="D44">
        <v>18.100000000000001</v>
      </c>
      <c r="E44">
        <v>9.9</v>
      </c>
      <c r="F44">
        <v>1.8</v>
      </c>
      <c r="G44">
        <v>0.5</v>
      </c>
      <c r="H44">
        <v>0.2</v>
      </c>
      <c r="I44">
        <v>540</v>
      </c>
      <c r="J44" t="s">
        <v>597</v>
      </c>
      <c r="L44">
        <v>3</v>
      </c>
    </row>
    <row r="45" spans="1:12" x14ac:dyDescent="0.2">
      <c r="A45" t="s">
        <v>112</v>
      </c>
      <c r="B45" t="s">
        <v>1539</v>
      </c>
      <c r="C45">
        <v>26.2</v>
      </c>
      <c r="D45">
        <v>19</v>
      </c>
      <c r="E45">
        <v>7.2</v>
      </c>
      <c r="F45">
        <v>2.5</v>
      </c>
      <c r="G45">
        <v>1.4</v>
      </c>
      <c r="H45">
        <v>0.1</v>
      </c>
      <c r="I45">
        <v>535</v>
      </c>
      <c r="J45" t="s">
        <v>597</v>
      </c>
      <c r="L45">
        <v>3</v>
      </c>
    </row>
    <row r="46" spans="1:12" x14ac:dyDescent="0.2">
      <c r="A46" t="s">
        <v>112</v>
      </c>
      <c r="B46" t="s">
        <v>1539</v>
      </c>
      <c r="C46">
        <v>25.8</v>
      </c>
      <c r="D46">
        <v>16.5</v>
      </c>
      <c r="E46">
        <v>9.3000000000000007</v>
      </c>
      <c r="F46">
        <v>2.9</v>
      </c>
      <c r="G46">
        <v>1.3</v>
      </c>
      <c r="H46">
        <v>0.2</v>
      </c>
      <c r="I46">
        <v>535</v>
      </c>
      <c r="J46" t="s">
        <v>597</v>
      </c>
      <c r="L46">
        <v>3</v>
      </c>
    </row>
    <row r="47" spans="1:12" x14ac:dyDescent="0.2">
      <c r="A47" t="s">
        <v>60</v>
      </c>
      <c r="B47" t="s">
        <v>1539</v>
      </c>
      <c r="C47">
        <v>26.8</v>
      </c>
      <c r="D47">
        <f>C47-E47</f>
        <v>16.3</v>
      </c>
      <c r="E47">
        <v>10.5</v>
      </c>
      <c r="G47">
        <v>14.8</v>
      </c>
      <c r="I47">
        <v>734</v>
      </c>
      <c r="J47" t="s">
        <v>597</v>
      </c>
      <c r="L47">
        <v>3</v>
      </c>
    </row>
    <row r="48" spans="1:12" x14ac:dyDescent="0.2">
      <c r="A48" t="s">
        <v>60</v>
      </c>
      <c r="B48" t="s">
        <v>1539</v>
      </c>
      <c r="C48">
        <v>26.3</v>
      </c>
      <c r="D48">
        <f>C48-E48</f>
        <v>14.4</v>
      </c>
      <c r="E48">
        <v>11.9</v>
      </c>
      <c r="G48">
        <v>7.8</v>
      </c>
      <c r="H48">
        <v>0.2</v>
      </c>
      <c r="I48">
        <v>729</v>
      </c>
      <c r="J48" t="s">
        <v>597</v>
      </c>
      <c r="L48">
        <v>3</v>
      </c>
    </row>
    <row r="49" spans="1:12" x14ac:dyDescent="0.2">
      <c r="A49" t="s">
        <v>60</v>
      </c>
      <c r="B49" t="s">
        <v>1539</v>
      </c>
      <c r="C49">
        <v>25.1</v>
      </c>
      <c r="D49">
        <f>C49-E49</f>
        <v>12.400000000000002</v>
      </c>
      <c r="E49">
        <v>12.7</v>
      </c>
      <c r="G49">
        <v>9.8000000000000007</v>
      </c>
      <c r="H49">
        <v>0.2</v>
      </c>
      <c r="I49">
        <v>734</v>
      </c>
      <c r="J49" t="s">
        <v>597</v>
      </c>
      <c r="L49">
        <v>3</v>
      </c>
    </row>
    <row r="50" spans="1:12" x14ac:dyDescent="0.2">
      <c r="A50" t="s">
        <v>46</v>
      </c>
      <c r="B50" t="s">
        <v>1539</v>
      </c>
      <c r="C50">
        <v>33.299999999999997</v>
      </c>
      <c r="D50">
        <v>26.7</v>
      </c>
      <c r="E50">
        <v>6.6</v>
      </c>
      <c r="G50">
        <v>0</v>
      </c>
      <c r="H50">
        <v>0.3</v>
      </c>
      <c r="I50">
        <v>721</v>
      </c>
      <c r="J50" s="5">
        <v>44289</v>
      </c>
      <c r="L50">
        <v>5</v>
      </c>
    </row>
    <row r="51" spans="1:12" x14ac:dyDescent="0.2">
      <c r="A51" t="s">
        <v>46</v>
      </c>
      <c r="B51" t="s">
        <v>1539</v>
      </c>
      <c r="C51">
        <v>33.4</v>
      </c>
      <c r="D51">
        <v>28.7</v>
      </c>
      <c r="E51">
        <v>4.7</v>
      </c>
      <c r="G51">
        <v>0.4</v>
      </c>
      <c r="H51">
        <v>0.4</v>
      </c>
      <c r="I51">
        <v>728</v>
      </c>
      <c r="J51" s="5">
        <v>44289</v>
      </c>
      <c r="L51">
        <v>5</v>
      </c>
    </row>
    <row r="52" spans="1:12" x14ac:dyDescent="0.2">
      <c r="A52" t="s">
        <v>46</v>
      </c>
      <c r="B52" t="s">
        <v>1539</v>
      </c>
      <c r="C52">
        <v>33.5</v>
      </c>
      <c r="D52">
        <v>29.5</v>
      </c>
      <c r="E52">
        <v>4</v>
      </c>
      <c r="G52">
        <v>0.2</v>
      </c>
      <c r="H52">
        <v>0.1</v>
      </c>
      <c r="I52">
        <v>740</v>
      </c>
      <c r="J52" s="5">
        <v>44289</v>
      </c>
      <c r="L52">
        <v>5</v>
      </c>
    </row>
    <row r="53" spans="1:12" x14ac:dyDescent="0.2">
      <c r="A53" t="s">
        <v>60</v>
      </c>
      <c r="B53" t="s">
        <v>1539</v>
      </c>
      <c r="C53">
        <v>29.1</v>
      </c>
      <c r="D53">
        <v>22.2</v>
      </c>
      <c r="E53">
        <v>6.9</v>
      </c>
      <c r="G53">
        <v>3.5</v>
      </c>
      <c r="H53">
        <v>0.3</v>
      </c>
      <c r="I53">
        <v>743</v>
      </c>
      <c r="J53" s="5">
        <v>44289</v>
      </c>
      <c r="L53">
        <v>5</v>
      </c>
    </row>
    <row r="54" spans="1:12" x14ac:dyDescent="0.2">
      <c r="A54" t="s">
        <v>60</v>
      </c>
      <c r="B54" t="s">
        <v>1539</v>
      </c>
      <c r="C54">
        <v>28.9</v>
      </c>
      <c r="D54">
        <v>23.5</v>
      </c>
      <c r="E54">
        <v>5.4</v>
      </c>
      <c r="G54">
        <v>0.3</v>
      </c>
      <c r="H54">
        <v>0.2</v>
      </c>
      <c r="I54">
        <v>748</v>
      </c>
      <c r="J54" s="5">
        <v>44289</v>
      </c>
      <c r="L54">
        <v>5</v>
      </c>
    </row>
    <row r="55" spans="1:12" x14ac:dyDescent="0.2">
      <c r="A55" t="s">
        <v>60</v>
      </c>
      <c r="B55" t="s">
        <v>1539</v>
      </c>
      <c r="C55">
        <v>32.6</v>
      </c>
      <c r="D55">
        <v>26.4</v>
      </c>
      <c r="E55">
        <v>6.2</v>
      </c>
      <c r="G55">
        <v>0</v>
      </c>
      <c r="H55">
        <v>0.5</v>
      </c>
      <c r="I55">
        <v>784</v>
      </c>
      <c r="J55" s="5">
        <v>44289</v>
      </c>
      <c r="L55">
        <v>5</v>
      </c>
    </row>
    <row r="56" spans="1:12" x14ac:dyDescent="0.2">
      <c r="A56" t="s">
        <v>102</v>
      </c>
      <c r="B56" t="s">
        <v>1539</v>
      </c>
      <c r="C56">
        <v>19.3</v>
      </c>
      <c r="D56">
        <v>19.3</v>
      </c>
      <c r="E56">
        <v>0</v>
      </c>
      <c r="G56">
        <v>0</v>
      </c>
      <c r="H56">
        <v>1.1000000000000001</v>
      </c>
      <c r="I56">
        <v>458</v>
      </c>
      <c r="J56" s="5">
        <v>44350</v>
      </c>
      <c r="L56">
        <v>5</v>
      </c>
    </row>
    <row r="57" spans="1:12" x14ac:dyDescent="0.2">
      <c r="A57" t="s">
        <v>102</v>
      </c>
      <c r="B57" t="s">
        <v>1539</v>
      </c>
      <c r="C57">
        <v>25.4</v>
      </c>
      <c r="D57">
        <v>25.4</v>
      </c>
      <c r="E57">
        <v>0</v>
      </c>
      <c r="G57">
        <v>0</v>
      </c>
      <c r="H57">
        <v>1.2</v>
      </c>
      <c r="I57">
        <v>460</v>
      </c>
      <c r="J57" s="5">
        <v>44350</v>
      </c>
      <c r="L57">
        <v>5</v>
      </c>
    </row>
    <row r="58" spans="1:12" x14ac:dyDescent="0.2">
      <c r="A58" t="s">
        <v>102</v>
      </c>
      <c r="B58" t="s">
        <v>1539</v>
      </c>
      <c r="C58">
        <v>25.5</v>
      </c>
      <c r="D58">
        <v>25.5</v>
      </c>
      <c r="E58">
        <v>0</v>
      </c>
      <c r="F58">
        <v>3</v>
      </c>
      <c r="G58">
        <v>0</v>
      </c>
      <c r="H58">
        <v>0.9</v>
      </c>
      <c r="I58">
        <v>461</v>
      </c>
      <c r="J58" s="5">
        <v>44350</v>
      </c>
      <c r="L58">
        <v>5</v>
      </c>
    </row>
    <row r="59" spans="1:12" x14ac:dyDescent="0.2">
      <c r="A59" t="s">
        <v>112</v>
      </c>
      <c r="B59" t="s">
        <v>1539</v>
      </c>
      <c r="C59">
        <v>27</v>
      </c>
      <c r="D59">
        <v>24.5</v>
      </c>
      <c r="E59">
        <v>2.5</v>
      </c>
      <c r="F59">
        <v>1.9</v>
      </c>
      <c r="G59">
        <v>0.4</v>
      </c>
      <c r="H59">
        <v>0.4</v>
      </c>
      <c r="I59">
        <v>518</v>
      </c>
      <c r="J59" s="5">
        <v>44350</v>
      </c>
      <c r="L59">
        <v>5</v>
      </c>
    </row>
    <row r="60" spans="1:12" x14ac:dyDescent="0.2">
      <c r="A60" t="s">
        <v>112</v>
      </c>
      <c r="B60" t="s">
        <v>1539</v>
      </c>
      <c r="C60">
        <v>27.9</v>
      </c>
      <c r="D60">
        <v>24.2</v>
      </c>
      <c r="E60">
        <v>3.7</v>
      </c>
      <c r="G60">
        <v>0.1</v>
      </c>
      <c r="H60">
        <v>0.1</v>
      </c>
      <c r="I60">
        <v>561</v>
      </c>
      <c r="J60" s="5">
        <v>44350</v>
      </c>
      <c r="L60">
        <v>5</v>
      </c>
    </row>
    <row r="61" spans="1:12" x14ac:dyDescent="0.2">
      <c r="A61" t="s">
        <v>112</v>
      </c>
      <c r="B61" t="s">
        <v>1539</v>
      </c>
      <c r="C61">
        <v>28.6</v>
      </c>
      <c r="D61">
        <v>24.6</v>
      </c>
      <c r="E61">
        <v>4</v>
      </c>
      <c r="G61">
        <v>0.3</v>
      </c>
      <c r="H61">
        <v>0.3</v>
      </c>
      <c r="I61">
        <v>553</v>
      </c>
      <c r="J61" s="5">
        <v>44350</v>
      </c>
      <c r="L61">
        <v>5</v>
      </c>
    </row>
    <row r="62" spans="1:12" x14ac:dyDescent="0.2">
      <c r="A62" t="s">
        <v>46</v>
      </c>
      <c r="B62" t="s">
        <v>1539</v>
      </c>
      <c r="H62">
        <v>1.3</v>
      </c>
      <c r="I62">
        <v>3.05</v>
      </c>
      <c r="J62" t="s">
        <v>700</v>
      </c>
      <c r="L62">
        <v>6</v>
      </c>
    </row>
    <row r="63" spans="1:12" x14ac:dyDescent="0.2">
      <c r="A63" t="s">
        <v>46</v>
      </c>
      <c r="B63" t="s">
        <v>1539</v>
      </c>
      <c r="H63">
        <v>0.8</v>
      </c>
      <c r="I63">
        <v>326</v>
      </c>
      <c r="J63" t="s">
        <v>700</v>
      </c>
      <c r="L63">
        <v>6</v>
      </c>
    </row>
    <row r="64" spans="1:12" x14ac:dyDescent="0.2">
      <c r="A64" t="s">
        <v>46</v>
      </c>
      <c r="B64" t="s">
        <v>1539</v>
      </c>
      <c r="H64">
        <v>1.1000000000000001</v>
      </c>
      <c r="I64">
        <v>323</v>
      </c>
      <c r="J64" t="s">
        <v>700</v>
      </c>
      <c r="L64">
        <v>6</v>
      </c>
    </row>
    <row r="65" spans="1:12" x14ac:dyDescent="0.2">
      <c r="A65" t="s">
        <v>23</v>
      </c>
      <c r="B65" t="s">
        <v>1539</v>
      </c>
      <c r="H65">
        <v>1.4</v>
      </c>
      <c r="I65">
        <v>212</v>
      </c>
      <c r="J65" t="s">
        <v>700</v>
      </c>
      <c r="L65">
        <v>6</v>
      </c>
    </row>
    <row r="66" spans="1:12" x14ac:dyDescent="0.2">
      <c r="A66" t="s">
        <v>23</v>
      </c>
      <c r="B66" t="s">
        <v>1539</v>
      </c>
      <c r="H66">
        <v>2.2000000000000002</v>
      </c>
      <c r="I66">
        <v>194</v>
      </c>
      <c r="J66" t="s">
        <v>700</v>
      </c>
      <c r="L66">
        <v>6</v>
      </c>
    </row>
    <row r="67" spans="1:12" x14ac:dyDescent="0.2">
      <c r="A67" t="s">
        <v>23</v>
      </c>
      <c r="B67" t="s">
        <v>1539</v>
      </c>
      <c r="H67">
        <v>2.2000000000000002</v>
      </c>
      <c r="I67">
        <v>171</v>
      </c>
      <c r="J67" t="s">
        <v>700</v>
      </c>
      <c r="L67">
        <v>6</v>
      </c>
    </row>
    <row r="68" spans="1:12" x14ac:dyDescent="0.2">
      <c r="A68" t="s">
        <v>102</v>
      </c>
      <c r="B68" t="s">
        <v>1539</v>
      </c>
      <c r="H68">
        <v>1.1000000000000001</v>
      </c>
      <c r="I68">
        <v>351</v>
      </c>
      <c r="J68" t="s">
        <v>700</v>
      </c>
      <c r="L68">
        <v>6</v>
      </c>
    </row>
    <row r="69" spans="1:12" x14ac:dyDescent="0.2">
      <c r="A69" t="s">
        <v>102</v>
      </c>
      <c r="B69" t="s">
        <v>1539</v>
      </c>
      <c r="H69">
        <v>2.9</v>
      </c>
      <c r="I69">
        <v>266</v>
      </c>
      <c r="J69" t="s">
        <v>700</v>
      </c>
      <c r="L69">
        <v>6</v>
      </c>
    </row>
    <row r="70" spans="1:12" x14ac:dyDescent="0.2">
      <c r="A70" t="s">
        <v>102</v>
      </c>
      <c r="B70" t="s">
        <v>1539</v>
      </c>
      <c r="H70">
        <v>2.2000000000000002</v>
      </c>
      <c r="I70">
        <v>316</v>
      </c>
      <c r="J70" t="s">
        <v>700</v>
      </c>
      <c r="L70">
        <v>6</v>
      </c>
    </row>
    <row r="71" spans="1:12" x14ac:dyDescent="0.2">
      <c r="A71" t="s">
        <v>60</v>
      </c>
      <c r="B71" t="s">
        <v>1539</v>
      </c>
      <c r="H71">
        <v>1.2</v>
      </c>
      <c r="I71">
        <v>376</v>
      </c>
      <c r="J71" t="s">
        <v>732</v>
      </c>
      <c r="L71">
        <v>6</v>
      </c>
    </row>
    <row r="72" spans="1:12" x14ac:dyDescent="0.2">
      <c r="A72" t="s">
        <v>60</v>
      </c>
      <c r="B72" t="s">
        <v>1539</v>
      </c>
      <c r="H72">
        <v>1.1000000000000001</v>
      </c>
      <c r="I72">
        <v>384</v>
      </c>
      <c r="J72" t="s">
        <v>732</v>
      </c>
      <c r="L72">
        <v>6</v>
      </c>
    </row>
    <row r="73" spans="1:12" x14ac:dyDescent="0.2">
      <c r="A73" t="s">
        <v>60</v>
      </c>
      <c r="B73" t="s">
        <v>1539</v>
      </c>
      <c r="H73">
        <v>1.5</v>
      </c>
      <c r="I73">
        <v>379</v>
      </c>
      <c r="J73" t="s">
        <v>732</v>
      </c>
      <c r="L73">
        <v>6</v>
      </c>
    </row>
    <row r="74" spans="1:12" x14ac:dyDescent="0.2">
      <c r="A74" t="s">
        <v>112</v>
      </c>
      <c r="B74" t="s">
        <v>1539</v>
      </c>
      <c r="H74">
        <v>2.9</v>
      </c>
      <c r="I74">
        <v>292</v>
      </c>
      <c r="J74" t="s">
        <v>783</v>
      </c>
      <c r="L74">
        <v>6</v>
      </c>
    </row>
    <row r="75" spans="1:12" x14ac:dyDescent="0.2">
      <c r="A75" t="s">
        <v>112</v>
      </c>
      <c r="B75" t="s">
        <v>1539</v>
      </c>
      <c r="H75">
        <v>3.1</v>
      </c>
      <c r="I75">
        <v>349</v>
      </c>
      <c r="J75" t="s">
        <v>783</v>
      </c>
      <c r="L75">
        <v>6</v>
      </c>
    </row>
    <row r="76" spans="1:12" x14ac:dyDescent="0.2">
      <c r="A76" t="s">
        <v>112</v>
      </c>
      <c r="B76" t="s">
        <v>1539</v>
      </c>
      <c r="H76">
        <v>3.8</v>
      </c>
      <c r="I76">
        <v>314</v>
      </c>
      <c r="J76" t="s">
        <v>783</v>
      </c>
      <c r="L76">
        <v>6</v>
      </c>
    </row>
    <row r="77" spans="1:12" x14ac:dyDescent="0.2">
      <c r="A77" t="s">
        <v>46</v>
      </c>
      <c r="B77" t="s">
        <v>1539</v>
      </c>
      <c r="H77">
        <v>7.4</v>
      </c>
      <c r="I77">
        <v>593</v>
      </c>
      <c r="J77" s="5">
        <v>44259</v>
      </c>
      <c r="L77">
        <v>7</v>
      </c>
    </row>
    <row r="78" spans="1:12" x14ac:dyDescent="0.2">
      <c r="A78" t="s">
        <v>46</v>
      </c>
      <c r="B78" t="s">
        <v>1539</v>
      </c>
      <c r="H78">
        <v>7.1</v>
      </c>
      <c r="I78">
        <v>589</v>
      </c>
      <c r="J78" s="5">
        <v>44259</v>
      </c>
      <c r="L78">
        <v>7</v>
      </c>
    </row>
    <row r="79" spans="1:12" x14ac:dyDescent="0.2">
      <c r="A79" t="s">
        <v>46</v>
      </c>
      <c r="B79" t="s">
        <v>1539</v>
      </c>
      <c r="H79">
        <v>6.9</v>
      </c>
      <c r="I79">
        <v>597</v>
      </c>
      <c r="J79" s="5">
        <v>44259</v>
      </c>
      <c r="L79">
        <v>7</v>
      </c>
    </row>
    <row r="80" spans="1:12" x14ac:dyDescent="0.2">
      <c r="A80" t="s">
        <v>23</v>
      </c>
      <c r="B80" t="s">
        <v>1539</v>
      </c>
      <c r="H80">
        <v>6.9</v>
      </c>
      <c r="I80">
        <v>408</v>
      </c>
      <c r="J80" s="5">
        <v>44259</v>
      </c>
      <c r="L80">
        <v>7</v>
      </c>
    </row>
    <row r="81" spans="1:12" x14ac:dyDescent="0.2">
      <c r="A81" t="s">
        <v>23</v>
      </c>
      <c r="B81" t="s">
        <v>1539</v>
      </c>
      <c r="H81">
        <v>6.7</v>
      </c>
      <c r="I81">
        <v>410</v>
      </c>
      <c r="J81" s="5">
        <v>44259</v>
      </c>
      <c r="L81">
        <v>7</v>
      </c>
    </row>
    <row r="82" spans="1:12" x14ac:dyDescent="0.2">
      <c r="A82" t="s">
        <v>23</v>
      </c>
      <c r="B82" t="s">
        <v>1539</v>
      </c>
      <c r="H82">
        <v>6.6</v>
      </c>
      <c r="I82">
        <v>412</v>
      </c>
      <c r="J82" s="5">
        <v>44259</v>
      </c>
      <c r="L82">
        <v>7</v>
      </c>
    </row>
    <row r="83" spans="1:12" x14ac:dyDescent="0.2">
      <c r="A83" t="s">
        <v>112</v>
      </c>
      <c r="B83" t="s">
        <v>1539</v>
      </c>
      <c r="H83">
        <v>13.2</v>
      </c>
      <c r="I83">
        <v>545</v>
      </c>
      <c r="J83" s="5">
        <v>44381</v>
      </c>
      <c r="L83">
        <v>7</v>
      </c>
    </row>
    <row r="84" spans="1:12" x14ac:dyDescent="0.2">
      <c r="A84" t="s">
        <v>112</v>
      </c>
      <c r="B84" t="s">
        <v>1539</v>
      </c>
      <c r="H84">
        <v>12.4</v>
      </c>
      <c r="I84">
        <v>542</v>
      </c>
      <c r="J84" s="5">
        <v>44381</v>
      </c>
      <c r="L84">
        <v>7</v>
      </c>
    </row>
    <row r="85" spans="1:12" x14ac:dyDescent="0.2">
      <c r="A85" t="s">
        <v>112</v>
      </c>
      <c r="B85" t="s">
        <v>1539</v>
      </c>
      <c r="H85">
        <v>13.5</v>
      </c>
      <c r="I85">
        <v>536</v>
      </c>
      <c r="J85" s="5">
        <v>44381</v>
      </c>
      <c r="L85">
        <v>7</v>
      </c>
    </row>
    <row r="86" spans="1:12" x14ac:dyDescent="0.2">
      <c r="A86" t="s">
        <v>102</v>
      </c>
      <c r="B86" t="s">
        <v>1539</v>
      </c>
      <c r="H86">
        <v>13.6</v>
      </c>
      <c r="I86">
        <v>440</v>
      </c>
      <c r="J86" s="5">
        <v>44381</v>
      </c>
      <c r="L86">
        <v>7</v>
      </c>
    </row>
    <row r="87" spans="1:12" x14ac:dyDescent="0.2">
      <c r="A87" t="s">
        <v>102</v>
      </c>
      <c r="B87" t="s">
        <v>1539</v>
      </c>
      <c r="H87">
        <v>13</v>
      </c>
      <c r="I87">
        <v>443</v>
      </c>
      <c r="J87" s="5">
        <v>44381</v>
      </c>
      <c r="L87">
        <v>7</v>
      </c>
    </row>
    <row r="88" spans="1:12" x14ac:dyDescent="0.2">
      <c r="A88" t="s">
        <v>102</v>
      </c>
      <c r="B88" t="s">
        <v>1539</v>
      </c>
      <c r="H88">
        <v>12.7</v>
      </c>
      <c r="I88">
        <v>446</v>
      </c>
      <c r="J88" s="5">
        <v>44381</v>
      </c>
      <c r="L88">
        <v>7</v>
      </c>
    </row>
    <row r="89" spans="1:12" x14ac:dyDescent="0.2">
      <c r="A89" t="s">
        <v>102</v>
      </c>
      <c r="B89" t="s">
        <v>1539</v>
      </c>
      <c r="H89">
        <v>14.8</v>
      </c>
      <c r="I89">
        <v>447</v>
      </c>
      <c r="J89" s="5">
        <v>44443</v>
      </c>
      <c r="L89">
        <v>7</v>
      </c>
    </row>
    <row r="90" spans="1:12" x14ac:dyDescent="0.2">
      <c r="A90" t="s">
        <v>102</v>
      </c>
      <c r="B90" t="s">
        <v>1539</v>
      </c>
      <c r="H90">
        <v>14.5</v>
      </c>
      <c r="I90">
        <v>449</v>
      </c>
      <c r="J90" s="5">
        <v>44443</v>
      </c>
      <c r="L90">
        <v>7</v>
      </c>
    </row>
    <row r="91" spans="1:12" x14ac:dyDescent="0.2">
      <c r="A91" t="s">
        <v>102</v>
      </c>
      <c r="B91" t="s">
        <v>1539</v>
      </c>
      <c r="H91">
        <v>14.2</v>
      </c>
      <c r="I91">
        <v>451</v>
      </c>
      <c r="J91" s="5">
        <v>44443</v>
      </c>
      <c r="L91">
        <v>7</v>
      </c>
    </row>
    <row r="92" spans="1:12" x14ac:dyDescent="0.2">
      <c r="A92" t="s">
        <v>112</v>
      </c>
      <c r="B92" t="s">
        <v>1539</v>
      </c>
      <c r="H92">
        <v>14.4</v>
      </c>
      <c r="I92">
        <v>538</v>
      </c>
      <c r="J92" s="5">
        <v>44443</v>
      </c>
      <c r="L92">
        <v>7</v>
      </c>
    </row>
    <row r="93" spans="1:12" x14ac:dyDescent="0.2">
      <c r="A93" t="s">
        <v>112</v>
      </c>
      <c r="B93" t="s">
        <v>1539</v>
      </c>
      <c r="H93">
        <v>14.5</v>
      </c>
      <c r="I93">
        <v>539</v>
      </c>
      <c r="J93" s="5">
        <v>44443</v>
      </c>
      <c r="L93">
        <v>7</v>
      </c>
    </row>
    <row r="94" spans="1:12" x14ac:dyDescent="0.2">
      <c r="A94" t="s">
        <v>112</v>
      </c>
      <c r="B94" t="s">
        <v>1539</v>
      </c>
      <c r="H94">
        <v>14.4</v>
      </c>
      <c r="I94">
        <v>539</v>
      </c>
      <c r="J94" s="5">
        <v>44443</v>
      </c>
      <c r="L94">
        <v>7</v>
      </c>
    </row>
    <row r="95" spans="1:12" x14ac:dyDescent="0.2">
      <c r="A95" t="s">
        <v>102</v>
      </c>
      <c r="B95" t="s">
        <v>1539</v>
      </c>
      <c r="H95">
        <v>12.8</v>
      </c>
      <c r="I95">
        <v>448</v>
      </c>
      <c r="J95" t="s">
        <v>877</v>
      </c>
      <c r="L95">
        <v>8</v>
      </c>
    </row>
    <row r="96" spans="1:12" x14ac:dyDescent="0.2">
      <c r="A96" t="s">
        <v>102</v>
      </c>
      <c r="B96" t="s">
        <v>1539</v>
      </c>
      <c r="H96">
        <v>12.8</v>
      </c>
      <c r="I96">
        <v>451</v>
      </c>
      <c r="J96" t="s">
        <v>877</v>
      </c>
      <c r="L96">
        <v>8</v>
      </c>
    </row>
    <row r="97" spans="1:12" x14ac:dyDescent="0.2">
      <c r="A97" t="s">
        <v>102</v>
      </c>
      <c r="B97" t="s">
        <v>1539</v>
      </c>
      <c r="H97">
        <v>12.5</v>
      </c>
      <c r="I97">
        <v>452</v>
      </c>
      <c r="J97" t="s">
        <v>877</v>
      </c>
      <c r="L97">
        <v>8</v>
      </c>
    </row>
    <row r="98" spans="1:12" x14ac:dyDescent="0.2">
      <c r="A98" t="s">
        <v>112</v>
      </c>
      <c r="B98" t="s">
        <v>1539</v>
      </c>
      <c r="H98">
        <v>12.7</v>
      </c>
      <c r="I98">
        <v>522</v>
      </c>
      <c r="J98" t="s">
        <v>877</v>
      </c>
      <c r="L98">
        <v>8</v>
      </c>
    </row>
    <row r="99" spans="1:12" x14ac:dyDescent="0.2">
      <c r="A99" t="s">
        <v>112</v>
      </c>
      <c r="B99" t="s">
        <v>1539</v>
      </c>
      <c r="H99">
        <v>12.5</v>
      </c>
      <c r="I99">
        <v>527</v>
      </c>
      <c r="J99" t="s">
        <v>877</v>
      </c>
      <c r="L99">
        <v>8</v>
      </c>
    </row>
    <row r="100" spans="1:12" x14ac:dyDescent="0.2">
      <c r="A100" t="s">
        <v>112</v>
      </c>
      <c r="B100" t="s">
        <v>1539</v>
      </c>
      <c r="H100">
        <v>12</v>
      </c>
      <c r="I100">
        <v>531</v>
      </c>
      <c r="J100" t="s">
        <v>877</v>
      </c>
      <c r="L100">
        <v>8</v>
      </c>
    </row>
    <row r="101" spans="1:12" x14ac:dyDescent="0.2">
      <c r="A101" t="s">
        <v>46</v>
      </c>
      <c r="B101" t="s">
        <v>1539</v>
      </c>
      <c r="H101">
        <v>13.9</v>
      </c>
      <c r="I101">
        <v>603</v>
      </c>
      <c r="J101" t="s">
        <v>877</v>
      </c>
      <c r="L101">
        <v>8</v>
      </c>
    </row>
    <row r="102" spans="1:12" x14ac:dyDescent="0.2">
      <c r="A102" t="s">
        <v>46</v>
      </c>
      <c r="B102" t="s">
        <v>1539</v>
      </c>
      <c r="H102">
        <v>13.7</v>
      </c>
      <c r="I102">
        <v>600</v>
      </c>
      <c r="J102" t="s">
        <v>877</v>
      </c>
      <c r="L102">
        <v>8</v>
      </c>
    </row>
    <row r="103" spans="1:12" x14ac:dyDescent="0.2">
      <c r="A103" t="s">
        <v>46</v>
      </c>
      <c r="B103" t="s">
        <v>1539</v>
      </c>
      <c r="H103">
        <v>13.4</v>
      </c>
      <c r="I103">
        <v>606</v>
      </c>
      <c r="J103" t="s">
        <v>877</v>
      </c>
      <c r="L103">
        <v>8</v>
      </c>
    </row>
    <row r="104" spans="1:12" x14ac:dyDescent="0.2">
      <c r="A104" t="s">
        <v>60</v>
      </c>
      <c r="B104" t="s">
        <v>1539</v>
      </c>
      <c r="H104">
        <v>13.3</v>
      </c>
      <c r="I104">
        <v>659</v>
      </c>
      <c r="J104" t="s">
        <v>877</v>
      </c>
      <c r="L104">
        <v>8</v>
      </c>
    </row>
    <row r="105" spans="1:12" x14ac:dyDescent="0.2">
      <c r="A105" t="s">
        <v>60</v>
      </c>
      <c r="B105" t="s">
        <v>1539</v>
      </c>
      <c r="H105">
        <v>12.4</v>
      </c>
      <c r="I105">
        <v>670</v>
      </c>
      <c r="J105" t="s">
        <v>877</v>
      </c>
      <c r="L105">
        <v>8</v>
      </c>
    </row>
    <row r="106" spans="1:12" x14ac:dyDescent="0.2">
      <c r="A106" t="s">
        <v>60</v>
      </c>
      <c r="B106" t="s">
        <v>1539</v>
      </c>
      <c r="H106">
        <v>12.4</v>
      </c>
      <c r="I106">
        <v>674</v>
      </c>
      <c r="J106" t="s">
        <v>877</v>
      </c>
      <c r="L106">
        <v>8</v>
      </c>
    </row>
    <row r="107" spans="1:12" x14ac:dyDescent="0.2">
      <c r="A107" t="s">
        <v>46</v>
      </c>
      <c r="B107" t="s">
        <v>1539</v>
      </c>
      <c r="H107">
        <v>10.3</v>
      </c>
      <c r="I107">
        <v>615</v>
      </c>
      <c r="J107" t="s">
        <v>918</v>
      </c>
      <c r="L107">
        <v>8</v>
      </c>
    </row>
    <row r="108" spans="1:12" x14ac:dyDescent="0.2">
      <c r="A108" t="s">
        <v>46</v>
      </c>
      <c r="B108" t="s">
        <v>1539</v>
      </c>
      <c r="H108">
        <v>10.5</v>
      </c>
      <c r="I108">
        <v>620</v>
      </c>
      <c r="J108" t="s">
        <v>918</v>
      </c>
      <c r="L108">
        <v>8</v>
      </c>
    </row>
    <row r="109" spans="1:12" x14ac:dyDescent="0.2">
      <c r="A109" t="s">
        <v>46</v>
      </c>
      <c r="B109" t="s">
        <v>1539</v>
      </c>
      <c r="H109">
        <v>10.4</v>
      </c>
      <c r="I109">
        <v>616</v>
      </c>
      <c r="J109" t="s">
        <v>918</v>
      </c>
      <c r="L109">
        <v>8</v>
      </c>
    </row>
    <row r="110" spans="1:12" x14ac:dyDescent="0.2">
      <c r="A110" t="s">
        <v>46</v>
      </c>
      <c r="B110" t="s">
        <v>1540</v>
      </c>
      <c r="H110">
        <v>9.9</v>
      </c>
      <c r="I110">
        <v>596</v>
      </c>
      <c r="J110" t="s">
        <v>918</v>
      </c>
      <c r="L110">
        <v>8</v>
      </c>
    </row>
    <row r="111" spans="1:12" x14ac:dyDescent="0.2">
      <c r="A111" t="s">
        <v>46</v>
      </c>
      <c r="B111" t="s">
        <v>1540</v>
      </c>
      <c r="H111">
        <v>10.3</v>
      </c>
      <c r="I111">
        <v>589</v>
      </c>
      <c r="J111" t="s">
        <v>918</v>
      </c>
      <c r="L111">
        <v>8</v>
      </c>
    </row>
    <row r="112" spans="1:12" x14ac:dyDescent="0.2">
      <c r="A112" t="s">
        <v>46</v>
      </c>
      <c r="B112" t="s">
        <v>1540</v>
      </c>
      <c r="H112">
        <v>10.1</v>
      </c>
      <c r="I112">
        <v>593</v>
      </c>
      <c r="J112" t="s">
        <v>918</v>
      </c>
      <c r="L112">
        <v>8</v>
      </c>
    </row>
    <row r="113" spans="1:12" x14ac:dyDescent="0.2">
      <c r="A113" t="s">
        <v>23</v>
      </c>
      <c r="B113" t="s">
        <v>1539</v>
      </c>
      <c r="H113">
        <v>10</v>
      </c>
      <c r="I113">
        <v>425</v>
      </c>
      <c r="J113" t="s">
        <v>918</v>
      </c>
      <c r="L113">
        <v>8</v>
      </c>
    </row>
    <row r="114" spans="1:12" x14ac:dyDescent="0.2">
      <c r="A114" t="s">
        <v>23</v>
      </c>
      <c r="B114" t="s">
        <v>1539</v>
      </c>
      <c r="H114">
        <v>10.4</v>
      </c>
      <c r="I114">
        <v>422</v>
      </c>
      <c r="J114" t="s">
        <v>918</v>
      </c>
      <c r="L114">
        <v>8</v>
      </c>
    </row>
    <row r="115" spans="1:12" x14ac:dyDescent="0.2">
      <c r="A115" t="s">
        <v>23</v>
      </c>
      <c r="B115" t="s">
        <v>1539</v>
      </c>
      <c r="H115">
        <v>10.5</v>
      </c>
      <c r="I115">
        <v>417</v>
      </c>
      <c r="J115" t="s">
        <v>918</v>
      </c>
      <c r="L115">
        <v>8</v>
      </c>
    </row>
    <row r="116" spans="1:12" x14ac:dyDescent="0.2">
      <c r="A116" t="s">
        <v>46</v>
      </c>
      <c r="B116" t="s">
        <v>1539</v>
      </c>
      <c r="H116">
        <v>14.4</v>
      </c>
      <c r="I116">
        <v>596</v>
      </c>
      <c r="J116" s="5">
        <v>44319</v>
      </c>
      <c r="L116">
        <v>9</v>
      </c>
    </row>
    <row r="117" spans="1:12" x14ac:dyDescent="0.2">
      <c r="A117" t="s">
        <v>46</v>
      </c>
      <c r="B117" t="s">
        <v>1539</v>
      </c>
      <c r="H117">
        <v>14.3</v>
      </c>
      <c r="I117">
        <v>603</v>
      </c>
      <c r="J117" s="5">
        <v>44319</v>
      </c>
      <c r="L117">
        <v>9</v>
      </c>
    </row>
    <row r="118" spans="1:12" x14ac:dyDescent="0.2">
      <c r="A118" t="s">
        <v>46</v>
      </c>
      <c r="B118" t="s">
        <v>1539</v>
      </c>
      <c r="H118">
        <v>14.1</v>
      </c>
      <c r="I118">
        <v>602</v>
      </c>
      <c r="J118" s="5">
        <v>44319</v>
      </c>
      <c r="L118">
        <v>9</v>
      </c>
    </row>
    <row r="119" spans="1:12" x14ac:dyDescent="0.2">
      <c r="A119" t="s">
        <v>46</v>
      </c>
      <c r="B119" t="s">
        <v>1540</v>
      </c>
      <c r="H119">
        <v>13.8</v>
      </c>
      <c r="I119">
        <v>592</v>
      </c>
      <c r="J119" s="5">
        <v>44319</v>
      </c>
      <c r="L119">
        <v>9</v>
      </c>
    </row>
    <row r="120" spans="1:12" x14ac:dyDescent="0.2">
      <c r="A120" t="s">
        <v>46</v>
      </c>
      <c r="B120" t="s">
        <v>1540</v>
      </c>
      <c r="H120">
        <v>13.9</v>
      </c>
      <c r="I120">
        <v>592</v>
      </c>
      <c r="J120" s="5">
        <v>44319</v>
      </c>
      <c r="L120">
        <v>9</v>
      </c>
    </row>
    <row r="121" spans="1:12" x14ac:dyDescent="0.2">
      <c r="A121" t="s">
        <v>46</v>
      </c>
      <c r="B121" t="s">
        <v>1540</v>
      </c>
      <c r="H121">
        <v>14.1</v>
      </c>
      <c r="I121">
        <v>590</v>
      </c>
      <c r="J121" s="5">
        <v>44319</v>
      </c>
      <c r="L121">
        <v>9</v>
      </c>
    </row>
    <row r="122" spans="1:12" x14ac:dyDescent="0.2">
      <c r="A122" t="s">
        <v>23</v>
      </c>
      <c r="B122" t="s">
        <v>1539</v>
      </c>
      <c r="H122">
        <v>13.9</v>
      </c>
      <c r="I122">
        <v>405</v>
      </c>
      <c r="J122" s="5">
        <v>44319</v>
      </c>
      <c r="L122">
        <v>9</v>
      </c>
    </row>
    <row r="123" spans="1:12" x14ac:dyDescent="0.2">
      <c r="A123" t="s">
        <v>23</v>
      </c>
      <c r="B123" t="s">
        <v>1539</v>
      </c>
      <c r="H123">
        <v>13.7</v>
      </c>
      <c r="I123">
        <v>408</v>
      </c>
      <c r="J123" s="5">
        <v>44319</v>
      </c>
      <c r="L123">
        <v>9</v>
      </c>
    </row>
    <row r="124" spans="1:12" x14ac:dyDescent="0.2">
      <c r="A124" t="s">
        <v>23</v>
      </c>
      <c r="B124" t="s">
        <v>1539</v>
      </c>
      <c r="H124">
        <v>13.5</v>
      </c>
      <c r="I124">
        <v>409</v>
      </c>
      <c r="J124" s="5">
        <v>44319</v>
      </c>
      <c r="L124">
        <v>9</v>
      </c>
    </row>
    <row r="125" spans="1:12" x14ac:dyDescent="0.2">
      <c r="A125" t="s">
        <v>60</v>
      </c>
      <c r="B125" t="s">
        <v>1539</v>
      </c>
      <c r="H125">
        <v>12.8</v>
      </c>
      <c r="I125">
        <v>657</v>
      </c>
      <c r="J125" s="5">
        <v>44321</v>
      </c>
      <c r="L125">
        <v>9</v>
      </c>
    </row>
    <row r="126" spans="1:12" x14ac:dyDescent="0.2">
      <c r="A126" t="s">
        <v>60</v>
      </c>
      <c r="B126" t="s">
        <v>1539</v>
      </c>
      <c r="H126">
        <v>12.4</v>
      </c>
      <c r="I126">
        <v>685</v>
      </c>
      <c r="J126" s="5">
        <v>44321</v>
      </c>
      <c r="L126">
        <v>9</v>
      </c>
    </row>
    <row r="127" spans="1:12" x14ac:dyDescent="0.2">
      <c r="A127" t="s">
        <v>60</v>
      </c>
      <c r="B127" t="s">
        <v>1539</v>
      </c>
      <c r="H127">
        <v>12.4</v>
      </c>
      <c r="I127">
        <v>664</v>
      </c>
      <c r="J127" s="5">
        <v>44321</v>
      </c>
      <c r="L127">
        <v>9</v>
      </c>
    </row>
    <row r="128" spans="1:12" x14ac:dyDescent="0.2">
      <c r="A128" t="s">
        <v>112</v>
      </c>
      <c r="B128" t="s">
        <v>1539</v>
      </c>
      <c r="H128">
        <v>13.4</v>
      </c>
      <c r="I128">
        <v>495</v>
      </c>
      <c r="J128" s="5">
        <v>44321</v>
      </c>
      <c r="L128">
        <v>9</v>
      </c>
    </row>
    <row r="129" spans="1:12" x14ac:dyDescent="0.2">
      <c r="A129" t="s">
        <v>112</v>
      </c>
      <c r="B129" t="s">
        <v>1539</v>
      </c>
      <c r="H129">
        <v>12.8</v>
      </c>
      <c r="I129">
        <v>500</v>
      </c>
      <c r="J129" s="5">
        <v>44321</v>
      </c>
      <c r="L129">
        <v>9</v>
      </c>
    </row>
    <row r="130" spans="1:12" x14ac:dyDescent="0.2">
      <c r="A130" t="s">
        <v>112</v>
      </c>
      <c r="B130" t="s">
        <v>1539</v>
      </c>
      <c r="H130">
        <v>12.6</v>
      </c>
      <c r="I130">
        <v>502</v>
      </c>
      <c r="J130" s="5">
        <v>44321</v>
      </c>
      <c r="L130">
        <v>9</v>
      </c>
    </row>
    <row r="131" spans="1:12" x14ac:dyDescent="0.2">
      <c r="A131" t="s">
        <v>102</v>
      </c>
      <c r="B131" t="s">
        <v>1539</v>
      </c>
      <c r="H131">
        <v>13.2</v>
      </c>
      <c r="I131">
        <v>450</v>
      </c>
      <c r="J131" s="5">
        <v>44321</v>
      </c>
      <c r="L131">
        <v>9</v>
      </c>
    </row>
    <row r="132" spans="1:12" x14ac:dyDescent="0.2">
      <c r="A132" t="s">
        <v>102</v>
      </c>
      <c r="B132" t="s">
        <v>1539</v>
      </c>
      <c r="H132">
        <v>13.1</v>
      </c>
      <c r="I132">
        <v>448</v>
      </c>
      <c r="J132" s="5">
        <v>44321</v>
      </c>
      <c r="L132">
        <v>9</v>
      </c>
    </row>
    <row r="133" spans="1:12" x14ac:dyDescent="0.2">
      <c r="A133" t="s">
        <v>102</v>
      </c>
      <c r="B133" t="s">
        <v>1539</v>
      </c>
      <c r="H133">
        <v>13.1</v>
      </c>
      <c r="I133">
        <v>449</v>
      </c>
      <c r="J133" s="5">
        <v>44321</v>
      </c>
      <c r="L133">
        <v>9</v>
      </c>
    </row>
    <row r="134" spans="1:12" x14ac:dyDescent="0.2">
      <c r="A134" t="s">
        <v>46</v>
      </c>
      <c r="B134" t="s">
        <v>1540</v>
      </c>
      <c r="H134">
        <v>21.3</v>
      </c>
      <c r="I134">
        <v>575</v>
      </c>
      <c r="J134" s="5">
        <v>44333</v>
      </c>
      <c r="L134">
        <v>10</v>
      </c>
    </row>
    <row r="135" spans="1:12" x14ac:dyDescent="0.2">
      <c r="A135" t="s">
        <v>46</v>
      </c>
      <c r="B135" t="s">
        <v>1539</v>
      </c>
      <c r="H135">
        <v>19.7</v>
      </c>
      <c r="I135">
        <v>575</v>
      </c>
      <c r="J135" s="5">
        <v>44333</v>
      </c>
      <c r="L135">
        <v>10</v>
      </c>
    </row>
    <row r="136" spans="1:12" x14ac:dyDescent="0.2">
      <c r="A136" t="s">
        <v>46</v>
      </c>
      <c r="B136" t="s">
        <v>1539</v>
      </c>
      <c r="H136">
        <v>20.6</v>
      </c>
      <c r="I136">
        <v>578</v>
      </c>
      <c r="J136" s="5">
        <v>44333</v>
      </c>
      <c r="L136">
        <v>10</v>
      </c>
    </row>
    <row r="137" spans="1:12" x14ac:dyDescent="0.2">
      <c r="A137" t="s">
        <v>46</v>
      </c>
      <c r="B137" t="s">
        <v>1539</v>
      </c>
      <c r="H137">
        <v>21.6</v>
      </c>
      <c r="I137">
        <v>594</v>
      </c>
      <c r="J137" s="5">
        <v>44333</v>
      </c>
      <c r="L137">
        <v>10</v>
      </c>
    </row>
    <row r="138" spans="1:12" x14ac:dyDescent="0.2">
      <c r="A138" t="s">
        <v>23</v>
      </c>
      <c r="B138" t="s">
        <v>1539</v>
      </c>
      <c r="H138">
        <v>21.4</v>
      </c>
      <c r="I138">
        <v>361</v>
      </c>
      <c r="J138" s="5">
        <v>44333</v>
      </c>
      <c r="L138">
        <v>10</v>
      </c>
    </row>
    <row r="139" spans="1:12" x14ac:dyDescent="0.2">
      <c r="A139" t="s">
        <v>23</v>
      </c>
      <c r="B139" t="s">
        <v>1539</v>
      </c>
      <c r="H139">
        <v>20.9</v>
      </c>
      <c r="I139">
        <v>366</v>
      </c>
      <c r="J139" s="5">
        <v>44333</v>
      </c>
      <c r="L139">
        <v>10</v>
      </c>
    </row>
    <row r="140" spans="1:12" x14ac:dyDescent="0.2">
      <c r="A140" t="s">
        <v>23</v>
      </c>
      <c r="B140" t="s">
        <v>1539</v>
      </c>
      <c r="H140">
        <v>20.6</v>
      </c>
      <c r="I140">
        <v>368</v>
      </c>
      <c r="J140" s="5">
        <v>44333</v>
      </c>
      <c r="L140">
        <v>10</v>
      </c>
    </row>
    <row r="141" spans="1:12" x14ac:dyDescent="0.2">
      <c r="A141" t="s">
        <v>60</v>
      </c>
      <c r="B141" t="s">
        <v>1539</v>
      </c>
      <c r="H141">
        <v>21.4</v>
      </c>
      <c r="I141">
        <v>631</v>
      </c>
      <c r="J141" s="5">
        <v>44333</v>
      </c>
      <c r="L141">
        <v>10</v>
      </c>
    </row>
    <row r="142" spans="1:12" x14ac:dyDescent="0.2">
      <c r="A142" t="s">
        <v>60</v>
      </c>
      <c r="B142" t="s">
        <v>1539</v>
      </c>
      <c r="H142">
        <v>20.8</v>
      </c>
      <c r="I142">
        <v>638</v>
      </c>
      <c r="J142" s="5">
        <v>44333</v>
      </c>
      <c r="L142">
        <v>10</v>
      </c>
    </row>
    <row r="143" spans="1:12" x14ac:dyDescent="0.2">
      <c r="A143" t="s">
        <v>60</v>
      </c>
      <c r="B143" t="s">
        <v>1539</v>
      </c>
      <c r="H143">
        <v>20.7</v>
      </c>
      <c r="I143">
        <v>647</v>
      </c>
      <c r="J143" s="5">
        <v>44333</v>
      </c>
      <c r="L143">
        <v>10</v>
      </c>
    </row>
    <row r="144" spans="1:12" x14ac:dyDescent="0.2">
      <c r="A144" t="s">
        <v>112</v>
      </c>
      <c r="B144" t="s">
        <v>1539</v>
      </c>
      <c r="H144">
        <v>18.7</v>
      </c>
      <c r="I144">
        <v>461</v>
      </c>
      <c r="J144" s="5">
        <v>44334</v>
      </c>
      <c r="L144">
        <v>10</v>
      </c>
    </row>
    <row r="145" spans="1:12" x14ac:dyDescent="0.2">
      <c r="A145" t="s">
        <v>112</v>
      </c>
      <c r="B145" t="s">
        <v>1539</v>
      </c>
      <c r="H145">
        <v>18.600000000000001</v>
      </c>
      <c r="I145">
        <v>470</v>
      </c>
      <c r="J145" s="5">
        <v>44334</v>
      </c>
      <c r="L145">
        <v>10</v>
      </c>
    </row>
    <row r="146" spans="1:12" x14ac:dyDescent="0.2">
      <c r="A146" t="s">
        <v>112</v>
      </c>
      <c r="B146" t="s">
        <v>1539</v>
      </c>
      <c r="H146">
        <v>20</v>
      </c>
      <c r="I146">
        <v>473</v>
      </c>
      <c r="J146" s="5">
        <v>44334</v>
      </c>
      <c r="L146">
        <v>10</v>
      </c>
    </row>
    <row r="147" spans="1:12" x14ac:dyDescent="0.2">
      <c r="A147" t="s">
        <v>102</v>
      </c>
      <c r="B147" t="s">
        <v>1539</v>
      </c>
      <c r="H147">
        <v>22.4</v>
      </c>
      <c r="I147">
        <v>439</v>
      </c>
      <c r="J147" s="5">
        <v>44335</v>
      </c>
      <c r="L147">
        <v>10</v>
      </c>
    </row>
    <row r="148" spans="1:12" x14ac:dyDescent="0.2">
      <c r="A148" t="s">
        <v>102</v>
      </c>
      <c r="B148" t="s">
        <v>1539</v>
      </c>
      <c r="H148">
        <v>22.3</v>
      </c>
      <c r="I148">
        <v>431</v>
      </c>
      <c r="J148" s="5">
        <v>44335</v>
      </c>
      <c r="L148">
        <v>10</v>
      </c>
    </row>
    <row r="149" spans="1:12" x14ac:dyDescent="0.2">
      <c r="A149" t="s">
        <v>102</v>
      </c>
      <c r="B149" t="s">
        <v>1539</v>
      </c>
      <c r="H149">
        <v>22.3</v>
      </c>
      <c r="I149">
        <v>429</v>
      </c>
      <c r="J149" s="5">
        <v>44335</v>
      </c>
      <c r="L149">
        <v>10</v>
      </c>
    </row>
    <row r="150" spans="1:12" x14ac:dyDescent="0.2">
      <c r="A150" t="s">
        <v>46</v>
      </c>
      <c r="B150" t="s">
        <v>1540</v>
      </c>
      <c r="H150">
        <v>26.2</v>
      </c>
      <c r="I150">
        <v>451</v>
      </c>
      <c r="J150" s="5">
        <v>44352</v>
      </c>
      <c r="L150">
        <v>11</v>
      </c>
    </row>
    <row r="151" spans="1:12" x14ac:dyDescent="0.2">
      <c r="A151" t="s">
        <v>46</v>
      </c>
      <c r="B151" t="s">
        <v>1540</v>
      </c>
      <c r="H151">
        <v>26.9</v>
      </c>
      <c r="I151">
        <v>446</v>
      </c>
      <c r="J151" s="5">
        <v>44352</v>
      </c>
      <c r="L151">
        <v>11</v>
      </c>
    </row>
    <row r="152" spans="1:12" x14ac:dyDescent="0.2">
      <c r="A152" t="s">
        <v>46</v>
      </c>
      <c r="B152" t="s">
        <v>1540</v>
      </c>
      <c r="H152">
        <v>26.2</v>
      </c>
      <c r="I152">
        <v>453</v>
      </c>
      <c r="J152" s="5">
        <v>44352</v>
      </c>
      <c r="L152">
        <v>11</v>
      </c>
    </row>
    <row r="153" spans="1:12" x14ac:dyDescent="0.2">
      <c r="A153" t="s">
        <v>46</v>
      </c>
      <c r="B153" t="s">
        <v>1539</v>
      </c>
      <c r="H153">
        <v>25.3</v>
      </c>
      <c r="I153">
        <v>432</v>
      </c>
      <c r="J153" s="5">
        <v>44352</v>
      </c>
      <c r="L153">
        <v>11</v>
      </c>
    </row>
    <row r="154" spans="1:12" x14ac:dyDescent="0.2">
      <c r="A154" t="s">
        <v>46</v>
      </c>
      <c r="B154" t="s">
        <v>1539</v>
      </c>
      <c r="H154">
        <v>23.7</v>
      </c>
      <c r="I154">
        <v>413</v>
      </c>
      <c r="J154" s="5">
        <v>44352</v>
      </c>
      <c r="L154">
        <v>11</v>
      </c>
    </row>
    <row r="155" spans="1:12" x14ac:dyDescent="0.2">
      <c r="A155" t="s">
        <v>46</v>
      </c>
      <c r="B155" t="s">
        <v>1539</v>
      </c>
      <c r="H155">
        <v>23.2</v>
      </c>
      <c r="I155">
        <v>417</v>
      </c>
      <c r="J155" s="5">
        <v>44352</v>
      </c>
      <c r="L155">
        <v>11</v>
      </c>
    </row>
    <row r="156" spans="1:12" x14ac:dyDescent="0.2">
      <c r="A156" t="s">
        <v>112</v>
      </c>
      <c r="B156" t="s">
        <v>1539</v>
      </c>
      <c r="H156">
        <v>25.9</v>
      </c>
      <c r="I156">
        <v>421</v>
      </c>
      <c r="J156" s="5">
        <v>44354</v>
      </c>
      <c r="L156">
        <v>11</v>
      </c>
    </row>
    <row r="157" spans="1:12" x14ac:dyDescent="0.2">
      <c r="A157" t="s">
        <v>112</v>
      </c>
      <c r="B157" t="s">
        <v>1539</v>
      </c>
      <c r="H157">
        <v>25.3</v>
      </c>
      <c r="I157">
        <v>425</v>
      </c>
      <c r="J157" s="5">
        <v>44354</v>
      </c>
      <c r="L157">
        <v>11</v>
      </c>
    </row>
    <row r="158" spans="1:12" x14ac:dyDescent="0.2">
      <c r="A158" t="s">
        <v>112</v>
      </c>
      <c r="B158" t="s">
        <v>1539</v>
      </c>
      <c r="H158">
        <v>25.2</v>
      </c>
      <c r="I158">
        <v>435</v>
      </c>
      <c r="J158" s="5">
        <v>44354</v>
      </c>
      <c r="L158">
        <v>11</v>
      </c>
    </row>
    <row r="159" spans="1:12" x14ac:dyDescent="0.2">
      <c r="A159" t="s">
        <v>102</v>
      </c>
      <c r="B159" t="s">
        <v>1539</v>
      </c>
      <c r="H159">
        <v>26.8</v>
      </c>
      <c r="I159">
        <v>324</v>
      </c>
      <c r="J159" s="5">
        <v>44354</v>
      </c>
      <c r="L159">
        <v>11</v>
      </c>
    </row>
    <row r="160" spans="1:12" x14ac:dyDescent="0.2">
      <c r="A160" t="s">
        <v>102</v>
      </c>
      <c r="B160" t="s">
        <v>1539</v>
      </c>
      <c r="H160">
        <v>25.7</v>
      </c>
      <c r="I160">
        <v>332</v>
      </c>
      <c r="J160" s="5">
        <v>44354</v>
      </c>
      <c r="L160">
        <v>11</v>
      </c>
    </row>
    <row r="161" spans="1:12" x14ac:dyDescent="0.2">
      <c r="A161" t="s">
        <v>102</v>
      </c>
      <c r="B161" t="s">
        <v>1539</v>
      </c>
      <c r="H161">
        <v>25.7</v>
      </c>
      <c r="I161">
        <v>343</v>
      </c>
      <c r="J161" s="5">
        <v>44354</v>
      </c>
      <c r="L161">
        <v>11</v>
      </c>
    </row>
    <row r="162" spans="1:12" x14ac:dyDescent="0.2">
      <c r="A162" t="s">
        <v>60</v>
      </c>
      <c r="B162" t="s">
        <v>1539</v>
      </c>
      <c r="H162">
        <v>25.3</v>
      </c>
      <c r="I162">
        <v>603</v>
      </c>
      <c r="J162" s="5">
        <v>44355</v>
      </c>
      <c r="L162">
        <v>11</v>
      </c>
    </row>
    <row r="163" spans="1:12" x14ac:dyDescent="0.2">
      <c r="A163" t="s">
        <v>60</v>
      </c>
      <c r="B163" t="s">
        <v>1539</v>
      </c>
      <c r="H163">
        <v>25.2</v>
      </c>
      <c r="I163">
        <v>608</v>
      </c>
      <c r="J163" s="5">
        <v>44355</v>
      </c>
      <c r="L163">
        <v>11</v>
      </c>
    </row>
    <row r="164" spans="1:12" x14ac:dyDescent="0.2">
      <c r="A164" t="s">
        <v>60</v>
      </c>
      <c r="B164" t="s">
        <v>1539</v>
      </c>
      <c r="H164">
        <v>25.3</v>
      </c>
      <c r="I164">
        <v>604</v>
      </c>
      <c r="J164" s="5">
        <v>44355</v>
      </c>
      <c r="L164">
        <v>11</v>
      </c>
    </row>
    <row r="165" spans="1:12" x14ac:dyDescent="0.2">
      <c r="A165" t="s">
        <v>46</v>
      </c>
      <c r="B165" t="s">
        <v>1540</v>
      </c>
      <c r="H165">
        <v>26.7</v>
      </c>
      <c r="I165">
        <v>434</v>
      </c>
      <c r="J165" s="5">
        <v>44368</v>
      </c>
      <c r="L165">
        <v>12</v>
      </c>
    </row>
    <row r="166" spans="1:12" x14ac:dyDescent="0.2">
      <c r="A166" t="s">
        <v>46</v>
      </c>
      <c r="B166" t="s">
        <v>1540</v>
      </c>
      <c r="H166">
        <v>26.9</v>
      </c>
      <c r="I166">
        <v>459</v>
      </c>
      <c r="J166" s="5">
        <v>44368</v>
      </c>
      <c r="L166">
        <v>12</v>
      </c>
    </row>
    <row r="167" spans="1:12" x14ac:dyDescent="0.2">
      <c r="A167" t="s">
        <v>46</v>
      </c>
      <c r="B167" t="s">
        <v>1540</v>
      </c>
      <c r="H167">
        <v>26.6</v>
      </c>
      <c r="I167">
        <v>483</v>
      </c>
      <c r="J167" s="5">
        <v>44368</v>
      </c>
      <c r="L167">
        <v>12</v>
      </c>
    </row>
    <row r="168" spans="1:12" x14ac:dyDescent="0.2">
      <c r="A168" t="s">
        <v>46</v>
      </c>
      <c r="B168" t="s">
        <v>1539</v>
      </c>
      <c r="H168">
        <v>23.1</v>
      </c>
      <c r="I168">
        <v>415</v>
      </c>
      <c r="J168" s="5">
        <v>44368</v>
      </c>
      <c r="L168">
        <v>12</v>
      </c>
    </row>
    <row r="169" spans="1:12" x14ac:dyDescent="0.2">
      <c r="A169" t="s">
        <v>46</v>
      </c>
      <c r="B169" t="s">
        <v>1539</v>
      </c>
      <c r="H169">
        <v>23.1</v>
      </c>
      <c r="I169">
        <v>418</v>
      </c>
      <c r="J169" s="5">
        <v>44368</v>
      </c>
      <c r="L169">
        <v>12</v>
      </c>
    </row>
    <row r="170" spans="1:12" x14ac:dyDescent="0.2">
      <c r="A170" t="s">
        <v>46</v>
      </c>
      <c r="B170" t="s">
        <v>1539</v>
      </c>
      <c r="H170">
        <v>23.2</v>
      </c>
      <c r="I170">
        <v>420</v>
      </c>
      <c r="J170" s="5">
        <v>44368</v>
      </c>
      <c r="L170">
        <v>12</v>
      </c>
    </row>
    <row r="171" spans="1:12" x14ac:dyDescent="0.2">
      <c r="A171" t="s">
        <v>60</v>
      </c>
      <c r="B171" t="s">
        <v>1539</v>
      </c>
      <c r="H171">
        <v>28</v>
      </c>
      <c r="I171">
        <v>619</v>
      </c>
      <c r="J171" s="5">
        <v>44368</v>
      </c>
      <c r="L171">
        <v>12</v>
      </c>
    </row>
    <row r="172" spans="1:12" x14ac:dyDescent="0.2">
      <c r="A172" t="s">
        <v>60</v>
      </c>
      <c r="B172" t="s">
        <v>1539</v>
      </c>
      <c r="H172">
        <v>27.9</v>
      </c>
      <c r="I172">
        <v>618</v>
      </c>
      <c r="J172" s="5">
        <v>44368</v>
      </c>
      <c r="L172">
        <v>12</v>
      </c>
    </row>
    <row r="173" spans="1:12" x14ac:dyDescent="0.2">
      <c r="A173" t="s">
        <v>60</v>
      </c>
      <c r="B173" t="s">
        <v>1539</v>
      </c>
      <c r="H173">
        <v>27.8</v>
      </c>
      <c r="I173">
        <v>605</v>
      </c>
      <c r="J173" s="5">
        <v>44368</v>
      </c>
      <c r="L173">
        <v>12</v>
      </c>
    </row>
    <row r="174" spans="1:12" x14ac:dyDescent="0.2">
      <c r="A174" t="s">
        <v>112</v>
      </c>
      <c r="B174" t="s">
        <v>1539</v>
      </c>
      <c r="H174">
        <v>22.2</v>
      </c>
      <c r="I174">
        <v>420</v>
      </c>
      <c r="J174" s="5">
        <v>44369</v>
      </c>
      <c r="L174">
        <v>12</v>
      </c>
    </row>
    <row r="175" spans="1:12" x14ac:dyDescent="0.2">
      <c r="A175" t="s">
        <v>112</v>
      </c>
      <c r="B175" t="s">
        <v>1539</v>
      </c>
      <c r="H175">
        <v>21.9</v>
      </c>
      <c r="I175">
        <v>432</v>
      </c>
      <c r="J175" s="5">
        <v>44369</v>
      </c>
      <c r="L175">
        <v>12</v>
      </c>
    </row>
    <row r="176" spans="1:12" x14ac:dyDescent="0.2">
      <c r="A176" t="s">
        <v>112</v>
      </c>
      <c r="B176" t="s">
        <v>1539</v>
      </c>
      <c r="H176">
        <v>21.9</v>
      </c>
      <c r="I176">
        <v>436</v>
      </c>
      <c r="J176" s="5">
        <v>44369</v>
      </c>
      <c r="L176">
        <v>12</v>
      </c>
    </row>
    <row r="177" spans="1:12" x14ac:dyDescent="0.2">
      <c r="A177" t="s">
        <v>102</v>
      </c>
      <c r="B177" t="s">
        <v>1539</v>
      </c>
      <c r="H177">
        <v>23.2</v>
      </c>
      <c r="I177">
        <v>148</v>
      </c>
      <c r="J177" s="5">
        <v>44369</v>
      </c>
      <c r="L177">
        <v>12</v>
      </c>
    </row>
    <row r="178" spans="1:12" x14ac:dyDescent="0.2">
      <c r="A178" t="s">
        <v>102</v>
      </c>
      <c r="B178" t="s">
        <v>1539</v>
      </c>
      <c r="H178">
        <v>23.1</v>
      </c>
      <c r="I178">
        <v>148</v>
      </c>
      <c r="J178" s="5">
        <v>44369</v>
      </c>
      <c r="L178">
        <v>12</v>
      </c>
    </row>
    <row r="179" spans="1:12" x14ac:dyDescent="0.2">
      <c r="A179" t="s">
        <v>102</v>
      </c>
      <c r="B179" t="s">
        <v>1539</v>
      </c>
      <c r="H179">
        <v>22.8</v>
      </c>
      <c r="I179">
        <v>145</v>
      </c>
      <c r="J179" s="5">
        <v>44369</v>
      </c>
      <c r="L179">
        <v>12</v>
      </c>
    </row>
    <row r="180" spans="1:12" x14ac:dyDescent="0.2">
      <c r="A180" t="s">
        <v>46</v>
      </c>
      <c r="B180" t="s">
        <v>1540</v>
      </c>
      <c r="H180">
        <v>22.5</v>
      </c>
      <c r="I180">
        <v>226</v>
      </c>
      <c r="J180" s="5">
        <v>44383</v>
      </c>
      <c r="L180">
        <v>13</v>
      </c>
    </row>
    <row r="181" spans="1:12" x14ac:dyDescent="0.2">
      <c r="A181" t="s">
        <v>46</v>
      </c>
      <c r="B181" t="s">
        <v>1540</v>
      </c>
      <c r="H181">
        <v>22.5</v>
      </c>
      <c r="I181">
        <v>225</v>
      </c>
      <c r="J181" s="5">
        <v>44383</v>
      </c>
      <c r="L181">
        <v>13</v>
      </c>
    </row>
    <row r="182" spans="1:12" x14ac:dyDescent="0.2">
      <c r="A182" t="s">
        <v>46</v>
      </c>
      <c r="B182" t="s">
        <v>1540</v>
      </c>
      <c r="H182">
        <v>23.2</v>
      </c>
      <c r="I182">
        <v>228</v>
      </c>
      <c r="J182" s="5">
        <v>44383</v>
      </c>
      <c r="L182">
        <v>13</v>
      </c>
    </row>
    <row r="183" spans="1:12" x14ac:dyDescent="0.2">
      <c r="A183" t="s">
        <v>46</v>
      </c>
      <c r="B183" t="s">
        <v>1539</v>
      </c>
      <c r="H183">
        <v>23.3</v>
      </c>
      <c r="I183">
        <v>205</v>
      </c>
      <c r="J183" s="5">
        <v>44383</v>
      </c>
      <c r="L183">
        <v>13</v>
      </c>
    </row>
    <row r="184" spans="1:12" x14ac:dyDescent="0.2">
      <c r="A184" t="s">
        <v>46</v>
      </c>
      <c r="B184" t="s">
        <v>1539</v>
      </c>
      <c r="H184">
        <v>22.9</v>
      </c>
      <c r="I184">
        <v>210</v>
      </c>
      <c r="J184" s="5">
        <v>44383</v>
      </c>
      <c r="L184">
        <v>13</v>
      </c>
    </row>
    <row r="185" spans="1:12" x14ac:dyDescent="0.2">
      <c r="A185" t="s">
        <v>46</v>
      </c>
      <c r="B185" t="s">
        <v>1539</v>
      </c>
      <c r="H185">
        <v>22.8</v>
      </c>
      <c r="I185">
        <v>214</v>
      </c>
      <c r="J185" s="5">
        <v>44383</v>
      </c>
      <c r="L185">
        <v>13</v>
      </c>
    </row>
    <row r="186" spans="1:12" x14ac:dyDescent="0.2">
      <c r="A186" t="s">
        <v>60</v>
      </c>
      <c r="B186" t="s">
        <v>1539</v>
      </c>
      <c r="H186">
        <v>25.1</v>
      </c>
      <c r="I186">
        <v>300</v>
      </c>
      <c r="J186" s="5">
        <v>44384</v>
      </c>
      <c r="L186">
        <v>13</v>
      </c>
    </row>
    <row r="187" spans="1:12" x14ac:dyDescent="0.2">
      <c r="A187" t="s">
        <v>60</v>
      </c>
      <c r="B187" t="s">
        <v>1539</v>
      </c>
      <c r="H187">
        <v>25</v>
      </c>
      <c r="I187">
        <v>301</v>
      </c>
      <c r="J187" s="5">
        <v>44384</v>
      </c>
      <c r="L187">
        <v>13</v>
      </c>
    </row>
    <row r="188" spans="1:12" x14ac:dyDescent="0.2">
      <c r="A188" t="s">
        <v>60</v>
      </c>
      <c r="B188" t="s">
        <v>1539</v>
      </c>
      <c r="H188">
        <v>25.2</v>
      </c>
      <c r="I188">
        <v>299</v>
      </c>
      <c r="J188" s="5">
        <v>44384</v>
      </c>
      <c r="L188">
        <v>13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40751-332D-479D-9FD2-A2FF2D89FDB6}">
  <dimension ref="A1:M62"/>
  <sheetViews>
    <sheetView workbookViewId="0">
      <selection activeCell="H13" sqref="H13"/>
    </sheetView>
  </sheetViews>
  <sheetFormatPr baseColWidth="10" defaultColWidth="8.83203125" defaultRowHeight="16" x14ac:dyDescent="0.2"/>
  <cols>
    <col min="1" max="1" width="11.1640625" bestFit="1" customWidth="1"/>
    <col min="2" max="2" width="9.1640625" bestFit="1" customWidth="1"/>
    <col min="3" max="3" width="21" bestFit="1" customWidth="1"/>
    <col min="4" max="4" width="21.83203125" bestFit="1" customWidth="1"/>
    <col min="5" max="5" width="26" bestFit="1" customWidth="1"/>
    <col min="6" max="7" width="20.6640625" bestFit="1" customWidth="1"/>
  </cols>
  <sheetData>
    <row r="1" spans="1:13" x14ac:dyDescent="0.2">
      <c r="H1" t="s">
        <v>46</v>
      </c>
      <c r="J1" t="s">
        <v>112</v>
      </c>
      <c r="L1" t="s">
        <v>60</v>
      </c>
    </row>
    <row r="2" spans="1:13" x14ac:dyDescent="0.2">
      <c r="F2" t="s">
        <v>46</v>
      </c>
      <c r="G2">
        <v>1</v>
      </c>
      <c r="H2">
        <v>3.5</v>
      </c>
      <c r="I2">
        <v>589</v>
      </c>
      <c r="J2">
        <v>2.7</v>
      </c>
      <c r="K2">
        <v>425</v>
      </c>
      <c r="L2">
        <v>1.9</v>
      </c>
      <c r="M2">
        <v>716</v>
      </c>
    </row>
    <row r="3" spans="1:13" x14ac:dyDescent="0.2">
      <c r="A3" s="2" t="s">
        <v>586</v>
      </c>
      <c r="B3" s="2" t="s">
        <v>13</v>
      </c>
      <c r="C3" t="s">
        <v>1016</v>
      </c>
      <c r="D3" t="s">
        <v>598</v>
      </c>
      <c r="E3" t="s">
        <v>1553</v>
      </c>
      <c r="G3">
        <v>3</v>
      </c>
      <c r="H3">
        <v>0.19999999999999998</v>
      </c>
      <c r="I3">
        <v>686.66666666666663</v>
      </c>
      <c r="J3">
        <v>0.48333333333333339</v>
      </c>
      <c r="K3">
        <v>528.33333333333337</v>
      </c>
      <c r="L3">
        <v>0.2</v>
      </c>
      <c r="M3">
        <v>732.33333333333337</v>
      </c>
    </row>
    <row r="4" spans="1:13" x14ac:dyDescent="0.2">
      <c r="A4" t="s">
        <v>23</v>
      </c>
      <c r="B4">
        <v>1</v>
      </c>
      <c r="C4">
        <v>1.7</v>
      </c>
      <c r="D4">
        <v>450</v>
      </c>
      <c r="E4">
        <v>10.875</v>
      </c>
      <c r="G4">
        <v>5</v>
      </c>
      <c r="H4">
        <v>0.26666666666666666</v>
      </c>
      <c r="I4">
        <v>729.66666666666663</v>
      </c>
      <c r="J4">
        <v>0.26666666666666666</v>
      </c>
      <c r="K4">
        <v>544</v>
      </c>
      <c r="L4">
        <v>0.33333333333333331</v>
      </c>
      <c r="M4">
        <v>758.33333333333337</v>
      </c>
    </row>
    <row r="5" spans="1:13" x14ac:dyDescent="0.2">
      <c r="B5">
        <v>2</v>
      </c>
      <c r="E5">
        <v>18.066666666666666</v>
      </c>
      <c r="G5">
        <v>6</v>
      </c>
      <c r="H5">
        <v>1.0666666666666667</v>
      </c>
      <c r="I5">
        <v>217.35</v>
      </c>
      <c r="J5">
        <v>3.2666666666666671</v>
      </c>
      <c r="K5">
        <v>318.33333333333331</v>
      </c>
      <c r="L5">
        <v>1.2666666666666666</v>
      </c>
    </row>
    <row r="6" spans="1:13" x14ac:dyDescent="0.2">
      <c r="B6">
        <v>3</v>
      </c>
      <c r="C6">
        <v>0.3</v>
      </c>
      <c r="D6">
        <v>504.33333333333331</v>
      </c>
      <c r="E6">
        <v>29.3</v>
      </c>
      <c r="G6">
        <v>7</v>
      </c>
      <c r="H6">
        <v>7.1333333333333329</v>
      </c>
      <c r="I6">
        <v>593</v>
      </c>
      <c r="J6">
        <v>13.733333333333334</v>
      </c>
      <c r="K6">
        <v>539.83333333333337</v>
      </c>
    </row>
    <row r="7" spans="1:13" x14ac:dyDescent="0.2">
      <c r="B7">
        <v>6</v>
      </c>
      <c r="C7">
        <v>1.9333333333333336</v>
      </c>
      <c r="D7">
        <v>192.33333333333334</v>
      </c>
      <c r="G7">
        <v>8</v>
      </c>
      <c r="H7">
        <v>11.388888888888889</v>
      </c>
      <c r="I7">
        <v>604.22222222222217</v>
      </c>
      <c r="J7">
        <v>12.4</v>
      </c>
      <c r="K7">
        <v>526.66666666666663</v>
      </c>
      <c r="L7">
        <v>12.700000000000001</v>
      </c>
      <c r="M7">
        <v>667.66666666666663</v>
      </c>
    </row>
    <row r="8" spans="1:13" x14ac:dyDescent="0.2">
      <c r="B8">
        <v>7</v>
      </c>
      <c r="C8">
        <v>6.7333333333333343</v>
      </c>
      <c r="D8">
        <v>410</v>
      </c>
      <c r="G8">
        <v>9</v>
      </c>
      <c r="H8">
        <v>14.100000000000001</v>
      </c>
      <c r="I8">
        <v>595.83333333333337</v>
      </c>
      <c r="J8">
        <v>12.933333333333335</v>
      </c>
      <c r="K8">
        <v>499</v>
      </c>
      <c r="L8">
        <v>12.533333333333333</v>
      </c>
      <c r="M8">
        <v>668.66666666666663</v>
      </c>
    </row>
    <row r="9" spans="1:13" x14ac:dyDescent="0.2">
      <c r="B9">
        <v>8</v>
      </c>
      <c r="C9">
        <v>10.299999999999999</v>
      </c>
      <c r="D9">
        <v>421.33333333333331</v>
      </c>
      <c r="G9">
        <v>10</v>
      </c>
      <c r="H9">
        <v>20.8</v>
      </c>
      <c r="I9">
        <v>580.5</v>
      </c>
      <c r="J9">
        <v>19.099999999999998</v>
      </c>
      <c r="K9">
        <v>468</v>
      </c>
      <c r="L9">
        <v>20.966666666666669</v>
      </c>
      <c r="M9">
        <v>638.66666666666663</v>
      </c>
    </row>
    <row r="10" spans="1:13" x14ac:dyDescent="0.2">
      <c r="B10">
        <v>9</v>
      </c>
      <c r="C10">
        <v>13.700000000000001</v>
      </c>
      <c r="D10">
        <v>407.33333333333331</v>
      </c>
      <c r="G10">
        <v>11</v>
      </c>
      <c r="H10">
        <v>25.249999999999996</v>
      </c>
      <c r="I10">
        <v>435.33333333333331</v>
      </c>
      <c r="J10">
        <v>25.466666666666669</v>
      </c>
      <c r="K10">
        <v>427</v>
      </c>
      <c r="L10">
        <v>25.266666666666666</v>
      </c>
      <c r="M10">
        <v>605</v>
      </c>
    </row>
    <row r="11" spans="1:13" x14ac:dyDescent="0.2">
      <c r="B11">
        <v>10</v>
      </c>
      <c r="C11">
        <v>20.966666666666665</v>
      </c>
      <c r="D11">
        <v>365</v>
      </c>
      <c r="G11">
        <v>12</v>
      </c>
      <c r="H11">
        <v>24.933333333333326</v>
      </c>
      <c r="I11">
        <v>438.16666666666669</v>
      </c>
      <c r="J11">
        <v>22</v>
      </c>
      <c r="K11">
        <v>429.33333333333331</v>
      </c>
      <c r="L11">
        <v>27.900000000000002</v>
      </c>
      <c r="M11">
        <v>614</v>
      </c>
    </row>
    <row r="12" spans="1:13" x14ac:dyDescent="0.2">
      <c r="A12" t="s">
        <v>599</v>
      </c>
      <c r="C12">
        <v>8.6052631578947363</v>
      </c>
      <c r="D12">
        <v>386.89473684210526</v>
      </c>
      <c r="E12">
        <v>18.559999999999999</v>
      </c>
      <c r="G12">
        <v>13</v>
      </c>
      <c r="H12">
        <v>22.866666666666671</v>
      </c>
      <c r="I12">
        <v>218</v>
      </c>
      <c r="L12">
        <v>25.099999999999998</v>
      </c>
      <c r="M12">
        <v>300</v>
      </c>
    </row>
    <row r="13" spans="1:13" x14ac:dyDescent="0.2">
      <c r="A13" t="s">
        <v>46</v>
      </c>
      <c r="B13">
        <v>1</v>
      </c>
      <c r="C13">
        <v>3.5</v>
      </c>
      <c r="D13">
        <v>589</v>
      </c>
      <c r="E13">
        <v>8.9499999999999993</v>
      </c>
    </row>
    <row r="14" spans="1:13" x14ac:dyDescent="0.2">
      <c r="B14">
        <v>2</v>
      </c>
      <c r="E14">
        <v>18.533333333333331</v>
      </c>
    </row>
    <row r="15" spans="1:13" x14ac:dyDescent="0.2">
      <c r="B15">
        <v>3</v>
      </c>
      <c r="C15">
        <v>0.19999999999999998</v>
      </c>
      <c r="D15">
        <v>686.66666666666663</v>
      </c>
      <c r="E15">
        <v>22.166666666666668</v>
      </c>
    </row>
    <row r="16" spans="1:13" x14ac:dyDescent="0.2">
      <c r="B16">
        <v>5</v>
      </c>
      <c r="C16">
        <v>0.26666666666666666</v>
      </c>
      <c r="D16">
        <v>729.66666666666663</v>
      </c>
      <c r="E16">
        <v>33.4</v>
      </c>
    </row>
    <row r="17" spans="1:5" x14ac:dyDescent="0.2">
      <c r="B17">
        <v>6</v>
      </c>
      <c r="C17">
        <v>1.0666666666666667</v>
      </c>
      <c r="D17">
        <v>217.35</v>
      </c>
    </row>
    <row r="18" spans="1:5" x14ac:dyDescent="0.2">
      <c r="B18">
        <v>7</v>
      </c>
      <c r="C18">
        <v>7.1333333333333329</v>
      </c>
      <c r="D18">
        <v>593</v>
      </c>
    </row>
    <row r="19" spans="1:5" x14ac:dyDescent="0.2">
      <c r="B19">
        <v>8</v>
      </c>
      <c r="C19">
        <v>11.388888888888889</v>
      </c>
      <c r="D19">
        <v>604.22222222222217</v>
      </c>
    </row>
    <row r="20" spans="1:5" x14ac:dyDescent="0.2">
      <c r="B20">
        <v>9</v>
      </c>
      <c r="C20">
        <v>14.100000000000001</v>
      </c>
      <c r="D20">
        <v>595.83333333333337</v>
      </c>
    </row>
    <row r="21" spans="1:5" x14ac:dyDescent="0.2">
      <c r="B21">
        <v>10</v>
      </c>
      <c r="C21">
        <v>20.8</v>
      </c>
      <c r="D21">
        <v>580.5</v>
      </c>
    </row>
    <row r="22" spans="1:5" x14ac:dyDescent="0.2">
      <c r="B22">
        <v>11</v>
      </c>
      <c r="C22">
        <v>25.249999999999996</v>
      </c>
      <c r="D22">
        <v>435.33333333333331</v>
      </c>
    </row>
    <row r="23" spans="1:5" x14ac:dyDescent="0.2">
      <c r="B23">
        <v>12</v>
      </c>
      <c r="C23">
        <v>24.933333333333326</v>
      </c>
      <c r="D23">
        <v>438.16666666666669</v>
      </c>
    </row>
    <row r="24" spans="1:5" x14ac:dyDescent="0.2">
      <c r="B24">
        <v>13</v>
      </c>
      <c r="C24">
        <v>22.866666666666671</v>
      </c>
      <c r="D24">
        <v>218</v>
      </c>
    </row>
    <row r="25" spans="1:5" x14ac:dyDescent="0.2">
      <c r="A25" t="s">
        <v>600</v>
      </c>
      <c r="C25">
        <v>14.762</v>
      </c>
      <c r="D25">
        <v>503.06099999999998</v>
      </c>
      <c r="E25">
        <v>19.853846153846156</v>
      </c>
    </row>
    <row r="26" spans="1:5" x14ac:dyDescent="0.2">
      <c r="A26" t="s">
        <v>102</v>
      </c>
      <c r="B26">
        <v>1</v>
      </c>
      <c r="C26">
        <v>1.3</v>
      </c>
      <c r="D26">
        <v>400</v>
      </c>
      <c r="E26">
        <v>9.66</v>
      </c>
    </row>
    <row r="27" spans="1:5" x14ac:dyDescent="0.2">
      <c r="B27">
        <v>3</v>
      </c>
      <c r="C27">
        <v>0.8833333333333333</v>
      </c>
      <c r="D27">
        <v>456.5</v>
      </c>
      <c r="E27">
        <v>25.833333333333332</v>
      </c>
    </row>
    <row r="28" spans="1:5" x14ac:dyDescent="0.2">
      <c r="B28">
        <v>5</v>
      </c>
      <c r="C28">
        <v>1.0666666666666667</v>
      </c>
      <c r="D28">
        <v>459.66666666666669</v>
      </c>
      <c r="E28">
        <v>23.400000000000002</v>
      </c>
    </row>
    <row r="29" spans="1:5" x14ac:dyDescent="0.2">
      <c r="B29">
        <v>6</v>
      </c>
      <c r="C29">
        <v>2.0666666666666669</v>
      </c>
      <c r="D29">
        <v>311</v>
      </c>
    </row>
    <row r="30" spans="1:5" x14ac:dyDescent="0.2">
      <c r="B30">
        <v>7</v>
      </c>
      <c r="C30">
        <v>13.799999999999999</v>
      </c>
      <c r="D30">
        <v>446</v>
      </c>
    </row>
    <row r="31" spans="1:5" x14ac:dyDescent="0.2">
      <c r="B31">
        <v>8</v>
      </c>
      <c r="C31">
        <v>12.700000000000001</v>
      </c>
      <c r="D31">
        <v>450.33333333333331</v>
      </c>
    </row>
    <row r="32" spans="1:5" x14ac:dyDescent="0.2">
      <c r="B32">
        <v>9</v>
      </c>
      <c r="C32">
        <v>13.133333333333333</v>
      </c>
      <c r="D32">
        <v>449</v>
      </c>
    </row>
    <row r="33" spans="1:5" x14ac:dyDescent="0.2">
      <c r="B33">
        <v>10</v>
      </c>
      <c r="C33">
        <v>22.333333333333332</v>
      </c>
      <c r="D33">
        <v>433</v>
      </c>
    </row>
    <row r="34" spans="1:5" x14ac:dyDescent="0.2">
      <c r="B34">
        <v>11</v>
      </c>
      <c r="C34">
        <v>26.066666666666666</v>
      </c>
      <c r="D34">
        <v>333</v>
      </c>
    </row>
    <row r="35" spans="1:5" x14ac:dyDescent="0.2">
      <c r="B35">
        <v>12</v>
      </c>
      <c r="C35">
        <v>23.033333333333331</v>
      </c>
      <c r="D35">
        <v>147</v>
      </c>
    </row>
    <row r="36" spans="1:5" x14ac:dyDescent="0.2">
      <c r="A36" t="s">
        <v>601</v>
      </c>
      <c r="C36">
        <v>11.488235294117645</v>
      </c>
      <c r="D36">
        <v>398.94117647058823</v>
      </c>
      <c r="E36">
        <v>17.81818181818182</v>
      </c>
    </row>
    <row r="37" spans="1:5" x14ac:dyDescent="0.2">
      <c r="A37" t="s">
        <v>112</v>
      </c>
      <c r="B37">
        <v>1</v>
      </c>
      <c r="C37">
        <v>2.7</v>
      </c>
      <c r="D37">
        <v>425</v>
      </c>
      <c r="E37">
        <v>9.0750000000000011</v>
      </c>
    </row>
    <row r="38" spans="1:5" x14ac:dyDescent="0.2">
      <c r="B38">
        <v>3</v>
      </c>
      <c r="C38">
        <v>0.48333333333333339</v>
      </c>
      <c r="D38">
        <v>528.33333333333337</v>
      </c>
      <c r="E38">
        <v>26.666666666666668</v>
      </c>
    </row>
    <row r="39" spans="1:5" x14ac:dyDescent="0.2">
      <c r="B39">
        <v>5</v>
      </c>
      <c r="C39">
        <v>0.26666666666666666</v>
      </c>
      <c r="D39">
        <v>544</v>
      </c>
      <c r="E39">
        <v>27.833333333333332</v>
      </c>
    </row>
    <row r="40" spans="1:5" x14ac:dyDescent="0.2">
      <c r="B40">
        <v>6</v>
      </c>
      <c r="C40">
        <v>3.2666666666666671</v>
      </c>
      <c r="D40">
        <v>318.33333333333331</v>
      </c>
    </row>
    <row r="41" spans="1:5" x14ac:dyDescent="0.2">
      <c r="B41">
        <v>7</v>
      </c>
      <c r="C41">
        <v>13.733333333333334</v>
      </c>
      <c r="D41">
        <v>539.83333333333337</v>
      </c>
    </row>
    <row r="42" spans="1:5" x14ac:dyDescent="0.2">
      <c r="B42">
        <v>8</v>
      </c>
      <c r="C42">
        <v>12.4</v>
      </c>
      <c r="D42">
        <v>526.66666666666663</v>
      </c>
    </row>
    <row r="43" spans="1:5" x14ac:dyDescent="0.2">
      <c r="B43">
        <v>9</v>
      </c>
      <c r="C43">
        <v>12.933333333333335</v>
      </c>
      <c r="D43">
        <v>499</v>
      </c>
    </row>
    <row r="44" spans="1:5" x14ac:dyDescent="0.2">
      <c r="B44">
        <v>10</v>
      </c>
      <c r="C44">
        <v>19.099999999999998</v>
      </c>
      <c r="D44">
        <v>468</v>
      </c>
    </row>
    <row r="45" spans="1:5" x14ac:dyDescent="0.2">
      <c r="B45">
        <v>11</v>
      </c>
      <c r="C45">
        <v>25.466666666666669</v>
      </c>
      <c r="D45">
        <v>427</v>
      </c>
    </row>
    <row r="46" spans="1:5" x14ac:dyDescent="0.2">
      <c r="B46">
        <v>12</v>
      </c>
      <c r="C46">
        <v>22</v>
      </c>
      <c r="D46">
        <v>429.33333333333331</v>
      </c>
    </row>
    <row r="47" spans="1:5" x14ac:dyDescent="0.2">
      <c r="A47" t="s">
        <v>602</v>
      </c>
      <c r="C47">
        <v>10.77142857142857</v>
      </c>
      <c r="D47">
        <v>482.74285714285713</v>
      </c>
      <c r="E47">
        <v>19.98</v>
      </c>
    </row>
    <row r="48" spans="1:5" x14ac:dyDescent="0.2">
      <c r="A48" t="s">
        <v>60</v>
      </c>
      <c r="B48">
        <v>1</v>
      </c>
      <c r="C48">
        <v>1.9</v>
      </c>
      <c r="D48">
        <v>716</v>
      </c>
      <c r="E48">
        <v>14.5</v>
      </c>
    </row>
    <row r="49" spans="1:5" x14ac:dyDescent="0.2">
      <c r="B49">
        <v>2</v>
      </c>
      <c r="E49">
        <v>19.533333333333335</v>
      </c>
    </row>
    <row r="50" spans="1:5" x14ac:dyDescent="0.2">
      <c r="B50">
        <v>3</v>
      </c>
      <c r="C50">
        <v>0.2</v>
      </c>
      <c r="D50">
        <v>732.33333333333337</v>
      </c>
      <c r="E50">
        <v>26.066666666666666</v>
      </c>
    </row>
    <row r="51" spans="1:5" x14ac:dyDescent="0.2">
      <c r="B51">
        <v>5</v>
      </c>
      <c r="C51">
        <v>0.33333333333333331</v>
      </c>
      <c r="D51">
        <v>758.33333333333337</v>
      </c>
      <c r="E51">
        <v>30.2</v>
      </c>
    </row>
    <row r="52" spans="1:5" x14ac:dyDescent="0.2">
      <c r="B52">
        <v>6</v>
      </c>
      <c r="C52">
        <v>1.2666666666666666</v>
      </c>
      <c r="D52">
        <v>379.66666666666669</v>
      </c>
    </row>
    <row r="53" spans="1:5" x14ac:dyDescent="0.2">
      <c r="B53">
        <v>8</v>
      </c>
      <c r="C53">
        <v>12.700000000000001</v>
      </c>
      <c r="D53">
        <v>667.66666666666663</v>
      </c>
    </row>
    <row r="54" spans="1:5" x14ac:dyDescent="0.2">
      <c r="B54">
        <v>9</v>
      </c>
      <c r="C54">
        <v>12.533333333333333</v>
      </c>
      <c r="D54">
        <v>668.66666666666663</v>
      </c>
    </row>
    <row r="55" spans="1:5" x14ac:dyDescent="0.2">
      <c r="B55">
        <v>10</v>
      </c>
      <c r="C55">
        <v>20.966666666666669</v>
      </c>
      <c r="D55">
        <v>638.66666666666663</v>
      </c>
    </row>
    <row r="56" spans="1:5" x14ac:dyDescent="0.2">
      <c r="B56">
        <v>11</v>
      </c>
      <c r="C56">
        <v>25.266666666666666</v>
      </c>
      <c r="D56">
        <v>605</v>
      </c>
    </row>
    <row r="57" spans="1:5" x14ac:dyDescent="0.2">
      <c r="B57">
        <v>12</v>
      </c>
      <c r="C57">
        <v>27.900000000000002</v>
      </c>
      <c r="D57">
        <v>614</v>
      </c>
    </row>
    <row r="58" spans="1:5" x14ac:dyDescent="0.2">
      <c r="B58">
        <v>13</v>
      </c>
      <c r="C58">
        <v>25.099999999999998</v>
      </c>
      <c r="D58">
        <v>300</v>
      </c>
    </row>
    <row r="59" spans="1:5" x14ac:dyDescent="0.2">
      <c r="A59" t="s">
        <v>603</v>
      </c>
      <c r="C59">
        <v>14.092592592592595</v>
      </c>
      <c r="D59">
        <v>600.32142857142856</v>
      </c>
      <c r="E59">
        <v>24.189999999999998</v>
      </c>
    </row>
    <row r="60" spans="1:5" x14ac:dyDescent="0.2">
      <c r="A60" t="s">
        <v>584</v>
      </c>
      <c r="B60" t="s">
        <v>584</v>
      </c>
    </row>
    <row r="61" spans="1:5" x14ac:dyDescent="0.2">
      <c r="A61" t="s">
        <v>604</v>
      </c>
    </row>
    <row r="62" spans="1:5" x14ac:dyDescent="0.2">
      <c r="A62" t="s">
        <v>585</v>
      </c>
      <c r="C62">
        <v>12.422424242424247</v>
      </c>
      <c r="D62">
        <v>480.56054216867471</v>
      </c>
      <c r="E62">
        <v>20.025925925925922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2EFE1-09E7-484D-915E-C5D5441A0B39}">
  <dimension ref="A1:C64"/>
  <sheetViews>
    <sheetView workbookViewId="0">
      <selection activeCell="B16" sqref="B16"/>
    </sheetView>
  </sheetViews>
  <sheetFormatPr baseColWidth="10" defaultColWidth="8.83203125" defaultRowHeight="16" x14ac:dyDescent="0.2"/>
  <cols>
    <col min="1" max="1" width="12" style="9" customWidth="1"/>
    <col min="2" max="2" width="16.6640625" customWidth="1"/>
  </cols>
  <sheetData>
    <row r="1" spans="1:3" x14ac:dyDescent="0.2">
      <c r="A1" s="9" t="s">
        <v>605</v>
      </c>
      <c r="B1" t="s">
        <v>606</v>
      </c>
    </row>
    <row r="3" spans="1:3" x14ac:dyDescent="0.2">
      <c r="A3" s="9" t="s">
        <v>2</v>
      </c>
    </row>
    <row r="4" spans="1:3" x14ac:dyDescent="0.2">
      <c r="B4" t="s">
        <v>557</v>
      </c>
      <c r="C4" t="s">
        <v>1021</v>
      </c>
    </row>
    <row r="5" spans="1:3" x14ac:dyDescent="0.2">
      <c r="B5" t="s">
        <v>771</v>
      </c>
      <c r="C5" t="s">
        <v>1022</v>
      </c>
    </row>
    <row r="6" spans="1:3" x14ac:dyDescent="0.2">
      <c r="B6" t="s">
        <v>607</v>
      </c>
      <c r="C6" t="s">
        <v>608</v>
      </c>
    </row>
    <row r="7" spans="1:3" x14ac:dyDescent="0.2">
      <c r="A7" s="9" t="s">
        <v>3</v>
      </c>
    </row>
    <row r="8" spans="1:3" x14ac:dyDescent="0.2">
      <c r="B8" t="s">
        <v>609</v>
      </c>
    </row>
    <row r="9" spans="1:3" x14ac:dyDescent="0.2">
      <c r="A9" s="9" t="s">
        <v>4</v>
      </c>
    </row>
    <row r="10" spans="1:3" x14ac:dyDescent="0.2">
      <c r="B10" t="s">
        <v>610</v>
      </c>
    </row>
    <row r="11" spans="1:3" x14ac:dyDescent="0.2">
      <c r="A11" s="9" t="s">
        <v>5</v>
      </c>
    </row>
    <row r="12" spans="1:3" x14ac:dyDescent="0.2">
      <c r="B12" t="s">
        <v>611</v>
      </c>
    </row>
    <row r="13" spans="1:3" x14ac:dyDescent="0.2">
      <c r="A13" s="9" t="s">
        <v>8</v>
      </c>
    </row>
    <row r="14" spans="1:3" x14ac:dyDescent="0.2">
      <c r="B14" t="s">
        <v>612</v>
      </c>
      <c r="C14" t="s">
        <v>613</v>
      </c>
    </row>
    <row r="15" spans="1:3" x14ac:dyDescent="0.2">
      <c r="B15" t="s">
        <v>614</v>
      </c>
      <c r="C15" t="s">
        <v>615</v>
      </c>
    </row>
    <row r="16" spans="1:3" x14ac:dyDescent="0.2">
      <c r="B16">
        <v>10</v>
      </c>
      <c r="C16" t="s">
        <v>616</v>
      </c>
    </row>
    <row r="17" spans="1:3" x14ac:dyDescent="0.2">
      <c r="B17">
        <v>20</v>
      </c>
      <c r="C17" t="s">
        <v>1554</v>
      </c>
    </row>
    <row r="18" spans="1:3" x14ac:dyDescent="0.2">
      <c r="B18">
        <v>22</v>
      </c>
      <c r="C18" t="s">
        <v>617</v>
      </c>
    </row>
    <row r="19" spans="1:3" x14ac:dyDescent="0.2">
      <c r="B19">
        <v>23</v>
      </c>
      <c r="C19" t="s">
        <v>1018</v>
      </c>
    </row>
    <row r="20" spans="1:3" x14ac:dyDescent="0.2">
      <c r="B20">
        <v>30</v>
      </c>
      <c r="C20" t="s">
        <v>1019</v>
      </c>
    </row>
    <row r="21" spans="1:3" x14ac:dyDescent="0.2">
      <c r="B21">
        <v>40</v>
      </c>
      <c r="C21" t="s">
        <v>1020</v>
      </c>
    </row>
    <row r="22" spans="1:3" x14ac:dyDescent="0.2">
      <c r="A22" s="9" t="s">
        <v>1</v>
      </c>
    </row>
    <row r="23" spans="1:3" x14ac:dyDescent="0.2">
      <c r="B23" t="s">
        <v>46</v>
      </c>
      <c r="C23" t="s">
        <v>618</v>
      </c>
    </row>
    <row r="24" spans="1:3" x14ac:dyDescent="0.2">
      <c r="B24" t="s">
        <v>1015</v>
      </c>
      <c r="C24" t="s">
        <v>1017</v>
      </c>
    </row>
    <row r="25" spans="1:3" x14ac:dyDescent="0.2">
      <c r="B25" t="s">
        <v>23</v>
      </c>
      <c r="C25" t="s">
        <v>619</v>
      </c>
    </row>
    <row r="26" spans="1:3" x14ac:dyDescent="0.2">
      <c r="B26" t="s">
        <v>112</v>
      </c>
      <c r="C26" t="s">
        <v>620</v>
      </c>
    </row>
    <row r="27" spans="1:3" x14ac:dyDescent="0.2">
      <c r="B27" t="s">
        <v>102</v>
      </c>
      <c r="C27" t="s">
        <v>621</v>
      </c>
    </row>
    <row r="28" spans="1:3" x14ac:dyDescent="0.2">
      <c r="B28" t="s">
        <v>60</v>
      </c>
      <c r="C28" t="s">
        <v>622</v>
      </c>
    </row>
    <row r="29" spans="1:3" x14ac:dyDescent="0.2">
      <c r="A29" s="9" t="s">
        <v>9</v>
      </c>
    </row>
    <row r="30" spans="1:3" x14ac:dyDescent="0.2">
      <c r="B30" t="s">
        <v>623</v>
      </c>
    </row>
    <row r="31" spans="1:3" x14ac:dyDescent="0.2">
      <c r="A31" s="9" t="s">
        <v>10</v>
      </c>
    </row>
    <row r="32" spans="1:3" x14ac:dyDescent="0.2">
      <c r="B32" t="s">
        <v>624</v>
      </c>
    </row>
    <row r="33" spans="1:3" x14ac:dyDescent="0.2">
      <c r="A33" s="9" t="s">
        <v>88</v>
      </c>
    </row>
    <row r="34" spans="1:3" x14ac:dyDescent="0.2">
      <c r="B34" t="s">
        <v>625</v>
      </c>
      <c r="C34" t="s">
        <v>626</v>
      </c>
    </row>
    <row r="35" spans="1:3" x14ac:dyDescent="0.2">
      <c r="B35" t="s">
        <v>627</v>
      </c>
      <c r="C35" t="s">
        <v>628</v>
      </c>
    </row>
    <row r="36" spans="1:3" x14ac:dyDescent="0.2">
      <c r="B36" t="s">
        <v>629</v>
      </c>
      <c r="C36" t="s">
        <v>630</v>
      </c>
    </row>
    <row r="37" spans="1:3" x14ac:dyDescent="0.2">
      <c r="B37" t="s">
        <v>631</v>
      </c>
      <c r="C37" t="s">
        <v>632</v>
      </c>
    </row>
    <row r="38" spans="1:3" x14ac:dyDescent="0.2">
      <c r="A38" s="9" t="s">
        <v>633</v>
      </c>
    </row>
    <row r="39" spans="1:3" x14ac:dyDescent="0.2">
      <c r="B39" t="s">
        <v>634</v>
      </c>
      <c r="C39" t="s">
        <v>635</v>
      </c>
    </row>
    <row r="40" spans="1:3" x14ac:dyDescent="0.2">
      <c r="B40" t="s">
        <v>636</v>
      </c>
      <c r="C40" t="s">
        <v>637</v>
      </c>
    </row>
    <row r="41" spans="1:3" x14ac:dyDescent="0.2">
      <c r="B41" t="s">
        <v>638</v>
      </c>
      <c r="C41" t="s">
        <v>639</v>
      </c>
    </row>
    <row r="42" spans="1:3" x14ac:dyDescent="0.2">
      <c r="B42" t="s">
        <v>640</v>
      </c>
      <c r="C42" t="s">
        <v>641</v>
      </c>
    </row>
    <row r="43" spans="1:3" x14ac:dyDescent="0.2">
      <c r="B43" t="s">
        <v>642</v>
      </c>
      <c r="C43" t="s">
        <v>643</v>
      </c>
    </row>
    <row r="44" spans="1:3" x14ac:dyDescent="0.2">
      <c r="B44" t="s">
        <v>29</v>
      </c>
      <c r="C44" t="s">
        <v>644</v>
      </c>
    </row>
    <row r="45" spans="1:3" x14ac:dyDescent="0.2">
      <c r="B45" t="s">
        <v>65</v>
      </c>
      <c r="C45" t="s">
        <v>1462</v>
      </c>
    </row>
    <row r="46" spans="1:3" x14ac:dyDescent="0.2">
      <c r="B46" t="s">
        <v>1030</v>
      </c>
      <c r="C46" t="s">
        <v>1025</v>
      </c>
    </row>
    <row r="47" spans="1:3" x14ac:dyDescent="0.2">
      <c r="B47" t="s">
        <v>1023</v>
      </c>
      <c r="C47" t="s">
        <v>1024</v>
      </c>
    </row>
    <row r="48" spans="1:3" x14ac:dyDescent="0.2">
      <c r="B48" t="s">
        <v>1026</v>
      </c>
      <c r="C48" t="s">
        <v>1027</v>
      </c>
    </row>
    <row r="49" spans="1:3" x14ac:dyDescent="0.2">
      <c r="B49" t="s">
        <v>1028</v>
      </c>
      <c r="C49" t="s">
        <v>1029</v>
      </c>
    </row>
    <row r="50" spans="1:3" x14ac:dyDescent="0.2">
      <c r="A50" s="9" t="s">
        <v>12</v>
      </c>
    </row>
    <row r="51" spans="1:3" x14ac:dyDescent="0.2">
      <c r="B51" t="s">
        <v>645</v>
      </c>
    </row>
    <row r="52" spans="1:3" x14ac:dyDescent="0.2">
      <c r="A52" s="9" t="s">
        <v>15</v>
      </c>
    </row>
    <row r="53" spans="1:3" x14ac:dyDescent="0.2">
      <c r="B53" t="s">
        <v>646</v>
      </c>
      <c r="C53" t="s">
        <v>647</v>
      </c>
    </row>
    <row r="54" spans="1:3" x14ac:dyDescent="0.2">
      <c r="A54" s="9" t="s">
        <v>16</v>
      </c>
    </row>
    <row r="55" spans="1:3" x14ac:dyDescent="0.2">
      <c r="B55" t="s">
        <v>648</v>
      </c>
      <c r="C55" t="s">
        <v>649</v>
      </c>
    </row>
    <row r="56" spans="1:3" x14ac:dyDescent="0.2">
      <c r="A56" s="9" t="s">
        <v>18</v>
      </c>
    </row>
    <row r="57" spans="1:3" x14ac:dyDescent="0.2">
      <c r="B57" t="s">
        <v>650</v>
      </c>
      <c r="C57" t="s">
        <v>651</v>
      </c>
    </row>
    <row r="58" spans="1:3" x14ac:dyDescent="0.2">
      <c r="A58" s="9" t="s">
        <v>19</v>
      </c>
    </row>
    <row r="59" spans="1:3" x14ac:dyDescent="0.2">
      <c r="B59" t="s">
        <v>652</v>
      </c>
      <c r="C59" t="s">
        <v>653</v>
      </c>
    </row>
    <row r="60" spans="1:3" x14ac:dyDescent="0.2">
      <c r="A60" s="9" t="s">
        <v>769</v>
      </c>
    </row>
    <row r="61" spans="1:3" x14ac:dyDescent="0.2">
      <c r="B61" t="s">
        <v>1468</v>
      </c>
    </row>
    <row r="62" spans="1:3" x14ac:dyDescent="0.2">
      <c r="A62" s="9" t="s">
        <v>1529</v>
      </c>
    </row>
    <row r="63" spans="1:3" x14ac:dyDescent="0.2">
      <c r="B63" t="s">
        <v>1530</v>
      </c>
    </row>
    <row r="64" spans="1:3" x14ac:dyDescent="0.2">
      <c r="A64" s="9" t="s">
        <v>1531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2CC52-EC74-A743-A45C-A4B856CE5689}">
  <dimension ref="A1:E5"/>
  <sheetViews>
    <sheetView workbookViewId="0">
      <selection activeCell="C6" sqref="C6"/>
    </sheetView>
  </sheetViews>
  <sheetFormatPr baseColWidth="10" defaultColWidth="11" defaultRowHeight="16" x14ac:dyDescent="0.2"/>
  <sheetData>
    <row r="1" spans="1:5" x14ac:dyDescent="0.2">
      <c r="A1" t="s">
        <v>654</v>
      </c>
    </row>
    <row r="2" spans="1:5" x14ac:dyDescent="0.2">
      <c r="A2" t="s">
        <v>586</v>
      </c>
      <c r="B2" t="s">
        <v>12</v>
      </c>
      <c r="C2" t="s">
        <v>655</v>
      </c>
      <c r="D2" t="s">
        <v>656</v>
      </c>
      <c r="E2" t="s">
        <v>657</v>
      </c>
    </row>
    <row r="3" spans="1:5" x14ac:dyDescent="0.2">
      <c r="A3" t="s">
        <v>658</v>
      </c>
      <c r="B3" t="s">
        <v>103</v>
      </c>
      <c r="C3">
        <v>4</v>
      </c>
      <c r="D3">
        <v>1</v>
      </c>
      <c r="E3">
        <v>0</v>
      </c>
    </row>
    <row r="4" spans="1:5" x14ac:dyDescent="0.2">
      <c r="A4" t="s">
        <v>659</v>
      </c>
      <c r="B4" t="s">
        <v>85</v>
      </c>
      <c r="C4">
        <v>0</v>
      </c>
      <c r="D4">
        <v>0</v>
      </c>
      <c r="E4">
        <v>29</v>
      </c>
    </row>
    <row r="5" spans="1:5" x14ac:dyDescent="0.2">
      <c r="A5" t="s">
        <v>660</v>
      </c>
      <c r="B5" t="s">
        <v>26</v>
      </c>
      <c r="C5">
        <v>3</v>
      </c>
      <c r="D5">
        <v>0</v>
      </c>
      <c r="E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FishData</vt:lpstr>
      <vt:lpstr>LabSamples</vt:lpstr>
      <vt:lpstr>FreezerSamples</vt:lpstr>
      <vt:lpstr>FishSummary</vt:lpstr>
      <vt:lpstr>PopulationSummary</vt:lpstr>
      <vt:lpstr>EnvironmentalData</vt:lpstr>
      <vt:lpstr>EnvSummary</vt:lpstr>
      <vt:lpstr>Legend</vt:lpstr>
      <vt:lpstr>FishCounts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Timothy Fernandes</dc:creator>
  <cp:keywords/>
  <dc:description/>
  <cp:lastModifiedBy>Reilly O'Connor</cp:lastModifiedBy>
  <cp:revision/>
  <dcterms:created xsi:type="dcterms:W3CDTF">2020-12-20T17:32:48Z</dcterms:created>
  <dcterms:modified xsi:type="dcterms:W3CDTF">2023-10-02T13:00:47Z</dcterms:modified>
  <cp:category/>
  <cp:contentStatus/>
</cp:coreProperties>
</file>