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2019\2019-01-15-Vega-Systems\KfW-2019\Endphase\"/>
    </mc:Choice>
  </mc:AlternateContent>
  <xr:revisionPtr revIDLastSave="0" documentId="13_ncr:1_{31759EAC-CE5B-464F-9B61-457318752DB1}" xr6:coauthVersionLast="40" xr6:coauthVersionMax="40" xr10:uidLastSave="{00000000-0000-0000-0000-000000000000}"/>
  <bookViews>
    <workbookView xWindow="16245" yWindow="420" windowWidth="17805" windowHeight="7980" xr2:uid="{9AAC4306-D6B4-4E36-8E52-E07F6BB5B98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" i="1" l="1"/>
  <c r="AC10" i="1"/>
  <c r="Z5" i="1"/>
  <c r="Z8" i="1"/>
  <c r="Z9" i="1"/>
  <c r="Z10" i="1"/>
  <c r="Z11" i="1"/>
  <c r="Z12" i="1"/>
  <c r="Z13" i="1"/>
  <c r="Z14" i="1"/>
  <c r="X5" i="1"/>
  <c r="X6" i="1"/>
  <c r="X7" i="1"/>
  <c r="X8" i="1"/>
  <c r="X9" i="1"/>
  <c r="X10" i="1"/>
  <c r="X11" i="1"/>
  <c r="X12" i="1"/>
  <c r="X13" i="1"/>
  <c r="X14" i="1"/>
  <c r="X4" i="1"/>
  <c r="U5" i="1"/>
  <c r="U6" i="1"/>
  <c r="U7" i="1"/>
  <c r="U8" i="1"/>
  <c r="U9" i="1"/>
  <c r="U10" i="1"/>
  <c r="U11" i="1"/>
  <c r="U12" i="1"/>
  <c r="U13" i="1"/>
  <c r="U14" i="1"/>
  <c r="R5" i="1"/>
  <c r="R6" i="1"/>
  <c r="R7" i="1"/>
  <c r="R8" i="1"/>
  <c r="R9" i="1"/>
  <c r="R10" i="1"/>
  <c r="R11" i="1"/>
  <c r="R12" i="1"/>
  <c r="R13" i="1"/>
  <c r="R14" i="1"/>
  <c r="R4" i="1"/>
  <c r="U4" i="1"/>
  <c r="L19" i="1"/>
  <c r="AG10" i="1" l="1"/>
  <c r="E24" i="2"/>
  <c r="E11" i="2"/>
  <c r="E10" i="2"/>
  <c r="E9" i="2"/>
  <c r="O5" i="1"/>
  <c r="O6" i="1"/>
  <c r="O7" i="1"/>
  <c r="O8" i="1"/>
  <c r="O9" i="1"/>
  <c r="O10" i="1"/>
  <c r="O11" i="1"/>
  <c r="O12" i="1"/>
  <c r="O13" i="1"/>
  <c r="O14" i="1"/>
  <c r="O4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19" i="1" s="1"/>
  <c r="M9" i="1"/>
  <c r="M10" i="1"/>
  <c r="M11" i="1"/>
  <c r="M12" i="1"/>
  <c r="M13" i="1"/>
  <c r="M14" i="1"/>
  <c r="M4" i="1"/>
  <c r="E19" i="1"/>
  <c r="F19" i="1"/>
  <c r="D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N19" i="1" l="1"/>
  <c r="E12" i="2" s="1"/>
  <c r="O19" i="1"/>
  <c r="E13" i="2" s="1"/>
  <c r="G19" i="1"/>
  <c r="E8" i="2" s="1"/>
  <c r="E27" i="2" l="1"/>
  <c r="E18" i="2"/>
  <c r="E21" i="2" s="1"/>
  <c r="E25" i="2" l="1"/>
  <c r="E28" i="2" s="1"/>
  <c r="E22" i="2"/>
</calcChain>
</file>

<file path=xl/sharedStrings.xml><?xml version="1.0" encoding="utf-8"?>
<sst xmlns="http://schemas.openxmlformats.org/spreadsheetml/2006/main" count="95" uniqueCount="64">
  <si>
    <t>Stulz direkte freie Kühlung mit HE EC Lüftern</t>
  </si>
  <si>
    <t>Stulz HE Innenkühler mit HE EC Lüftern</t>
  </si>
  <si>
    <t>Stulz HE Kaltwassersatz ESEER 4,32</t>
  </si>
  <si>
    <t>Plattenwärmetauscher für Rückgewinnung inkl. Ventile</t>
  </si>
  <si>
    <t>Luftleitungsystem für Beheizung aller Räume inkl. Montage</t>
  </si>
  <si>
    <t>Klima Doppelboden zur Trennung Warm- / Kaltbereiche inkl. Abdichtung und Einbaurahmen</t>
  </si>
  <si>
    <t>Vertiv HE USV Notstromversorgung 97-99% Effizienz</t>
  </si>
  <si>
    <t>Anlagen Steuerung und Messung Temperatur sowie Effizienz</t>
  </si>
  <si>
    <t>Hocheffizienzpumpen IE5</t>
  </si>
  <si>
    <t>Hydraulik mit geringen Druckverlusten</t>
  </si>
  <si>
    <t>Energieeinsparkonzept</t>
  </si>
  <si>
    <t>Montage, Inbetriebnahme, Einweisung</t>
  </si>
  <si>
    <t>Elektroinstallation</t>
  </si>
  <si>
    <t>förderfähige Kosten in €</t>
  </si>
  <si>
    <t>Investestitions-kosten €</t>
  </si>
  <si>
    <t>Referenz-kosten in €</t>
  </si>
  <si>
    <t>Neben-kosten in €</t>
  </si>
  <si>
    <t>Summen in Euro</t>
  </si>
  <si>
    <t>Energieträger</t>
  </si>
  <si>
    <t>Energiepreis in €/MWh</t>
  </si>
  <si>
    <t>CO2-Faktor in t CO2/MWh</t>
  </si>
  <si>
    <t>Endenergieverbrauch in MWh/a</t>
  </si>
  <si>
    <t>im IST-Zustand</t>
  </si>
  <si>
    <t>im Soll-Zustand</t>
  </si>
  <si>
    <t>Einsparung</t>
  </si>
  <si>
    <t>Einsparung CO2 in t/a</t>
  </si>
  <si>
    <t>Systemnutzen (Ist/Soll) bzw. energiebezogene Kennzahlen</t>
  </si>
  <si>
    <t>Strom</t>
  </si>
  <si>
    <t>6. Wirtschaftlichkeitsbetrachtung &amp; energiebezogene Amortisationszeit</t>
  </si>
  <si>
    <t>Zusammenfassung der Kosten und Einsparungen</t>
  </si>
  <si>
    <t>Gesamtkosten nach Modul 4</t>
  </si>
  <si>
    <t>Investitionsmehrkosten</t>
  </si>
  <si>
    <t>Investitionsnebenkosten</t>
  </si>
  <si>
    <t>Einsparkonzept</t>
  </si>
  <si>
    <t>CO2-Einsparung pro Jahr</t>
  </si>
  <si>
    <t>Energiekosteneinsparung pro Jahr</t>
  </si>
  <si>
    <t>Förderspezifische Kenndaten</t>
  </si>
  <si>
    <t>Förderfähige Kosten nach Modul 4</t>
  </si>
  <si>
    <t>maximaler Zuschuss</t>
  </si>
  <si>
    <t>maximaler Zuschuss in EUR</t>
  </si>
  <si>
    <t>Fördereffizienz</t>
  </si>
  <si>
    <t>tatsächlicher Zuschuss</t>
  </si>
  <si>
    <t>tatsächlicher Zuschuss in EUR</t>
  </si>
  <si>
    <t>stat. Amortisationszeit ohne Förderung</t>
  </si>
  <si>
    <t>stat. Amortisationszeit mit Förderung</t>
  </si>
  <si>
    <t>€</t>
  </si>
  <si>
    <r>
      <t>t CO</t>
    </r>
    <r>
      <rPr>
        <vertAlign val="subscript"/>
        <sz val="11"/>
        <color theme="1"/>
        <rFont val="Calibri"/>
        <family val="2"/>
        <scheme val="minor"/>
      </rPr>
      <t>2</t>
    </r>
  </si>
  <si>
    <r>
      <t>€/t CO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</si>
  <si>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</si>
  <si>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t>Komponente, Kostenposition</t>
  </si>
  <si>
    <t>EE-PW</t>
  </si>
  <si>
    <t>Effizienzkennzahl PUE optimiert (s.o.)</t>
  </si>
  <si>
    <t>Stunden</t>
  </si>
  <si>
    <t>MWh/a</t>
  </si>
  <si>
    <t>Nenn-leistung in kW</t>
  </si>
  <si>
    <t>PUE-Soll</t>
  </si>
  <si>
    <t>PUE-1,8</t>
  </si>
  <si>
    <t>Verbrauch-Soll</t>
  </si>
  <si>
    <t>Verbrauch-PUE-1,8</t>
  </si>
  <si>
    <t>Indirekte Freie Kühlung mit HE Lüftern</t>
  </si>
  <si>
    <t>USV-Ist
MWh</t>
  </si>
  <si>
    <t>USV-Ist
Verluste</t>
  </si>
  <si>
    <t>USV-Soll
MWh</t>
  </si>
  <si>
    <t>USV-Soll
Verluste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</si>
</sst>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71" formatCode="_-* #,##0\ &quot;€&quot;_-;\-* #,##0\ &quot;€&quot;_-;_-* &quot;-&quot;??\ &quot;€&quot;_-;_-@_-"/>
    <numFmt numFmtId="177" formatCode="0.0"/>
    <numFmt numFmtId="178" formatCode="#,##0.0"/>
    <numFmt numFmtId="180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3" applyFont="1"/>
    <xf numFmtId="9" fontId="0" fillId="0" borderId="0" xfId="0" applyNumberFormat="1"/>
    <xf numFmtId="177" fontId="0" fillId="0" borderId="0" xfId="0" applyNumberFormat="1"/>
    <xf numFmtId="178" fontId="0" fillId="0" borderId="0" xfId="0" applyNumberFormat="1"/>
    <xf numFmtId="3" fontId="0" fillId="0" borderId="0" xfId="0" applyNumberForma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78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4" fontId="0" fillId="2" borderId="2" xfId="2" applyFont="1" applyFill="1" applyBorder="1" applyAlignment="1">
      <alignment vertical="center"/>
    </xf>
    <xf numFmtId="44" fontId="0" fillId="0" borderId="2" xfId="2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71" fontId="0" fillId="0" borderId="2" xfId="2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171" fontId="0" fillId="0" borderId="2" xfId="2" applyNumberFormat="1" applyFont="1" applyFill="1" applyBorder="1" applyAlignment="1">
      <alignment vertical="center"/>
    </xf>
    <xf numFmtId="180" fontId="0" fillId="0" borderId="0" xfId="1" applyNumberFormat="1" applyFont="1" applyAlignment="1">
      <alignment horizontal="center" vertical="center"/>
    </xf>
    <xf numFmtId="2" fontId="0" fillId="4" borderId="0" xfId="0" applyNumberFormat="1" applyFill="1"/>
    <xf numFmtId="0" fontId="2" fillId="3" borderId="0" xfId="0" applyFont="1" applyFill="1" applyBorder="1" applyAlignment="1">
      <alignment horizontal="center" vertical="center" wrapText="1"/>
    </xf>
    <xf numFmtId="10" fontId="0" fillId="0" borderId="0" xfId="3" applyNumberFormat="1" applyFont="1"/>
    <xf numFmtId="180" fontId="0" fillId="0" borderId="0" xfId="1" applyNumberFormat="1" applyFont="1"/>
    <xf numFmtId="43" fontId="0" fillId="0" borderId="0" xfId="0" applyNumberFormat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90CD-F561-46EE-86D1-2EBE3B0A860B}">
  <dimension ref="B2:AG21"/>
  <sheetViews>
    <sheetView tabSelected="1" zoomScale="115" zoomScaleNormal="115" workbookViewId="0">
      <selection activeCell="AF11" sqref="AF11"/>
    </sheetView>
  </sheetViews>
  <sheetFormatPr baseColWidth="10" defaultRowHeight="15" x14ac:dyDescent="0.25"/>
  <cols>
    <col min="1" max="1" width="5.42578125" customWidth="1"/>
    <col min="2" max="2" width="6.7109375" style="2" customWidth="1"/>
    <col min="3" max="3" width="54.140625" style="1" customWidth="1"/>
    <col min="4" max="4" width="15.5703125" bestFit="1" customWidth="1"/>
    <col min="5" max="5" width="11.85546875" customWidth="1"/>
    <col min="6" max="6" width="12.85546875" bestFit="1" customWidth="1"/>
    <col min="7" max="7" width="15.5703125" bestFit="1" customWidth="1"/>
    <col min="8" max="8" width="13.42578125" customWidth="1"/>
    <col min="10" max="10" width="13.5703125" customWidth="1"/>
    <col min="15" max="15" width="12" bestFit="1" customWidth="1"/>
    <col min="16" max="16" width="22.28515625" customWidth="1"/>
    <col min="18" max="18" width="16.140625" customWidth="1"/>
  </cols>
  <sheetData>
    <row r="2" spans="2:33" x14ac:dyDescent="0.25">
      <c r="B2" s="27"/>
      <c r="C2" s="14"/>
      <c r="D2" s="14"/>
      <c r="E2" s="14"/>
      <c r="F2" s="14"/>
      <c r="G2" s="14"/>
      <c r="H2" s="14"/>
      <c r="I2" s="14"/>
      <c r="J2" s="14"/>
      <c r="K2" s="13" t="s">
        <v>21</v>
      </c>
      <c r="L2" s="13"/>
      <c r="M2" s="13"/>
      <c r="N2" s="14"/>
      <c r="O2" s="14"/>
      <c r="P2" s="14"/>
      <c r="Q2" s="14"/>
    </row>
    <row r="3" spans="2:33" ht="45" x14ac:dyDescent="0.25">
      <c r="B3" s="28"/>
      <c r="C3" s="15" t="s">
        <v>49</v>
      </c>
      <c r="D3" s="15" t="s">
        <v>14</v>
      </c>
      <c r="E3" s="15" t="s">
        <v>15</v>
      </c>
      <c r="F3" s="15" t="s">
        <v>16</v>
      </c>
      <c r="G3" s="15" t="s">
        <v>13</v>
      </c>
      <c r="H3" s="15" t="s">
        <v>18</v>
      </c>
      <c r="I3" s="15" t="s">
        <v>19</v>
      </c>
      <c r="J3" s="15" t="s">
        <v>20</v>
      </c>
      <c r="K3" s="16" t="s">
        <v>22</v>
      </c>
      <c r="L3" s="16" t="s">
        <v>23</v>
      </c>
      <c r="M3" s="16" t="s">
        <v>24</v>
      </c>
      <c r="N3" s="15" t="s">
        <v>25</v>
      </c>
      <c r="O3" s="15"/>
      <c r="P3" s="15" t="s">
        <v>26</v>
      </c>
      <c r="Q3" s="15" t="s">
        <v>50</v>
      </c>
      <c r="S3" s="30" t="s">
        <v>54</v>
      </c>
      <c r="T3" s="30" t="s">
        <v>52</v>
      </c>
      <c r="U3" s="30" t="s">
        <v>53</v>
      </c>
      <c r="W3" s="30" t="s">
        <v>55</v>
      </c>
      <c r="X3" s="30" t="s">
        <v>57</v>
      </c>
      <c r="Y3" s="30" t="s">
        <v>56</v>
      </c>
      <c r="Z3" s="30" t="s">
        <v>58</v>
      </c>
      <c r="AA3" s="40" t="s">
        <v>60</v>
      </c>
      <c r="AB3" s="40" t="s">
        <v>61</v>
      </c>
      <c r="AC3" s="40" t="s">
        <v>61</v>
      </c>
      <c r="AD3" s="40" t="s">
        <v>62</v>
      </c>
      <c r="AE3" s="40" t="s">
        <v>63</v>
      </c>
      <c r="AF3" s="40" t="s">
        <v>63</v>
      </c>
    </row>
    <row r="4" spans="2:33" ht="25.5" x14ac:dyDescent="0.25">
      <c r="B4" s="29">
        <v>1</v>
      </c>
      <c r="C4" s="17" t="s">
        <v>2</v>
      </c>
      <c r="D4" s="18">
        <v>31315</v>
      </c>
      <c r="E4" s="18">
        <v>0</v>
      </c>
      <c r="F4" s="18"/>
      <c r="G4" s="19">
        <f>SUM(D4:F4)</f>
        <v>31315</v>
      </c>
      <c r="H4" s="20" t="s">
        <v>27</v>
      </c>
      <c r="I4" s="21">
        <v>200</v>
      </c>
      <c r="J4" s="21">
        <v>0.53700000000000003</v>
      </c>
      <c r="K4" s="21">
        <v>330</v>
      </c>
      <c r="L4" s="21">
        <v>5.05</v>
      </c>
      <c r="M4" s="22">
        <f>(K4-L4)</f>
        <v>324.95</v>
      </c>
      <c r="N4" s="23">
        <f>(K4-L4)*J4</f>
        <v>174.49815000000001</v>
      </c>
      <c r="O4" s="24">
        <f>(K4-L4)*I4</f>
        <v>64990</v>
      </c>
      <c r="P4" s="17" t="s">
        <v>51</v>
      </c>
      <c r="Q4" s="22"/>
      <c r="R4" s="33" t="str">
        <f>C4</f>
        <v>Stulz HE Kaltwassersatz ESEER 4,32</v>
      </c>
      <c r="S4" s="31">
        <v>34.799999999999997</v>
      </c>
      <c r="T4" s="38">
        <v>145</v>
      </c>
      <c r="U4" s="32">
        <f>S4*T4/1000</f>
        <v>5.0460000000000003</v>
      </c>
      <c r="W4">
        <v>1.1499999999999999</v>
      </c>
      <c r="X4" s="3">
        <f>U4</f>
        <v>5.0460000000000003</v>
      </c>
      <c r="Y4">
        <v>1.8</v>
      </c>
    </row>
    <row r="5" spans="2:33" ht="25.5" x14ac:dyDescent="0.25">
      <c r="B5" s="25">
        <v>2</v>
      </c>
      <c r="C5" s="17" t="s">
        <v>3</v>
      </c>
      <c r="D5" s="18">
        <v>4375.26</v>
      </c>
      <c r="E5" s="18">
        <v>0</v>
      </c>
      <c r="F5" s="18"/>
      <c r="G5" s="19">
        <f t="shared" ref="G5:G17" si="0">SUM(D5:F5)</f>
        <v>4375.26</v>
      </c>
      <c r="H5" s="20" t="s">
        <v>27</v>
      </c>
      <c r="I5" s="21">
        <v>200</v>
      </c>
      <c r="J5" s="21">
        <v>0.53700000000000003</v>
      </c>
      <c r="K5" s="21">
        <v>42.53</v>
      </c>
      <c r="L5" s="21"/>
      <c r="M5" s="22">
        <f t="shared" ref="M5:M14" si="1">(K5-L5)</f>
        <v>42.53</v>
      </c>
      <c r="N5" s="23">
        <f t="shared" ref="N5:N14" si="2">(K5-L5)*J5</f>
        <v>22.838610000000003</v>
      </c>
      <c r="O5" s="24">
        <f t="shared" ref="O5:O14" si="3">(K5-L5)*I5</f>
        <v>8506</v>
      </c>
      <c r="P5" s="17" t="s">
        <v>51</v>
      </c>
      <c r="Q5" s="22"/>
      <c r="R5" s="33" t="str">
        <f t="shared" ref="R5:R14" si="4">C5</f>
        <v>Plattenwärmetauscher für Rückgewinnung inkl. Ventile</v>
      </c>
      <c r="S5" s="31">
        <v>0</v>
      </c>
      <c r="T5" s="38"/>
      <c r="U5" s="32">
        <f t="shared" ref="U5:U14" si="5">S5*T5/1000</f>
        <v>0</v>
      </c>
      <c r="V5" s="31">
        <v>42.5</v>
      </c>
      <c r="W5">
        <v>1.1499999999999999</v>
      </c>
      <c r="X5" s="3">
        <f t="shared" ref="X5:X14" si="6">U5</f>
        <v>0</v>
      </c>
      <c r="Y5">
        <v>1.8</v>
      </c>
      <c r="Z5">
        <f t="shared" ref="Z5:Z14" si="7">X5/W5*Y5</f>
        <v>0</v>
      </c>
    </row>
    <row r="6" spans="2:33" ht="24" customHeight="1" x14ac:dyDescent="0.25">
      <c r="B6" s="25">
        <v>3</v>
      </c>
      <c r="C6" s="17" t="s">
        <v>0</v>
      </c>
      <c r="D6" s="18">
        <v>29948.78</v>
      </c>
      <c r="E6" s="18">
        <v>0</v>
      </c>
      <c r="F6" s="18"/>
      <c r="G6" s="19">
        <f t="shared" si="0"/>
        <v>29948.78</v>
      </c>
      <c r="H6" s="20" t="s">
        <v>27</v>
      </c>
      <c r="I6" s="21">
        <v>200</v>
      </c>
      <c r="J6" s="21">
        <v>0.53700000000000003</v>
      </c>
      <c r="K6" s="21">
        <v>0</v>
      </c>
      <c r="L6" s="21">
        <v>27.55</v>
      </c>
      <c r="M6" s="22">
        <f t="shared" si="1"/>
        <v>-27.55</v>
      </c>
      <c r="N6" s="23">
        <f t="shared" si="2"/>
        <v>-14.794350000000001</v>
      </c>
      <c r="O6" s="24">
        <f t="shared" si="3"/>
        <v>-5510</v>
      </c>
      <c r="P6" s="17" t="s">
        <v>51</v>
      </c>
      <c r="Q6" s="22"/>
      <c r="R6" s="33" t="str">
        <f t="shared" si="4"/>
        <v>Stulz direkte freie Kühlung mit HE EC Lüftern</v>
      </c>
      <c r="S6" s="31">
        <v>4.3</v>
      </c>
      <c r="T6" s="38">
        <v>6408</v>
      </c>
      <c r="U6" s="32">
        <f t="shared" si="5"/>
        <v>27.554399999999998</v>
      </c>
      <c r="W6">
        <v>1.1499999999999999</v>
      </c>
      <c r="X6" s="3">
        <f t="shared" si="6"/>
        <v>27.554399999999998</v>
      </c>
      <c r="Y6">
        <v>1.8</v>
      </c>
    </row>
    <row r="7" spans="2:33" ht="24" customHeight="1" x14ac:dyDescent="0.25">
      <c r="B7" s="25">
        <v>4</v>
      </c>
      <c r="C7" s="17" t="s">
        <v>59</v>
      </c>
      <c r="D7" s="18">
        <v>17447.150000000001</v>
      </c>
      <c r="E7" s="18">
        <v>0</v>
      </c>
      <c r="F7" s="18"/>
      <c r="G7" s="19">
        <f t="shared" si="0"/>
        <v>17447.150000000001</v>
      </c>
      <c r="H7" s="20" t="s">
        <v>27</v>
      </c>
      <c r="I7" s="21">
        <v>200</v>
      </c>
      <c r="J7" s="21">
        <v>0.53700000000000003</v>
      </c>
      <c r="K7" s="21">
        <v>0</v>
      </c>
      <c r="L7" s="21">
        <v>10.59</v>
      </c>
      <c r="M7" s="22">
        <f t="shared" si="1"/>
        <v>-10.59</v>
      </c>
      <c r="N7" s="23">
        <f t="shared" si="2"/>
        <v>-5.6868300000000005</v>
      </c>
      <c r="O7" s="24">
        <f t="shared" si="3"/>
        <v>-2118</v>
      </c>
      <c r="P7" s="17" t="s">
        <v>51</v>
      </c>
      <c r="Q7" s="22"/>
      <c r="R7" s="33" t="str">
        <f t="shared" si="4"/>
        <v>Indirekte Freie Kühlung mit HE Lüftern</v>
      </c>
      <c r="S7" s="31">
        <v>4.8</v>
      </c>
      <c r="T7" s="38">
        <v>2207</v>
      </c>
      <c r="U7" s="32">
        <f t="shared" si="5"/>
        <v>10.5936</v>
      </c>
      <c r="W7">
        <v>1.1499999999999999</v>
      </c>
      <c r="X7" s="3">
        <f t="shared" si="6"/>
        <v>10.5936</v>
      </c>
      <c r="Y7">
        <v>1.8</v>
      </c>
    </row>
    <row r="8" spans="2:33" ht="24" customHeight="1" x14ac:dyDescent="0.25">
      <c r="B8" s="25">
        <v>5</v>
      </c>
      <c r="C8" s="17" t="s">
        <v>1</v>
      </c>
      <c r="D8" s="18">
        <v>15639.44</v>
      </c>
      <c r="E8" s="18">
        <v>0</v>
      </c>
      <c r="F8" s="18"/>
      <c r="G8" s="19">
        <f t="shared" si="0"/>
        <v>15639.44</v>
      </c>
      <c r="H8" s="20" t="s">
        <v>27</v>
      </c>
      <c r="I8" s="21">
        <v>200</v>
      </c>
      <c r="J8" s="21">
        <v>0.53700000000000003</v>
      </c>
      <c r="K8" s="21">
        <v>21.92</v>
      </c>
      <c r="L8" s="21">
        <v>14.01</v>
      </c>
      <c r="M8" s="22">
        <f t="shared" si="1"/>
        <v>7.9100000000000019</v>
      </c>
      <c r="N8" s="23">
        <f t="shared" si="2"/>
        <v>4.2476700000000012</v>
      </c>
      <c r="O8" s="24">
        <f t="shared" si="3"/>
        <v>1582.0000000000005</v>
      </c>
      <c r="P8" s="17" t="s">
        <v>51</v>
      </c>
      <c r="Q8" s="22"/>
      <c r="R8" s="33" t="str">
        <f t="shared" si="4"/>
        <v>Stulz HE Innenkühler mit HE EC Lüftern</v>
      </c>
      <c r="S8" s="31">
        <v>1.6</v>
      </c>
      <c r="T8" s="38">
        <v>8760</v>
      </c>
      <c r="U8" s="32">
        <f t="shared" si="5"/>
        <v>14.016</v>
      </c>
      <c r="W8">
        <v>1.1499999999999999</v>
      </c>
      <c r="X8" s="3">
        <f t="shared" si="6"/>
        <v>14.016</v>
      </c>
      <c r="Y8">
        <v>1.8</v>
      </c>
      <c r="Z8" s="39">
        <f t="shared" si="7"/>
        <v>21.938086956521744</v>
      </c>
      <c r="AA8" s="39"/>
    </row>
    <row r="9" spans="2:33" ht="24" customHeight="1" x14ac:dyDescent="0.25">
      <c r="B9" s="25">
        <v>6</v>
      </c>
      <c r="C9" s="17" t="s">
        <v>8</v>
      </c>
      <c r="D9" s="18">
        <v>17074.52</v>
      </c>
      <c r="E9" s="18">
        <v>0</v>
      </c>
      <c r="F9" s="18"/>
      <c r="G9" s="19">
        <f t="shared" si="0"/>
        <v>17074.52</v>
      </c>
      <c r="H9" s="20" t="s">
        <v>27</v>
      </c>
      <c r="I9" s="21">
        <v>200</v>
      </c>
      <c r="J9" s="21">
        <v>0.53700000000000003</v>
      </c>
      <c r="K9" s="21">
        <v>21.92</v>
      </c>
      <c r="L9" s="21">
        <v>14.01</v>
      </c>
      <c r="M9" s="22">
        <f t="shared" si="1"/>
        <v>7.9100000000000019</v>
      </c>
      <c r="N9" s="23">
        <f t="shared" si="2"/>
        <v>4.2476700000000012</v>
      </c>
      <c r="O9" s="24">
        <f t="shared" si="3"/>
        <v>1582.0000000000005</v>
      </c>
      <c r="P9" s="17" t="s">
        <v>51</v>
      </c>
      <c r="Q9" s="22"/>
      <c r="R9" s="33" t="str">
        <f t="shared" si="4"/>
        <v>Hocheffizienzpumpen IE5</v>
      </c>
      <c r="S9" s="31">
        <v>1.6</v>
      </c>
      <c r="T9" s="38">
        <v>8760</v>
      </c>
      <c r="U9" s="32">
        <f t="shared" si="5"/>
        <v>14.016</v>
      </c>
      <c r="W9">
        <v>1.1499999999999999</v>
      </c>
      <c r="X9" s="3">
        <f t="shared" si="6"/>
        <v>14.016</v>
      </c>
      <c r="Y9">
        <v>1.8</v>
      </c>
      <c r="Z9" s="39">
        <f t="shared" si="7"/>
        <v>21.938086956521744</v>
      </c>
      <c r="AA9" s="39"/>
    </row>
    <row r="10" spans="2:33" ht="24" customHeight="1" x14ac:dyDescent="0.25">
      <c r="B10" s="25">
        <v>7</v>
      </c>
      <c r="C10" s="17" t="s">
        <v>6</v>
      </c>
      <c r="D10" s="18">
        <v>24500</v>
      </c>
      <c r="E10" s="18">
        <v>0</v>
      </c>
      <c r="F10" s="18"/>
      <c r="G10" s="19">
        <f t="shared" si="0"/>
        <v>24500</v>
      </c>
      <c r="H10" s="20" t="s">
        <v>27</v>
      </c>
      <c r="I10" s="21">
        <v>200</v>
      </c>
      <c r="J10" s="21">
        <v>0.53700000000000003</v>
      </c>
      <c r="K10" s="21">
        <v>117</v>
      </c>
      <c r="L10" s="21">
        <v>12.65</v>
      </c>
      <c r="M10" s="22">
        <f t="shared" si="1"/>
        <v>104.35</v>
      </c>
      <c r="N10" s="23">
        <f t="shared" si="2"/>
        <v>56.03595</v>
      </c>
      <c r="O10" s="24">
        <f t="shared" si="3"/>
        <v>20870</v>
      </c>
      <c r="P10" s="17" t="s">
        <v>51</v>
      </c>
      <c r="Q10" s="22"/>
      <c r="R10" s="33" t="str">
        <f t="shared" si="4"/>
        <v>Vertiv HE USV Notstromversorgung 97-99% Effizienz</v>
      </c>
      <c r="S10" s="31">
        <v>0</v>
      </c>
      <c r="T10" s="38"/>
      <c r="U10" s="32">
        <f t="shared" si="5"/>
        <v>0</v>
      </c>
      <c r="W10">
        <v>1.1499999999999999</v>
      </c>
      <c r="X10" s="3">
        <f t="shared" si="6"/>
        <v>0</v>
      </c>
      <c r="Y10">
        <v>1.8</v>
      </c>
      <c r="Z10">
        <f t="shared" si="7"/>
        <v>0</v>
      </c>
      <c r="AA10" s="42">
        <v>1800</v>
      </c>
      <c r="AB10" s="41">
        <v>6.5000000000000002E-2</v>
      </c>
      <c r="AC10" s="43">
        <f>AA10*AB10</f>
        <v>117</v>
      </c>
      <c r="AD10" s="42">
        <v>1150</v>
      </c>
      <c r="AE10" s="41">
        <v>1.0999999999999999E-2</v>
      </c>
      <c r="AF10" s="43">
        <f>AD10*AE10</f>
        <v>12.649999999999999</v>
      </c>
      <c r="AG10" s="43">
        <f>AC10-AF10</f>
        <v>104.35</v>
      </c>
    </row>
    <row r="11" spans="2:33" ht="24" customHeight="1" x14ac:dyDescent="0.25">
      <c r="B11" s="25">
        <v>8</v>
      </c>
      <c r="C11" s="17" t="s">
        <v>4</v>
      </c>
      <c r="D11" s="18">
        <v>18758.2</v>
      </c>
      <c r="E11" s="18">
        <v>0</v>
      </c>
      <c r="F11" s="18">
        <v>5000</v>
      </c>
      <c r="G11" s="19">
        <f t="shared" si="0"/>
        <v>23758.2</v>
      </c>
      <c r="H11" s="20" t="s">
        <v>27</v>
      </c>
      <c r="I11" s="21">
        <v>200</v>
      </c>
      <c r="J11" s="21">
        <v>0.53700000000000003</v>
      </c>
      <c r="K11" s="21">
        <v>19.11</v>
      </c>
      <c r="L11" s="21"/>
      <c r="M11" s="22">
        <f t="shared" si="1"/>
        <v>19.11</v>
      </c>
      <c r="N11" s="23">
        <f t="shared" si="2"/>
        <v>10.26207</v>
      </c>
      <c r="O11" s="24">
        <f t="shared" si="3"/>
        <v>3822</v>
      </c>
      <c r="P11" s="17" t="s">
        <v>51</v>
      </c>
      <c r="Q11" s="22"/>
      <c r="R11" s="33" t="str">
        <f t="shared" si="4"/>
        <v>Luftleitungsystem für Beheizung aller Räume inkl. Montage</v>
      </c>
      <c r="S11" s="31">
        <v>0</v>
      </c>
      <c r="T11" s="38"/>
      <c r="U11" s="32">
        <f t="shared" si="5"/>
        <v>0</v>
      </c>
      <c r="W11">
        <v>1.1499999999999999</v>
      </c>
      <c r="X11" s="3">
        <f t="shared" si="6"/>
        <v>0</v>
      </c>
      <c r="Y11">
        <v>1.8</v>
      </c>
      <c r="Z11">
        <f t="shared" si="7"/>
        <v>0</v>
      </c>
    </row>
    <row r="12" spans="2:33" ht="24" customHeight="1" x14ac:dyDescent="0.25">
      <c r="B12" s="25">
        <v>9</v>
      </c>
      <c r="C12" s="17" t="s">
        <v>9</v>
      </c>
      <c r="D12" s="18">
        <v>60038</v>
      </c>
      <c r="E12" s="18">
        <v>0</v>
      </c>
      <c r="F12" s="18"/>
      <c r="G12" s="19">
        <f t="shared" si="0"/>
        <v>60038</v>
      </c>
      <c r="H12" s="20" t="s">
        <v>27</v>
      </c>
      <c r="I12" s="21">
        <v>200</v>
      </c>
      <c r="J12" s="21">
        <v>0.53700000000000003</v>
      </c>
      <c r="K12" s="21"/>
      <c r="L12" s="21"/>
      <c r="M12" s="22">
        <f t="shared" si="1"/>
        <v>0</v>
      </c>
      <c r="N12" s="23">
        <f t="shared" si="2"/>
        <v>0</v>
      </c>
      <c r="O12" s="24">
        <f t="shared" si="3"/>
        <v>0</v>
      </c>
      <c r="P12" s="17" t="s">
        <v>51</v>
      </c>
      <c r="Q12" s="22"/>
      <c r="R12" s="33" t="str">
        <f t="shared" si="4"/>
        <v>Hydraulik mit geringen Druckverlusten</v>
      </c>
      <c r="S12" s="31">
        <v>0</v>
      </c>
      <c r="T12" s="38"/>
      <c r="U12" s="32">
        <f t="shared" si="5"/>
        <v>0</v>
      </c>
      <c r="W12">
        <v>1.1499999999999999</v>
      </c>
      <c r="X12" s="3">
        <f t="shared" si="6"/>
        <v>0</v>
      </c>
      <c r="Y12">
        <v>1.8</v>
      </c>
      <c r="Z12">
        <f t="shared" si="7"/>
        <v>0</v>
      </c>
    </row>
    <row r="13" spans="2:33" ht="25.5" x14ac:dyDescent="0.25">
      <c r="B13" s="25">
        <v>10</v>
      </c>
      <c r="C13" s="17" t="s">
        <v>5</v>
      </c>
      <c r="D13" s="18">
        <v>58000</v>
      </c>
      <c r="E13" s="18">
        <v>0</v>
      </c>
      <c r="F13" s="18"/>
      <c r="G13" s="19">
        <f t="shared" si="0"/>
        <v>58000</v>
      </c>
      <c r="H13" s="20" t="s">
        <v>27</v>
      </c>
      <c r="I13" s="21">
        <v>200</v>
      </c>
      <c r="J13" s="21">
        <v>0.53700000000000003</v>
      </c>
      <c r="K13" s="21"/>
      <c r="L13" s="21"/>
      <c r="M13" s="22">
        <f t="shared" si="1"/>
        <v>0</v>
      </c>
      <c r="N13" s="23">
        <f t="shared" si="2"/>
        <v>0</v>
      </c>
      <c r="O13" s="24">
        <f t="shared" si="3"/>
        <v>0</v>
      </c>
      <c r="P13" s="17" t="s">
        <v>51</v>
      </c>
      <c r="Q13" s="22"/>
      <c r="R13" s="33" t="str">
        <f t="shared" si="4"/>
        <v>Klima Doppelboden zur Trennung Warm- / Kaltbereiche inkl. Abdichtung und Einbaurahmen</v>
      </c>
      <c r="S13" s="31">
        <v>0</v>
      </c>
      <c r="T13" s="38"/>
      <c r="U13" s="32">
        <f t="shared" si="5"/>
        <v>0</v>
      </c>
      <c r="W13">
        <v>1.1499999999999999</v>
      </c>
      <c r="X13" s="3">
        <f t="shared" si="6"/>
        <v>0</v>
      </c>
      <c r="Y13">
        <v>1.8</v>
      </c>
      <c r="Z13">
        <f t="shared" si="7"/>
        <v>0</v>
      </c>
    </row>
    <row r="14" spans="2:33" ht="25.5" x14ac:dyDescent="0.25">
      <c r="B14" s="25">
        <v>11</v>
      </c>
      <c r="C14" s="17" t="s">
        <v>7</v>
      </c>
      <c r="D14" s="18">
        <v>17500</v>
      </c>
      <c r="E14" s="18">
        <v>0</v>
      </c>
      <c r="F14" s="18"/>
      <c r="G14" s="19">
        <f t="shared" si="0"/>
        <v>17500</v>
      </c>
      <c r="H14" s="20" t="s">
        <v>27</v>
      </c>
      <c r="I14" s="21">
        <v>200</v>
      </c>
      <c r="J14" s="21">
        <v>0.53700000000000003</v>
      </c>
      <c r="K14" s="21"/>
      <c r="L14" s="21"/>
      <c r="M14" s="22">
        <f t="shared" si="1"/>
        <v>0</v>
      </c>
      <c r="N14" s="23">
        <f t="shared" si="2"/>
        <v>0</v>
      </c>
      <c r="O14" s="24">
        <f t="shared" si="3"/>
        <v>0</v>
      </c>
      <c r="P14" s="17" t="s">
        <v>51</v>
      </c>
      <c r="Q14" s="22"/>
      <c r="R14" s="33" t="str">
        <f t="shared" si="4"/>
        <v>Anlagen Steuerung und Messung Temperatur sowie Effizienz</v>
      </c>
      <c r="S14" s="31">
        <v>0</v>
      </c>
      <c r="T14" s="38"/>
      <c r="U14" s="32">
        <f t="shared" si="5"/>
        <v>0</v>
      </c>
      <c r="W14">
        <v>1.1499999999999999</v>
      </c>
      <c r="X14" s="3">
        <f t="shared" si="6"/>
        <v>0</v>
      </c>
      <c r="Y14">
        <v>1.8</v>
      </c>
      <c r="Z14">
        <f t="shared" si="7"/>
        <v>0</v>
      </c>
    </row>
    <row r="15" spans="2:33" ht="25.5" x14ac:dyDescent="0.25">
      <c r="B15" s="25">
        <v>12</v>
      </c>
      <c r="C15" s="17" t="s">
        <v>10</v>
      </c>
      <c r="D15" s="18">
        <v>1800</v>
      </c>
      <c r="E15" s="18">
        <v>0</v>
      </c>
      <c r="F15" s="18"/>
      <c r="G15" s="19">
        <f t="shared" si="0"/>
        <v>1800</v>
      </c>
      <c r="H15" s="34"/>
      <c r="I15" s="35"/>
      <c r="J15" s="35"/>
      <c r="K15" s="35"/>
      <c r="L15" s="35"/>
      <c r="M15" s="35"/>
      <c r="N15" s="36"/>
      <c r="O15" s="37"/>
      <c r="P15" s="17" t="s">
        <v>51</v>
      </c>
      <c r="Q15" s="22"/>
      <c r="R15" s="33"/>
    </row>
    <row r="16" spans="2:33" ht="20.25" customHeight="1" x14ac:dyDescent="0.25">
      <c r="B16" s="25">
        <v>13</v>
      </c>
      <c r="C16" s="17" t="s">
        <v>11</v>
      </c>
      <c r="D16" s="18"/>
      <c r="E16" s="18">
        <v>0</v>
      </c>
      <c r="F16" s="18">
        <v>45490</v>
      </c>
      <c r="G16" s="19">
        <f t="shared" si="0"/>
        <v>45490</v>
      </c>
      <c r="H16" s="25"/>
      <c r="I16" s="22"/>
      <c r="J16" s="22"/>
      <c r="K16" s="22"/>
      <c r="L16" s="22"/>
      <c r="M16" s="22"/>
      <c r="N16" s="22"/>
      <c r="O16" s="22"/>
      <c r="P16" s="22"/>
      <c r="Q16" s="22"/>
    </row>
    <row r="17" spans="2:17" ht="22.5" customHeight="1" x14ac:dyDescent="0.25">
      <c r="B17" s="25">
        <v>14</v>
      </c>
      <c r="C17" s="17" t="s">
        <v>12</v>
      </c>
      <c r="D17" s="18"/>
      <c r="E17" s="18">
        <v>0</v>
      </c>
      <c r="F17" s="18">
        <v>3500</v>
      </c>
      <c r="G17" s="19">
        <f t="shared" si="0"/>
        <v>3500</v>
      </c>
      <c r="H17" s="25"/>
      <c r="I17" s="22"/>
      <c r="J17" s="22"/>
      <c r="K17" s="22"/>
      <c r="L17" s="22"/>
      <c r="M17" s="22"/>
      <c r="N17" s="22"/>
      <c r="O17" s="22"/>
      <c r="P17" s="22"/>
      <c r="Q17" s="22"/>
    </row>
    <row r="18" spans="2:17" x14ac:dyDescent="0.25">
      <c r="B18" s="25"/>
      <c r="C18" s="22"/>
      <c r="D18" s="22"/>
      <c r="E18" s="22"/>
      <c r="F18" s="22"/>
      <c r="G18" s="22"/>
      <c r="H18" s="25"/>
      <c r="I18" s="22"/>
      <c r="J18" s="22"/>
      <c r="K18" s="22"/>
      <c r="L18" s="22"/>
      <c r="M18" s="22"/>
      <c r="N18" s="22"/>
      <c r="O18" s="22"/>
      <c r="P18" s="22"/>
      <c r="Q18" s="22"/>
    </row>
    <row r="19" spans="2:17" x14ac:dyDescent="0.25">
      <c r="B19" s="25"/>
      <c r="C19" s="22" t="s">
        <v>17</v>
      </c>
      <c r="D19" s="26">
        <f>SUM(D4:D18)</f>
        <v>296396.35000000003</v>
      </c>
      <c r="E19" s="26">
        <f t="shared" ref="E19:G19" si="8">SUM(E4:E18)</f>
        <v>0</v>
      </c>
      <c r="F19" s="26">
        <f t="shared" si="8"/>
        <v>53990</v>
      </c>
      <c r="G19" s="26">
        <f t="shared" si="8"/>
        <v>350386.35000000003</v>
      </c>
      <c r="H19" s="25"/>
      <c r="I19" s="22"/>
      <c r="J19" s="22"/>
      <c r="K19" s="22"/>
      <c r="L19" s="22">
        <f>SUM(L4:L18)</f>
        <v>83.86</v>
      </c>
      <c r="M19" s="22">
        <f>SUM(M4:M18)</f>
        <v>468.62000000000012</v>
      </c>
      <c r="N19" s="23">
        <f>SUM(N4:N18)</f>
        <v>251.64894000000004</v>
      </c>
      <c r="O19" s="24">
        <f>SUM(O4:O18)</f>
        <v>93724</v>
      </c>
      <c r="P19" s="22"/>
      <c r="Q19" s="22"/>
    </row>
    <row r="20" spans="2:17" x14ac:dyDescent="0.25">
      <c r="C20"/>
    </row>
    <row r="21" spans="2:17" x14ac:dyDescent="0.25">
      <c r="C21"/>
    </row>
  </sheetData>
  <mergeCells count="1">
    <mergeCell ref="K2:M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BABE-83DF-472E-BD38-5A2D6DAC89EA}">
  <dimension ref="C4:F28"/>
  <sheetViews>
    <sheetView topLeftCell="A7" workbookViewId="0">
      <selection activeCell="D28" sqref="D28"/>
    </sheetView>
  </sheetViews>
  <sheetFormatPr baseColWidth="10" defaultRowHeight="15" x14ac:dyDescent="0.25"/>
  <cols>
    <col min="4" max="4" width="40.140625" customWidth="1"/>
    <col min="5" max="5" width="13" bestFit="1" customWidth="1"/>
  </cols>
  <sheetData>
    <row r="4" spans="3:6" ht="15.75" x14ac:dyDescent="0.25">
      <c r="C4" s="9" t="s">
        <v>28</v>
      </c>
    </row>
    <row r="6" spans="3:6" x14ac:dyDescent="0.25">
      <c r="C6" s="10" t="s">
        <v>29</v>
      </c>
      <c r="D6" s="11"/>
      <c r="E6" s="11"/>
      <c r="F6" s="11"/>
    </row>
    <row r="8" spans="3:6" x14ac:dyDescent="0.25">
      <c r="C8" t="s">
        <v>30</v>
      </c>
      <c r="E8" s="7">
        <f>Tabelle1!G19</f>
        <v>350386.35000000003</v>
      </c>
      <c r="F8" t="s">
        <v>45</v>
      </c>
    </row>
    <row r="9" spans="3:6" x14ac:dyDescent="0.25">
      <c r="D9" t="s">
        <v>31</v>
      </c>
      <c r="E9" s="7">
        <f>Tabelle1!D19-Tabelle1!D15</f>
        <v>294596.35000000003</v>
      </c>
      <c r="F9" t="s">
        <v>45</v>
      </c>
    </row>
    <row r="10" spans="3:6" x14ac:dyDescent="0.25">
      <c r="D10" t="s">
        <v>32</v>
      </c>
      <c r="E10" s="7">
        <f>Tabelle1!F19</f>
        <v>53990</v>
      </c>
      <c r="F10" t="s">
        <v>45</v>
      </c>
    </row>
    <row r="11" spans="3:6" x14ac:dyDescent="0.25">
      <c r="D11" t="s">
        <v>33</v>
      </c>
      <c r="E11" s="7">
        <f>Tabelle1!D15</f>
        <v>1800</v>
      </c>
      <c r="F11" t="s">
        <v>45</v>
      </c>
    </row>
    <row r="12" spans="3:6" ht="18" x14ac:dyDescent="0.35">
      <c r="C12" t="s">
        <v>34</v>
      </c>
      <c r="E12" s="7">
        <f>Tabelle1!N19</f>
        <v>251.64894000000004</v>
      </c>
      <c r="F12" t="s">
        <v>46</v>
      </c>
    </row>
    <row r="13" spans="3:6" x14ac:dyDescent="0.25">
      <c r="C13" t="s">
        <v>35</v>
      </c>
      <c r="E13" s="7">
        <f>Tabelle1!O19</f>
        <v>93724</v>
      </c>
      <c r="F13" t="s">
        <v>45</v>
      </c>
    </row>
    <row r="14" spans="3:6" x14ac:dyDescent="0.25">
      <c r="E14" s="7"/>
    </row>
    <row r="15" spans="3:6" x14ac:dyDescent="0.25">
      <c r="E15" s="7"/>
    </row>
    <row r="16" spans="3:6" x14ac:dyDescent="0.25">
      <c r="C16" s="10" t="s">
        <v>36</v>
      </c>
      <c r="D16" s="11"/>
      <c r="E16" s="12"/>
      <c r="F16" s="11"/>
    </row>
    <row r="17" spans="3:6" x14ac:dyDescent="0.25">
      <c r="E17" s="7"/>
    </row>
    <row r="18" spans="3:6" x14ac:dyDescent="0.25">
      <c r="C18" t="s">
        <v>37</v>
      </c>
      <c r="E18" s="7">
        <f>E8</f>
        <v>350386.35000000003</v>
      </c>
      <c r="F18" t="s">
        <v>45</v>
      </c>
    </row>
    <row r="20" spans="3:6" x14ac:dyDescent="0.25">
      <c r="C20" t="s">
        <v>38</v>
      </c>
      <c r="E20" s="4">
        <v>0.4</v>
      </c>
    </row>
    <row r="21" spans="3:6" x14ac:dyDescent="0.25">
      <c r="C21" t="s">
        <v>39</v>
      </c>
      <c r="E21" s="8">
        <f>E18*E20</f>
        <v>140154.54</v>
      </c>
      <c r="F21" t="s">
        <v>45</v>
      </c>
    </row>
    <row r="22" spans="3:6" ht="18" x14ac:dyDescent="0.35">
      <c r="C22" t="s">
        <v>40</v>
      </c>
      <c r="E22" s="3">
        <f>E21/E12</f>
        <v>556.94468651447528</v>
      </c>
      <c r="F22" t="s">
        <v>47</v>
      </c>
    </row>
    <row r="24" spans="3:6" x14ac:dyDescent="0.25">
      <c r="C24" t="s">
        <v>41</v>
      </c>
      <c r="E24" s="5">
        <f>E20</f>
        <v>0.4</v>
      </c>
    </row>
    <row r="25" spans="3:6" x14ac:dyDescent="0.25">
      <c r="C25" t="s">
        <v>42</v>
      </c>
      <c r="E25" s="8">
        <f>E21</f>
        <v>140154.54</v>
      </c>
      <c r="F25" t="s">
        <v>45</v>
      </c>
    </row>
    <row r="27" spans="3:6" x14ac:dyDescent="0.25">
      <c r="C27" t="s">
        <v>43</v>
      </c>
      <c r="E27" s="6">
        <f>E8/E13</f>
        <v>3.7384912082284156</v>
      </c>
      <c r="F27" t="s">
        <v>48</v>
      </c>
    </row>
    <row r="28" spans="3:6" x14ac:dyDescent="0.25">
      <c r="C28" t="s">
        <v>44</v>
      </c>
      <c r="E28" s="6">
        <f>(E8-E25)/E13</f>
        <v>2.2430947249370496</v>
      </c>
      <c r="F28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Meino</dc:creator>
  <cp:lastModifiedBy>Meino</cp:lastModifiedBy>
  <dcterms:created xsi:type="dcterms:W3CDTF">2019-03-07T13:02:20Z</dcterms:created>
  <dcterms:modified xsi:type="dcterms:W3CDTF">2019-03-07T18:50:16Z</dcterms:modified>
</cp:coreProperties>
</file>