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\PycharmProjects\pythonProject2\input\"/>
    </mc:Choice>
  </mc:AlternateContent>
  <bookViews>
    <workbookView xWindow="0" yWindow="0" windowWidth="19200" windowHeight="6680" firstSheet="1" activeTab="1"/>
  </bookViews>
  <sheets>
    <sheet name="SP3DReport_Definition" sheetId="1" state="veryHidden" r:id="rId1"/>
    <sheet name="Sheet1" sheetId="2" r:id="rId2"/>
    <sheet name="SP3DReport_Layout_2" sheetId="3" state="veryHidden" r:id="rId3"/>
    <sheet name="SP3DReport_Layout_1" sheetId="4" state="veryHidden" r:id="rId4"/>
  </sheets>
  <definedNames>
    <definedName name="PAINT">#REF!</definedName>
    <definedName name="Z_11544635_2A86_474C_9536_A4695C24F945_.wvu.Cols" localSheetId="1" hidden="1">Sheet1!#REF!,Sheet1!#REF!</definedName>
    <definedName name="Z_11544635_2A86_474C_9536_A4695C24F945_.wvu.Cols" localSheetId="3" hidden="1">SP3DReport_Layout_1!$A:$B,SP3DReport_Layout_1!$G:$G</definedName>
    <definedName name="Z_11544635_2A86_474C_9536_A4695C24F945_.wvu.Cols" localSheetId="2" hidden="1">SP3DReport_Layout_2!$A:$B,SP3DReport_Layout_2!$G:$G</definedName>
    <definedName name="Z_11544635_2A86_474C_9536_A4695C24F945_.wvu.PrintArea" localSheetId="1" hidden="1">Sheet1!$A$1:$L$114</definedName>
    <definedName name="Z_11544635_2A86_474C_9536_A4695C24F945_.wvu.PrintArea" localSheetId="3" hidden="1">SP3DReport_Layout_1!$C:$O</definedName>
    <definedName name="Z_11544635_2A86_474C_9536_A4695C24F945_.wvu.PrintTitles" localSheetId="1" hidden="1">Sheet1!$2:$2</definedName>
    <definedName name="Z_11544635_2A86_474C_9536_A4695C24F945_.wvu.PrintTitles" localSheetId="3" hidden="1">SP3DReport_Layout_1!$2:$2</definedName>
    <definedName name="Z_478FD2A1_4717_400D_8E80_8DFF88862534_.wvu.Cols" localSheetId="1" hidden="1">Sheet1!#REF!,Sheet1!#REF!</definedName>
    <definedName name="Z_478FD2A1_4717_400D_8E80_8DFF88862534_.wvu.Cols" localSheetId="3" hidden="1">SP3DReport_Layout_1!$A:$B,SP3DReport_Layout_1!$G:$G</definedName>
    <definedName name="Z_478FD2A1_4717_400D_8E80_8DFF88862534_.wvu.Cols" localSheetId="2" hidden="1">SP3DReport_Layout_2!$A:$B,SP3DReport_Layout_2!$G:$G</definedName>
    <definedName name="Z_478FD2A1_4717_400D_8E80_8DFF88862534_.wvu.PrintArea" localSheetId="1" hidden="1">Sheet1!$A$1:$L$114</definedName>
    <definedName name="Z_478FD2A1_4717_400D_8E80_8DFF88862534_.wvu.PrintArea" localSheetId="3" hidden="1">SP3DReport_Layout_1!$C:$O</definedName>
    <definedName name="Z_478FD2A1_4717_400D_8E80_8DFF88862534_.wvu.PrintTitles" localSheetId="1" hidden="1">Sheet1!$2:$2</definedName>
    <definedName name="Z_478FD2A1_4717_400D_8E80_8DFF88862534_.wvu.PrintTitles" localSheetId="3" hidden="1">SP3DReport_Layout_1!$2:$2</definedName>
    <definedName name="Z_60DCDA0E_3F55_4C69_A961_338298D6B9EC_.wvu.Cols" localSheetId="1" hidden="1">Sheet1!#REF!,Sheet1!#REF!</definedName>
    <definedName name="Z_60DCDA0E_3F55_4C69_A961_338298D6B9EC_.wvu.Cols" localSheetId="3" hidden="1">SP3DReport_Layout_1!$A:$B,SP3DReport_Layout_1!$G:$G</definedName>
    <definedName name="Z_60DCDA0E_3F55_4C69_A961_338298D6B9EC_.wvu.Cols" localSheetId="2" hidden="1">SP3DReport_Layout_2!$A:$B,SP3DReport_Layout_2!$G:$G</definedName>
    <definedName name="Z_60DCDA0E_3F55_4C69_A961_338298D6B9EC_.wvu.PrintArea" localSheetId="1" hidden="1">Sheet1!$A$1:$L$114</definedName>
    <definedName name="Z_60DCDA0E_3F55_4C69_A961_338298D6B9EC_.wvu.PrintArea" localSheetId="3" hidden="1">SP3DReport_Layout_1!$C:$O</definedName>
    <definedName name="Z_60DCDA0E_3F55_4C69_A961_338298D6B9EC_.wvu.PrintTitles" localSheetId="1" hidden="1">Sheet1!$2:$2</definedName>
    <definedName name="Z_60DCDA0E_3F55_4C69_A961_338298D6B9EC_.wvu.PrintTitles" localSheetId="3" hidden="1">SP3DReport_Layout_1!$2:$2</definedName>
    <definedName name="_xlnm.Print_Titles" localSheetId="1">Sheet1!$2:$2</definedName>
    <definedName name="_xlnm.Print_Titles" localSheetId="3">SP3DReport_Layout_1!$2:$2</definedName>
    <definedName name="_xlnm.Print_Area" localSheetId="1">Sheet1!$A$1:$L$107</definedName>
    <definedName name="_xlnm.Print_Area" localSheetId="3">SP3DReport_Layout_1!$C:$O</definedName>
  </definedNames>
  <calcPr calcId="162913"/>
  <customWorkbookViews>
    <customWorkbookView name="Капанадзе Ираклий Автандилович - Личное представление" guid="{5957D273-4ED5-4929-9B3A-FCE5C5FA7B27}" mergeInterval="0" personalView="1" maximized="1" windowWidth="1920" windowHeight="1014" activeSheetId="2"/>
    <customWorkbookView name="Шегуров Андрей Дмитриевич - Личное представление" guid="{478FD2A1-4717-400D-8E80-8DFF88862534}" mergeInterval="0" personalView="1" maximized="1" windowWidth="1920" windowHeight="975" activeSheetId="2"/>
    <customWorkbookView name="Yegor Tkachenko - Личное представление" guid="{11544635-2A86-474C-9536-A4695C24F945}" mergeInterval="0" personalView="1" maximized="1" xWindow="-8" yWindow="-8" windowWidth="1936" windowHeight="1056" activeSheetId="2"/>
    <customWorkbookView name="Ткаченко Егор Сергеевич - Личное представление" guid="{60DCDA0E-3F55-4C69-A961-338298D6B9EC}" mergeInterval="0" personalView="1" maximized="1" xWindow="-8" yWindow="-8" windowWidth="1936" windowHeight="1176" activeSheetId="2"/>
  </customWorkbookViews>
</workbook>
</file>

<file path=xl/calcChain.xml><?xml version="1.0" encoding="utf-8"?>
<calcChain xmlns="http://schemas.openxmlformats.org/spreadsheetml/2006/main">
  <c r="G43" i="2" l="1"/>
  <c r="I43" i="2" s="1"/>
  <c r="G42" i="2"/>
  <c r="I42" i="2" s="1"/>
  <c r="M104" i="2" l="1"/>
  <c r="G104" i="2" s="1"/>
  <c r="I104" i="2" s="1"/>
  <c r="I105" i="2" s="1"/>
  <c r="I106" i="2" s="1"/>
  <c r="M55" i="2"/>
  <c r="M8" i="2"/>
  <c r="M89" i="2"/>
  <c r="M94" i="2" s="1"/>
  <c r="G94" i="2" s="1"/>
  <c r="M54" i="2"/>
  <c r="M53" i="2"/>
  <c r="M90" i="2"/>
  <c r="G90" i="2" s="1"/>
  <c r="I90" i="2" s="1"/>
  <c r="M64" i="2"/>
  <c r="G64" i="2" s="1"/>
  <c r="I64" i="2" s="1"/>
  <c r="M17" i="2"/>
  <c r="N98" i="2"/>
  <c r="G98" i="2" s="1"/>
  <c r="I98" i="2" s="1"/>
  <c r="I99" i="2" s="1"/>
  <c r="M91" i="2"/>
  <c r="G91" i="2" s="1"/>
  <c r="N81" i="2"/>
  <c r="G81" i="2" s="1"/>
  <c r="I81" i="2" s="1"/>
  <c r="N36" i="2"/>
  <c r="G36" i="2"/>
  <c r="I36" i="2" s="1"/>
  <c r="N83" i="2"/>
  <c r="G83" i="2" s="1"/>
  <c r="I83" i="2" s="1"/>
  <c r="N82" i="2"/>
  <c r="G82" i="2" s="1"/>
  <c r="I82" i="2" s="1"/>
  <c r="M74" i="2"/>
  <c r="G74" i="2" s="1"/>
  <c r="I74" i="2" s="1"/>
  <c r="M73" i="2"/>
  <c r="G73" i="2" s="1"/>
  <c r="M72" i="2"/>
  <c r="G72" i="2" s="1"/>
  <c r="M71" i="2"/>
  <c r="G71" i="2" s="1"/>
  <c r="I71" i="2" s="1"/>
  <c r="M70" i="2"/>
  <c r="G70" i="2" s="1"/>
  <c r="I70" i="2" s="1"/>
  <c r="M66" i="2"/>
  <c r="G66" i="2" s="1"/>
  <c r="M65" i="2"/>
  <c r="G65" i="2" s="1"/>
  <c r="M63" i="2"/>
  <c r="G63" i="2" s="1"/>
  <c r="H63" i="2"/>
  <c r="M60" i="2"/>
  <c r="G60" i="2" s="1"/>
  <c r="I60" i="2" s="1"/>
  <c r="M59" i="2"/>
  <c r="G59" i="2" s="1"/>
  <c r="I59" i="2" s="1"/>
  <c r="M58" i="2"/>
  <c r="G58" i="2"/>
  <c r="I58" i="2" s="1"/>
  <c r="M57" i="2"/>
  <c r="G57" i="2" s="1"/>
  <c r="M56" i="2"/>
  <c r="G56" i="2" s="1"/>
  <c r="N38" i="2"/>
  <c r="G38" i="2" s="1"/>
  <c r="I38" i="2" s="1"/>
  <c r="N37" i="2"/>
  <c r="G37" i="2" s="1"/>
  <c r="I37" i="2" s="1"/>
  <c r="M7" i="2"/>
  <c r="M6" i="2"/>
  <c r="M23" i="2"/>
  <c r="G23" i="2" s="1"/>
  <c r="I23" i="2" s="1"/>
  <c r="M24" i="2"/>
  <c r="G24" i="2" s="1"/>
  <c r="I24" i="2" s="1"/>
  <c r="M29" i="2"/>
  <c r="G29" i="2" s="1"/>
  <c r="I29" i="2" s="1"/>
  <c r="M16" i="2"/>
  <c r="G16" i="2" s="1"/>
  <c r="M18" i="2"/>
  <c r="M19" i="2"/>
  <c r="G19" i="2" s="1"/>
  <c r="I19" i="2" s="1"/>
  <c r="M25" i="2"/>
  <c r="G25" i="2" s="1"/>
  <c r="M26" i="2"/>
  <c r="G26" i="2" s="1"/>
  <c r="I26" i="2" s="1"/>
  <c r="M27" i="2"/>
  <c r="G27" i="2" s="1"/>
  <c r="I27" i="2" s="1"/>
  <c r="M28" i="2"/>
  <c r="G28" i="2" s="1"/>
  <c r="I28" i="2" s="1"/>
  <c r="G18" i="2"/>
  <c r="I18" i="2" s="1"/>
  <c r="G17" i="2"/>
  <c r="I17" i="2" s="1"/>
  <c r="H16" i="2"/>
  <c r="M9" i="2"/>
  <c r="G9" i="2"/>
  <c r="I9" i="2" s="1"/>
  <c r="M10" i="2"/>
  <c r="G10" i="2" s="1"/>
  <c r="I10" i="2" s="1"/>
  <c r="M11" i="2"/>
  <c r="G11" i="2" s="1"/>
  <c r="I11" i="2" s="1"/>
  <c r="M12" i="2"/>
  <c r="G12" i="2" s="1"/>
  <c r="I12" i="2" s="1"/>
  <c r="M13" i="2"/>
  <c r="G13" i="2" s="1"/>
  <c r="I13" i="2" s="1"/>
  <c r="L4" i="4"/>
  <c r="I16" i="2" l="1"/>
  <c r="N7" i="2"/>
  <c r="G7" i="2" s="1"/>
  <c r="I7" i="2" s="1"/>
  <c r="I63" i="2"/>
  <c r="H72" i="2"/>
  <c r="I72" i="2" s="1"/>
  <c r="I73" i="2"/>
  <c r="M32" i="2"/>
  <c r="G32" i="2" s="1"/>
  <c r="I32" i="2" s="1"/>
  <c r="M77" i="2"/>
  <c r="G77" i="2" s="1"/>
  <c r="G78" i="2" s="1"/>
  <c r="I78" i="2" s="1"/>
  <c r="I84" i="2"/>
  <c r="I30" i="2"/>
  <c r="H25" i="2"/>
  <c r="I25" i="2" s="1"/>
  <c r="M37" i="2"/>
  <c r="O7" i="2"/>
  <c r="I39" i="2"/>
  <c r="N53" i="2"/>
  <c r="G53" i="2" s="1"/>
  <c r="I56" i="2"/>
  <c r="I65" i="2"/>
  <c r="I57" i="2"/>
  <c r="N54" i="2"/>
  <c r="G54" i="2" s="1"/>
  <c r="I66" i="2"/>
  <c r="N6" i="2"/>
  <c r="G6" i="2" s="1"/>
  <c r="I75" i="2"/>
  <c r="I91" i="2"/>
  <c r="N89" i="2"/>
  <c r="G89" i="2" s="1"/>
  <c r="G95" i="2"/>
  <c r="I95" i="2" s="1"/>
  <c r="I94" i="2"/>
  <c r="N8" i="2"/>
  <c r="G8" i="2" s="1"/>
  <c r="N55" i="2"/>
  <c r="G55" i="2" s="1"/>
  <c r="G33" i="2" l="1"/>
  <c r="I33" i="2" s="1"/>
  <c r="I96" i="2"/>
  <c r="I77" i="2"/>
  <c r="I79" i="2" s="1"/>
  <c r="O8" i="2"/>
  <c r="M38" i="2"/>
  <c r="I8" i="2"/>
  <c r="I20" i="2"/>
  <c r="O6" i="2"/>
  <c r="M36" i="2"/>
  <c r="I6" i="2"/>
  <c r="O54" i="2"/>
  <c r="I54" i="2"/>
  <c r="M82" i="2"/>
  <c r="I34" i="2"/>
  <c r="M81" i="2"/>
  <c r="I53" i="2"/>
  <c r="O53" i="2"/>
  <c r="O55" i="2"/>
  <c r="I55" i="2"/>
  <c r="M83" i="2"/>
  <c r="O89" i="2"/>
  <c r="I89" i="2"/>
  <c r="I92" i="2" s="1"/>
  <c r="I100" i="2" s="1"/>
  <c r="M98" i="2"/>
  <c r="I67" i="2" l="1"/>
  <c r="I61" i="2"/>
  <c r="I85" i="2" s="1"/>
  <c r="I14" i="2"/>
  <c r="I40" i="2" s="1"/>
  <c r="I107" i="2" s="1"/>
</calcChain>
</file>

<file path=xl/comments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IsLocked="No"/&gt;&lt;ATTRIBUTE Name="GeometricIndustryStandard" IsLocked="No"/&gt;&lt;ATTRIBUTE Name="TOINaznach" IsLocked="No"/&gt;&lt;ATTRIBUTE Name="MaterialForSpec" IsLocked="No"/&gt;&lt;ATTRIBUTE Name="RMRoomName"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Order="DESC"&gt;&lt;XREF_ATTRIBUTE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Name="OutDiameter" IsLocked="No"/&gt;&lt;ATTRIBUTE Name="ComponentSort"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Name="Desc2" Value=""/&gt;&lt;/COLUMN&gt;&lt;COLUMN Order="ASC"&gt;&lt;XREF_ATTRIBUTE Name="KKS" Value=""/&gt;&lt;/COLUMN&gt;&lt;COLUMN Order="ASC"&gt;&lt;XREF_ATTRIBUTE Name="ComponentSort" Value=""/&gt;&lt;/COLUMN&gt;&lt;COLUMN Order="ASC"&gt;&lt;XREF_ATTRIBUTE Name="Desc1" Value=""/&gt;&lt;/COLUMN&gt;&lt;COLUMN Order="ASC"&gt;&lt;XREF_ATTRIBUTE Name="UnitWeight" Value=""/&gt;&lt;/COLUMN&gt;&lt;/SORT&gt;&lt;GROUPING&gt;&lt;GROUP_ATTRIBUTES&gt;&lt;XREF_ATTRIBUTE Name="KKS" Value=""/&gt;&lt;XREF_ATTRIBUTE Name="Desc1" Value=""/&gt;&lt;XREF_ATTRIBUTE Name="Group" Value=""/&gt;&lt;XREF_ATTRIBUTE Name="ComponentSort" Value=""/&gt;&lt;XREF_ATTRIBUTE Name="Desc2" Value=""/&gt;&lt;XREF_ATTRIBUTE Name="UnitWeight"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Falcon Jean Francois:</t>
        </r>
        <r>
          <rPr>
            <sz val="9"/>
            <color indexed="81"/>
            <rFont val="Tahoma"/>
            <family val="2"/>
            <charset val="204"/>
          </rPr>
          <t xml:space="preserve">
It can be: 
    0 = Fill Down
    1 = Copy Down
    2 = Copy Up</t>
        </r>
      </text>
    </comment>
  </commentList>
</comments>
</file>

<file path=xl/sharedStrings.xml><?xml version="1.0" encoding="utf-8"?>
<sst xmlns="http://schemas.openxmlformats.org/spreadsheetml/2006/main" count="559" uniqueCount="195">
  <si>
    <t>Пози-ция</t>
  </si>
  <si>
    <t>Код KKS</t>
  </si>
  <si>
    <t xml:space="preserve">Наименование и техническая   характеристика
</t>
  </si>
  <si>
    <t>Материал</t>
  </si>
  <si>
    <t>Класс безопаc-ности по
НП-001-97</t>
  </si>
  <si>
    <t>кг</t>
  </si>
  <si>
    <t>Изделия трубопроводов</t>
  </si>
  <si>
    <t>Опоры и подвески</t>
  </si>
  <si>
    <t>Материалы для крепления трубопроводов</t>
  </si>
  <si>
    <t>Изделия трубопроводов без класса безопасности или группы материала</t>
  </si>
  <si>
    <t>Для трубопроводов высокого давления 2 класса безопасности  из коррозионно-стойкой стали</t>
  </si>
  <si>
    <t>Для трубопроводов высокого давления 3 класса безопасности  из коррозионно-стойкой стали</t>
  </si>
  <si>
    <t>Для трубопроводов высокого давления 4 класса безопасности  из коррозионно-стойкой стали</t>
  </si>
  <si>
    <t>Для трубопроводов высокого давления 2 класса безопасности из углеродистой стали</t>
  </si>
  <si>
    <t>Для трубопроводов высокого давления 3 класса безопасности из углеродистой стали</t>
  </si>
  <si>
    <t>Для трубопроводов высокого давления 4 класса безопасности из углеродистой стали</t>
  </si>
  <si>
    <t>Для трубопроводов высокого давления 2 класса безопасности из легированной стали</t>
  </si>
  <si>
    <t>Для трубопроводов высокого давления 3 класса безопасности из легированной стали</t>
  </si>
  <si>
    <t>Для трубопроводов высокого давления 4 класса безопасности из легированной стали</t>
  </si>
  <si>
    <t>Для трубопроводов низкого давления 2 класса безопасности из коррозионно-стойкой стали</t>
  </si>
  <si>
    <t>Для трубопроводов низкого давления 3 класса безопасности из коррозионно-стойкой стали</t>
  </si>
  <si>
    <t>Для трубопроводов низкого давления 4 класса безопасности из коррозионно-стойкой стали</t>
  </si>
  <si>
    <t>Для трубопроводов низкого давления 2 класса безопасности из углеродистой стали</t>
  </si>
  <si>
    <t>Для трубопроводов низкого давления 3 класса безопасности из углеродистой стали</t>
  </si>
  <si>
    <t>Для трубопроводов низкого давления 4 класса безопасности из углеродистой стали</t>
  </si>
  <si>
    <t>Для трубопроводов низкого давления 2 класса безопасности из легированной стали</t>
  </si>
  <si>
    <t>Для трубопроводов низкого давления 3 класса безопасности из легированной стали</t>
  </si>
  <si>
    <t>Для трубопроводов низкого давления 4 класса безопасности из легированной стали</t>
  </si>
  <si>
    <t>Для трубопроводов без класса безопасности или группы материала</t>
  </si>
  <si>
    <t>Трубы для контрольных сварных соединений</t>
  </si>
  <si>
    <t>Монтажный запас труб</t>
  </si>
  <si>
    <t>Категория обеспечения качества</t>
  </si>
  <si>
    <t>Изделия трубопроводов высокого давления 2 класса безопасности DN ≥ 100 из коррозионно-стойкой стали</t>
  </si>
  <si>
    <t>Изделия трубопроводов высокого давления 3 класса безопасности DN ≥ 100 из коррозионно-стойкой стали</t>
  </si>
  <si>
    <t>Изделия трубопроводов высокого давления 4 класса безопасности DN ≥ 100 из коррозионно-стойкой стали</t>
  </si>
  <si>
    <t>Изделия трубопроводов высокого давления 2 класса безопасности DN &lt; 100 из коррозионно-стойкой стали</t>
  </si>
  <si>
    <t>Изделия трубопроводов высокого давления 3 класса безопасности DN &lt; 100 из коррозионно-стойкой стали</t>
  </si>
  <si>
    <t>Изделия трубопроводов высокого давления 4 класса безопасности DN &lt; 100 из коррозионно-стойкой стали</t>
  </si>
  <si>
    <t>Изделия трубопроводов высокого давления 2 класса безопасности DN ≥ 100 из углеродистой стали</t>
  </si>
  <si>
    <t>Изделия трубопроводов высокого давления 3 класса безопасности DN ≥ 100 из углеродистой стали</t>
  </si>
  <si>
    <t>Изделия трубопроводов высокого давления 4 класса безопасности DN ≥ 100 из углеродистой стали</t>
  </si>
  <si>
    <t>Изделия трубопроводов высокого давления 2 класса безопасности DN &lt; 100 из углеродистой стали</t>
  </si>
  <si>
    <t>Изделия трубопроводов высокого давления 3 класса безопасности DN &lt; 100 из углеродистой стали</t>
  </si>
  <si>
    <t>Изделия трубопроводов высокого давления 4 класса безопасности DN &lt; 100 из углеродистой стали</t>
  </si>
  <si>
    <t>Изделия трубопроводов высокого давления 2 класса безопасности DN ≥ 100 из легированной стали</t>
  </si>
  <si>
    <t>Изделия трубопроводов высокого давления 3 класса безопасности DN ≥ 100 из легированной стали</t>
  </si>
  <si>
    <t>Изделия трубопроводов высокого давления 4 класса безопасности DN ≥ 100 из легированной стали</t>
  </si>
  <si>
    <t>Изделия трубопроводов высокого давления 2 класса безопасности DN &lt; 100 из легированной стали</t>
  </si>
  <si>
    <t>Изделия трубопроводов высокого давления 3 класса безопасности DN &lt; 100 из легированной стали</t>
  </si>
  <si>
    <t>Изделия трубопроводов высокого давления 4 класса безопасности DN &lt; 100 из легированной стали</t>
  </si>
  <si>
    <t>Изделия трубопроводов низкого давления 2 класса безопасности DN ≥ 100 из коррозионно-стойкой стали</t>
  </si>
  <si>
    <t>Изделия трубопроводов низкого давления 3 класса безопасности DN ≥ 100 из коррозионно-стойкой стали</t>
  </si>
  <si>
    <t>Изделия трубопроводов низкого давления 4 класса безопасности DN ≥ 100 из коррозионно-стойкой стали</t>
  </si>
  <si>
    <t>Изделия трубопроводов низкого давления 2 класса безопасности DN &lt; 100 из коррозионно-стойкой стали</t>
  </si>
  <si>
    <t>Изделия трубопроводов низкого давления 3 класса безопасности DN &lt; 100 из коррозионно-стойкой стали</t>
  </si>
  <si>
    <t>Изделия трубопроводов низкого давления 4 класса безопасности DN &lt; 100 из коррозионно-стойкой стали</t>
  </si>
  <si>
    <t>Изделия трубопроводов низкого давления 2 класса безопасности DN ≥ 100 из углеродистой стали</t>
  </si>
  <si>
    <t>Изделия трубопроводов низкого давления 3 класса безопасности DN ≥ 100 из углеродистой стали</t>
  </si>
  <si>
    <t>Изделия трубопроводов низкого давления 4 класса безопасности DN ≥ 100 из углеродистой стали</t>
  </si>
  <si>
    <t>Изделия трубопроводов низкого давления 2 класса безопасности DN &lt; 100 из углеродистой стали</t>
  </si>
  <si>
    <t>Изделия трубопроводов низкого давления 3 класса безопасности DN &lt; 100 из углеродистой стали</t>
  </si>
  <si>
    <t>Изделия трубопроводов низкого давления 4 класса безопасности DN &lt; 100 из углеродистой стали</t>
  </si>
  <si>
    <t>Изделия трубопроводов низкого давления 2 класса безопасности DN ≥ 100 из легированной стали</t>
  </si>
  <si>
    <t>Изделия трубопроводов низкого давления 3 класса безопасности DN ≥ 100 из легированной стали</t>
  </si>
  <si>
    <t>Изделия трубопроводов низкого давления 4 класса безопасности DN ≥ 100 из легированной стали</t>
  </si>
  <si>
    <t>Изделия трубопроводов низкого давления 2 класса безопасности DN &lt; 100 из легированной стали</t>
  </si>
  <si>
    <t>Изделия трубопроводов низкого давления 3 класса безопасности DN &lt; 100 из легированной стали</t>
  </si>
  <si>
    <t>Изделия трубопроводов низкого давления 4 класса безопасности DN &lt; 100 из легированной стали</t>
  </si>
  <si>
    <t>Опоры и подвески трубопроводов низкого давления 2 класса безопасности, нормализованные</t>
  </si>
  <si>
    <t>Опоры и подвески трубопроводов низкого давления 3 класса безопасности, нормализованные</t>
  </si>
  <si>
    <t>Опоры и подвески трубопроводов низкого давления 4 класса безопасности, нормализованные</t>
  </si>
  <si>
    <t>Документ / Группа или Категория</t>
  </si>
  <si>
    <t>Единица измерения</t>
  </si>
  <si>
    <t>Количество</t>
  </si>
  <si>
    <t>Масса
1 ед.,
 kg</t>
  </si>
  <si>
    <t>Масса  
общая,
 kg</t>
  </si>
  <si>
    <t>Примечание</t>
  </si>
  <si>
    <t>Помещение</t>
  </si>
  <si>
    <t>Изделия трубопроводов низкого давления 4 класса безопасности DN ≥ 100 из ПВХ</t>
  </si>
  <si>
    <t>Для трубопроводов низкого давления 4 класса безопасности из ПВХ</t>
  </si>
  <si>
    <t>Изделия трубопроводов низкого давления 4 класса безопасности DN &lt; 100 из ПВХ</t>
  </si>
  <si>
    <t/>
  </si>
  <si>
    <t>м</t>
  </si>
  <si>
    <t>Всего по спецификации:</t>
  </si>
  <si>
    <t>-</t>
  </si>
  <si>
    <t>сборный</t>
  </si>
  <si>
    <t>QA4</t>
  </si>
  <si>
    <t>Итого:</t>
  </si>
  <si>
    <t>1</t>
  </si>
  <si>
    <t>2</t>
  </si>
  <si>
    <t>3</t>
  </si>
  <si>
    <t>Покровной 1 слой «Вектор» 1214
ТУ 5775-003-17045751-99</t>
  </si>
  <si>
    <t>Сталь 20 ТУ 14-3-190-2004</t>
  </si>
  <si>
    <t xml:space="preserve">                                                              2. Опоры и подвески</t>
  </si>
  <si>
    <t xml:space="preserve">                                                              2.1 Опоры и подвески трубопроводов низкого давления 4 класса безопасности, нормализованные</t>
  </si>
  <si>
    <t xml:space="preserve">                                                              3. Антикоррозионное покрытие</t>
  </si>
  <si>
    <t>шт.</t>
  </si>
  <si>
    <r>
      <rPr>
        <sz val="10"/>
        <rFont val="Arial"/>
        <family val="2"/>
        <charset val="204"/>
      </rPr>
      <t>м</t>
    </r>
    <r>
      <rPr>
        <b/>
        <vertAlign val="superscript"/>
        <sz val="10"/>
        <rFont val="Arial"/>
        <family val="2"/>
        <charset val="204"/>
      </rPr>
      <t>2</t>
    </r>
  </si>
  <si>
    <t>Защитный антикоррозионный состав 
2 слоя «Вектор» 1025 (грунт)
ТУ 5775-004-17045751-99</t>
  </si>
  <si>
    <t xml:space="preserve">                                                             1. Изделия трубопроводов</t>
  </si>
  <si>
    <t>Без учета
антикорр. покрытия</t>
  </si>
  <si>
    <t>стр.дл.</t>
  </si>
  <si>
    <t>монт.дл.</t>
  </si>
  <si>
    <t>00SBA20</t>
  </si>
  <si>
    <t>Надземная прокладка</t>
  </si>
  <si>
    <t>Итого по 00SBA10:</t>
  </si>
  <si>
    <t>Итого по 00SBA20:</t>
  </si>
  <si>
    <t>Спецификация оборудования, изделий и материалов</t>
  </si>
  <si>
    <t>4</t>
  </si>
  <si>
    <t xml:space="preserve">                                                             1.2 Изделия трубопроводов низкого давления 4 класса безопасности DN&lt;100  из углеродистой стали</t>
  </si>
  <si>
    <t xml:space="preserve">                                                             1.1 Изделия трубопроводов низкого давления 4 класса безопасности DN≥100  из углеродистой стали</t>
  </si>
  <si>
    <t>Колено П 90º - 219x8-PN40
11 СТО 95 130-2013</t>
  </si>
  <si>
    <t>5</t>
  </si>
  <si>
    <t>6</t>
  </si>
  <si>
    <t>7</t>
  </si>
  <si>
    <t>8</t>
  </si>
  <si>
    <t>Колено П 90º - 159x6-PN40
10 СТО 95 130-2013</t>
  </si>
  <si>
    <t>Колено П 90º - 133x4-PN40
08 СТО 95 130-2013</t>
  </si>
  <si>
    <t>Тройник переходный 219х7-133х4-PN40-IV
174 СТО 95 127-2013</t>
  </si>
  <si>
    <t>Переход ЭП DN200хDN150-PN40
16 СТО 95 131-2013</t>
  </si>
  <si>
    <t>11</t>
  </si>
  <si>
    <t>12</t>
  </si>
  <si>
    <t>13</t>
  </si>
  <si>
    <t>14</t>
  </si>
  <si>
    <t>15</t>
  </si>
  <si>
    <t>Колено П 90º - 89x3,5-PN40
04 СТО 95 130-2013</t>
  </si>
  <si>
    <t>Колено Т 90º - 32х2-100х100-357-PN40 
56 СТО 95 115-2013</t>
  </si>
  <si>
    <t>Ответвление П 89x3,5-200-PN16 
11 СТО 95 121-2013</t>
  </si>
  <si>
    <t>Штуцер DN25
05 СТО 95-122-2013</t>
  </si>
  <si>
    <t>Штуцер DN20
04 СТО 95-122-2013</t>
  </si>
  <si>
    <t>16</t>
  </si>
  <si>
    <t>Для дренажа</t>
  </si>
  <si>
    <t>Для воздушника</t>
  </si>
  <si>
    <t>Опора скользящая 219
ТС-624.000-030</t>
  </si>
  <si>
    <t>17</t>
  </si>
  <si>
    <t>18</t>
  </si>
  <si>
    <t>Опора неподвижная хомутовая 219 
ТС-670.00.00-18</t>
  </si>
  <si>
    <t>19</t>
  </si>
  <si>
    <t>20</t>
  </si>
  <si>
    <t>Опора скользящая 133
ТС-623.000-21</t>
  </si>
  <si>
    <t>Опорная конструкция - тип 1 в составе:</t>
  </si>
  <si>
    <t>Швеллер 30У ГОСТ 8240-97</t>
  </si>
  <si>
    <t>Ст3сп5 ГОСТ 535-2005</t>
  </si>
  <si>
    <t xml:space="preserve">                                                              4. Монтажный запас</t>
  </si>
  <si>
    <t>Монтажный запас</t>
  </si>
  <si>
    <r>
      <t xml:space="preserve">Лист MTC0001
</t>
    </r>
    <r>
      <rPr>
        <sz val="8"/>
        <color indexed="8"/>
        <rFont val="Arial"/>
        <family val="2"/>
        <charset val="204"/>
      </rPr>
      <t>KUR.0130.00UNZ.SBA.TS.TB0055</t>
    </r>
  </si>
  <si>
    <t>17.1</t>
  </si>
  <si>
    <t>17.2</t>
  </si>
  <si>
    <t>17.3</t>
  </si>
  <si>
    <t>L(строительная) = 5,37 м</t>
  </si>
  <si>
    <t>Труба 219х7
СТО 95 113-2013</t>
  </si>
  <si>
    <t>Труба 159х5
СТО 95 113-2013</t>
  </si>
  <si>
    <t>Труба 133х4
СТО 95 113-2013</t>
  </si>
  <si>
    <t>Труба 89х3,5
СТО 95 113-2013</t>
  </si>
  <si>
    <t>L(строительная) = 6,27 м</t>
  </si>
  <si>
    <t>L(строительная) = 158,71 м</t>
  </si>
  <si>
    <t xml:space="preserve">                                                             5. Изделия трубопроводов</t>
  </si>
  <si>
    <t xml:space="preserve">                                                             5.1 Изделия трубопроводов низкого давления 4 класса безопасности DN≥100  из углеродистой стали</t>
  </si>
  <si>
    <t xml:space="preserve">                                                             5.2 Изделия трубопроводов низкого давления 4 класса безопасности DN&lt;100  из углеродистой стали</t>
  </si>
  <si>
    <t xml:space="preserve">                                                              6. Опоры и подвески</t>
  </si>
  <si>
    <t xml:space="preserve">                                                              6.1 Опоры и подвески трубопроводов низкого давления 4 класса безопасности, нормализованные</t>
  </si>
  <si>
    <t xml:space="preserve">                                                              7. Антикоррозионное покрытие</t>
  </si>
  <si>
    <t xml:space="preserve">                                                              8. Монтажный запас</t>
  </si>
  <si>
    <t>прин.</t>
  </si>
  <si>
    <t>факт</t>
  </si>
  <si>
    <t xml:space="preserve">                                                             9. Изделия трубопроводов</t>
  </si>
  <si>
    <t xml:space="preserve">                                                             9.1 Изделия трубопроводов низкого давления 4 класса безопасности DN&lt;100  из углеродистой стали</t>
  </si>
  <si>
    <t>Трубопроводы дренажей
Р=0,02 МПа, t=40 °С</t>
  </si>
  <si>
    <t xml:space="preserve">                                                              10. Антикоррозионное покрытие</t>
  </si>
  <si>
    <t xml:space="preserve">                                                              11. Монтажный запас</t>
  </si>
  <si>
    <t>Итого по трубопроводам дренажа:</t>
  </si>
  <si>
    <t>L(строительная) = 159,81 м</t>
  </si>
  <si>
    <t>L(строительная) = 9,44 м</t>
  </si>
  <si>
    <t>Документ /
Группа или Категория</t>
  </si>
  <si>
    <t>Категория
обеспечения
качества</t>
  </si>
  <si>
    <t>Опора скользящая 133
ТС-623.000-23</t>
  </si>
  <si>
    <t>Опора скользящая 426
ТС-624.000-044</t>
  </si>
  <si>
    <t>L(строительная) = 9,98 м</t>
  </si>
  <si>
    <t>L(строительная) = 9,88 м</t>
  </si>
  <si>
    <t>Демонтаж</t>
  </si>
  <si>
    <t xml:space="preserve">                                                             12. Изделия трубопроводов</t>
  </si>
  <si>
    <t xml:space="preserve">                                                             12.1 Изделия трубопроводов низкого давления 4 класса безопасности DN≥100  из углеродистой стали</t>
  </si>
  <si>
    <t>Заглушка П2 200-PN40-IV
11 СТО 95 133-2013</t>
  </si>
  <si>
    <t>Сталь 20 (Сборный)</t>
  </si>
  <si>
    <t>Итого по демонтажу:</t>
  </si>
  <si>
    <t>Позиция 8 спецификации KUR.0130.00UNZ.SBA.TS.TB0015.
S0001</t>
  </si>
  <si>
    <t>стыки</t>
  </si>
  <si>
    <t>Трубопровод прямой сетевой воды</t>
  </si>
  <si>
    <t>Трубопровод обратной сетевой воды</t>
  </si>
  <si>
    <t>Трубопроводы дренажей</t>
  </si>
  <si>
    <t xml:space="preserve"> Р=1,0 МПа, t=130 °С</t>
  </si>
  <si>
    <t>Р=1,0 МПа, t=70 °С</t>
  </si>
  <si>
    <t>00SBA10</t>
  </si>
  <si>
    <t xml:space="preserve"> Р=1,0 МПа, t=130 °С
Подзменая прокладка</t>
  </si>
  <si>
    <t>Трубопровод прямой сетевой воды 
Подзменая прокладка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</si>
</sst>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10"/>
      <color indexed="8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2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4" fillId="0" borderId="0" xfId="0" applyFont="1" applyFill="1" applyBorder="1"/>
    <xf numFmtId="49" fontId="4" fillId="0" borderId="1" xfId="0" applyNumberFormat="1" applyFont="1" applyBorder="1"/>
    <xf numFmtId="49" fontId="4" fillId="0" borderId="2" xfId="0" applyNumberFormat="1" applyFont="1" applyBorder="1"/>
    <xf numFmtId="0" fontId="4" fillId="0" borderId="3" xfId="0" applyFont="1" applyBorder="1"/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/>
    <xf numFmtId="49" fontId="4" fillId="0" borderId="2" xfId="0" applyNumberFormat="1" applyFont="1" applyFill="1" applyBorder="1"/>
    <xf numFmtId="2" fontId="0" fillId="0" borderId="0" xfId="0" applyNumberFormat="1"/>
    <xf numFmtId="2" fontId="4" fillId="0" borderId="2" xfId="0" applyNumberFormat="1" applyFont="1" applyBorder="1"/>
    <xf numFmtId="2" fontId="4" fillId="0" borderId="0" xfId="0" applyNumberFormat="1" applyFont="1" applyBorder="1" applyAlignment="1">
      <alignment vertical="center"/>
    </xf>
    <xf numFmtId="2" fontId="4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/>
    <xf numFmtId="49" fontId="5" fillId="0" borderId="0" xfId="1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2" fillId="0" borderId="4" xfId="0" applyFont="1" applyFill="1" applyBorder="1"/>
    <xf numFmtId="49" fontId="2" fillId="0" borderId="4" xfId="0" applyNumberFormat="1" applyFont="1" applyFill="1" applyBorder="1"/>
    <xf numFmtId="2" fontId="2" fillId="0" borderId="4" xfId="0" applyNumberFormat="1" applyFont="1" applyFill="1" applyBorder="1" applyAlignment="1">
      <alignment horizontal="center" vertical="center"/>
    </xf>
    <xf numFmtId="0" fontId="7" fillId="0" borderId="4" xfId="3" applyNumberFormat="1" applyFont="1" applyFill="1" applyBorder="1" applyAlignment="1">
      <alignment horizontal="center" vertical="center" wrapText="1"/>
    </xf>
    <xf numFmtId="2" fontId="7" fillId="0" borderId="4" xfId="3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13" fillId="0" borderId="4" xfId="3" applyNumberFormat="1" applyFont="1" applyFill="1" applyBorder="1" applyAlignment="1">
      <alignment horizontal="left" vertical="center"/>
    </xf>
    <xf numFmtId="2" fontId="9" fillId="0" borderId="4" xfId="0" applyNumberFormat="1" applyFont="1" applyFill="1" applyBorder="1" applyAlignment="1">
      <alignment horizontal="center" vertical="center" wrapText="1"/>
    </xf>
    <xf numFmtId="164" fontId="9" fillId="0" borderId="4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/>
    <xf numFmtId="2" fontId="0" fillId="0" borderId="4" xfId="0" applyNumberFormat="1" applyFont="1" applyFill="1" applyBorder="1" applyAlignment="1">
      <alignment horizontal="center" vertical="center" wrapText="1"/>
    </xf>
    <xf numFmtId="2" fontId="9" fillId="0" borderId="4" xfId="3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9" fillId="0" borderId="4" xfId="0" applyNumberFormat="1" applyFont="1" applyFill="1" applyBorder="1"/>
    <xf numFmtId="0" fontId="0" fillId="0" borderId="4" xfId="0" applyNumberFormat="1" applyFont="1" applyFill="1" applyBorder="1" applyAlignment="1"/>
    <xf numFmtId="0" fontId="2" fillId="0" borderId="0" xfId="0" applyFont="1" applyFill="1" applyBorder="1"/>
    <xf numFmtId="49" fontId="9" fillId="0" borderId="4" xfId="3" applyNumberFormat="1" applyFont="1" applyFill="1" applyBorder="1" applyAlignment="1">
      <alignment horizontal="center" vertical="center" wrapText="1"/>
    </xf>
    <xf numFmtId="2" fontId="7" fillId="0" borderId="4" xfId="3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2" fillId="0" borderId="7" xfId="0" applyNumberFormat="1" applyFont="1" applyFill="1" applyBorder="1" applyAlignment="1">
      <alignment horizontal="left" vertical="center" wrapText="1"/>
    </xf>
    <xf numFmtId="49" fontId="13" fillId="0" borderId="4" xfId="3" applyNumberFormat="1" applyFont="1" applyFill="1" applyBorder="1" applyAlignment="1">
      <alignment horizontal="left" vertical="center"/>
    </xf>
    <xf numFmtId="49" fontId="13" fillId="0" borderId="4" xfId="3" applyNumberFormat="1" applyFont="1" applyFill="1" applyBorder="1" applyAlignment="1">
      <alignment horizontal="left" vertical="center"/>
    </xf>
    <xf numFmtId="1" fontId="2" fillId="0" borderId="4" xfId="3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>
      <alignment vertical="center" wrapText="1"/>
    </xf>
    <xf numFmtId="49" fontId="7" fillId="0" borderId="4" xfId="3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4" xfId="0" applyNumberFormat="1" applyFont="1" applyBorder="1" applyAlignment="1" applyProtection="1">
      <alignment horizontal="left" vertical="center" wrapText="1"/>
      <protection locked="0"/>
    </xf>
    <xf numFmtId="2" fontId="7" fillId="0" borderId="4" xfId="3" applyNumberFormat="1" applyFont="1" applyFill="1" applyBorder="1" applyAlignment="1">
      <alignment horizontal="left" vertical="center" wrapText="1"/>
    </xf>
    <xf numFmtId="49" fontId="12" fillId="0" borderId="4" xfId="3" applyNumberFormat="1" applyFont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left" vertical="center" wrapText="1"/>
    </xf>
    <xf numFmtId="49" fontId="2" fillId="0" borderId="8" xfId="3" applyNumberFormat="1" applyFont="1" applyFill="1" applyBorder="1" applyAlignment="1">
      <alignment horizontal="left" vertical="center"/>
    </xf>
    <xf numFmtId="49" fontId="2" fillId="0" borderId="7" xfId="3" applyNumberFormat="1" applyFont="1" applyFill="1" applyBorder="1" applyAlignment="1">
      <alignment horizontal="left" vertical="center"/>
    </xf>
    <xf numFmtId="49" fontId="2" fillId="0" borderId="9" xfId="3" applyNumberFormat="1" applyFont="1" applyFill="1" applyBorder="1" applyAlignment="1">
      <alignment horizontal="left" vertical="center"/>
    </xf>
    <xf numFmtId="49" fontId="13" fillId="0" borderId="4" xfId="3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1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vertical="center"/>
    </xf>
    <xf numFmtId="49" fontId="5" fillId="0" borderId="0" xfId="1" applyNumberFormat="1" applyFont="1" applyBorder="1" applyAlignment="1">
      <alignment horizontal="left" vertical="center"/>
    </xf>
  </cellXfs>
  <cellStyles count="4">
    <cellStyle name="Normal 2" xfId="1"/>
    <cellStyle name="Normal 2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9"/>
  <sheetViews>
    <sheetView workbookViewId="0"/>
  </sheetViews>
  <sheetFormatPr defaultRowHeight="13" x14ac:dyDescent="0.3"/>
  <cols>
    <col min="1" max="1" width="55.81640625" style="2" customWidth="1"/>
    <col min="2" max="2" width="26.81640625" customWidth="1"/>
    <col min="3" max="4" width="20" customWidth="1"/>
    <col min="5" max="5" width="19.7265625" customWidth="1"/>
  </cols>
  <sheetData>
    <row r="1" spans="1:5" s="1" customFormat="1" ht="21.75" customHeight="1" x14ac:dyDescent="0.25">
      <c r="A1"/>
      <c r="B1"/>
      <c r="C1"/>
      <c r="D1"/>
      <c r="E1"/>
    </row>
    <row r="2" spans="1:5" ht="12.5" x14ac:dyDescent="0.25">
      <c r="A2"/>
    </row>
    <row r="3" spans="1:5" ht="12.5" x14ac:dyDescent="0.25">
      <c r="A3"/>
    </row>
    <row r="4" spans="1:5" s="1" customFormat="1" ht="21.75" customHeight="1" x14ac:dyDescent="0.25">
      <c r="A4"/>
      <c r="B4"/>
      <c r="C4"/>
      <c r="D4"/>
      <c r="E4"/>
    </row>
    <row r="5" spans="1:5" ht="12.5" x14ac:dyDescent="0.25">
      <c r="A5"/>
    </row>
    <row r="6" spans="1:5" ht="12.5" x14ac:dyDescent="0.25">
      <c r="A6"/>
    </row>
    <row r="7" spans="1:5" ht="12.5" x14ac:dyDescent="0.25">
      <c r="A7"/>
    </row>
    <row r="8" spans="1:5" ht="12.5" x14ac:dyDescent="0.25">
      <c r="A8"/>
    </row>
    <row r="9" spans="1:5" ht="12.5" x14ac:dyDescent="0.25">
      <c r="A9"/>
    </row>
    <row r="10" spans="1:5" ht="12.5" x14ac:dyDescent="0.25">
      <c r="A10"/>
    </row>
    <row r="11" spans="1:5" ht="12.5" x14ac:dyDescent="0.25">
      <c r="A11"/>
    </row>
    <row r="12" spans="1:5" ht="12.5" x14ac:dyDescent="0.25">
      <c r="A12"/>
    </row>
    <row r="13" spans="1:5" ht="12.5" x14ac:dyDescent="0.25">
      <c r="A13"/>
    </row>
    <row r="14" spans="1:5" ht="12.5" x14ac:dyDescent="0.25">
      <c r="A14"/>
    </row>
    <row r="15" spans="1:5" ht="12.5" x14ac:dyDescent="0.25">
      <c r="A15"/>
    </row>
    <row r="16" spans="1:5" ht="12.5" x14ac:dyDescent="0.25">
      <c r="A16"/>
    </row>
    <row r="17" spans="1:1" ht="12.5" x14ac:dyDescent="0.25">
      <c r="A17"/>
    </row>
    <row r="18" spans="1:1" ht="12.5" x14ac:dyDescent="0.25">
      <c r="A18"/>
    </row>
    <row r="19" spans="1:1" ht="12.5" x14ac:dyDescent="0.25">
      <c r="A19"/>
    </row>
  </sheetData>
  <customSheetViews>
    <customSheetView guid="{5957D273-4ED5-4929-9B3A-FCE5C5FA7B27}" state="veryHidden">
      <pageMargins left="0.75" right="0.75" top="1" bottom="1" header="0.5" footer="0.5"/>
      <pageSetup orientation="portrait" r:id="rId1"/>
      <headerFooter alignWithMargins="0"/>
    </customSheetView>
    <customSheetView guid="{478FD2A1-4717-400D-8E80-8DFF88862534}" state="veryHidden">
      <pageMargins left="0.75" right="0.75" top="1" bottom="1" header="0.5" footer="0.5"/>
      <pageSetup orientation="portrait" r:id="rId2"/>
      <headerFooter alignWithMargins="0"/>
    </customSheetView>
    <customSheetView guid="{11544635-2A86-474C-9536-A4695C24F945}" state="veryHidden">
      <pageMargins left="0.75" right="0.75" top="1" bottom="1" header="0.5" footer="0.5"/>
      <pageSetup orientation="portrait" r:id="rId3"/>
      <headerFooter alignWithMargins="0"/>
    </customSheetView>
    <customSheetView guid="{60DCDA0E-3F55-4C69-A961-338298D6B9EC}" state="veryHidden">
      <pageMargins left="0.75" right="0.75" top="1" bottom="1" header="0.5" footer="0.5"/>
      <pageSetup orientation="portrait" r:id="rId4"/>
      <headerFooter alignWithMargins="0"/>
    </customSheetView>
  </customSheetViews>
  <phoneticPr fontId="0" type="noConversion"/>
  <pageMargins left="0.75" right="0.75" top="1" bottom="1" header="0.5" footer="0.5"/>
  <pageSetup orientation="portrait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14"/>
  <sheetViews>
    <sheetView tabSelected="1" topLeftCell="A31" zoomScale="80" zoomScaleNormal="80" zoomScaleSheetLayoutView="100" zoomScalePageLayoutView="75" workbookViewId="0">
      <selection activeCell="F40" sqref="F40"/>
    </sheetView>
  </sheetViews>
  <sheetFormatPr defaultColWidth="9.1796875" defaultRowHeight="12.5" x14ac:dyDescent="0.25"/>
  <cols>
    <col min="1" max="1" width="16.26953125" style="5" customWidth="1"/>
    <col min="2" max="2" width="16.26953125" style="13" customWidth="1"/>
    <col min="3" max="3" width="28.453125" style="13" customWidth="1"/>
    <col min="4" max="6" width="16.26953125" style="13" customWidth="1"/>
    <col min="7" max="9" width="16.26953125" style="18" customWidth="1"/>
    <col min="10" max="11" width="16.26953125" style="5" customWidth="1"/>
    <col min="12" max="12" width="16.26953125" style="78" customWidth="1"/>
    <col min="13" max="13" width="16.26953125" style="19" customWidth="1"/>
    <col min="14" max="256" width="16.26953125" style="5" customWidth="1"/>
    <col min="257" max="16384" width="9.1796875" style="5"/>
  </cols>
  <sheetData>
    <row r="1" spans="1:15" ht="15.5" x14ac:dyDescent="0.25">
      <c r="A1" s="114" t="s">
        <v>107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53"/>
    </row>
    <row r="2" spans="1:15" s="9" customFormat="1" ht="50" x14ac:dyDescent="0.25">
      <c r="A2" s="51" t="s">
        <v>0</v>
      </c>
      <c r="B2" s="51" t="s">
        <v>1</v>
      </c>
      <c r="C2" s="51" t="s">
        <v>2</v>
      </c>
      <c r="D2" s="51" t="s">
        <v>3</v>
      </c>
      <c r="E2" s="51" t="s">
        <v>173</v>
      </c>
      <c r="F2" s="51" t="s">
        <v>72</v>
      </c>
      <c r="G2" s="58" t="s">
        <v>73</v>
      </c>
      <c r="H2" s="58" t="s">
        <v>74</v>
      </c>
      <c r="I2" s="58" t="s">
        <v>75</v>
      </c>
      <c r="J2" s="58" t="s">
        <v>174</v>
      </c>
      <c r="K2" s="58" t="s">
        <v>77</v>
      </c>
      <c r="L2" s="81" t="s">
        <v>76</v>
      </c>
      <c r="M2" s="19"/>
    </row>
    <row r="3" spans="1:15" s="9" customFormat="1" ht="39" x14ac:dyDescent="0.25">
      <c r="A3" s="50"/>
      <c r="B3" s="50" t="s">
        <v>192</v>
      </c>
      <c r="C3" s="64" t="s">
        <v>190</v>
      </c>
      <c r="D3" s="50"/>
      <c r="E3" s="50"/>
      <c r="F3" s="50"/>
      <c r="G3" s="50"/>
      <c r="H3" s="50"/>
      <c r="I3" s="50"/>
      <c r="J3" s="50"/>
      <c r="K3" s="50"/>
      <c r="L3" s="64" t="s">
        <v>187</v>
      </c>
      <c r="M3" s="82"/>
      <c r="N3" s="82"/>
    </row>
    <row r="4" spans="1:15" s="9" customFormat="1" x14ac:dyDescent="0.25">
      <c r="A4" s="111" t="s">
        <v>99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19"/>
    </row>
    <row r="5" spans="1:15" s="9" customFormat="1" x14ac:dyDescent="0.25">
      <c r="A5" s="111" t="s">
        <v>110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  <c r="M5" s="82" t="s">
        <v>101</v>
      </c>
      <c r="N5" s="82" t="s">
        <v>102</v>
      </c>
      <c r="O5" s="83" t="s">
        <v>186</v>
      </c>
    </row>
    <row r="6" spans="1:15" s="9" customFormat="1" ht="25" x14ac:dyDescent="0.25">
      <c r="A6" s="48" t="s">
        <v>88</v>
      </c>
      <c r="B6" s="89"/>
      <c r="C6" s="75" t="s">
        <v>150</v>
      </c>
      <c r="D6" s="59" t="s">
        <v>92</v>
      </c>
      <c r="E6" s="60"/>
      <c r="F6" s="57" t="s">
        <v>82</v>
      </c>
      <c r="G6" s="63">
        <f>N6</f>
        <v>153.96900000000002</v>
      </c>
      <c r="H6" s="80">
        <v>36.6</v>
      </c>
      <c r="I6" s="63">
        <f>PRODUCT(G6*H6)</f>
        <v>5635.2654000000011</v>
      </c>
      <c r="J6" s="63" t="s">
        <v>86</v>
      </c>
      <c r="K6" s="89"/>
      <c r="L6" s="52" t="s">
        <v>155</v>
      </c>
      <c r="M6" s="82">
        <f>(69250+30500+5987+39150+6872+2950+4000)/1000</f>
        <v>158.709</v>
      </c>
      <c r="N6" s="82">
        <f>M6-G9*0.6-G12*0.4-G13*0.14</f>
        <v>153.96900000000002</v>
      </c>
      <c r="O6" s="83">
        <f>ROUNDUP((G6/6+G9*2+G12*2+G13*1+G17*2+G18*1),0)</f>
        <v>48</v>
      </c>
    </row>
    <row r="7" spans="1:15" s="9" customFormat="1" ht="25" x14ac:dyDescent="0.25">
      <c r="A7" s="48" t="s">
        <v>89</v>
      </c>
      <c r="B7" s="89"/>
      <c r="C7" s="75" t="s">
        <v>151</v>
      </c>
      <c r="D7" s="59" t="s">
        <v>92</v>
      </c>
      <c r="E7" s="60"/>
      <c r="F7" s="57" t="s">
        <v>82</v>
      </c>
      <c r="G7" s="63">
        <f>N7</f>
        <v>5.3699999999999992</v>
      </c>
      <c r="H7" s="80">
        <v>18.989999999999998</v>
      </c>
      <c r="I7" s="63">
        <f t="shared" ref="I7:I13" si="0">PRODUCT(G7*H7)</f>
        <v>101.97629999999998</v>
      </c>
      <c r="J7" s="63" t="s">
        <v>86</v>
      </c>
      <c r="K7" s="89"/>
      <c r="L7" s="52" t="s">
        <v>154</v>
      </c>
      <c r="M7" s="82">
        <f>(850+3150+2270)/1000</f>
        <v>6.27</v>
      </c>
      <c r="N7" s="82">
        <f>M7-G10*0.45</f>
        <v>5.3699999999999992</v>
      </c>
      <c r="O7" s="83">
        <f>ROUNDUP((G7/6+G10*2+G13*1),0)</f>
        <v>6</v>
      </c>
    </row>
    <row r="8" spans="1:15" s="9" customFormat="1" ht="25" x14ac:dyDescent="0.25">
      <c r="A8" s="48" t="s">
        <v>90</v>
      </c>
      <c r="B8" s="89"/>
      <c r="C8" s="75" t="s">
        <v>152</v>
      </c>
      <c r="D8" s="59" t="s">
        <v>92</v>
      </c>
      <c r="E8" s="60"/>
      <c r="F8" s="57" t="s">
        <v>82</v>
      </c>
      <c r="G8" s="63">
        <f>N8</f>
        <v>8.613999999999999</v>
      </c>
      <c r="H8" s="80">
        <v>12.73</v>
      </c>
      <c r="I8" s="63">
        <f t="shared" si="0"/>
        <v>109.65621999999999</v>
      </c>
      <c r="J8" s="63" t="s">
        <v>86</v>
      </c>
      <c r="K8" s="89"/>
      <c r="L8" s="52" t="s">
        <v>177</v>
      </c>
      <c r="M8" s="82">
        <f>(2850+5250+1126+400+358)/1000</f>
        <v>9.984</v>
      </c>
      <c r="N8" s="82">
        <f>M8-G11*0.38-G12*0.23</f>
        <v>8.613999999999999</v>
      </c>
      <c r="O8" s="83">
        <f>ROUNDUP((G8/6+G11*2+G12*1+G19*1+2),0)</f>
        <v>12</v>
      </c>
    </row>
    <row r="9" spans="1:15" s="9" customFormat="1" ht="25" x14ac:dyDescent="0.25">
      <c r="A9" s="48" t="s">
        <v>108</v>
      </c>
      <c r="B9" s="89"/>
      <c r="C9" s="75" t="s">
        <v>111</v>
      </c>
      <c r="D9" s="59" t="s">
        <v>92</v>
      </c>
      <c r="E9" s="89"/>
      <c r="F9" s="70" t="s">
        <v>96</v>
      </c>
      <c r="G9" s="92">
        <f>M9</f>
        <v>7</v>
      </c>
      <c r="H9" s="80">
        <v>19.899999999999999</v>
      </c>
      <c r="I9" s="63">
        <f t="shared" si="0"/>
        <v>139.29999999999998</v>
      </c>
      <c r="J9" s="63" t="s">
        <v>86</v>
      </c>
      <c r="K9" s="89"/>
      <c r="L9" s="52" t="s">
        <v>84</v>
      </c>
      <c r="M9" s="82">
        <f>7</f>
        <v>7</v>
      </c>
      <c r="N9" s="82"/>
      <c r="O9" s="83"/>
    </row>
    <row r="10" spans="1:15" s="9" customFormat="1" ht="25" x14ac:dyDescent="0.25">
      <c r="A10" s="48" t="s">
        <v>112</v>
      </c>
      <c r="B10" s="89"/>
      <c r="C10" s="75" t="s">
        <v>116</v>
      </c>
      <c r="D10" s="59" t="s">
        <v>92</v>
      </c>
      <c r="E10" s="89"/>
      <c r="F10" s="70" t="s">
        <v>96</v>
      </c>
      <c r="G10" s="92">
        <f>M10</f>
        <v>2</v>
      </c>
      <c r="H10" s="80">
        <v>8.4</v>
      </c>
      <c r="I10" s="63">
        <f t="shared" si="0"/>
        <v>16.8</v>
      </c>
      <c r="J10" s="63" t="s">
        <v>86</v>
      </c>
      <c r="K10" s="89"/>
      <c r="L10" s="52" t="s">
        <v>84</v>
      </c>
      <c r="M10" s="82">
        <f>2</f>
        <v>2</v>
      </c>
      <c r="N10" s="82"/>
      <c r="O10" s="83"/>
    </row>
    <row r="11" spans="1:15" s="9" customFormat="1" ht="25" x14ac:dyDescent="0.25">
      <c r="A11" s="48" t="s">
        <v>113</v>
      </c>
      <c r="B11" s="89"/>
      <c r="C11" s="75" t="s">
        <v>117</v>
      </c>
      <c r="D11" s="59" t="s">
        <v>92</v>
      </c>
      <c r="E11" s="89"/>
      <c r="F11" s="70" t="s">
        <v>96</v>
      </c>
      <c r="G11" s="92">
        <f>M11</f>
        <v>3</v>
      </c>
      <c r="H11" s="80">
        <v>3.8</v>
      </c>
      <c r="I11" s="63">
        <f t="shared" si="0"/>
        <v>11.399999999999999</v>
      </c>
      <c r="J11" s="63" t="s">
        <v>86</v>
      </c>
      <c r="K11" s="89"/>
      <c r="L11" s="52" t="s">
        <v>84</v>
      </c>
      <c r="M11" s="82">
        <f>3</f>
        <v>3</v>
      </c>
      <c r="N11" s="82"/>
      <c r="O11" s="83"/>
    </row>
    <row r="12" spans="1:15" s="9" customFormat="1" ht="37.5" x14ac:dyDescent="0.25">
      <c r="A12" s="48" t="s">
        <v>114</v>
      </c>
      <c r="B12" s="89"/>
      <c r="C12" s="75" t="s">
        <v>118</v>
      </c>
      <c r="D12" s="59" t="s">
        <v>92</v>
      </c>
      <c r="E12" s="89"/>
      <c r="F12" s="70" t="s">
        <v>96</v>
      </c>
      <c r="G12" s="92">
        <f>M12</f>
        <v>1</v>
      </c>
      <c r="H12" s="80">
        <v>16.149999999999999</v>
      </c>
      <c r="I12" s="63">
        <f t="shared" si="0"/>
        <v>16.149999999999999</v>
      </c>
      <c r="J12" s="63" t="s">
        <v>86</v>
      </c>
      <c r="K12" s="89"/>
      <c r="L12" s="52" t="s">
        <v>84</v>
      </c>
      <c r="M12" s="82">
        <f>1</f>
        <v>1</v>
      </c>
      <c r="N12" s="82"/>
      <c r="O12" s="83"/>
    </row>
    <row r="13" spans="1:15" s="9" customFormat="1" ht="37.5" x14ac:dyDescent="0.25">
      <c r="A13" s="48" t="s">
        <v>115</v>
      </c>
      <c r="B13" s="89"/>
      <c r="C13" s="75" t="s">
        <v>119</v>
      </c>
      <c r="D13" s="59" t="s">
        <v>92</v>
      </c>
      <c r="E13" s="89"/>
      <c r="F13" s="70" t="s">
        <v>96</v>
      </c>
      <c r="G13" s="92">
        <f>M13</f>
        <v>1</v>
      </c>
      <c r="H13" s="80">
        <v>6.2</v>
      </c>
      <c r="I13" s="63">
        <f t="shared" si="0"/>
        <v>6.2</v>
      </c>
      <c r="J13" s="63" t="s">
        <v>86</v>
      </c>
      <c r="K13" s="89"/>
      <c r="L13" s="52" t="s">
        <v>84</v>
      </c>
      <c r="M13" s="82">
        <f>1</f>
        <v>1</v>
      </c>
      <c r="N13" s="82"/>
      <c r="O13" s="83"/>
    </row>
    <row r="14" spans="1:15" s="9" customFormat="1" x14ac:dyDescent="0.25">
      <c r="A14" s="48"/>
      <c r="B14" s="76"/>
      <c r="C14" s="68" t="s">
        <v>87</v>
      </c>
      <c r="D14" s="69"/>
      <c r="E14" s="77"/>
      <c r="F14" s="66" t="s">
        <v>5</v>
      </c>
      <c r="G14" s="66"/>
      <c r="H14" s="67"/>
      <c r="I14" s="66">
        <f>SUM(I6:I13)</f>
        <v>6036.7479200000007</v>
      </c>
      <c r="J14" s="66"/>
      <c r="K14" s="74"/>
      <c r="L14" s="51"/>
      <c r="M14" s="19"/>
    </row>
    <row r="15" spans="1:15" s="9" customFormat="1" x14ac:dyDescent="0.25">
      <c r="A15" s="111" t="s">
        <v>109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3"/>
      <c r="M15" s="82" t="s">
        <v>101</v>
      </c>
      <c r="N15" s="82" t="s">
        <v>102</v>
      </c>
      <c r="O15" s="83" t="s">
        <v>186</v>
      </c>
    </row>
    <row r="16" spans="1:15" s="9" customFormat="1" ht="37.5" x14ac:dyDescent="0.25">
      <c r="A16" s="48" t="s">
        <v>120</v>
      </c>
      <c r="B16" s="89"/>
      <c r="C16" s="75" t="s">
        <v>126</v>
      </c>
      <c r="D16" s="59" t="s">
        <v>92</v>
      </c>
      <c r="E16" s="89"/>
      <c r="F16" s="70" t="s">
        <v>96</v>
      </c>
      <c r="G16" s="92">
        <f>M16</f>
        <v>1</v>
      </c>
      <c r="H16" s="80">
        <f>0.357*1.48</f>
        <v>0.52835999999999994</v>
      </c>
      <c r="I16" s="63">
        <f t="shared" ref="I16:I19" si="1">PRODUCT(G16*H16)</f>
        <v>0.52835999999999994</v>
      </c>
      <c r="J16" s="63" t="s">
        <v>86</v>
      </c>
      <c r="K16" s="89"/>
      <c r="L16" s="52" t="s">
        <v>132</v>
      </c>
      <c r="M16" s="82">
        <f>1</f>
        <v>1</v>
      </c>
      <c r="N16" s="82"/>
      <c r="O16" s="83"/>
    </row>
    <row r="17" spans="1:15" s="9" customFormat="1" ht="25" x14ac:dyDescent="0.25">
      <c r="A17" s="48" t="s">
        <v>121</v>
      </c>
      <c r="B17" s="89"/>
      <c r="C17" s="75" t="s">
        <v>127</v>
      </c>
      <c r="D17" s="59" t="s">
        <v>92</v>
      </c>
      <c r="E17" s="89"/>
      <c r="F17" s="70" t="s">
        <v>96</v>
      </c>
      <c r="G17" s="92">
        <f>M17</f>
        <v>2</v>
      </c>
      <c r="H17" s="80">
        <v>0.76</v>
      </c>
      <c r="I17" s="63">
        <f t="shared" si="1"/>
        <v>1.52</v>
      </c>
      <c r="J17" s="63" t="s">
        <v>86</v>
      </c>
      <c r="K17" s="89"/>
      <c r="L17" s="52" t="s">
        <v>131</v>
      </c>
      <c r="M17" s="82">
        <f>2</f>
        <v>2</v>
      </c>
      <c r="N17" s="82"/>
      <c r="O17" s="83"/>
    </row>
    <row r="18" spans="1:15" s="9" customFormat="1" ht="25" x14ac:dyDescent="0.25">
      <c r="A18" s="48" t="s">
        <v>122</v>
      </c>
      <c r="B18" s="89"/>
      <c r="C18" s="93" t="s">
        <v>128</v>
      </c>
      <c r="D18" s="59" t="s">
        <v>92</v>
      </c>
      <c r="E18" s="89"/>
      <c r="F18" s="70" t="s">
        <v>96</v>
      </c>
      <c r="G18" s="92">
        <f>M18</f>
        <v>1</v>
      </c>
      <c r="H18" s="80">
        <v>0.45</v>
      </c>
      <c r="I18" s="63">
        <f t="shared" si="1"/>
        <v>0.45</v>
      </c>
      <c r="J18" s="63" t="s">
        <v>86</v>
      </c>
      <c r="K18" s="89"/>
      <c r="L18" s="52" t="s">
        <v>132</v>
      </c>
      <c r="M18" s="82">
        <f>1</f>
        <v>1</v>
      </c>
      <c r="N18" s="82"/>
      <c r="O18" s="83"/>
    </row>
    <row r="19" spans="1:15" s="9" customFormat="1" ht="25" x14ac:dyDescent="0.25">
      <c r="A19" s="48" t="s">
        <v>123</v>
      </c>
      <c r="B19" s="89"/>
      <c r="C19" s="93" t="s">
        <v>129</v>
      </c>
      <c r="D19" s="59" t="s">
        <v>92</v>
      </c>
      <c r="E19" s="89"/>
      <c r="F19" s="70" t="s">
        <v>96</v>
      </c>
      <c r="G19" s="92">
        <f>M19</f>
        <v>1</v>
      </c>
      <c r="H19" s="80">
        <v>0.26</v>
      </c>
      <c r="I19" s="63">
        <f t="shared" si="1"/>
        <v>0.26</v>
      </c>
      <c r="J19" s="63" t="s">
        <v>86</v>
      </c>
      <c r="K19" s="89"/>
      <c r="L19" s="52" t="s">
        <v>132</v>
      </c>
      <c r="M19" s="82">
        <f>1</f>
        <v>1</v>
      </c>
      <c r="N19" s="82"/>
      <c r="O19" s="83"/>
    </row>
    <row r="20" spans="1:15" s="9" customFormat="1" x14ac:dyDescent="0.25">
      <c r="A20" s="48"/>
      <c r="B20" s="76"/>
      <c r="C20" s="68" t="s">
        <v>87</v>
      </c>
      <c r="D20" s="69"/>
      <c r="E20" s="77"/>
      <c r="F20" s="66" t="s">
        <v>5</v>
      </c>
      <c r="G20" s="66"/>
      <c r="H20" s="67"/>
      <c r="I20" s="66">
        <f>SUM(I16:I19)</f>
        <v>2.7583599999999997</v>
      </c>
      <c r="J20" s="66"/>
      <c r="K20" s="74"/>
      <c r="L20" s="51" t="s">
        <v>84</v>
      </c>
      <c r="M20" s="19"/>
    </row>
    <row r="21" spans="1:15" s="78" customFormat="1" x14ac:dyDescent="0.25">
      <c r="A21" s="110" t="s">
        <v>93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83"/>
    </row>
    <row r="22" spans="1:15" s="78" customFormat="1" x14ac:dyDescent="0.25">
      <c r="A22" s="110" t="s">
        <v>94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83"/>
    </row>
    <row r="23" spans="1:15" s="78" customFormat="1" ht="25" x14ac:dyDescent="0.25">
      <c r="A23" s="48" t="s">
        <v>124</v>
      </c>
      <c r="B23" s="65"/>
      <c r="C23" s="84" t="s">
        <v>133</v>
      </c>
      <c r="D23" s="79" t="s">
        <v>85</v>
      </c>
      <c r="E23" s="72"/>
      <c r="F23" s="71" t="s">
        <v>96</v>
      </c>
      <c r="G23" s="92">
        <f t="shared" ref="G23:G29" si="2">M23</f>
        <v>24</v>
      </c>
      <c r="H23" s="73">
        <v>8</v>
      </c>
      <c r="I23" s="71">
        <f t="shared" ref="I23:I29" si="3">G23*H23</f>
        <v>192</v>
      </c>
      <c r="J23" s="71" t="s">
        <v>86</v>
      </c>
      <c r="K23" s="77"/>
      <c r="L23" s="87" t="s">
        <v>84</v>
      </c>
      <c r="M23" s="83">
        <f>24</f>
        <v>24</v>
      </c>
    </row>
    <row r="24" spans="1:15" s="78" customFormat="1" ht="25" x14ac:dyDescent="0.25">
      <c r="A24" s="48" t="s">
        <v>130</v>
      </c>
      <c r="B24" s="90"/>
      <c r="C24" s="84" t="s">
        <v>139</v>
      </c>
      <c r="D24" s="79" t="s">
        <v>85</v>
      </c>
      <c r="E24" s="72"/>
      <c r="F24" s="71" t="s">
        <v>96</v>
      </c>
      <c r="G24" s="92">
        <f t="shared" si="2"/>
        <v>1</v>
      </c>
      <c r="H24" s="73">
        <v>2.98</v>
      </c>
      <c r="I24" s="71">
        <f t="shared" si="3"/>
        <v>2.98</v>
      </c>
      <c r="J24" s="71" t="s">
        <v>86</v>
      </c>
      <c r="K24" s="77"/>
      <c r="L24" s="87" t="s">
        <v>84</v>
      </c>
      <c r="M24" s="83">
        <f>1</f>
        <v>1</v>
      </c>
    </row>
    <row r="25" spans="1:15" s="78" customFormat="1" ht="32.5" x14ac:dyDescent="0.25">
      <c r="A25" s="48" t="s">
        <v>134</v>
      </c>
      <c r="B25" s="90"/>
      <c r="C25" s="84" t="s">
        <v>140</v>
      </c>
      <c r="D25" s="79" t="s">
        <v>85</v>
      </c>
      <c r="E25" s="72"/>
      <c r="F25" s="71" t="s">
        <v>96</v>
      </c>
      <c r="G25" s="92">
        <f t="shared" si="2"/>
        <v>1</v>
      </c>
      <c r="H25" s="73">
        <f>G26*H26+G27*H27+G28*H28</f>
        <v>87.37</v>
      </c>
      <c r="I25" s="71">
        <f t="shared" si="3"/>
        <v>87.37</v>
      </c>
      <c r="J25" s="71" t="s">
        <v>86</v>
      </c>
      <c r="K25" s="77"/>
      <c r="L25" s="95" t="s">
        <v>145</v>
      </c>
      <c r="M25" s="83">
        <f>1</f>
        <v>1</v>
      </c>
    </row>
    <row r="26" spans="1:15" s="78" customFormat="1" ht="25" x14ac:dyDescent="0.25">
      <c r="A26" s="48" t="s">
        <v>146</v>
      </c>
      <c r="B26" s="90"/>
      <c r="C26" s="84" t="s">
        <v>175</v>
      </c>
      <c r="D26" s="79" t="s">
        <v>85</v>
      </c>
      <c r="E26" s="72"/>
      <c r="F26" s="71" t="s">
        <v>96</v>
      </c>
      <c r="G26" s="92">
        <f t="shared" si="2"/>
        <v>1</v>
      </c>
      <c r="H26" s="73">
        <v>4.7699999999999996</v>
      </c>
      <c r="I26" s="71">
        <f t="shared" si="3"/>
        <v>4.7699999999999996</v>
      </c>
      <c r="J26" s="71" t="s">
        <v>86</v>
      </c>
      <c r="K26" s="77"/>
      <c r="L26" s="87" t="s">
        <v>84</v>
      </c>
      <c r="M26" s="83">
        <f>1</f>
        <v>1</v>
      </c>
    </row>
    <row r="27" spans="1:15" s="78" customFormat="1" ht="25" x14ac:dyDescent="0.25">
      <c r="A27" s="48" t="s">
        <v>147</v>
      </c>
      <c r="B27" s="90"/>
      <c r="C27" s="84" t="s">
        <v>176</v>
      </c>
      <c r="D27" s="79" t="s">
        <v>85</v>
      </c>
      <c r="E27" s="72"/>
      <c r="F27" s="71" t="s">
        <v>96</v>
      </c>
      <c r="G27" s="92">
        <f t="shared" si="2"/>
        <v>1</v>
      </c>
      <c r="H27" s="73">
        <v>19</v>
      </c>
      <c r="I27" s="71">
        <f t="shared" si="3"/>
        <v>19</v>
      </c>
      <c r="J27" s="71" t="s">
        <v>86</v>
      </c>
      <c r="K27" s="77"/>
      <c r="L27" s="87" t="s">
        <v>84</v>
      </c>
      <c r="M27" s="83">
        <f>1</f>
        <v>1</v>
      </c>
    </row>
    <row r="28" spans="1:15" s="78" customFormat="1" ht="25" x14ac:dyDescent="0.25">
      <c r="A28" s="48" t="s">
        <v>148</v>
      </c>
      <c r="B28" s="90"/>
      <c r="C28" s="84" t="s">
        <v>141</v>
      </c>
      <c r="D28" s="95" t="s">
        <v>142</v>
      </c>
      <c r="E28" s="72"/>
      <c r="F28" s="57" t="s">
        <v>82</v>
      </c>
      <c r="G28" s="63">
        <f t="shared" si="2"/>
        <v>2</v>
      </c>
      <c r="H28" s="73">
        <v>31.8</v>
      </c>
      <c r="I28" s="71">
        <f t="shared" si="3"/>
        <v>63.6</v>
      </c>
      <c r="J28" s="71" t="s">
        <v>86</v>
      </c>
      <c r="K28" s="77"/>
      <c r="L28" s="87" t="s">
        <v>84</v>
      </c>
      <c r="M28" s="83">
        <f>1+1</f>
        <v>2</v>
      </c>
    </row>
    <row r="29" spans="1:15" s="78" customFormat="1" ht="37.5" x14ac:dyDescent="0.25">
      <c r="A29" s="48" t="s">
        <v>135</v>
      </c>
      <c r="B29" s="90"/>
      <c r="C29" s="94" t="s">
        <v>136</v>
      </c>
      <c r="D29" s="79" t="s">
        <v>85</v>
      </c>
      <c r="E29" s="72"/>
      <c r="F29" s="71" t="s">
        <v>96</v>
      </c>
      <c r="G29" s="92">
        <f t="shared" si="2"/>
        <v>2</v>
      </c>
      <c r="H29" s="73">
        <v>20.9</v>
      </c>
      <c r="I29" s="71">
        <f t="shared" si="3"/>
        <v>41.8</v>
      </c>
      <c r="J29" s="71" t="s">
        <v>86</v>
      </c>
      <c r="K29" s="77"/>
      <c r="L29" s="87" t="s">
        <v>84</v>
      </c>
      <c r="M29" s="83">
        <f>2</f>
        <v>2</v>
      </c>
    </row>
    <row r="30" spans="1:15" s="78" customFormat="1" x14ac:dyDescent="0.25">
      <c r="A30" s="53"/>
      <c r="B30" s="54"/>
      <c r="C30" s="60" t="s">
        <v>87</v>
      </c>
      <c r="D30" s="51"/>
      <c r="E30" s="48"/>
      <c r="F30" s="57" t="s">
        <v>5</v>
      </c>
      <c r="G30" s="57"/>
      <c r="H30" s="49"/>
      <c r="I30" s="57">
        <f>SUM(I26:I29)+I23+I24</f>
        <v>324.15000000000003</v>
      </c>
      <c r="J30" s="55"/>
      <c r="K30" s="53"/>
      <c r="L30" s="51"/>
      <c r="M30" s="83"/>
    </row>
    <row r="31" spans="1:15" s="78" customFormat="1" x14ac:dyDescent="0.25">
      <c r="A31" s="107" t="s">
        <v>95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9"/>
      <c r="M31" s="83"/>
    </row>
    <row r="32" spans="1:15" s="78" customFormat="1" ht="50" x14ac:dyDescent="0.25">
      <c r="A32" s="48"/>
      <c r="B32" s="56"/>
      <c r="C32" s="60" t="s">
        <v>98</v>
      </c>
      <c r="D32" s="48" t="s">
        <v>84</v>
      </c>
      <c r="E32" s="49" t="s">
        <v>84</v>
      </c>
      <c r="F32" s="61" t="s">
        <v>97</v>
      </c>
      <c r="G32" s="55" t="e">
        <f>M32</f>
        <v>#REF!</v>
      </c>
      <c r="H32" s="55">
        <v>0.28000000000000003</v>
      </c>
      <c r="I32" s="55" t="e">
        <f>G32*H32</f>
        <v>#REF!</v>
      </c>
      <c r="J32" s="55"/>
      <c r="K32" s="53"/>
      <c r="L32" s="85" t="s">
        <v>84</v>
      </c>
      <c r="M32" s="86" t="e">
        <f>(3.14*0.219*M6)+(3.14*0.159*M7)+(3.14*0.133*M8)+(3.14*0.032*#REF!)+(3.14*0.025*#REF!)</f>
        <v>#REF!</v>
      </c>
    </row>
    <row r="33" spans="1:15" s="78" customFormat="1" ht="37.5" x14ac:dyDescent="0.25">
      <c r="A33" s="48"/>
      <c r="B33" s="56"/>
      <c r="C33" s="60" t="s">
        <v>91</v>
      </c>
      <c r="D33" s="48" t="s">
        <v>84</v>
      </c>
      <c r="E33" s="49" t="s">
        <v>84</v>
      </c>
      <c r="F33" s="62" t="s">
        <v>97</v>
      </c>
      <c r="G33" s="55" t="e">
        <f>G32</f>
        <v>#REF!</v>
      </c>
      <c r="H33" s="55">
        <v>0.13</v>
      </c>
      <c r="I33" s="55" t="e">
        <f>G33*H33</f>
        <v>#REF!</v>
      </c>
      <c r="J33" s="55"/>
      <c r="K33" s="53"/>
      <c r="L33" s="85" t="s">
        <v>84</v>
      </c>
      <c r="M33" s="83"/>
    </row>
    <row r="34" spans="1:15" s="9" customFormat="1" x14ac:dyDescent="0.25">
      <c r="A34" s="48"/>
      <c r="B34" s="76"/>
      <c r="C34" s="68" t="s">
        <v>87</v>
      </c>
      <c r="D34" s="69"/>
      <c r="E34" s="77"/>
      <c r="F34" s="66" t="s">
        <v>5</v>
      </c>
      <c r="G34" s="66"/>
      <c r="H34" s="67"/>
      <c r="I34" s="66" t="e">
        <f>SUM(I32:I33)</f>
        <v>#REF!</v>
      </c>
      <c r="J34" s="66"/>
      <c r="K34" s="74"/>
      <c r="L34" s="51"/>
      <c r="M34" s="19"/>
    </row>
    <row r="35" spans="1:15" s="78" customFormat="1" x14ac:dyDescent="0.25">
      <c r="A35" s="107" t="s">
        <v>143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9"/>
      <c r="M35" s="83" t="s">
        <v>164</v>
      </c>
      <c r="N35" s="83" t="s">
        <v>163</v>
      </c>
    </row>
    <row r="36" spans="1:15" s="9" customFormat="1" ht="25" x14ac:dyDescent="0.25">
      <c r="A36" s="48" t="s">
        <v>88</v>
      </c>
      <c r="B36" s="89"/>
      <c r="C36" s="75" t="s">
        <v>150</v>
      </c>
      <c r="D36" s="59" t="s">
        <v>92</v>
      </c>
      <c r="E36" s="60"/>
      <c r="F36" s="57" t="s">
        <v>82</v>
      </c>
      <c r="G36" s="63">
        <f>N36</f>
        <v>3.5</v>
      </c>
      <c r="H36" s="80">
        <v>36.6</v>
      </c>
      <c r="I36" s="63">
        <f>PRODUCT(G36*H36)</f>
        <v>128.1</v>
      </c>
      <c r="J36" s="63" t="s">
        <v>86</v>
      </c>
      <c r="K36" s="89"/>
      <c r="L36" s="52" t="s">
        <v>144</v>
      </c>
      <c r="M36" s="96">
        <f>0.02*G6</f>
        <v>3.0793800000000005</v>
      </c>
      <c r="N36" s="82">
        <f>3.5</f>
        <v>3.5</v>
      </c>
      <c r="O36" s="83"/>
    </row>
    <row r="37" spans="1:15" s="9" customFormat="1" ht="25" x14ac:dyDescent="0.25">
      <c r="A37" s="48" t="s">
        <v>89</v>
      </c>
      <c r="B37" s="89"/>
      <c r="C37" s="75" t="s">
        <v>151</v>
      </c>
      <c r="D37" s="59" t="s">
        <v>92</v>
      </c>
      <c r="E37" s="60"/>
      <c r="F37" s="57" t="s">
        <v>82</v>
      </c>
      <c r="G37" s="63">
        <f>N37</f>
        <v>0.5</v>
      </c>
      <c r="H37" s="80">
        <v>18.989999999999998</v>
      </c>
      <c r="I37" s="63">
        <f>PRODUCT(G37*H37)</f>
        <v>9.4949999999999992</v>
      </c>
      <c r="J37" s="63" t="s">
        <v>86</v>
      </c>
      <c r="K37" s="89"/>
      <c r="L37" s="52" t="s">
        <v>144</v>
      </c>
      <c r="M37" s="96">
        <f>0.02*G7</f>
        <v>0.10739999999999998</v>
      </c>
      <c r="N37" s="82">
        <f>0.5</f>
        <v>0.5</v>
      </c>
      <c r="O37" s="83"/>
    </row>
    <row r="38" spans="1:15" s="9" customFormat="1" ht="25" x14ac:dyDescent="0.25">
      <c r="A38" s="48" t="s">
        <v>90</v>
      </c>
      <c r="B38" s="89"/>
      <c r="C38" s="75" t="s">
        <v>152</v>
      </c>
      <c r="D38" s="59" t="s">
        <v>92</v>
      </c>
      <c r="E38" s="60"/>
      <c r="F38" s="57" t="s">
        <v>82</v>
      </c>
      <c r="G38" s="63">
        <f>N38</f>
        <v>0.5</v>
      </c>
      <c r="H38" s="80">
        <v>12.73</v>
      </c>
      <c r="I38" s="63">
        <f>PRODUCT(G38*H38)</f>
        <v>6.3650000000000002</v>
      </c>
      <c r="J38" s="63" t="s">
        <v>86</v>
      </c>
      <c r="K38" s="89"/>
      <c r="L38" s="52" t="s">
        <v>144</v>
      </c>
      <c r="M38" s="96">
        <f>0.02*G8</f>
        <v>0.17227999999999999</v>
      </c>
      <c r="N38" s="82">
        <f>0.5</f>
        <v>0.5</v>
      </c>
      <c r="O38" s="83"/>
    </row>
    <row r="39" spans="1:15" s="78" customFormat="1" x14ac:dyDescent="0.25">
      <c r="A39" s="53"/>
      <c r="B39" s="54"/>
      <c r="C39" s="60" t="s">
        <v>87</v>
      </c>
      <c r="D39" s="51"/>
      <c r="E39" s="48"/>
      <c r="F39" s="57" t="s">
        <v>5</v>
      </c>
      <c r="G39" s="57"/>
      <c r="H39" s="49"/>
      <c r="I39" s="57">
        <f>SUM(I36:I38)</f>
        <v>143.96</v>
      </c>
      <c r="J39" s="55"/>
      <c r="K39" s="53"/>
      <c r="L39" s="51"/>
      <c r="M39" s="83"/>
    </row>
    <row r="40" spans="1:15" s="78" customFormat="1" ht="37.5" x14ac:dyDescent="0.25">
      <c r="A40" s="53"/>
      <c r="B40" s="54"/>
      <c r="C40" s="88" t="s">
        <v>105</v>
      </c>
      <c r="D40" s="48"/>
      <c r="E40" s="48"/>
      <c r="F40" s="48" t="s">
        <v>5</v>
      </c>
      <c r="G40" s="48"/>
      <c r="H40" s="49"/>
      <c r="I40" s="55">
        <f>I14+I20+I30+I39</f>
        <v>6507.6162800000002</v>
      </c>
      <c r="J40" s="55"/>
      <c r="K40" s="53"/>
      <c r="L40" s="81" t="s">
        <v>100</v>
      </c>
      <c r="M40" s="83"/>
    </row>
    <row r="41" spans="1:15" s="78" customFormat="1" ht="65" x14ac:dyDescent="0.25">
      <c r="A41" s="50"/>
      <c r="B41" s="50" t="s">
        <v>192</v>
      </c>
      <c r="C41" s="64" t="s">
        <v>193</v>
      </c>
      <c r="D41" s="50"/>
      <c r="E41" s="50"/>
      <c r="F41" s="50"/>
      <c r="G41" s="50"/>
      <c r="H41" s="50"/>
      <c r="I41" s="50"/>
      <c r="J41" s="50"/>
      <c r="K41" s="50"/>
      <c r="L41" s="64" t="s">
        <v>194</v>
      </c>
      <c r="M41" s="83"/>
    </row>
    <row r="42" spans="1:15" s="78" customFormat="1" ht="25" x14ac:dyDescent="0.25">
      <c r="A42" s="48" t="s">
        <v>88</v>
      </c>
      <c r="B42" s="106"/>
      <c r="C42" s="75" t="s">
        <v>150</v>
      </c>
      <c r="D42" s="59" t="s">
        <v>92</v>
      </c>
      <c r="E42" s="60"/>
      <c r="F42" s="57" t="s">
        <v>82</v>
      </c>
      <c r="G42" s="63">
        <f>N42</f>
        <v>0</v>
      </c>
      <c r="H42" s="80">
        <v>36.6</v>
      </c>
      <c r="I42" s="63">
        <f>PRODUCT(G42*H42)</f>
        <v>0</v>
      </c>
      <c r="J42" s="63" t="s">
        <v>86</v>
      </c>
      <c r="K42" s="106"/>
      <c r="L42" s="52" t="s">
        <v>155</v>
      </c>
      <c r="M42" s="83"/>
    </row>
    <row r="43" spans="1:15" s="78" customFormat="1" ht="25" x14ac:dyDescent="0.25">
      <c r="A43" s="48" t="s">
        <v>89</v>
      </c>
      <c r="B43" s="106"/>
      <c r="C43" s="75" t="s">
        <v>151</v>
      </c>
      <c r="D43" s="59" t="s">
        <v>92</v>
      </c>
      <c r="E43" s="60"/>
      <c r="F43" s="57" t="s">
        <v>82</v>
      </c>
      <c r="G43" s="63">
        <f>N43</f>
        <v>0</v>
      </c>
      <c r="H43" s="80">
        <v>18.989999999999998</v>
      </c>
      <c r="I43" s="63">
        <f t="shared" ref="I43" si="4">PRODUCT(G43*H43)</f>
        <v>0</v>
      </c>
      <c r="J43" s="63" t="s">
        <v>86</v>
      </c>
      <c r="K43" s="106"/>
      <c r="L43" s="52" t="s">
        <v>154</v>
      </c>
      <c r="M43" s="83"/>
    </row>
    <row r="44" spans="1:15" s="78" customFormat="1" ht="13" x14ac:dyDescent="0.25">
      <c r="A44" s="53"/>
      <c r="B44" s="54"/>
      <c r="C44" s="88"/>
      <c r="D44" s="48"/>
      <c r="E44" s="48"/>
      <c r="F44" s="48"/>
      <c r="G44" s="48"/>
      <c r="H44" s="49"/>
      <c r="I44" s="55"/>
      <c r="J44" s="55"/>
      <c r="K44" s="53"/>
      <c r="L44" s="81"/>
      <c r="M44" s="83"/>
    </row>
    <row r="45" spans="1:15" s="78" customFormat="1" ht="13" x14ac:dyDescent="0.25">
      <c r="A45" s="53"/>
      <c r="B45" s="54"/>
      <c r="C45" s="88"/>
      <c r="D45" s="48"/>
      <c r="E45" s="48"/>
      <c r="F45" s="48"/>
      <c r="G45" s="48"/>
      <c r="H45" s="49"/>
      <c r="I45" s="55"/>
      <c r="J45" s="55"/>
      <c r="K45" s="53"/>
      <c r="L45" s="81"/>
      <c r="M45" s="83"/>
    </row>
    <row r="46" spans="1:15" s="78" customFormat="1" ht="13" x14ac:dyDescent="0.25">
      <c r="A46" s="53"/>
      <c r="B46" s="54"/>
      <c r="C46" s="88"/>
      <c r="D46" s="48"/>
      <c r="E46" s="48"/>
      <c r="F46" s="48"/>
      <c r="G46" s="48"/>
      <c r="H46" s="49"/>
      <c r="I46" s="55"/>
      <c r="J46" s="55"/>
      <c r="K46" s="53"/>
      <c r="L46" s="81"/>
      <c r="M46" s="83"/>
    </row>
    <row r="47" spans="1:15" s="78" customFormat="1" ht="13" x14ac:dyDescent="0.25">
      <c r="A47" s="53"/>
      <c r="B47" s="54"/>
      <c r="C47" s="88"/>
      <c r="D47" s="48"/>
      <c r="E47" s="48"/>
      <c r="F47" s="48"/>
      <c r="G47" s="48"/>
      <c r="H47" s="49"/>
      <c r="I47" s="55"/>
      <c r="J47" s="55"/>
      <c r="K47" s="53"/>
      <c r="L47" s="81"/>
      <c r="M47" s="83"/>
    </row>
    <row r="48" spans="1:15" s="78" customFormat="1" ht="13" x14ac:dyDescent="0.25">
      <c r="A48" s="53"/>
      <c r="B48" s="54"/>
      <c r="C48" s="88"/>
      <c r="D48" s="48"/>
      <c r="E48" s="48"/>
      <c r="F48" s="48"/>
      <c r="G48" s="48"/>
      <c r="H48" s="49"/>
      <c r="I48" s="55"/>
      <c r="J48" s="55"/>
      <c r="K48" s="53"/>
      <c r="L48" s="81"/>
      <c r="M48" s="83"/>
    </row>
    <row r="49" spans="1:15" s="78" customFormat="1" ht="13" x14ac:dyDescent="0.25">
      <c r="A49" s="53"/>
      <c r="B49" s="54"/>
      <c r="C49" s="88"/>
      <c r="D49" s="48"/>
      <c r="E49" s="48"/>
      <c r="F49" s="48"/>
      <c r="G49" s="48"/>
      <c r="H49" s="49"/>
      <c r="I49" s="55"/>
      <c r="J49" s="55"/>
      <c r="K49" s="53"/>
      <c r="L49" s="81"/>
      <c r="M49" s="83"/>
    </row>
    <row r="50" spans="1:15" s="9" customFormat="1" ht="39" x14ac:dyDescent="0.25">
      <c r="A50" s="50"/>
      <c r="B50" s="50" t="s">
        <v>103</v>
      </c>
      <c r="C50" s="64" t="s">
        <v>191</v>
      </c>
      <c r="D50" s="50"/>
      <c r="E50" s="50"/>
      <c r="F50" s="50"/>
      <c r="G50" s="50"/>
      <c r="H50" s="50"/>
      <c r="I50" s="50"/>
      <c r="J50" s="50"/>
      <c r="K50" s="50"/>
      <c r="L50" s="64" t="s">
        <v>188</v>
      </c>
      <c r="M50" s="82"/>
      <c r="N50" s="82"/>
    </row>
    <row r="51" spans="1:15" s="9" customFormat="1" x14ac:dyDescent="0.25">
      <c r="A51" s="111" t="s">
        <v>156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3"/>
      <c r="M51" s="19"/>
    </row>
    <row r="52" spans="1:15" s="9" customFormat="1" x14ac:dyDescent="0.25">
      <c r="A52" s="111" t="s">
        <v>157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3"/>
      <c r="M52" s="82" t="s">
        <v>101</v>
      </c>
      <c r="N52" s="82" t="s">
        <v>102</v>
      </c>
      <c r="O52" s="83" t="s">
        <v>186</v>
      </c>
    </row>
    <row r="53" spans="1:15" s="9" customFormat="1" ht="25" x14ac:dyDescent="0.25">
      <c r="A53" s="48" t="s">
        <v>88</v>
      </c>
      <c r="B53" s="89"/>
      <c r="C53" s="75" t="s">
        <v>150</v>
      </c>
      <c r="D53" s="59" t="s">
        <v>92</v>
      </c>
      <c r="E53" s="60"/>
      <c r="F53" s="57" t="s">
        <v>82</v>
      </c>
      <c r="G53" s="63">
        <f>N53</f>
        <v>155.06900000000002</v>
      </c>
      <c r="H53" s="80">
        <v>36.6</v>
      </c>
      <c r="I53" s="63">
        <f t="shared" ref="I53:I60" si="5">PRODUCT(G53*H53)</f>
        <v>5675.5254000000004</v>
      </c>
      <c r="J53" s="63" t="s">
        <v>86</v>
      </c>
      <c r="K53" s="89"/>
      <c r="L53" s="52" t="s">
        <v>171</v>
      </c>
      <c r="M53" s="82">
        <f>(68650+29900+5987+39750+6872+4050+4600)/1000</f>
        <v>159.809</v>
      </c>
      <c r="N53" s="82">
        <f>M53-G56*0.6-G59*0.4-G60*0.14</f>
        <v>155.06900000000002</v>
      </c>
      <c r="O53" s="83">
        <f>ROUNDUP((G53/6+G56*2+G59*2+G60*1+G64*2+G65*1),0)</f>
        <v>48</v>
      </c>
    </row>
    <row r="54" spans="1:15" s="9" customFormat="1" ht="25" x14ac:dyDescent="0.25">
      <c r="A54" s="48" t="s">
        <v>89</v>
      </c>
      <c r="B54" s="89"/>
      <c r="C54" s="75" t="s">
        <v>151</v>
      </c>
      <c r="D54" s="59" t="s">
        <v>92</v>
      </c>
      <c r="E54" s="60"/>
      <c r="F54" s="57" t="s">
        <v>82</v>
      </c>
      <c r="G54" s="63">
        <f>N54</f>
        <v>4.47</v>
      </c>
      <c r="H54" s="80">
        <v>18.989999999999998</v>
      </c>
      <c r="I54" s="63">
        <f t="shared" si="5"/>
        <v>84.885299999999987</v>
      </c>
      <c r="J54" s="63" t="s">
        <v>86</v>
      </c>
      <c r="K54" s="89"/>
      <c r="L54" s="52" t="s">
        <v>149</v>
      </c>
      <c r="M54" s="82">
        <f>(450+2650+2270)/1000</f>
        <v>5.37</v>
      </c>
      <c r="N54" s="82">
        <f>M54-G57*0.45</f>
        <v>4.47</v>
      </c>
      <c r="O54" s="83">
        <f>ROUNDUP((G54/6+G57*2+G60*1),0)</f>
        <v>6</v>
      </c>
    </row>
    <row r="55" spans="1:15" s="9" customFormat="1" ht="25" x14ac:dyDescent="0.25">
      <c r="A55" s="48" t="s">
        <v>90</v>
      </c>
      <c r="B55" s="89"/>
      <c r="C55" s="75" t="s">
        <v>152</v>
      </c>
      <c r="D55" s="59" t="s">
        <v>92</v>
      </c>
      <c r="E55" s="60"/>
      <c r="F55" s="57" t="s">
        <v>82</v>
      </c>
      <c r="G55" s="63">
        <f>N55</f>
        <v>8.5139999999999993</v>
      </c>
      <c r="H55" s="80">
        <v>12.73</v>
      </c>
      <c r="I55" s="63">
        <f t="shared" si="5"/>
        <v>108.38321999999999</v>
      </c>
      <c r="J55" s="63" t="s">
        <v>86</v>
      </c>
      <c r="K55" s="89"/>
      <c r="L55" s="52" t="s">
        <v>178</v>
      </c>
      <c r="M55" s="82">
        <f>(3100+4900+1126+400+358)/1000</f>
        <v>9.8840000000000003</v>
      </c>
      <c r="N55" s="82">
        <f>M55-G58*0.38-G59*0.23</f>
        <v>8.5139999999999993</v>
      </c>
      <c r="O55" s="83">
        <f>ROUNDUP((G55/6+G58*2+G59*1+G66*1+2),0)</f>
        <v>12</v>
      </c>
    </row>
    <row r="56" spans="1:15" s="9" customFormat="1" ht="25" x14ac:dyDescent="0.25">
      <c r="A56" s="48" t="s">
        <v>108</v>
      </c>
      <c r="B56" s="89"/>
      <c r="C56" s="75" t="s">
        <v>111</v>
      </c>
      <c r="D56" s="59" t="s">
        <v>92</v>
      </c>
      <c r="E56" s="89"/>
      <c r="F56" s="70" t="s">
        <v>96</v>
      </c>
      <c r="G56" s="92">
        <f>M56</f>
        <v>7</v>
      </c>
      <c r="H56" s="80">
        <v>19.899999999999999</v>
      </c>
      <c r="I56" s="63">
        <f t="shared" si="5"/>
        <v>139.29999999999998</v>
      </c>
      <c r="J56" s="63" t="s">
        <v>86</v>
      </c>
      <c r="K56" s="89"/>
      <c r="L56" s="52" t="s">
        <v>84</v>
      </c>
      <c r="M56" s="82">
        <f>7</f>
        <v>7</v>
      </c>
      <c r="N56" s="82"/>
      <c r="O56" s="83"/>
    </row>
    <row r="57" spans="1:15" s="9" customFormat="1" ht="25" x14ac:dyDescent="0.25">
      <c r="A57" s="48" t="s">
        <v>112</v>
      </c>
      <c r="B57" s="89"/>
      <c r="C57" s="75" t="s">
        <v>116</v>
      </c>
      <c r="D57" s="59" t="s">
        <v>92</v>
      </c>
      <c r="E57" s="89"/>
      <c r="F57" s="70" t="s">
        <v>96</v>
      </c>
      <c r="G57" s="92">
        <f>M57</f>
        <v>2</v>
      </c>
      <c r="H57" s="80">
        <v>8.4</v>
      </c>
      <c r="I57" s="63">
        <f t="shared" si="5"/>
        <v>16.8</v>
      </c>
      <c r="J57" s="63" t="s">
        <v>86</v>
      </c>
      <c r="K57" s="89"/>
      <c r="L57" s="52" t="s">
        <v>84</v>
      </c>
      <c r="M57" s="82">
        <f>2</f>
        <v>2</v>
      </c>
      <c r="N57" s="82"/>
      <c r="O57" s="83"/>
    </row>
    <row r="58" spans="1:15" s="9" customFormat="1" ht="25" x14ac:dyDescent="0.25">
      <c r="A58" s="48" t="s">
        <v>113</v>
      </c>
      <c r="B58" s="89"/>
      <c r="C58" s="75" t="s">
        <v>117</v>
      </c>
      <c r="D58" s="59" t="s">
        <v>92</v>
      </c>
      <c r="E58" s="89"/>
      <c r="F58" s="70" t="s">
        <v>96</v>
      </c>
      <c r="G58" s="92">
        <f>M58</f>
        <v>3</v>
      </c>
      <c r="H58" s="80">
        <v>3.8</v>
      </c>
      <c r="I58" s="63">
        <f t="shared" si="5"/>
        <v>11.399999999999999</v>
      </c>
      <c r="J58" s="63" t="s">
        <v>86</v>
      </c>
      <c r="K58" s="89"/>
      <c r="L58" s="52" t="s">
        <v>84</v>
      </c>
      <c r="M58" s="82">
        <f>3</f>
        <v>3</v>
      </c>
      <c r="N58" s="82"/>
      <c r="O58" s="83"/>
    </row>
    <row r="59" spans="1:15" s="9" customFormat="1" ht="37.5" x14ac:dyDescent="0.25">
      <c r="A59" s="48" t="s">
        <v>114</v>
      </c>
      <c r="B59" s="89"/>
      <c r="C59" s="75" t="s">
        <v>118</v>
      </c>
      <c r="D59" s="59" t="s">
        <v>92</v>
      </c>
      <c r="E59" s="89"/>
      <c r="F59" s="70" t="s">
        <v>96</v>
      </c>
      <c r="G59" s="92">
        <f>M59</f>
        <v>1</v>
      </c>
      <c r="H59" s="80">
        <v>16.149999999999999</v>
      </c>
      <c r="I59" s="63">
        <f t="shared" si="5"/>
        <v>16.149999999999999</v>
      </c>
      <c r="J59" s="63" t="s">
        <v>86</v>
      </c>
      <c r="K59" s="89"/>
      <c r="L59" s="52" t="s">
        <v>84</v>
      </c>
      <c r="M59" s="82">
        <f>1</f>
        <v>1</v>
      </c>
      <c r="N59" s="82"/>
      <c r="O59" s="83"/>
    </row>
    <row r="60" spans="1:15" s="9" customFormat="1" ht="37.5" x14ac:dyDescent="0.25">
      <c r="A60" s="48" t="s">
        <v>115</v>
      </c>
      <c r="B60" s="89"/>
      <c r="C60" s="75" t="s">
        <v>119</v>
      </c>
      <c r="D60" s="59" t="s">
        <v>92</v>
      </c>
      <c r="E60" s="89"/>
      <c r="F60" s="70" t="s">
        <v>96</v>
      </c>
      <c r="G60" s="92">
        <f>M60</f>
        <v>1</v>
      </c>
      <c r="H60" s="80">
        <v>6.2</v>
      </c>
      <c r="I60" s="63">
        <f t="shared" si="5"/>
        <v>6.2</v>
      </c>
      <c r="J60" s="63" t="s">
        <v>86</v>
      </c>
      <c r="K60" s="89"/>
      <c r="L60" s="52" t="s">
        <v>84</v>
      </c>
      <c r="M60" s="82">
        <f>1</f>
        <v>1</v>
      </c>
      <c r="N60" s="82"/>
      <c r="O60" s="83"/>
    </row>
    <row r="61" spans="1:15" s="9" customFormat="1" x14ac:dyDescent="0.25">
      <c r="A61" s="48"/>
      <c r="B61" s="76"/>
      <c r="C61" s="68" t="s">
        <v>87</v>
      </c>
      <c r="D61" s="69"/>
      <c r="E61" s="77"/>
      <c r="F61" s="66" t="s">
        <v>5</v>
      </c>
      <c r="G61" s="66"/>
      <c r="H61" s="67"/>
      <c r="I61" s="66">
        <f>SUM(I53:I60)</f>
        <v>6058.6439199999995</v>
      </c>
      <c r="J61" s="66"/>
      <c r="K61" s="74"/>
      <c r="L61" s="51"/>
      <c r="M61" s="19"/>
    </row>
    <row r="62" spans="1:15" s="9" customFormat="1" x14ac:dyDescent="0.25">
      <c r="A62" s="111" t="s">
        <v>158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3"/>
      <c r="M62" s="82" t="s">
        <v>101</v>
      </c>
      <c r="N62" s="82" t="s">
        <v>102</v>
      </c>
      <c r="O62" s="83" t="s">
        <v>186</v>
      </c>
    </row>
    <row r="63" spans="1:15" s="9" customFormat="1" ht="37.5" x14ac:dyDescent="0.25">
      <c r="A63" s="48" t="s">
        <v>120</v>
      </c>
      <c r="B63" s="89"/>
      <c r="C63" s="75" t="s">
        <v>126</v>
      </c>
      <c r="D63" s="59" t="s">
        <v>92</v>
      </c>
      <c r="E63" s="89"/>
      <c r="F63" s="70" t="s">
        <v>96</v>
      </c>
      <c r="G63" s="92">
        <f>M63</f>
        <v>1</v>
      </c>
      <c r="H63" s="80">
        <f>0.357*1.48</f>
        <v>0.52835999999999994</v>
      </c>
      <c r="I63" s="63">
        <f t="shared" ref="I63:I66" si="6">PRODUCT(G63*H63)</f>
        <v>0.52835999999999994</v>
      </c>
      <c r="J63" s="63" t="s">
        <v>86</v>
      </c>
      <c r="K63" s="89"/>
      <c r="L63" s="52" t="s">
        <v>132</v>
      </c>
      <c r="M63" s="82">
        <f>1</f>
        <v>1</v>
      </c>
      <c r="N63" s="82"/>
      <c r="O63" s="83"/>
    </row>
    <row r="64" spans="1:15" s="9" customFormat="1" ht="25" x14ac:dyDescent="0.25">
      <c r="A64" s="48" t="s">
        <v>121</v>
      </c>
      <c r="B64" s="89"/>
      <c r="C64" s="75" t="s">
        <v>127</v>
      </c>
      <c r="D64" s="59" t="s">
        <v>92</v>
      </c>
      <c r="E64" s="89"/>
      <c r="F64" s="70" t="s">
        <v>96</v>
      </c>
      <c r="G64" s="92">
        <f>M64</f>
        <v>2</v>
      </c>
      <c r="H64" s="80">
        <v>0.76</v>
      </c>
      <c r="I64" s="63">
        <f t="shared" si="6"/>
        <v>1.52</v>
      </c>
      <c r="J64" s="63" t="s">
        <v>86</v>
      </c>
      <c r="K64" s="89"/>
      <c r="L64" s="52" t="s">
        <v>131</v>
      </c>
      <c r="M64" s="82">
        <f>2</f>
        <v>2</v>
      </c>
      <c r="N64" s="82"/>
      <c r="O64" s="83"/>
    </row>
    <row r="65" spans="1:15" s="9" customFormat="1" ht="25" x14ac:dyDescent="0.25">
      <c r="A65" s="48" t="s">
        <v>122</v>
      </c>
      <c r="B65" s="89"/>
      <c r="C65" s="93" t="s">
        <v>128</v>
      </c>
      <c r="D65" s="59" t="s">
        <v>92</v>
      </c>
      <c r="E65" s="89"/>
      <c r="F65" s="70" t="s">
        <v>96</v>
      </c>
      <c r="G65" s="92">
        <f>M65</f>
        <v>1</v>
      </c>
      <c r="H65" s="80">
        <v>0.45</v>
      </c>
      <c r="I65" s="63">
        <f t="shared" si="6"/>
        <v>0.45</v>
      </c>
      <c r="J65" s="63" t="s">
        <v>86</v>
      </c>
      <c r="K65" s="89"/>
      <c r="L65" s="52" t="s">
        <v>132</v>
      </c>
      <c r="M65" s="82">
        <f>1</f>
        <v>1</v>
      </c>
      <c r="N65" s="82"/>
      <c r="O65" s="83"/>
    </row>
    <row r="66" spans="1:15" s="9" customFormat="1" ht="25" x14ac:dyDescent="0.25">
      <c r="A66" s="48" t="s">
        <v>123</v>
      </c>
      <c r="B66" s="89"/>
      <c r="C66" s="93" t="s">
        <v>129</v>
      </c>
      <c r="D66" s="59" t="s">
        <v>92</v>
      </c>
      <c r="E66" s="89"/>
      <c r="F66" s="70" t="s">
        <v>96</v>
      </c>
      <c r="G66" s="92">
        <f>M66</f>
        <v>1</v>
      </c>
      <c r="H66" s="80">
        <v>0.26</v>
      </c>
      <c r="I66" s="63">
        <f t="shared" si="6"/>
        <v>0.26</v>
      </c>
      <c r="J66" s="63" t="s">
        <v>86</v>
      </c>
      <c r="K66" s="89"/>
      <c r="L66" s="52" t="s">
        <v>132</v>
      </c>
      <c r="M66" s="82">
        <f>1</f>
        <v>1</v>
      </c>
      <c r="N66" s="82"/>
      <c r="O66" s="83"/>
    </row>
    <row r="67" spans="1:15" s="9" customFormat="1" x14ac:dyDescent="0.25">
      <c r="A67" s="48"/>
      <c r="B67" s="76"/>
      <c r="C67" s="68" t="s">
        <v>87</v>
      </c>
      <c r="D67" s="69"/>
      <c r="E67" s="77"/>
      <c r="F67" s="66" t="s">
        <v>5</v>
      </c>
      <c r="G67" s="66"/>
      <c r="H67" s="67"/>
      <c r="I67" s="66">
        <f>SUM(I63:I66)</f>
        <v>2.7583599999999997</v>
      </c>
      <c r="J67" s="66"/>
      <c r="K67" s="74"/>
      <c r="L67" s="51"/>
      <c r="M67" s="19"/>
    </row>
    <row r="68" spans="1:15" s="78" customFormat="1" x14ac:dyDescent="0.25">
      <c r="A68" s="110" t="s">
        <v>159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83"/>
    </row>
    <row r="69" spans="1:15" s="78" customFormat="1" x14ac:dyDescent="0.25">
      <c r="A69" s="110" t="s">
        <v>160</v>
      </c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83"/>
    </row>
    <row r="70" spans="1:15" s="78" customFormat="1" ht="25" x14ac:dyDescent="0.25">
      <c r="A70" s="48" t="s">
        <v>124</v>
      </c>
      <c r="B70" s="91"/>
      <c r="C70" s="84" t="s">
        <v>133</v>
      </c>
      <c r="D70" s="79" t="s">
        <v>85</v>
      </c>
      <c r="E70" s="72"/>
      <c r="F70" s="71" t="s">
        <v>96</v>
      </c>
      <c r="G70" s="92">
        <f>M70</f>
        <v>24</v>
      </c>
      <c r="H70" s="73">
        <v>8</v>
      </c>
      <c r="I70" s="71">
        <f>G70*H70</f>
        <v>192</v>
      </c>
      <c r="J70" s="71" t="s">
        <v>86</v>
      </c>
      <c r="K70" s="77"/>
      <c r="L70" s="87" t="s">
        <v>84</v>
      </c>
      <c r="M70" s="83">
        <f>24</f>
        <v>24</v>
      </c>
    </row>
    <row r="71" spans="1:15" s="78" customFormat="1" ht="25" x14ac:dyDescent="0.25">
      <c r="A71" s="48" t="s">
        <v>130</v>
      </c>
      <c r="B71" s="91"/>
      <c r="C71" s="84" t="s">
        <v>139</v>
      </c>
      <c r="D71" s="79" t="s">
        <v>85</v>
      </c>
      <c r="E71" s="72"/>
      <c r="F71" s="71" t="s">
        <v>96</v>
      </c>
      <c r="G71" s="92">
        <f>M71</f>
        <v>1</v>
      </c>
      <c r="H71" s="73">
        <v>2.98</v>
      </c>
      <c r="I71" s="71">
        <f>G71*H71</f>
        <v>2.98</v>
      </c>
      <c r="J71" s="71" t="s">
        <v>86</v>
      </c>
      <c r="K71" s="77"/>
      <c r="L71" s="87" t="s">
        <v>84</v>
      </c>
      <c r="M71" s="83">
        <f>1</f>
        <v>1</v>
      </c>
    </row>
    <row r="72" spans="1:15" s="78" customFormat="1" ht="32.5" x14ac:dyDescent="0.25">
      <c r="A72" s="48" t="s">
        <v>134</v>
      </c>
      <c r="B72" s="91"/>
      <c r="C72" s="84" t="s">
        <v>140</v>
      </c>
      <c r="D72" s="79" t="s">
        <v>85</v>
      </c>
      <c r="E72" s="72"/>
      <c r="F72" s="71" t="s">
        <v>96</v>
      </c>
      <c r="G72" s="92">
        <f>M72</f>
        <v>1</v>
      </c>
      <c r="H72" s="73">
        <f>G73*H73</f>
        <v>4.7699999999999996</v>
      </c>
      <c r="I72" s="71">
        <f>G72*H72</f>
        <v>4.7699999999999996</v>
      </c>
      <c r="J72" s="71" t="s">
        <v>86</v>
      </c>
      <c r="K72" s="77"/>
      <c r="L72" s="95" t="s">
        <v>145</v>
      </c>
      <c r="M72" s="83">
        <f>1</f>
        <v>1</v>
      </c>
    </row>
    <row r="73" spans="1:15" s="78" customFormat="1" ht="25" x14ac:dyDescent="0.25">
      <c r="A73" s="48" t="s">
        <v>146</v>
      </c>
      <c r="B73" s="91"/>
      <c r="C73" s="84" t="s">
        <v>175</v>
      </c>
      <c r="D73" s="79" t="s">
        <v>85</v>
      </c>
      <c r="E73" s="72"/>
      <c r="F73" s="71" t="s">
        <v>96</v>
      </c>
      <c r="G73" s="92">
        <f>M73</f>
        <v>1</v>
      </c>
      <c r="H73" s="73">
        <v>4.7699999999999996</v>
      </c>
      <c r="I73" s="71">
        <f>G73*H73</f>
        <v>4.7699999999999996</v>
      </c>
      <c r="J73" s="71" t="s">
        <v>86</v>
      </c>
      <c r="K73" s="77"/>
      <c r="L73" s="87" t="s">
        <v>84</v>
      </c>
      <c r="M73" s="83">
        <f>1</f>
        <v>1</v>
      </c>
    </row>
    <row r="74" spans="1:15" s="78" customFormat="1" ht="37.5" x14ac:dyDescent="0.25">
      <c r="A74" s="48" t="s">
        <v>135</v>
      </c>
      <c r="B74" s="91"/>
      <c r="C74" s="94" t="s">
        <v>136</v>
      </c>
      <c r="D74" s="79" t="s">
        <v>85</v>
      </c>
      <c r="E74" s="72"/>
      <c r="F74" s="71" t="s">
        <v>96</v>
      </c>
      <c r="G74" s="92">
        <f>M74</f>
        <v>2</v>
      </c>
      <c r="H74" s="73">
        <v>20.9</v>
      </c>
      <c r="I74" s="71">
        <f>G74*H74</f>
        <v>41.8</v>
      </c>
      <c r="J74" s="71" t="s">
        <v>86</v>
      </c>
      <c r="K74" s="77"/>
      <c r="L74" s="87" t="s">
        <v>84</v>
      </c>
      <c r="M74" s="83">
        <f>2</f>
        <v>2</v>
      </c>
    </row>
    <row r="75" spans="1:15" s="78" customFormat="1" x14ac:dyDescent="0.25">
      <c r="A75" s="53"/>
      <c r="B75" s="54"/>
      <c r="C75" s="60" t="s">
        <v>87</v>
      </c>
      <c r="D75" s="51"/>
      <c r="E75" s="48"/>
      <c r="F75" s="57" t="s">
        <v>5</v>
      </c>
      <c r="G75" s="57"/>
      <c r="H75" s="49"/>
      <c r="I75" s="57">
        <f>SUM(I73:I74)+I70+I71</f>
        <v>241.54999999999998</v>
      </c>
      <c r="J75" s="55"/>
      <c r="K75" s="53"/>
      <c r="L75" s="51"/>
      <c r="M75" s="83"/>
    </row>
    <row r="76" spans="1:15" s="78" customFormat="1" x14ac:dyDescent="0.25">
      <c r="A76" s="107" t="s">
        <v>161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9"/>
      <c r="M76" s="83"/>
    </row>
    <row r="77" spans="1:15" s="78" customFormat="1" ht="50" x14ac:dyDescent="0.25">
      <c r="A77" s="48"/>
      <c r="B77" s="56"/>
      <c r="C77" s="60" t="s">
        <v>98</v>
      </c>
      <c r="D77" s="48" t="s">
        <v>84</v>
      </c>
      <c r="E77" s="49" t="s">
        <v>84</v>
      </c>
      <c r="F77" s="61" t="s">
        <v>97</v>
      </c>
      <c r="G77" s="55" t="e">
        <f>M77</f>
        <v>#REF!</v>
      </c>
      <c r="H77" s="55">
        <v>0.28000000000000003</v>
      </c>
      <c r="I77" s="55" t="e">
        <f>G77*H77</f>
        <v>#REF!</v>
      </c>
      <c r="J77" s="55"/>
      <c r="K77" s="53"/>
      <c r="L77" s="85" t="s">
        <v>84</v>
      </c>
      <c r="M77" s="86" t="e">
        <f>(3.14*0.219*M53)+(3.14*0.159*M54)+(3.14*0.133*M55)+(3.14*0.032*#REF!)+(3.14*0.025*#REF!)</f>
        <v>#REF!</v>
      </c>
    </row>
    <row r="78" spans="1:15" s="78" customFormat="1" ht="37.5" x14ac:dyDescent="0.25">
      <c r="A78" s="48"/>
      <c r="B78" s="56"/>
      <c r="C78" s="60" t="s">
        <v>91</v>
      </c>
      <c r="D78" s="48" t="s">
        <v>84</v>
      </c>
      <c r="E78" s="49" t="s">
        <v>84</v>
      </c>
      <c r="F78" s="62" t="s">
        <v>97</v>
      </c>
      <c r="G78" s="55" t="e">
        <f>G77</f>
        <v>#REF!</v>
      </c>
      <c r="H78" s="55">
        <v>0.13</v>
      </c>
      <c r="I78" s="55" t="e">
        <f>G78*H78</f>
        <v>#REF!</v>
      </c>
      <c r="J78" s="55"/>
      <c r="K78" s="53"/>
      <c r="L78" s="85" t="s">
        <v>84</v>
      </c>
      <c r="M78" s="83"/>
    </row>
    <row r="79" spans="1:15" s="9" customFormat="1" x14ac:dyDescent="0.25">
      <c r="A79" s="48"/>
      <c r="B79" s="76"/>
      <c r="C79" s="68" t="s">
        <v>87</v>
      </c>
      <c r="D79" s="69"/>
      <c r="E79" s="77"/>
      <c r="F79" s="66" t="s">
        <v>5</v>
      </c>
      <c r="G79" s="66"/>
      <c r="H79" s="67"/>
      <c r="I79" s="66" t="e">
        <f>SUM(I77:I78)</f>
        <v>#REF!</v>
      </c>
      <c r="J79" s="66"/>
      <c r="K79" s="74"/>
      <c r="L79" s="51"/>
      <c r="M79" s="19"/>
    </row>
    <row r="80" spans="1:15" s="78" customFormat="1" x14ac:dyDescent="0.25">
      <c r="A80" s="107" t="s">
        <v>162</v>
      </c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9"/>
      <c r="M80" s="83" t="s">
        <v>164</v>
      </c>
      <c r="N80" s="83" t="s">
        <v>163</v>
      </c>
    </row>
    <row r="81" spans="1:15" s="9" customFormat="1" ht="25" x14ac:dyDescent="0.25">
      <c r="A81" s="48" t="s">
        <v>88</v>
      </c>
      <c r="B81" s="89"/>
      <c r="C81" s="75" t="s">
        <v>150</v>
      </c>
      <c r="D81" s="59" t="s">
        <v>92</v>
      </c>
      <c r="E81" s="60"/>
      <c r="F81" s="57" t="s">
        <v>82</v>
      </c>
      <c r="G81" s="63">
        <f>N81</f>
        <v>3.5</v>
      </c>
      <c r="H81" s="80">
        <v>36.6</v>
      </c>
      <c r="I81" s="63">
        <f>PRODUCT(G81*H81)</f>
        <v>128.1</v>
      </c>
      <c r="J81" s="63" t="s">
        <v>86</v>
      </c>
      <c r="K81" s="89"/>
      <c r="L81" s="52" t="s">
        <v>144</v>
      </c>
      <c r="M81" s="96">
        <f>0.02*G53</f>
        <v>3.1013800000000002</v>
      </c>
      <c r="N81" s="82">
        <f>3.5</f>
        <v>3.5</v>
      </c>
      <c r="O81" s="83"/>
    </row>
    <row r="82" spans="1:15" s="9" customFormat="1" ht="25" x14ac:dyDescent="0.25">
      <c r="A82" s="48" t="s">
        <v>89</v>
      </c>
      <c r="B82" s="89"/>
      <c r="C82" s="75" t="s">
        <v>151</v>
      </c>
      <c r="D82" s="59" t="s">
        <v>92</v>
      </c>
      <c r="E82" s="60"/>
      <c r="F82" s="57" t="s">
        <v>82</v>
      </c>
      <c r="G82" s="63">
        <f>N82</f>
        <v>0.5</v>
      </c>
      <c r="H82" s="80">
        <v>18.989999999999998</v>
      </c>
      <c r="I82" s="63">
        <f>PRODUCT(G82*H82)</f>
        <v>9.4949999999999992</v>
      </c>
      <c r="J82" s="63" t="s">
        <v>86</v>
      </c>
      <c r="K82" s="89"/>
      <c r="L82" s="52" t="s">
        <v>144</v>
      </c>
      <c r="M82" s="96">
        <f>0.02*G54</f>
        <v>8.9399999999999993E-2</v>
      </c>
      <c r="N82" s="82">
        <f>0.5</f>
        <v>0.5</v>
      </c>
      <c r="O82" s="83"/>
    </row>
    <row r="83" spans="1:15" s="9" customFormat="1" ht="25" x14ac:dyDescent="0.25">
      <c r="A83" s="48" t="s">
        <v>90</v>
      </c>
      <c r="B83" s="89"/>
      <c r="C83" s="75" t="s">
        <v>152</v>
      </c>
      <c r="D83" s="59" t="s">
        <v>92</v>
      </c>
      <c r="E83" s="60"/>
      <c r="F83" s="57" t="s">
        <v>82</v>
      </c>
      <c r="G83" s="63">
        <f>N83</f>
        <v>0.5</v>
      </c>
      <c r="H83" s="80">
        <v>12.73</v>
      </c>
      <c r="I83" s="63">
        <f>PRODUCT(G83*H83)</f>
        <v>6.3650000000000002</v>
      </c>
      <c r="J83" s="63" t="s">
        <v>86</v>
      </c>
      <c r="K83" s="89"/>
      <c r="L83" s="52" t="s">
        <v>144</v>
      </c>
      <c r="M83" s="96">
        <f>0.02*G55</f>
        <v>0.17027999999999999</v>
      </c>
      <c r="N83" s="82">
        <f>0.5</f>
        <v>0.5</v>
      </c>
      <c r="O83" s="83"/>
    </row>
    <row r="84" spans="1:15" s="78" customFormat="1" x14ac:dyDescent="0.25">
      <c r="A84" s="53"/>
      <c r="B84" s="54"/>
      <c r="C84" s="60" t="s">
        <v>87</v>
      </c>
      <c r="D84" s="51"/>
      <c r="E84" s="48"/>
      <c r="F84" s="57" t="s">
        <v>5</v>
      </c>
      <c r="G84" s="57"/>
      <c r="H84" s="49"/>
      <c r="I84" s="57">
        <f>SUM(I81:I83)</f>
        <v>143.96</v>
      </c>
      <c r="J84" s="55"/>
      <c r="K84" s="53"/>
      <c r="L84" s="51"/>
      <c r="M84" s="83"/>
    </row>
    <row r="85" spans="1:15" s="78" customFormat="1" ht="37.5" x14ac:dyDescent="0.25">
      <c r="A85" s="53"/>
      <c r="B85" s="54"/>
      <c r="C85" s="88" t="s">
        <v>106</v>
      </c>
      <c r="D85" s="48"/>
      <c r="E85" s="48"/>
      <c r="F85" s="48" t="s">
        <v>5</v>
      </c>
      <c r="G85" s="48"/>
      <c r="H85" s="49"/>
      <c r="I85" s="55">
        <f>I61+I67+I75+I84</f>
        <v>6446.9122799999996</v>
      </c>
      <c r="J85" s="55"/>
      <c r="K85" s="53"/>
      <c r="L85" s="81" t="s">
        <v>100</v>
      </c>
      <c r="M85" s="83"/>
    </row>
    <row r="86" spans="1:15" s="9" customFormat="1" ht="26" x14ac:dyDescent="0.25">
      <c r="A86" s="50"/>
      <c r="B86" s="105"/>
      <c r="C86" s="64" t="s">
        <v>167</v>
      </c>
      <c r="D86" s="50"/>
      <c r="E86" s="50"/>
      <c r="F86" s="50"/>
      <c r="G86" s="50"/>
      <c r="H86" s="50"/>
      <c r="I86" s="50"/>
      <c r="J86" s="50"/>
      <c r="K86" s="50"/>
      <c r="L86" s="105" t="s">
        <v>189</v>
      </c>
      <c r="M86" s="82"/>
      <c r="N86" s="82"/>
    </row>
    <row r="87" spans="1:15" s="9" customFormat="1" x14ac:dyDescent="0.25">
      <c r="A87" s="111" t="s">
        <v>165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3"/>
      <c r="M87" s="19"/>
    </row>
    <row r="88" spans="1:15" s="9" customFormat="1" x14ac:dyDescent="0.25">
      <c r="A88" s="111" t="s">
        <v>166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3"/>
      <c r="M88" s="82" t="s">
        <v>101</v>
      </c>
      <c r="N88" s="82" t="s">
        <v>102</v>
      </c>
      <c r="O88" s="83"/>
    </row>
    <row r="89" spans="1:15" s="9" customFormat="1" ht="25" x14ac:dyDescent="0.25">
      <c r="A89" s="48" t="s">
        <v>137</v>
      </c>
      <c r="B89" s="89"/>
      <c r="C89" s="75" t="s">
        <v>153</v>
      </c>
      <c r="D89" s="59" t="s">
        <v>92</v>
      </c>
      <c r="E89" s="60"/>
      <c r="F89" s="57" t="s">
        <v>82</v>
      </c>
      <c r="G89" s="63">
        <f>N89</f>
        <v>8.0839999999999996</v>
      </c>
      <c r="H89" s="80">
        <v>7.38</v>
      </c>
      <c r="I89" s="63">
        <f>PRODUCT(G89*H89)</f>
        <v>59.65992</v>
      </c>
      <c r="J89" s="63" t="s">
        <v>86</v>
      </c>
      <c r="K89" s="89"/>
      <c r="L89" s="52" t="s">
        <v>172</v>
      </c>
      <c r="M89" s="82">
        <f>2*(((253+1750+500-137)/1000)+((243+1750+500-137)/1000))</f>
        <v>9.4439999999999991</v>
      </c>
      <c r="N89" s="96">
        <f>M89-G91*0.1-G90*0.24</f>
        <v>8.0839999999999996</v>
      </c>
      <c r="O89" s="83">
        <f>ROUNDUP((G89/3+G90*2+G91*2+4),0)</f>
        <v>23</v>
      </c>
    </row>
    <row r="90" spans="1:15" s="9" customFormat="1" ht="25" x14ac:dyDescent="0.25">
      <c r="A90" s="48" t="s">
        <v>138</v>
      </c>
      <c r="B90" s="89"/>
      <c r="C90" s="75" t="s">
        <v>125</v>
      </c>
      <c r="D90" s="59" t="s">
        <v>92</v>
      </c>
      <c r="E90" s="89"/>
      <c r="F90" s="70" t="s">
        <v>96</v>
      </c>
      <c r="G90" s="92">
        <f>M90</f>
        <v>4</v>
      </c>
      <c r="H90" s="80">
        <v>1.4</v>
      </c>
      <c r="I90" s="63">
        <f>PRODUCT(G90*H90)</f>
        <v>5.6</v>
      </c>
      <c r="J90" s="63" t="s">
        <v>86</v>
      </c>
      <c r="K90" s="89"/>
      <c r="L90" s="52" t="s">
        <v>131</v>
      </c>
      <c r="M90" s="82">
        <f>4</f>
        <v>4</v>
      </c>
      <c r="N90" s="82"/>
      <c r="O90" s="83"/>
    </row>
    <row r="91" spans="1:15" s="9" customFormat="1" ht="25" x14ac:dyDescent="0.25">
      <c r="A91" s="48" t="s">
        <v>121</v>
      </c>
      <c r="B91" s="89"/>
      <c r="C91" s="75" t="s">
        <v>127</v>
      </c>
      <c r="D91" s="59" t="s">
        <v>92</v>
      </c>
      <c r="E91" s="89"/>
      <c r="F91" s="70" t="s">
        <v>96</v>
      </c>
      <c r="G91" s="92">
        <f>M91</f>
        <v>4</v>
      </c>
      <c r="H91" s="80">
        <v>0.76</v>
      </c>
      <c r="I91" s="63">
        <f>PRODUCT(G91*H91)</f>
        <v>3.04</v>
      </c>
      <c r="J91" s="63" t="s">
        <v>86</v>
      </c>
      <c r="K91" s="89"/>
      <c r="L91" s="52" t="s">
        <v>131</v>
      </c>
      <c r="M91" s="82">
        <f>4</f>
        <v>4</v>
      </c>
      <c r="N91" s="82"/>
      <c r="O91" s="83"/>
    </row>
    <row r="92" spans="1:15" s="9" customFormat="1" x14ac:dyDescent="0.25">
      <c r="A92" s="48"/>
      <c r="B92" s="76"/>
      <c r="C92" s="68" t="s">
        <v>87</v>
      </c>
      <c r="D92" s="69"/>
      <c r="E92" s="77"/>
      <c r="F92" s="66" t="s">
        <v>5</v>
      </c>
      <c r="G92" s="66"/>
      <c r="H92" s="67"/>
      <c r="I92" s="66">
        <f>SUM(I89:I91)</f>
        <v>68.29992</v>
      </c>
      <c r="J92" s="66"/>
      <c r="K92" s="74"/>
      <c r="L92" s="51"/>
      <c r="M92" s="19"/>
    </row>
    <row r="93" spans="1:15" s="78" customFormat="1" x14ac:dyDescent="0.25">
      <c r="A93" s="107" t="s">
        <v>168</v>
      </c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9"/>
      <c r="M93" s="83"/>
    </row>
    <row r="94" spans="1:15" s="78" customFormat="1" ht="50" x14ac:dyDescent="0.25">
      <c r="A94" s="48"/>
      <c r="B94" s="56"/>
      <c r="C94" s="60" t="s">
        <v>98</v>
      </c>
      <c r="D94" s="48" t="s">
        <v>84</v>
      </c>
      <c r="E94" s="49" t="s">
        <v>84</v>
      </c>
      <c r="F94" s="61" t="s">
        <v>97</v>
      </c>
      <c r="G94" s="55">
        <f>M94</f>
        <v>2.6392202399999998</v>
      </c>
      <c r="H94" s="55">
        <v>0.28000000000000003</v>
      </c>
      <c r="I94" s="55">
        <f>G94*H94</f>
        <v>0.73898166720000003</v>
      </c>
      <c r="J94" s="55"/>
      <c r="K94" s="53"/>
      <c r="L94" s="85" t="s">
        <v>84</v>
      </c>
      <c r="M94" s="86">
        <f>(3.14*0.089*M89)</f>
        <v>2.6392202399999998</v>
      </c>
    </row>
    <row r="95" spans="1:15" s="78" customFormat="1" ht="37.5" x14ac:dyDescent="0.25">
      <c r="A95" s="48"/>
      <c r="B95" s="56"/>
      <c r="C95" s="60" t="s">
        <v>91</v>
      </c>
      <c r="D95" s="48" t="s">
        <v>84</v>
      </c>
      <c r="E95" s="49" t="s">
        <v>84</v>
      </c>
      <c r="F95" s="62" t="s">
        <v>97</v>
      </c>
      <c r="G95" s="55">
        <f>G94</f>
        <v>2.6392202399999998</v>
      </c>
      <c r="H95" s="55">
        <v>0.13</v>
      </c>
      <c r="I95" s="55">
        <f>G95*H95</f>
        <v>0.3430986312</v>
      </c>
      <c r="J95" s="55"/>
      <c r="K95" s="53"/>
      <c r="L95" s="85" t="s">
        <v>84</v>
      </c>
      <c r="M95" s="83"/>
    </row>
    <row r="96" spans="1:15" s="9" customFormat="1" x14ac:dyDescent="0.25">
      <c r="A96" s="48"/>
      <c r="B96" s="76"/>
      <c r="C96" s="68" t="s">
        <v>87</v>
      </c>
      <c r="D96" s="69"/>
      <c r="E96" s="77"/>
      <c r="F96" s="66" t="s">
        <v>5</v>
      </c>
      <c r="G96" s="66"/>
      <c r="H96" s="67"/>
      <c r="I96" s="66">
        <f>SUM(I94:I95)</f>
        <v>1.0820802984</v>
      </c>
      <c r="J96" s="66"/>
      <c r="K96" s="74"/>
      <c r="L96" s="51"/>
      <c r="M96" s="19"/>
    </row>
    <row r="97" spans="1:15" s="78" customFormat="1" x14ac:dyDescent="0.25">
      <c r="A97" s="107" t="s">
        <v>169</v>
      </c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9"/>
      <c r="M97" s="83" t="s">
        <v>164</v>
      </c>
      <c r="N97" s="83" t="s">
        <v>163</v>
      </c>
    </row>
    <row r="98" spans="1:15" s="9" customFormat="1" ht="25" x14ac:dyDescent="0.25">
      <c r="A98" s="48" t="s">
        <v>137</v>
      </c>
      <c r="B98" s="89"/>
      <c r="C98" s="75" t="s">
        <v>153</v>
      </c>
      <c r="D98" s="59" t="s">
        <v>92</v>
      </c>
      <c r="E98" s="60"/>
      <c r="F98" s="57" t="s">
        <v>82</v>
      </c>
      <c r="G98" s="63">
        <f>N98</f>
        <v>0.5</v>
      </c>
      <c r="H98" s="80">
        <v>7.38</v>
      </c>
      <c r="I98" s="63">
        <f>PRODUCT(G98*H98)</f>
        <v>3.69</v>
      </c>
      <c r="J98" s="63" t="s">
        <v>86</v>
      </c>
      <c r="K98" s="89"/>
      <c r="L98" s="52" t="s">
        <v>144</v>
      </c>
      <c r="M98" s="96">
        <f>0.02*G89</f>
        <v>0.16167999999999999</v>
      </c>
      <c r="N98" s="96">
        <f>0.5</f>
        <v>0.5</v>
      </c>
      <c r="O98" s="83"/>
    </row>
    <row r="99" spans="1:15" s="9" customFormat="1" x14ac:dyDescent="0.25">
      <c r="A99" s="48"/>
      <c r="B99" s="76"/>
      <c r="C99" s="68" t="s">
        <v>87</v>
      </c>
      <c r="D99" s="69"/>
      <c r="E99" s="77"/>
      <c r="F99" s="66" t="s">
        <v>5</v>
      </c>
      <c r="G99" s="66"/>
      <c r="H99" s="67"/>
      <c r="I99" s="66">
        <f>SUM(I98)</f>
        <v>3.69</v>
      </c>
      <c r="J99" s="66"/>
      <c r="K99" s="74"/>
      <c r="L99" s="51"/>
      <c r="M99" s="19"/>
    </row>
    <row r="100" spans="1:15" s="78" customFormat="1" ht="37.5" x14ac:dyDescent="0.25">
      <c r="A100" s="53"/>
      <c r="B100" s="54"/>
      <c r="C100" s="88" t="s">
        <v>170</v>
      </c>
      <c r="D100" s="48"/>
      <c r="E100" s="48"/>
      <c r="F100" s="48" t="s">
        <v>5</v>
      </c>
      <c r="G100" s="48"/>
      <c r="H100" s="49"/>
      <c r="I100" s="55">
        <f>I92+I99</f>
        <v>71.989919999999998</v>
      </c>
      <c r="J100" s="55"/>
      <c r="K100" s="53"/>
      <c r="L100" s="81" t="s">
        <v>100</v>
      </c>
      <c r="M100" s="83"/>
    </row>
    <row r="101" spans="1:15" s="9" customFormat="1" ht="26" x14ac:dyDescent="0.25">
      <c r="A101" s="50"/>
      <c r="B101" s="50"/>
      <c r="C101" s="64" t="s">
        <v>179</v>
      </c>
      <c r="D101" s="50"/>
      <c r="E101" s="50"/>
      <c r="F101" s="50"/>
      <c r="G101" s="50"/>
      <c r="H101" s="50"/>
      <c r="I101" s="50"/>
      <c r="J101" s="50"/>
      <c r="K101" s="50"/>
      <c r="L101" s="50" t="s">
        <v>104</v>
      </c>
      <c r="M101" s="82"/>
      <c r="N101" s="82"/>
    </row>
    <row r="102" spans="1:15" s="9" customFormat="1" x14ac:dyDescent="0.25">
      <c r="A102" s="111" t="s">
        <v>180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3"/>
      <c r="M102" s="19"/>
    </row>
    <row r="103" spans="1:15" s="9" customFormat="1" x14ac:dyDescent="0.25">
      <c r="A103" s="111" t="s">
        <v>181</v>
      </c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3"/>
      <c r="M103" s="82" t="s">
        <v>101</v>
      </c>
      <c r="N103" s="82" t="s">
        <v>102</v>
      </c>
      <c r="O103" s="83"/>
    </row>
    <row r="104" spans="1:15" s="101" customFormat="1" ht="50" x14ac:dyDescent="0.25">
      <c r="A104" s="48"/>
      <c r="B104" s="50"/>
      <c r="C104" s="102" t="s">
        <v>182</v>
      </c>
      <c r="D104" s="59" t="s">
        <v>183</v>
      </c>
      <c r="E104" s="95"/>
      <c r="F104" s="70" t="s">
        <v>96</v>
      </c>
      <c r="G104" s="92">
        <f>M104</f>
        <v>2</v>
      </c>
      <c r="H104" s="57">
        <v>12.53</v>
      </c>
      <c r="I104" s="70">
        <f>PRODUCT(G104*H104)</f>
        <v>25.06</v>
      </c>
      <c r="J104" s="57" t="s">
        <v>86</v>
      </c>
      <c r="K104" s="103"/>
      <c r="L104" s="104" t="s">
        <v>185</v>
      </c>
      <c r="M104" s="82">
        <f>2</f>
        <v>2</v>
      </c>
    </row>
    <row r="105" spans="1:15" s="9" customFormat="1" x14ac:dyDescent="0.25">
      <c r="A105" s="48"/>
      <c r="B105" s="76"/>
      <c r="C105" s="68" t="s">
        <v>87</v>
      </c>
      <c r="D105" s="69"/>
      <c r="E105" s="77"/>
      <c r="F105" s="66" t="s">
        <v>5</v>
      </c>
      <c r="G105" s="66"/>
      <c r="H105" s="67"/>
      <c r="I105" s="66">
        <f>SUM(I104)</f>
        <v>25.06</v>
      </c>
      <c r="J105" s="66"/>
      <c r="K105" s="74"/>
      <c r="L105" s="51"/>
      <c r="M105" s="19"/>
    </row>
    <row r="106" spans="1:15" s="78" customFormat="1" ht="13" x14ac:dyDescent="0.25">
      <c r="A106" s="53"/>
      <c r="B106" s="54"/>
      <c r="C106" s="88" t="s">
        <v>184</v>
      </c>
      <c r="D106" s="48"/>
      <c r="E106" s="48"/>
      <c r="F106" s="48" t="s">
        <v>5</v>
      </c>
      <c r="G106" s="48"/>
      <c r="H106" s="49"/>
      <c r="I106" s="55">
        <f>I105</f>
        <v>25.06</v>
      </c>
      <c r="J106" s="55"/>
      <c r="K106" s="53"/>
      <c r="L106" s="52" t="s">
        <v>84</v>
      </c>
      <c r="M106" s="83"/>
    </row>
    <row r="107" spans="1:15" s="78" customFormat="1" ht="37.5" x14ac:dyDescent="0.25">
      <c r="A107" s="53"/>
      <c r="B107" s="54"/>
      <c r="C107" s="88" t="s">
        <v>83</v>
      </c>
      <c r="D107" s="48"/>
      <c r="E107" s="48"/>
      <c r="F107" s="48" t="s">
        <v>5</v>
      </c>
      <c r="G107" s="48"/>
      <c r="H107" s="49"/>
      <c r="I107" s="55">
        <f>I40+I85+I100+I106</f>
        <v>13051.578479999998</v>
      </c>
      <c r="J107" s="55"/>
      <c r="K107" s="53"/>
      <c r="L107" s="81" t="s">
        <v>100</v>
      </c>
      <c r="M107" s="83"/>
    </row>
    <row r="108" spans="1:15" s="78" customFormat="1" x14ac:dyDescent="0.25">
      <c r="B108" s="97"/>
      <c r="C108" s="98"/>
      <c r="D108" s="99"/>
      <c r="E108" s="99"/>
      <c r="F108" s="99"/>
      <c r="G108" s="99"/>
      <c r="H108" s="86"/>
      <c r="I108" s="100"/>
      <c r="J108" s="100"/>
      <c r="L108" s="82"/>
      <c r="M108" s="83"/>
    </row>
    <row r="109" spans="1:15" s="78" customFormat="1" x14ac:dyDescent="0.25">
      <c r="B109" s="97"/>
      <c r="C109" s="98"/>
      <c r="D109" s="99"/>
      <c r="E109" s="99"/>
      <c r="F109" s="99"/>
      <c r="G109" s="99"/>
      <c r="H109" s="86"/>
      <c r="I109" s="100"/>
      <c r="J109" s="100"/>
      <c r="L109" s="82"/>
      <c r="M109" s="83"/>
    </row>
    <row r="110" spans="1:15" s="78" customFormat="1" x14ac:dyDescent="0.25">
      <c r="B110" s="97"/>
      <c r="C110" s="98"/>
      <c r="D110" s="99"/>
      <c r="E110" s="99"/>
      <c r="F110" s="99"/>
      <c r="G110" s="99"/>
      <c r="H110" s="86"/>
      <c r="I110" s="100"/>
      <c r="J110" s="100"/>
      <c r="L110" s="82"/>
      <c r="M110" s="83"/>
    </row>
    <row r="111" spans="1:15" s="78" customFormat="1" x14ac:dyDescent="0.25">
      <c r="B111" s="97"/>
      <c r="C111" s="98"/>
      <c r="D111" s="99"/>
      <c r="E111" s="99"/>
      <c r="F111" s="99"/>
      <c r="G111" s="99"/>
      <c r="H111" s="86"/>
      <c r="I111" s="100"/>
      <c r="J111" s="100"/>
      <c r="L111" s="82"/>
      <c r="M111" s="83"/>
    </row>
    <row r="112" spans="1:15" s="78" customFormat="1" x14ac:dyDescent="0.25">
      <c r="B112" s="97"/>
      <c r="C112" s="98"/>
      <c r="D112" s="99"/>
      <c r="E112" s="99"/>
      <c r="F112" s="99"/>
      <c r="G112" s="99"/>
      <c r="H112" s="86"/>
      <c r="I112" s="100"/>
      <c r="J112" s="100"/>
      <c r="L112" s="82"/>
      <c r="M112" s="83"/>
    </row>
    <row r="113" spans="2:13" s="78" customFormat="1" x14ac:dyDescent="0.25">
      <c r="B113" s="97"/>
      <c r="C113" s="98"/>
      <c r="D113" s="99"/>
      <c r="E113" s="99"/>
      <c r="F113" s="99"/>
      <c r="G113" s="99"/>
      <c r="H113" s="86"/>
      <c r="I113" s="100"/>
      <c r="J113" s="100"/>
      <c r="L113" s="82"/>
      <c r="M113" s="83"/>
    </row>
    <row r="114" spans="2:13" s="78" customFormat="1" x14ac:dyDescent="0.25">
      <c r="B114" s="97"/>
      <c r="C114" s="98"/>
      <c r="D114" s="99"/>
      <c r="E114" s="99"/>
      <c r="F114" s="99"/>
      <c r="G114" s="99"/>
      <c r="H114" s="86"/>
      <c r="I114" s="100"/>
      <c r="J114" s="100"/>
      <c r="L114" s="82"/>
      <c r="M114" s="83"/>
    </row>
  </sheetData>
  <customSheetViews>
    <customSheetView guid="{5957D273-4ED5-4929-9B3A-FCE5C5FA7B27}" showPageBreaks="1" printArea="1" hiddenColumns="1" view="pageBreakPreview" topLeftCell="C55">
      <selection activeCell="N70" sqref="N70"/>
      <rowBreaks count="6" manualBreakCount="6">
        <brk id="22" max="14" man="1"/>
        <brk id="36" max="14" man="1"/>
        <brk id="57" max="14" man="1"/>
        <brk id="77" max="14" man="1"/>
        <brk id="91" max="14" man="1"/>
        <brk id="112" max="14" man="1"/>
      </rowBreaks>
      <pageMargins left="0.51181102362204722" right="0.51181102362204722" top="0.98425196850393704" bottom="0.98425196850393704" header="0.51181102362204722" footer="0.51181102362204722"/>
      <printOptions horizontalCentered="1"/>
      <pageSetup paperSize="8" scale="93" fitToHeight="0" orientation="landscape" r:id="rId1"/>
      <headerFooter>
        <oddHeader>&amp;L&amp;12АО ИК «АСЭ»&amp;C&amp;12КУРСКАЯ АЭС-2 ЭНЕРГОБЛОКИ № 1 и 2&amp;R&amp;12C01</oddHeader>
        <oddFooter>&amp;LKUR.0130.00UNZ.SBA.TS.TB0039.S0001-MPA0001</oddFooter>
      </headerFooter>
    </customSheetView>
    <customSheetView guid="{478FD2A1-4717-400D-8E80-8DFF88862534}" showPageBreaks="1" fitToPage="1" printArea="1" hiddenColumns="1" view="pageBreakPreview" topLeftCell="C4">
      <selection activeCell="F28" sqref="F28"/>
      <rowBreaks count="6" manualBreakCount="6">
        <brk id="23" min="2" max="14" man="1"/>
        <brk id="44" min="2" max="14" man="1"/>
        <brk id="65" min="2" max="14" man="1"/>
        <brk id="85" min="2" max="14" man="1"/>
        <brk id="107" min="2" max="14" man="1"/>
        <brk id="129" min="2" max="14" man="1"/>
      </rowBreaks>
      <pageMargins left="0.51181102362204722" right="0.51181102362204722" top="0.98425196850393704" bottom="0.98425196850393704" header="0.51181102362204722" footer="0.51181102362204722"/>
      <printOptions horizontalCentered="1"/>
      <pageSetup paperSize="9" scale="68" fitToHeight="0" orientation="landscape" r:id="rId2"/>
      <headerFooter>
        <oddHeader>&amp;L&amp;12АО ИК «АСЭ»&amp;C&amp;12КУРСКАЯ АЭС-2 ЭНЕРГОБЛОКИ № 1 и 2&amp;R&amp;12C01</oddHeader>
        <oddFooter>&amp;LKUR.0130.00UNZ.SBA.TS.TB0007.S0001-MPA0001</oddFooter>
      </headerFooter>
    </customSheetView>
    <customSheetView guid="{11544635-2A86-474C-9536-A4695C24F945}" showPageBreaks="1" fitToPage="1" printArea="1" hiddenColumns="1" topLeftCell="C31">
      <selection activeCell="R39" sqref="R39"/>
      <rowBreaks count="6" manualBreakCount="6">
        <brk id="27" min="2" max="14" man="1"/>
        <brk id="36" min="2" max="14" man="1"/>
        <brk id="54" min="2" max="14" man="1"/>
        <brk id="74" min="2" max="14" man="1"/>
        <brk id="96" min="2" max="14" man="1"/>
        <brk id="118" min="2" max="14" man="1"/>
      </rowBreaks>
      <pageMargins left="0.51181102362204722" right="0.51181102362204722" top="0.98425196850393704" bottom="0.98425196850393704" header="0.51181102362204722" footer="0.51181102362204722"/>
      <printOptions horizontalCentered="1"/>
      <pageSetup paperSize="8" fitToHeight="0" orientation="landscape" r:id="rId3"/>
      <headerFooter>
        <oddHeader>&amp;L&amp;12АО ИК «АСЭ»&amp;C&amp;12КУРСКАЯ АЭС-2 ЭНЕРГОБЛОКИ № 1 и 2&amp;R&amp;12C01</oddHeader>
        <oddFooter>&amp;LKUR.0130.00UNZ.SBA.TS.TB0007.S0001-MPA0001</oddFooter>
      </headerFooter>
    </customSheetView>
    <customSheetView guid="{60DCDA0E-3F55-4C69-A961-338298D6B9EC}" showPageBreaks="1" fitToPage="1" printArea="1" hiddenColumns="1" topLeftCell="C1">
      <selection activeCell="E74" sqref="E74"/>
      <rowBreaks count="7" manualBreakCount="7">
        <brk id="22" min="2" max="14" man="1"/>
        <brk id="44" min="2" max="14" man="1"/>
        <brk id="65" min="2" max="14" man="1"/>
        <brk id="85" min="2" max="14" man="1"/>
        <brk id="107" min="2" max="14" man="1"/>
        <brk id="129" min="2" max="14" man="1"/>
        <brk id="152" min="2" max="14" man="1"/>
      </rowBreaks>
      <pageMargins left="0.51181102362204722" right="0.51181102362204722" top="0.98425196850393704" bottom="0.98425196850393704" header="0.51181102362204722" footer="0.51181102362204722"/>
      <printOptions horizontalCentered="1"/>
      <pageSetup paperSize="8" fitToHeight="0" orientation="landscape" r:id="rId4"/>
      <headerFooter>
        <oddHeader>&amp;L&amp;12АО ИК «АСЭ»&amp;C&amp;12КУРСКАЯ АЭС-2 ЭНЕРГОБЛОКИ № 1 и 2&amp;R&amp;12C01</oddHeader>
        <oddFooter>&amp;LKUR.0130.00UNZ.SBA.TS.TB0007.S0001-MPA0001</oddFooter>
      </headerFooter>
    </customSheetView>
  </customSheetViews>
  <mergeCells count="21">
    <mergeCell ref="A1:K1"/>
    <mergeCell ref="A4:L4"/>
    <mergeCell ref="A5:L5"/>
    <mergeCell ref="A21:L21"/>
    <mergeCell ref="A31:L31"/>
    <mergeCell ref="A15:L15"/>
    <mergeCell ref="A102:L102"/>
    <mergeCell ref="A103:L103"/>
    <mergeCell ref="A68:L68"/>
    <mergeCell ref="A69:L69"/>
    <mergeCell ref="A51:L51"/>
    <mergeCell ref="A80:L80"/>
    <mergeCell ref="A87:L87"/>
    <mergeCell ref="A88:L88"/>
    <mergeCell ref="A93:L93"/>
    <mergeCell ref="A97:L97"/>
    <mergeCell ref="A35:L35"/>
    <mergeCell ref="A22:L22"/>
    <mergeCell ref="A52:L52"/>
    <mergeCell ref="A76:L76"/>
    <mergeCell ref="A62:L62"/>
  </mergeCells>
  <phoneticPr fontId="0" type="noConversion"/>
  <printOptions horizontalCentered="1"/>
  <pageMargins left="0.51181102362204722" right="0.51181102362204722" top="0.98425196850393704" bottom="0.98425196850393704" header="0.51181102362204722" footer="0.51181102362204722"/>
  <pageSetup paperSize="8" scale="66" fitToHeight="0" orientation="landscape" r:id="rId5"/>
  <headerFooter>
    <oddHeader>&amp;L&amp;12 АО "Атомэнергопроект"  НИАЭП&amp;C&amp;12КУРСКАЯ АЭС-2 ЭНЕРГОБЛОКИ № 1 и 2&amp;R&amp;12C01</oddHeader>
    <oddFooter>&amp;LKUR.0130.00UNZ.SBA.TS.TB0055.S0001-MPA0001</oddFooter>
  </headerFooter>
  <rowBreaks count="3" manualBreakCount="3">
    <brk id="30" max="12" man="1"/>
    <brk id="67" max="12" man="1"/>
    <brk id="100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"/>
  <sheetViews>
    <sheetView topLeftCell="D1" workbookViewId="0">
      <selection activeCell="O3" sqref="O3"/>
    </sheetView>
  </sheetViews>
  <sheetFormatPr defaultRowHeight="12.5" x14ac:dyDescent="0.25"/>
  <cols>
    <col min="1" max="2" width="9.1796875" hidden="1" customWidth="1"/>
    <col min="3" max="3" width="6.26953125" customWidth="1"/>
    <col min="4" max="4" width="20.7265625" customWidth="1"/>
    <col min="5" max="5" width="28.54296875" customWidth="1"/>
    <col min="6" max="6" width="29.1796875" customWidth="1"/>
    <col min="7" max="7" width="9.1796875" hidden="1" customWidth="1"/>
    <col min="8" max="8" width="15.26953125" customWidth="1"/>
    <col min="9" max="9" width="12.81640625" customWidth="1"/>
    <col min="10" max="10" width="12.1796875" style="15" customWidth="1"/>
    <col min="11" max="11" width="9" style="15" customWidth="1"/>
    <col min="12" max="12" width="9.7265625" style="15" customWidth="1"/>
    <col min="13" max="14" width="16.54296875" customWidth="1"/>
    <col min="15" max="15" width="33" customWidth="1"/>
  </cols>
  <sheetData>
    <row r="1" spans="3:19" ht="96.75" customHeight="1" x14ac:dyDescent="0.25"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71</v>
      </c>
      <c r="I1" s="39" t="s">
        <v>72</v>
      </c>
      <c r="J1" s="40" t="s">
        <v>73</v>
      </c>
      <c r="K1" s="40" t="s">
        <v>74</v>
      </c>
      <c r="L1" s="40" t="s">
        <v>75</v>
      </c>
      <c r="M1" s="40" t="s">
        <v>31</v>
      </c>
      <c r="N1" s="40" t="s">
        <v>77</v>
      </c>
      <c r="O1" s="41" t="s">
        <v>76</v>
      </c>
      <c r="P1" s="5"/>
      <c r="Q1" s="5"/>
      <c r="R1" s="3"/>
      <c r="S1" s="3"/>
    </row>
    <row r="2" spans="3:19" ht="30" customHeight="1" x14ac:dyDescent="0.25">
      <c r="C2" s="20"/>
      <c r="D2" s="43" t="s">
        <v>81</v>
      </c>
      <c r="E2" s="43" t="s">
        <v>81</v>
      </c>
      <c r="F2" s="44"/>
      <c r="G2" s="20"/>
      <c r="H2" s="20"/>
      <c r="I2" s="43" t="s">
        <v>81</v>
      </c>
      <c r="J2" s="45"/>
      <c r="K2" s="45"/>
      <c r="L2" s="45"/>
      <c r="M2" s="21"/>
      <c r="N2" s="20"/>
      <c r="O2" s="46"/>
      <c r="P2" s="42"/>
      <c r="Q2" s="19"/>
      <c r="R2" s="47"/>
      <c r="S2" s="42"/>
    </row>
    <row r="3" spans="3:19" ht="29.25" customHeight="1" x14ac:dyDescent="0.25">
      <c r="C3" s="10"/>
      <c r="D3" s="10"/>
      <c r="E3" s="116" t="s">
        <v>7</v>
      </c>
      <c r="F3" s="116"/>
      <c r="G3" s="116"/>
      <c r="H3" s="116"/>
      <c r="I3" s="116"/>
      <c r="J3" s="116"/>
      <c r="K3" s="116"/>
      <c r="L3" s="116"/>
      <c r="M3" s="116"/>
      <c r="N3" s="11"/>
      <c r="O3" s="9"/>
      <c r="P3" s="9"/>
      <c r="Q3" s="9"/>
      <c r="R3" s="4"/>
      <c r="S3" s="4"/>
    </row>
    <row r="4" spans="3:19" ht="30" customHeight="1" x14ac:dyDescent="0.25">
      <c r="C4" s="34"/>
      <c r="D4" s="34"/>
      <c r="E4" s="116" t="s">
        <v>68</v>
      </c>
      <c r="F4" s="116"/>
      <c r="G4" s="116"/>
      <c r="H4" s="116"/>
      <c r="I4" s="116"/>
      <c r="J4" s="116"/>
      <c r="K4" s="116"/>
      <c r="L4" s="116"/>
      <c r="M4" s="116"/>
      <c r="N4" s="34"/>
      <c r="O4" s="34"/>
      <c r="P4" s="34"/>
      <c r="Q4" s="34"/>
    </row>
    <row r="5" spans="3:19" ht="30" customHeight="1" x14ac:dyDescent="0.25">
      <c r="C5" s="34"/>
      <c r="D5" s="34"/>
      <c r="E5" s="116" t="s">
        <v>69</v>
      </c>
      <c r="F5" s="116"/>
      <c r="G5" s="116"/>
      <c r="H5" s="116"/>
      <c r="I5" s="116"/>
      <c r="J5" s="116"/>
      <c r="K5" s="116"/>
      <c r="L5" s="116"/>
      <c r="M5" s="116"/>
      <c r="N5" s="34"/>
      <c r="O5" s="34"/>
      <c r="P5" s="34"/>
      <c r="Q5" s="34"/>
    </row>
    <row r="6" spans="3:19" ht="30" customHeight="1" x14ac:dyDescent="0.25">
      <c r="C6" s="34"/>
      <c r="D6" s="34"/>
      <c r="E6" s="116" t="s">
        <v>70</v>
      </c>
      <c r="F6" s="116"/>
      <c r="G6" s="116"/>
      <c r="H6" s="116"/>
      <c r="I6" s="116"/>
      <c r="J6" s="116"/>
      <c r="K6" s="116"/>
      <c r="L6" s="116"/>
      <c r="M6" s="116"/>
      <c r="N6" s="34"/>
      <c r="O6" s="34"/>
      <c r="P6" s="34"/>
      <c r="Q6" s="34"/>
    </row>
    <row r="7" spans="3:19" ht="29.25" customHeight="1" x14ac:dyDescent="0.25">
      <c r="C7" s="10"/>
      <c r="D7" s="10"/>
      <c r="E7" s="116" t="s">
        <v>68</v>
      </c>
      <c r="F7" s="116"/>
      <c r="G7" s="116"/>
      <c r="H7" s="116"/>
      <c r="I7" s="116"/>
      <c r="J7" s="116"/>
      <c r="K7" s="116"/>
      <c r="L7" s="116"/>
      <c r="M7" s="116"/>
      <c r="N7" s="11"/>
      <c r="O7" s="9"/>
      <c r="P7" s="9"/>
      <c r="Q7" s="9"/>
      <c r="R7" s="4"/>
      <c r="S7" s="4"/>
    </row>
    <row r="8" spans="3:19" ht="29.25" customHeight="1" x14ac:dyDescent="0.25">
      <c r="C8" s="9"/>
      <c r="D8" s="12"/>
      <c r="E8" s="116" t="s">
        <v>69</v>
      </c>
      <c r="F8" s="116"/>
      <c r="G8" s="116"/>
      <c r="H8" s="116"/>
      <c r="I8" s="116"/>
      <c r="J8" s="116"/>
      <c r="K8" s="116"/>
      <c r="L8" s="116"/>
      <c r="M8" s="116"/>
      <c r="N8" s="9"/>
      <c r="O8" s="9"/>
      <c r="P8" s="9"/>
      <c r="Q8" s="9"/>
      <c r="R8" s="4"/>
      <c r="S8" s="4"/>
    </row>
    <row r="9" spans="3:19" ht="29.25" customHeight="1" x14ac:dyDescent="0.25">
      <c r="C9" s="9"/>
      <c r="D9" s="12"/>
      <c r="E9" s="116" t="s">
        <v>70</v>
      </c>
      <c r="F9" s="116"/>
      <c r="G9" s="116"/>
      <c r="H9" s="116"/>
      <c r="I9" s="116"/>
      <c r="J9" s="116"/>
      <c r="K9" s="116"/>
      <c r="L9" s="116"/>
      <c r="M9" s="116"/>
      <c r="N9" s="9"/>
      <c r="O9" s="9"/>
      <c r="P9" s="9"/>
      <c r="Q9" s="9"/>
      <c r="R9" s="4"/>
      <c r="S9" s="4"/>
    </row>
    <row r="10" spans="3:19" ht="30" customHeight="1" x14ac:dyDescent="0.25">
      <c r="C10" s="34"/>
      <c r="D10" s="34"/>
      <c r="E10" s="116" t="s">
        <v>8</v>
      </c>
      <c r="F10" s="116"/>
      <c r="G10" s="116"/>
      <c r="H10" s="116"/>
      <c r="I10" s="116"/>
      <c r="J10" s="116"/>
      <c r="K10" s="116"/>
      <c r="L10" s="116"/>
      <c r="M10" s="116"/>
      <c r="N10" s="34"/>
      <c r="O10" s="34"/>
      <c r="P10" s="34"/>
      <c r="Q10" s="34"/>
    </row>
    <row r="11" spans="3:19" ht="30" customHeight="1" x14ac:dyDescent="0.25"/>
  </sheetData>
  <customSheetViews>
    <customSheetView guid="{5957D273-4ED5-4929-9B3A-FCE5C5FA7B27}" state="veryHidden" topLeftCell="D1">
      <selection activeCell="O3" sqref="O3"/>
      <pageMargins left="0.7" right="0.7" top="0.75" bottom="0.75" header="0.3" footer="0.3"/>
      <pageSetup paperSize="9" orientation="portrait" verticalDpi="0" r:id="rId1"/>
    </customSheetView>
    <customSheetView guid="{478FD2A1-4717-400D-8E80-8DFF88862534}" hiddenColumns="1" state="veryHidden" topLeftCell="D1">
      <selection activeCell="O3" sqref="O3"/>
      <pageMargins left="0.7" right="0.7" top="0.75" bottom="0.75" header="0.3" footer="0.3"/>
      <pageSetup paperSize="9" orientation="portrait" verticalDpi="0" r:id="rId2"/>
    </customSheetView>
    <customSheetView guid="{11544635-2A86-474C-9536-A4695C24F945}" hiddenColumns="1" state="veryHidden" topLeftCell="D1">
      <selection activeCell="O3" sqref="O3"/>
      <pageMargins left="0.7" right="0.7" top="0.75" bottom="0.75" header="0.3" footer="0.3"/>
      <pageSetup paperSize="9" orientation="portrait" verticalDpi="0" r:id="rId3"/>
    </customSheetView>
    <customSheetView guid="{60DCDA0E-3F55-4C69-A961-338298D6B9EC}" hiddenColumns="1" state="veryHidden" topLeftCell="D1">
      <selection activeCell="O3" sqref="O3"/>
      <pageMargins left="0.7" right="0.7" top="0.75" bottom="0.75" header="0.3" footer="0.3"/>
      <pageSetup paperSize="9" orientation="portrait" verticalDpi="0" r:id="rId4"/>
    </customSheetView>
  </customSheetViews>
  <mergeCells count="8">
    <mergeCell ref="E9:M9"/>
    <mergeCell ref="E10:M10"/>
    <mergeCell ref="E3:M3"/>
    <mergeCell ref="E4:M4"/>
    <mergeCell ref="E5:M5"/>
    <mergeCell ref="E6:M6"/>
    <mergeCell ref="E7:M7"/>
    <mergeCell ref="E8:M8"/>
  </mergeCells>
  <pageMargins left="0.7" right="0.7" top="0.75" bottom="0.75" header="0.3" footer="0.3"/>
  <pageSetup paperSize="9" orientation="portrait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85"/>
  <sheetViews>
    <sheetView topLeftCell="C1" zoomScaleNormal="100" workbookViewId="0">
      <pane ySplit="1" topLeftCell="A53" activePane="bottomLeft" state="frozen"/>
      <selection activeCell="C1" sqref="C1"/>
      <selection pane="bottomLeft" activeCell="E47" sqref="E47:M47"/>
    </sheetView>
  </sheetViews>
  <sheetFormatPr defaultColWidth="9.1796875" defaultRowHeight="12.5" x14ac:dyDescent="0.25"/>
  <cols>
    <col min="1" max="1" width="17.81640625" style="5" hidden="1" customWidth="1"/>
    <col min="2" max="2" width="21.26953125" style="5" hidden="1" customWidth="1"/>
    <col min="3" max="3" width="6.26953125" style="5" customWidth="1"/>
    <col min="4" max="4" width="29.26953125" style="13" customWidth="1"/>
    <col min="5" max="5" width="28.54296875" style="13" customWidth="1"/>
    <col min="6" max="6" width="29.1796875" style="13" customWidth="1"/>
    <col min="7" max="7" width="4.453125" style="13" hidden="1" customWidth="1"/>
    <col min="8" max="8" width="15.26953125" style="13" customWidth="1"/>
    <col min="9" max="9" width="12.81640625" style="13" customWidth="1"/>
    <col min="10" max="10" width="12.1796875" style="18" customWidth="1"/>
    <col min="11" max="11" width="9" style="18" customWidth="1"/>
    <col min="12" max="12" width="9.7265625" style="18" customWidth="1"/>
    <col min="13" max="14" width="16.54296875" style="5" customWidth="1"/>
    <col min="15" max="15" width="24.453125" style="5" customWidth="1"/>
    <col min="16" max="16384" width="9.1796875" style="5"/>
  </cols>
  <sheetData>
    <row r="1" spans="3:27" s="9" customFormat="1" ht="66.75" customHeight="1" x14ac:dyDescent="0.25"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71</v>
      </c>
      <c r="I1" s="39" t="s">
        <v>72</v>
      </c>
      <c r="J1" s="40" t="s">
        <v>73</v>
      </c>
      <c r="K1" s="40" t="s">
        <v>74</v>
      </c>
      <c r="L1" s="40" t="s">
        <v>75</v>
      </c>
      <c r="M1" s="40" t="s">
        <v>31</v>
      </c>
      <c r="N1" s="40" t="s">
        <v>77</v>
      </c>
      <c r="O1" s="41" t="s">
        <v>76</v>
      </c>
    </row>
    <row r="2" spans="3:27" s="19" customFormat="1" ht="30" customHeight="1" x14ac:dyDescent="0.25">
      <c r="C2" s="20"/>
      <c r="D2" s="43" t="s">
        <v>81</v>
      </c>
      <c r="E2" s="43" t="s">
        <v>81</v>
      </c>
      <c r="F2" s="44"/>
      <c r="G2" s="43" t="s">
        <v>81</v>
      </c>
      <c r="H2" s="43" t="s">
        <v>81</v>
      </c>
      <c r="I2" s="43" t="s">
        <v>81</v>
      </c>
      <c r="J2" s="45"/>
      <c r="K2" s="45"/>
      <c r="L2" s="45"/>
      <c r="M2" s="45"/>
      <c r="N2" s="21"/>
      <c r="O2" s="20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3:27" ht="1.5" customHeight="1" x14ac:dyDescent="0.25">
      <c r="C3" s="22"/>
      <c r="D3" s="22"/>
      <c r="E3" s="22"/>
      <c r="F3" s="22"/>
      <c r="G3" s="22"/>
      <c r="H3" s="22"/>
      <c r="I3" s="23"/>
      <c r="J3" s="24"/>
      <c r="K3" s="24"/>
      <c r="L3" s="24"/>
      <c r="M3" s="24"/>
      <c r="N3" s="24"/>
      <c r="O3" s="22"/>
    </row>
    <row r="4" spans="3:27" ht="30" customHeight="1" x14ac:dyDescent="0.25">
      <c r="C4" s="6"/>
      <c r="D4" s="7"/>
      <c r="E4" s="7"/>
      <c r="F4" s="25"/>
      <c r="G4" s="26"/>
      <c r="H4" s="14"/>
      <c r="I4" s="27" t="s">
        <v>5</v>
      </c>
      <c r="J4" s="28"/>
      <c r="K4" s="16"/>
      <c r="L4" s="29">
        <f>SUM(L2:L3)</f>
        <v>0</v>
      </c>
      <c r="M4" s="29"/>
      <c r="N4" s="29"/>
      <c r="O4" s="8"/>
    </row>
    <row r="5" spans="3:27" s="9" customFormat="1" ht="30" customHeight="1" x14ac:dyDescent="0.25">
      <c r="C5" s="10"/>
      <c r="D5" s="10"/>
      <c r="E5" s="30" t="s">
        <v>6</v>
      </c>
      <c r="F5" s="10"/>
      <c r="G5" s="10"/>
      <c r="H5" s="10"/>
      <c r="I5" s="31"/>
      <c r="J5" s="32"/>
      <c r="K5" s="17"/>
      <c r="L5" s="33"/>
      <c r="M5" s="33"/>
      <c r="N5" s="33"/>
      <c r="O5" s="11"/>
    </row>
    <row r="6" spans="3:27" s="9" customFormat="1" ht="30" customHeight="1" x14ac:dyDescent="0.25">
      <c r="C6" s="10"/>
      <c r="D6" s="10"/>
      <c r="E6" s="118" t="s">
        <v>32</v>
      </c>
      <c r="F6" s="118"/>
      <c r="G6" s="118"/>
      <c r="H6" s="118"/>
      <c r="I6" s="118"/>
      <c r="J6" s="118"/>
      <c r="K6" s="118"/>
      <c r="L6" s="118"/>
      <c r="M6" s="118"/>
      <c r="N6" s="36"/>
      <c r="O6" s="11"/>
    </row>
    <row r="7" spans="3:27" s="9" customFormat="1" ht="30" customHeight="1" x14ac:dyDescent="0.25">
      <c r="D7" s="12"/>
      <c r="E7" s="119" t="s">
        <v>33</v>
      </c>
      <c r="F7" s="119"/>
      <c r="G7" s="119"/>
      <c r="H7" s="119"/>
      <c r="I7" s="119"/>
      <c r="J7" s="119"/>
      <c r="K7" s="119"/>
      <c r="L7" s="119"/>
      <c r="M7" s="119"/>
      <c r="N7" s="37"/>
    </row>
    <row r="8" spans="3:27" s="9" customFormat="1" ht="30" customHeight="1" x14ac:dyDescent="0.25">
      <c r="D8" s="12"/>
      <c r="E8" s="119" t="s">
        <v>34</v>
      </c>
      <c r="F8" s="119"/>
      <c r="G8" s="119"/>
      <c r="H8" s="119"/>
      <c r="I8" s="119"/>
      <c r="J8" s="119"/>
      <c r="K8" s="119"/>
      <c r="L8" s="119"/>
      <c r="M8" s="119"/>
      <c r="N8" s="37"/>
    </row>
    <row r="9" spans="3:27" s="9" customFormat="1" ht="30" customHeight="1" x14ac:dyDescent="0.25">
      <c r="D9" s="12"/>
      <c r="E9" s="117" t="s">
        <v>35</v>
      </c>
      <c r="F9" s="117"/>
      <c r="G9" s="117"/>
      <c r="H9" s="117"/>
      <c r="I9" s="117"/>
      <c r="J9" s="117"/>
      <c r="K9" s="117"/>
      <c r="L9" s="117"/>
      <c r="M9" s="117"/>
      <c r="N9" s="35"/>
    </row>
    <row r="10" spans="3:27" s="9" customFormat="1" ht="30" customHeight="1" x14ac:dyDescent="0.25">
      <c r="D10" s="12"/>
      <c r="E10" s="117" t="s">
        <v>36</v>
      </c>
      <c r="F10" s="117"/>
      <c r="G10" s="117"/>
      <c r="H10" s="117"/>
      <c r="I10" s="117"/>
      <c r="J10" s="117"/>
      <c r="K10" s="117"/>
      <c r="L10" s="117"/>
      <c r="M10" s="117"/>
      <c r="N10" s="35"/>
    </row>
    <row r="11" spans="3:27" s="9" customFormat="1" ht="30" customHeight="1" x14ac:dyDescent="0.25">
      <c r="D11" s="12"/>
      <c r="E11" s="117" t="s">
        <v>37</v>
      </c>
      <c r="F11" s="117"/>
      <c r="G11" s="117"/>
      <c r="H11" s="117"/>
      <c r="I11" s="117"/>
      <c r="J11" s="117"/>
      <c r="K11" s="117"/>
      <c r="L11" s="117"/>
      <c r="M11" s="117"/>
      <c r="N11" s="35"/>
    </row>
    <row r="12" spans="3:27" s="9" customFormat="1" ht="30" customHeight="1" x14ac:dyDescent="0.25">
      <c r="D12" s="12"/>
      <c r="E12" s="117" t="s">
        <v>38</v>
      </c>
      <c r="F12" s="117"/>
      <c r="G12" s="117"/>
      <c r="H12" s="117"/>
      <c r="I12" s="117"/>
      <c r="J12" s="117"/>
      <c r="K12" s="117"/>
      <c r="L12" s="117"/>
      <c r="M12" s="117"/>
      <c r="N12" s="35"/>
    </row>
    <row r="13" spans="3:27" ht="30" customHeight="1" x14ac:dyDescent="0.25">
      <c r="E13" s="117" t="s">
        <v>39</v>
      </c>
      <c r="F13" s="117"/>
      <c r="G13" s="117"/>
      <c r="H13" s="117"/>
      <c r="I13" s="117"/>
      <c r="J13" s="117"/>
      <c r="K13" s="117"/>
      <c r="L13" s="117"/>
      <c r="M13" s="117"/>
      <c r="N13" s="35"/>
    </row>
    <row r="14" spans="3:27" ht="30" customHeight="1" x14ac:dyDescent="0.25">
      <c r="E14" s="117" t="s">
        <v>40</v>
      </c>
      <c r="F14" s="117"/>
      <c r="G14" s="117"/>
      <c r="H14" s="117"/>
      <c r="I14" s="117"/>
      <c r="J14" s="117"/>
      <c r="K14" s="117"/>
      <c r="L14" s="117"/>
      <c r="M14" s="117"/>
      <c r="N14" s="35"/>
    </row>
    <row r="15" spans="3:27" ht="30" customHeight="1" x14ac:dyDescent="0.25">
      <c r="E15" s="117" t="s">
        <v>41</v>
      </c>
      <c r="F15" s="117"/>
      <c r="G15" s="117"/>
      <c r="H15" s="117"/>
      <c r="I15" s="117"/>
      <c r="J15" s="117"/>
      <c r="K15" s="117"/>
      <c r="L15" s="117"/>
      <c r="M15" s="117"/>
      <c r="N15" s="35"/>
    </row>
    <row r="16" spans="3:27" ht="30" customHeight="1" x14ac:dyDescent="0.25">
      <c r="E16" s="117" t="s">
        <v>42</v>
      </c>
      <c r="F16" s="117"/>
      <c r="G16" s="117"/>
      <c r="H16" s="117"/>
      <c r="I16" s="117"/>
      <c r="J16" s="117"/>
      <c r="K16" s="117"/>
      <c r="L16" s="117"/>
      <c r="M16" s="117"/>
      <c r="N16" s="35"/>
    </row>
    <row r="17" spans="4:14" ht="30" customHeight="1" x14ac:dyDescent="0.25">
      <c r="E17" s="117" t="s">
        <v>43</v>
      </c>
      <c r="F17" s="117"/>
      <c r="G17" s="117"/>
      <c r="H17" s="117"/>
      <c r="I17" s="117"/>
      <c r="J17" s="117"/>
      <c r="K17" s="117"/>
      <c r="L17" s="117"/>
      <c r="M17" s="117"/>
      <c r="N17" s="35"/>
    </row>
    <row r="18" spans="4:14" s="9" customFormat="1" ht="30" customHeight="1" x14ac:dyDescent="0.25">
      <c r="D18" s="12"/>
      <c r="E18" s="117" t="s">
        <v>44</v>
      </c>
      <c r="F18" s="117"/>
      <c r="G18" s="117"/>
      <c r="H18" s="117"/>
      <c r="I18" s="117"/>
      <c r="J18" s="117"/>
      <c r="K18" s="117"/>
      <c r="L18" s="117"/>
      <c r="M18" s="117"/>
      <c r="N18" s="35"/>
    </row>
    <row r="19" spans="4:14" ht="30" customHeight="1" x14ac:dyDescent="0.25">
      <c r="E19" s="117" t="s">
        <v>45</v>
      </c>
      <c r="F19" s="117"/>
      <c r="G19" s="117"/>
      <c r="H19" s="117"/>
      <c r="I19" s="117"/>
      <c r="J19" s="117"/>
      <c r="K19" s="117"/>
      <c r="L19" s="117"/>
      <c r="M19" s="117"/>
      <c r="N19" s="35"/>
    </row>
    <row r="20" spans="4:14" ht="30" customHeight="1" x14ac:dyDescent="0.25">
      <c r="E20" s="117" t="s">
        <v>46</v>
      </c>
      <c r="F20" s="117"/>
      <c r="G20" s="117"/>
      <c r="H20" s="117"/>
      <c r="I20" s="117"/>
      <c r="J20" s="117"/>
      <c r="K20" s="117"/>
      <c r="L20" s="117"/>
      <c r="M20" s="117"/>
      <c r="N20" s="35"/>
    </row>
    <row r="21" spans="4:14" ht="30" customHeight="1" x14ac:dyDescent="0.25">
      <c r="E21" s="117" t="s">
        <v>47</v>
      </c>
      <c r="F21" s="117"/>
      <c r="G21" s="117"/>
      <c r="H21" s="117"/>
      <c r="I21" s="117"/>
      <c r="J21" s="117"/>
      <c r="K21" s="117"/>
      <c r="L21" s="117"/>
      <c r="M21" s="117"/>
      <c r="N21" s="35"/>
    </row>
    <row r="22" spans="4:14" ht="30" customHeight="1" x14ac:dyDescent="0.25">
      <c r="E22" s="117" t="s">
        <v>48</v>
      </c>
      <c r="F22" s="117"/>
      <c r="G22" s="117"/>
      <c r="H22" s="117"/>
      <c r="I22" s="117"/>
      <c r="J22" s="117"/>
      <c r="K22" s="117"/>
      <c r="L22" s="117"/>
      <c r="M22" s="117"/>
      <c r="N22" s="35"/>
    </row>
    <row r="23" spans="4:14" ht="30" customHeight="1" x14ac:dyDescent="0.25">
      <c r="E23" s="117" t="s">
        <v>49</v>
      </c>
      <c r="F23" s="117"/>
      <c r="G23" s="117"/>
      <c r="H23" s="117"/>
      <c r="I23" s="117"/>
      <c r="J23" s="117"/>
      <c r="K23" s="117"/>
      <c r="L23" s="117"/>
      <c r="M23" s="117"/>
      <c r="N23" s="35"/>
    </row>
    <row r="24" spans="4:14" ht="30" customHeight="1" x14ac:dyDescent="0.25">
      <c r="E24" s="117" t="s">
        <v>50</v>
      </c>
      <c r="F24" s="117"/>
      <c r="G24" s="117"/>
      <c r="H24" s="117"/>
      <c r="I24" s="117"/>
      <c r="J24" s="117"/>
      <c r="K24" s="117"/>
      <c r="L24" s="117"/>
      <c r="M24" s="117"/>
      <c r="N24" s="35"/>
    </row>
    <row r="25" spans="4:14" ht="30" customHeight="1" x14ac:dyDescent="0.25">
      <c r="E25" s="117" t="s">
        <v>51</v>
      </c>
      <c r="F25" s="117"/>
      <c r="G25" s="117"/>
      <c r="H25" s="117"/>
      <c r="I25" s="117"/>
      <c r="J25" s="117"/>
      <c r="K25" s="117"/>
      <c r="L25" s="117"/>
      <c r="M25" s="117"/>
      <c r="N25" s="35"/>
    </row>
    <row r="26" spans="4:14" ht="30" customHeight="1" x14ac:dyDescent="0.25">
      <c r="E26" s="117" t="s">
        <v>52</v>
      </c>
      <c r="F26" s="117"/>
      <c r="G26" s="117"/>
      <c r="H26" s="117"/>
      <c r="I26" s="117"/>
      <c r="J26" s="117"/>
      <c r="K26" s="117"/>
      <c r="L26" s="117"/>
      <c r="M26" s="117"/>
      <c r="N26" s="35"/>
    </row>
    <row r="27" spans="4:14" ht="30" customHeight="1" x14ac:dyDescent="0.25">
      <c r="E27" s="117" t="s">
        <v>53</v>
      </c>
      <c r="F27" s="117"/>
      <c r="G27" s="117"/>
      <c r="H27" s="117"/>
      <c r="I27" s="117"/>
      <c r="J27" s="117"/>
      <c r="K27" s="117"/>
      <c r="L27" s="117"/>
      <c r="M27" s="117"/>
      <c r="N27" s="35"/>
    </row>
    <row r="28" spans="4:14" ht="30" customHeight="1" x14ac:dyDescent="0.25">
      <c r="E28" s="117" t="s">
        <v>54</v>
      </c>
      <c r="F28" s="117"/>
      <c r="G28" s="117"/>
      <c r="H28" s="117"/>
      <c r="I28" s="117"/>
      <c r="J28" s="117"/>
      <c r="K28" s="117"/>
      <c r="L28" s="117"/>
      <c r="M28" s="117"/>
      <c r="N28" s="35"/>
    </row>
    <row r="29" spans="4:14" ht="30" customHeight="1" x14ac:dyDescent="0.25">
      <c r="E29" s="117" t="s">
        <v>55</v>
      </c>
      <c r="F29" s="117"/>
      <c r="G29" s="117"/>
      <c r="H29" s="117"/>
      <c r="I29" s="117"/>
      <c r="J29" s="117"/>
      <c r="K29" s="117"/>
      <c r="L29" s="117"/>
      <c r="M29" s="117"/>
      <c r="N29" s="35"/>
    </row>
    <row r="30" spans="4:14" ht="30" customHeight="1" x14ac:dyDescent="0.25">
      <c r="E30" s="117" t="s">
        <v>56</v>
      </c>
      <c r="F30" s="117"/>
      <c r="G30" s="117"/>
      <c r="H30" s="117"/>
      <c r="I30" s="117"/>
      <c r="J30" s="117"/>
      <c r="K30" s="117"/>
      <c r="L30" s="117"/>
      <c r="M30" s="117"/>
      <c r="N30" s="35"/>
    </row>
    <row r="31" spans="4:14" ht="30" customHeight="1" x14ac:dyDescent="0.25">
      <c r="E31" s="117" t="s">
        <v>57</v>
      </c>
      <c r="F31" s="117"/>
      <c r="G31" s="117"/>
      <c r="H31" s="117"/>
      <c r="I31" s="117"/>
      <c r="J31" s="117"/>
      <c r="K31" s="117"/>
      <c r="L31" s="117"/>
      <c r="M31" s="117"/>
      <c r="N31" s="35"/>
    </row>
    <row r="32" spans="4:14" ht="30" customHeight="1" x14ac:dyDescent="0.25">
      <c r="E32" s="117" t="s">
        <v>58</v>
      </c>
      <c r="F32" s="117"/>
      <c r="G32" s="117"/>
      <c r="H32" s="117"/>
      <c r="I32" s="117"/>
      <c r="J32" s="117"/>
      <c r="K32" s="117"/>
      <c r="L32" s="117"/>
      <c r="M32" s="117"/>
      <c r="N32" s="35"/>
    </row>
    <row r="33" spans="4:14" ht="30" customHeight="1" x14ac:dyDescent="0.25">
      <c r="E33" s="117" t="s">
        <v>59</v>
      </c>
      <c r="F33" s="117"/>
      <c r="G33" s="117"/>
      <c r="H33" s="117"/>
      <c r="I33" s="117"/>
      <c r="J33" s="117"/>
      <c r="K33" s="117"/>
      <c r="L33" s="117"/>
      <c r="M33" s="117"/>
      <c r="N33" s="35"/>
    </row>
    <row r="34" spans="4:14" ht="30" customHeight="1" x14ac:dyDescent="0.25">
      <c r="E34" s="117" t="s">
        <v>60</v>
      </c>
      <c r="F34" s="117"/>
      <c r="G34" s="117"/>
      <c r="H34" s="117"/>
      <c r="I34" s="117"/>
      <c r="J34" s="117"/>
      <c r="K34" s="117"/>
      <c r="L34" s="117"/>
      <c r="M34" s="117"/>
      <c r="N34" s="35"/>
    </row>
    <row r="35" spans="4:14" ht="30" customHeight="1" x14ac:dyDescent="0.25">
      <c r="E35" s="117" t="s">
        <v>61</v>
      </c>
      <c r="F35" s="117"/>
      <c r="G35" s="117"/>
      <c r="H35" s="117"/>
      <c r="I35" s="117"/>
      <c r="J35" s="117"/>
      <c r="K35" s="117"/>
      <c r="L35" s="117"/>
      <c r="M35" s="117"/>
      <c r="N35" s="35"/>
    </row>
    <row r="36" spans="4:14" s="9" customFormat="1" ht="30" customHeight="1" x14ac:dyDescent="0.25">
      <c r="D36" s="12"/>
      <c r="E36" s="117" t="s">
        <v>62</v>
      </c>
      <c r="F36" s="117"/>
      <c r="G36" s="117"/>
      <c r="H36" s="117"/>
      <c r="I36" s="117"/>
      <c r="J36" s="117"/>
      <c r="K36" s="117"/>
      <c r="L36" s="117"/>
      <c r="M36" s="117"/>
      <c r="N36" s="35"/>
    </row>
    <row r="37" spans="4:14" ht="30" customHeight="1" x14ac:dyDescent="0.25">
      <c r="E37" s="117" t="s">
        <v>63</v>
      </c>
      <c r="F37" s="117"/>
      <c r="G37" s="117"/>
      <c r="H37" s="117"/>
      <c r="I37" s="117"/>
      <c r="J37" s="117"/>
      <c r="K37" s="117"/>
      <c r="L37" s="117"/>
      <c r="M37" s="117"/>
      <c r="N37" s="35"/>
    </row>
    <row r="38" spans="4:14" ht="30" customHeight="1" x14ac:dyDescent="0.25">
      <c r="E38" s="117" t="s">
        <v>64</v>
      </c>
      <c r="F38" s="117"/>
      <c r="G38" s="117"/>
      <c r="H38" s="117"/>
      <c r="I38" s="117"/>
      <c r="J38" s="117"/>
      <c r="K38" s="117"/>
      <c r="L38" s="117"/>
      <c r="M38" s="117"/>
      <c r="N38" s="35"/>
    </row>
    <row r="39" spans="4:14" ht="30" customHeight="1" x14ac:dyDescent="0.25">
      <c r="E39" s="117" t="s">
        <v>65</v>
      </c>
      <c r="F39" s="117"/>
      <c r="G39" s="117"/>
      <c r="H39" s="117"/>
      <c r="I39" s="117"/>
      <c r="J39" s="117"/>
      <c r="K39" s="117"/>
      <c r="L39" s="117"/>
      <c r="M39" s="117"/>
      <c r="N39" s="35"/>
    </row>
    <row r="40" spans="4:14" ht="30" customHeight="1" x14ac:dyDescent="0.25">
      <c r="E40" s="117" t="s">
        <v>66</v>
      </c>
      <c r="F40" s="117"/>
      <c r="G40" s="117"/>
      <c r="H40" s="117"/>
      <c r="I40" s="117"/>
      <c r="J40" s="117"/>
      <c r="K40" s="117"/>
      <c r="L40" s="117"/>
      <c r="M40" s="117"/>
      <c r="N40" s="35"/>
    </row>
    <row r="41" spans="4:14" ht="30" customHeight="1" x14ac:dyDescent="0.25">
      <c r="E41" s="117" t="s">
        <v>67</v>
      </c>
      <c r="F41" s="117"/>
      <c r="G41" s="117"/>
      <c r="H41" s="117"/>
      <c r="I41" s="117"/>
      <c r="J41" s="117"/>
      <c r="K41" s="117"/>
      <c r="L41" s="117"/>
      <c r="M41" s="117"/>
      <c r="N41" s="35"/>
    </row>
    <row r="42" spans="4:14" ht="30" customHeight="1" x14ac:dyDescent="0.25">
      <c r="E42" s="120" t="s">
        <v>78</v>
      </c>
      <c r="F42" s="120"/>
      <c r="G42" s="120"/>
      <c r="H42" s="120"/>
      <c r="I42" s="120"/>
      <c r="J42" s="120"/>
      <c r="K42" s="120"/>
      <c r="L42" s="120"/>
      <c r="M42" s="120"/>
      <c r="N42" s="35"/>
    </row>
    <row r="43" spans="4:14" ht="30" customHeight="1" x14ac:dyDescent="0.25">
      <c r="E43" s="120" t="s">
        <v>80</v>
      </c>
      <c r="F43" s="120"/>
      <c r="G43" s="120"/>
      <c r="H43" s="120"/>
      <c r="I43" s="120"/>
      <c r="J43" s="120"/>
      <c r="K43" s="120"/>
      <c r="L43" s="120"/>
      <c r="M43" s="120"/>
      <c r="N43" s="35"/>
    </row>
    <row r="44" spans="4:14" ht="30" customHeight="1" x14ac:dyDescent="0.25">
      <c r="E44" s="117" t="s">
        <v>9</v>
      </c>
      <c r="F44" s="117"/>
      <c r="G44" s="117"/>
      <c r="H44" s="117"/>
      <c r="I44" s="117"/>
      <c r="J44" s="117"/>
      <c r="K44" s="117"/>
      <c r="L44" s="117"/>
      <c r="M44" s="117"/>
      <c r="N44" s="35"/>
    </row>
    <row r="45" spans="4:14" ht="30" customHeight="1" x14ac:dyDescent="0.25">
      <c r="E45" s="116" t="s">
        <v>30</v>
      </c>
      <c r="F45" s="116"/>
      <c r="G45" s="116"/>
      <c r="H45" s="116"/>
      <c r="I45" s="116"/>
      <c r="J45" s="116"/>
      <c r="K45" s="116"/>
      <c r="L45" s="116"/>
      <c r="M45" s="116"/>
      <c r="N45" s="38"/>
    </row>
    <row r="46" spans="4:14" ht="30" customHeight="1" x14ac:dyDescent="0.25">
      <c r="E46" s="116" t="s">
        <v>10</v>
      </c>
      <c r="F46" s="116"/>
      <c r="G46" s="116"/>
      <c r="H46" s="116"/>
      <c r="I46" s="116"/>
      <c r="J46" s="116"/>
      <c r="K46" s="116"/>
      <c r="L46" s="116"/>
      <c r="M46" s="116"/>
      <c r="N46" s="38"/>
    </row>
    <row r="47" spans="4:14" ht="30" customHeight="1" x14ac:dyDescent="0.25">
      <c r="E47" s="116" t="s">
        <v>11</v>
      </c>
      <c r="F47" s="116"/>
      <c r="G47" s="116"/>
      <c r="H47" s="116"/>
      <c r="I47" s="116"/>
      <c r="J47" s="116"/>
      <c r="K47" s="116"/>
      <c r="L47" s="116"/>
      <c r="M47" s="116"/>
      <c r="N47" s="38"/>
    </row>
    <row r="48" spans="4:14" ht="30" customHeight="1" x14ac:dyDescent="0.25">
      <c r="E48" s="116" t="s">
        <v>12</v>
      </c>
      <c r="F48" s="116"/>
      <c r="G48" s="116"/>
      <c r="H48" s="116"/>
      <c r="I48" s="116"/>
      <c r="J48" s="116"/>
      <c r="K48" s="116"/>
      <c r="L48" s="116"/>
      <c r="M48" s="116"/>
      <c r="N48" s="38"/>
    </row>
    <row r="49" spans="4:14" ht="30" customHeight="1" x14ac:dyDescent="0.25">
      <c r="E49" s="116" t="s">
        <v>13</v>
      </c>
      <c r="F49" s="116"/>
      <c r="G49" s="116"/>
      <c r="H49" s="116"/>
      <c r="I49" s="116"/>
      <c r="J49" s="116"/>
      <c r="K49" s="116"/>
      <c r="L49" s="116"/>
      <c r="M49" s="116"/>
      <c r="N49" s="38"/>
    </row>
    <row r="50" spans="4:14" ht="30" customHeight="1" x14ac:dyDescent="0.25">
      <c r="E50" s="116" t="s">
        <v>14</v>
      </c>
      <c r="F50" s="116"/>
      <c r="G50" s="116"/>
      <c r="H50" s="116"/>
      <c r="I50" s="116"/>
      <c r="J50" s="116"/>
      <c r="K50" s="116"/>
      <c r="L50" s="116"/>
      <c r="M50" s="116"/>
      <c r="N50" s="38"/>
    </row>
    <row r="51" spans="4:14" ht="30" customHeight="1" x14ac:dyDescent="0.25">
      <c r="E51" s="116" t="s">
        <v>15</v>
      </c>
      <c r="F51" s="116"/>
      <c r="G51" s="116"/>
      <c r="H51" s="116"/>
      <c r="I51" s="116"/>
      <c r="J51" s="116"/>
      <c r="K51" s="116"/>
      <c r="L51" s="116"/>
      <c r="M51" s="116"/>
      <c r="N51" s="38"/>
    </row>
    <row r="52" spans="4:14" ht="30" customHeight="1" x14ac:dyDescent="0.25">
      <c r="E52" s="117" t="s">
        <v>16</v>
      </c>
      <c r="F52" s="117"/>
      <c r="G52" s="117"/>
      <c r="H52" s="117"/>
      <c r="I52" s="117"/>
      <c r="J52" s="117"/>
      <c r="K52" s="117"/>
      <c r="L52" s="117"/>
      <c r="M52" s="117"/>
      <c r="N52" s="35"/>
    </row>
    <row r="53" spans="4:14" ht="30" customHeight="1" x14ac:dyDescent="0.25">
      <c r="E53" s="117" t="s">
        <v>17</v>
      </c>
      <c r="F53" s="117"/>
      <c r="G53" s="117"/>
      <c r="H53" s="117"/>
      <c r="I53" s="117"/>
      <c r="J53" s="117"/>
      <c r="K53" s="117"/>
      <c r="L53" s="117"/>
      <c r="M53" s="117"/>
      <c r="N53" s="35"/>
    </row>
    <row r="54" spans="4:14" ht="30" customHeight="1" x14ac:dyDescent="0.25">
      <c r="E54" s="117" t="s">
        <v>18</v>
      </c>
      <c r="F54" s="117"/>
      <c r="G54" s="117"/>
      <c r="H54" s="117"/>
      <c r="I54" s="117"/>
      <c r="J54" s="117"/>
      <c r="K54" s="117"/>
      <c r="L54" s="117"/>
      <c r="M54" s="117"/>
      <c r="N54" s="35"/>
    </row>
    <row r="55" spans="4:14" ht="30" customHeight="1" x14ac:dyDescent="0.25">
      <c r="E55" s="116" t="s">
        <v>19</v>
      </c>
      <c r="F55" s="116"/>
      <c r="G55" s="116"/>
      <c r="H55" s="116"/>
      <c r="I55" s="116"/>
      <c r="J55" s="116"/>
      <c r="K55" s="116"/>
      <c r="L55" s="116"/>
      <c r="M55" s="116"/>
      <c r="N55" s="38"/>
    </row>
    <row r="56" spans="4:14" ht="30" customHeight="1" x14ac:dyDescent="0.25">
      <c r="E56" s="116" t="s">
        <v>20</v>
      </c>
      <c r="F56" s="116"/>
      <c r="G56" s="116"/>
      <c r="H56" s="116"/>
      <c r="I56" s="116"/>
      <c r="J56" s="116"/>
      <c r="K56" s="116"/>
      <c r="L56" s="116"/>
      <c r="M56" s="116"/>
      <c r="N56" s="38"/>
    </row>
    <row r="57" spans="4:14" ht="30" customHeight="1" x14ac:dyDescent="0.25">
      <c r="E57" s="116" t="s">
        <v>21</v>
      </c>
      <c r="F57" s="116"/>
      <c r="G57" s="116"/>
      <c r="H57" s="116"/>
      <c r="I57" s="116"/>
      <c r="J57" s="116"/>
      <c r="K57" s="116"/>
      <c r="L57" s="116"/>
      <c r="M57" s="116"/>
      <c r="N57" s="38"/>
    </row>
    <row r="58" spans="4:14" ht="30" customHeight="1" x14ac:dyDescent="0.25">
      <c r="E58" s="116" t="s">
        <v>22</v>
      </c>
      <c r="F58" s="116"/>
      <c r="G58" s="116"/>
      <c r="H58" s="116"/>
      <c r="I58" s="116"/>
      <c r="J58" s="116"/>
      <c r="K58" s="116"/>
      <c r="L58" s="116"/>
      <c r="M58" s="116"/>
      <c r="N58" s="38"/>
    </row>
    <row r="59" spans="4:14" ht="30" customHeight="1" x14ac:dyDescent="0.25">
      <c r="E59" s="116" t="s">
        <v>23</v>
      </c>
      <c r="F59" s="116"/>
      <c r="G59" s="116"/>
      <c r="H59" s="116"/>
      <c r="I59" s="116"/>
      <c r="J59" s="116"/>
      <c r="K59" s="116"/>
      <c r="L59" s="116"/>
      <c r="M59" s="116"/>
      <c r="N59" s="38"/>
    </row>
    <row r="60" spans="4:14" ht="30" customHeight="1" x14ac:dyDescent="0.25">
      <c r="E60" s="116" t="s">
        <v>24</v>
      </c>
      <c r="F60" s="116"/>
      <c r="G60" s="116"/>
      <c r="H60" s="116"/>
      <c r="I60" s="116"/>
      <c r="J60" s="116"/>
      <c r="K60" s="116"/>
      <c r="L60" s="116"/>
      <c r="M60" s="116"/>
      <c r="N60" s="38"/>
    </row>
    <row r="61" spans="4:14" s="9" customFormat="1" ht="30" customHeight="1" x14ac:dyDescent="0.25">
      <c r="D61" s="12"/>
      <c r="E61" s="117" t="s">
        <v>25</v>
      </c>
      <c r="F61" s="117"/>
      <c r="G61" s="117"/>
      <c r="H61" s="117"/>
      <c r="I61" s="117"/>
      <c r="J61" s="117"/>
      <c r="K61" s="117"/>
      <c r="L61" s="117"/>
      <c r="M61" s="117"/>
      <c r="N61" s="35"/>
    </row>
    <row r="62" spans="4:14" ht="30" customHeight="1" x14ac:dyDescent="0.25">
      <c r="E62" s="117" t="s">
        <v>26</v>
      </c>
      <c r="F62" s="117"/>
      <c r="G62" s="117"/>
      <c r="H62" s="117"/>
      <c r="I62" s="117"/>
      <c r="J62" s="117"/>
      <c r="K62" s="117"/>
      <c r="L62" s="117"/>
      <c r="M62" s="117"/>
      <c r="N62" s="35"/>
    </row>
    <row r="63" spans="4:14" ht="30" customHeight="1" x14ac:dyDescent="0.25">
      <c r="E63" s="117" t="s">
        <v>27</v>
      </c>
      <c r="F63" s="117"/>
      <c r="G63" s="117"/>
      <c r="H63" s="117"/>
      <c r="I63" s="117"/>
      <c r="J63" s="117"/>
      <c r="K63" s="117"/>
      <c r="L63" s="117"/>
      <c r="M63" s="117"/>
      <c r="N63" s="35"/>
    </row>
    <row r="64" spans="4:14" ht="30" customHeight="1" x14ac:dyDescent="0.25">
      <c r="E64" s="120" t="s">
        <v>79</v>
      </c>
      <c r="F64" s="120"/>
      <c r="G64" s="120"/>
      <c r="H64" s="120"/>
      <c r="I64" s="120"/>
      <c r="J64" s="120"/>
      <c r="K64" s="120"/>
      <c r="L64" s="120"/>
      <c r="M64" s="120"/>
      <c r="N64" s="35"/>
    </row>
    <row r="65" spans="5:14" ht="30" customHeight="1" x14ac:dyDescent="0.25">
      <c r="E65" s="117" t="s">
        <v>28</v>
      </c>
      <c r="F65" s="117"/>
      <c r="G65" s="117"/>
      <c r="H65" s="117"/>
      <c r="I65" s="117"/>
      <c r="J65" s="117"/>
      <c r="K65" s="117"/>
      <c r="L65" s="117"/>
      <c r="M65" s="117"/>
      <c r="N65" s="35"/>
    </row>
    <row r="66" spans="5:14" ht="30" customHeight="1" x14ac:dyDescent="0.25">
      <c r="E66" s="116" t="s">
        <v>29</v>
      </c>
      <c r="F66" s="116"/>
      <c r="G66" s="116"/>
      <c r="H66" s="116"/>
      <c r="I66" s="116"/>
      <c r="J66" s="116"/>
      <c r="K66" s="116"/>
      <c r="L66" s="116"/>
      <c r="M66" s="116"/>
      <c r="N66" s="38"/>
    </row>
    <row r="67" spans="5:14" ht="30" customHeight="1" x14ac:dyDescent="0.25">
      <c r="E67" s="116" t="s">
        <v>10</v>
      </c>
      <c r="F67" s="116"/>
      <c r="G67" s="116"/>
      <c r="H67" s="116"/>
      <c r="I67" s="116"/>
      <c r="J67" s="116"/>
      <c r="K67" s="116"/>
      <c r="L67" s="116"/>
      <c r="M67" s="116"/>
      <c r="N67" s="38"/>
    </row>
    <row r="68" spans="5:14" ht="30" customHeight="1" x14ac:dyDescent="0.25">
      <c r="E68" s="116" t="s">
        <v>11</v>
      </c>
      <c r="F68" s="116"/>
      <c r="G68" s="116"/>
      <c r="H68" s="116"/>
      <c r="I68" s="116"/>
      <c r="J68" s="116"/>
      <c r="K68" s="116"/>
      <c r="L68" s="116"/>
      <c r="M68" s="116"/>
      <c r="N68" s="38"/>
    </row>
    <row r="69" spans="5:14" ht="30" customHeight="1" x14ac:dyDescent="0.25">
      <c r="E69" s="116" t="s">
        <v>12</v>
      </c>
      <c r="F69" s="116"/>
      <c r="G69" s="116"/>
      <c r="H69" s="116"/>
      <c r="I69" s="116"/>
      <c r="J69" s="116"/>
      <c r="K69" s="116"/>
      <c r="L69" s="116"/>
      <c r="M69" s="116"/>
      <c r="N69" s="38"/>
    </row>
    <row r="70" spans="5:14" ht="30" customHeight="1" x14ac:dyDescent="0.25">
      <c r="E70" s="116" t="s">
        <v>13</v>
      </c>
      <c r="F70" s="116"/>
      <c r="G70" s="116"/>
      <c r="H70" s="116"/>
      <c r="I70" s="116"/>
      <c r="J70" s="116"/>
      <c r="K70" s="116"/>
      <c r="L70" s="116"/>
      <c r="M70" s="116"/>
      <c r="N70" s="38"/>
    </row>
    <row r="71" spans="5:14" ht="30" customHeight="1" x14ac:dyDescent="0.25">
      <c r="E71" s="116" t="s">
        <v>14</v>
      </c>
      <c r="F71" s="116"/>
      <c r="G71" s="116"/>
      <c r="H71" s="116"/>
      <c r="I71" s="116"/>
      <c r="J71" s="116"/>
      <c r="K71" s="116"/>
      <c r="L71" s="116"/>
      <c r="M71" s="116"/>
      <c r="N71" s="38"/>
    </row>
    <row r="72" spans="5:14" ht="30" customHeight="1" x14ac:dyDescent="0.25">
      <c r="E72" s="116" t="s">
        <v>15</v>
      </c>
      <c r="F72" s="116"/>
      <c r="G72" s="116"/>
      <c r="H72" s="116"/>
      <c r="I72" s="116"/>
      <c r="J72" s="116"/>
      <c r="K72" s="116"/>
      <c r="L72" s="116"/>
      <c r="M72" s="116"/>
      <c r="N72" s="38"/>
    </row>
    <row r="73" spans="5:14" ht="30" customHeight="1" x14ac:dyDescent="0.25">
      <c r="E73" s="117" t="s">
        <v>16</v>
      </c>
      <c r="F73" s="117"/>
      <c r="G73" s="117"/>
      <c r="H73" s="117"/>
      <c r="I73" s="117"/>
      <c r="J73" s="117"/>
      <c r="K73" s="117"/>
      <c r="L73" s="117"/>
      <c r="M73" s="117"/>
      <c r="N73" s="35"/>
    </row>
    <row r="74" spans="5:14" ht="30" customHeight="1" x14ac:dyDescent="0.25">
      <c r="E74" s="117" t="s">
        <v>17</v>
      </c>
      <c r="F74" s="117"/>
      <c r="G74" s="117"/>
      <c r="H74" s="117"/>
      <c r="I74" s="117"/>
      <c r="J74" s="117"/>
      <c r="K74" s="117"/>
      <c r="L74" s="117"/>
      <c r="M74" s="117"/>
      <c r="N74" s="35"/>
    </row>
    <row r="75" spans="5:14" ht="30" customHeight="1" x14ac:dyDescent="0.25">
      <c r="E75" s="117" t="s">
        <v>18</v>
      </c>
      <c r="F75" s="117"/>
      <c r="G75" s="117"/>
      <c r="H75" s="117"/>
      <c r="I75" s="117"/>
      <c r="J75" s="117"/>
      <c r="K75" s="117"/>
      <c r="L75" s="117"/>
      <c r="M75" s="117"/>
      <c r="N75" s="35"/>
    </row>
    <row r="76" spans="5:14" ht="30" customHeight="1" x14ac:dyDescent="0.25">
      <c r="E76" s="116" t="s">
        <v>19</v>
      </c>
      <c r="F76" s="116"/>
      <c r="G76" s="116"/>
      <c r="H76" s="116"/>
      <c r="I76" s="116"/>
      <c r="J76" s="116"/>
      <c r="K76" s="116"/>
      <c r="L76" s="116"/>
      <c r="M76" s="116"/>
      <c r="N76" s="38"/>
    </row>
    <row r="77" spans="5:14" ht="30" customHeight="1" x14ac:dyDescent="0.25">
      <c r="E77" s="116" t="s">
        <v>20</v>
      </c>
      <c r="F77" s="116"/>
      <c r="G77" s="116"/>
      <c r="H77" s="116"/>
      <c r="I77" s="116"/>
      <c r="J77" s="116"/>
      <c r="K77" s="116"/>
      <c r="L77" s="116"/>
      <c r="M77" s="116"/>
      <c r="N77" s="38"/>
    </row>
    <row r="78" spans="5:14" ht="30" customHeight="1" x14ac:dyDescent="0.25">
      <c r="E78" s="116" t="s">
        <v>21</v>
      </c>
      <c r="F78" s="116"/>
      <c r="G78" s="116"/>
      <c r="H78" s="116"/>
      <c r="I78" s="116"/>
      <c r="J78" s="116"/>
      <c r="K78" s="116"/>
      <c r="L78" s="116"/>
      <c r="M78" s="116"/>
      <c r="N78" s="38"/>
    </row>
    <row r="79" spans="5:14" ht="30" customHeight="1" x14ac:dyDescent="0.25">
      <c r="E79" s="116" t="s">
        <v>22</v>
      </c>
      <c r="F79" s="116"/>
      <c r="G79" s="116"/>
      <c r="H79" s="116"/>
      <c r="I79" s="116"/>
      <c r="J79" s="116"/>
      <c r="K79" s="116"/>
      <c r="L79" s="116"/>
      <c r="M79" s="116"/>
      <c r="N79" s="38"/>
    </row>
    <row r="80" spans="5:14" ht="30" customHeight="1" x14ac:dyDescent="0.25">
      <c r="E80" s="116" t="s">
        <v>23</v>
      </c>
      <c r="F80" s="116"/>
      <c r="G80" s="116"/>
      <c r="H80" s="116"/>
      <c r="I80" s="116"/>
      <c r="J80" s="116"/>
      <c r="K80" s="116"/>
      <c r="L80" s="116"/>
      <c r="M80" s="116"/>
      <c r="N80" s="38"/>
    </row>
    <row r="81" spans="5:14" ht="30" customHeight="1" x14ac:dyDescent="0.25">
      <c r="E81" s="116" t="s">
        <v>24</v>
      </c>
      <c r="F81" s="116"/>
      <c r="G81" s="116"/>
      <c r="H81" s="116"/>
      <c r="I81" s="116"/>
      <c r="J81" s="116"/>
      <c r="K81" s="116"/>
      <c r="L81" s="116"/>
      <c r="M81" s="116"/>
      <c r="N81" s="38"/>
    </row>
    <row r="82" spans="5:14" ht="30" customHeight="1" x14ac:dyDescent="0.25">
      <c r="E82" s="117" t="s">
        <v>25</v>
      </c>
      <c r="F82" s="117"/>
      <c r="G82" s="117"/>
      <c r="H82" s="117"/>
      <c r="I82" s="117"/>
      <c r="J82" s="117"/>
      <c r="K82" s="117"/>
      <c r="L82" s="117"/>
      <c r="M82" s="117"/>
      <c r="N82" s="35"/>
    </row>
    <row r="83" spans="5:14" ht="30" customHeight="1" x14ac:dyDescent="0.25">
      <c r="E83" s="117" t="s">
        <v>26</v>
      </c>
      <c r="F83" s="117"/>
      <c r="G83" s="117"/>
      <c r="H83" s="117"/>
      <c r="I83" s="117"/>
      <c r="J83" s="117"/>
      <c r="K83" s="117"/>
      <c r="L83" s="117"/>
      <c r="M83" s="117"/>
      <c r="N83" s="35"/>
    </row>
    <row r="84" spans="5:14" ht="30" customHeight="1" x14ac:dyDescent="0.25">
      <c r="E84" s="117" t="s">
        <v>27</v>
      </c>
      <c r="F84" s="117"/>
      <c r="G84" s="117"/>
      <c r="H84" s="117"/>
      <c r="I84" s="117"/>
      <c r="J84" s="117"/>
      <c r="K84" s="117"/>
      <c r="L84" s="117"/>
      <c r="M84" s="117"/>
      <c r="N84" s="35"/>
    </row>
    <row r="85" spans="5:14" ht="30" customHeight="1" x14ac:dyDescent="0.25">
      <c r="E85" s="117" t="s">
        <v>28</v>
      </c>
      <c r="F85" s="117"/>
      <c r="G85" s="117"/>
      <c r="H85" s="117"/>
      <c r="I85" s="117"/>
      <c r="J85" s="117"/>
      <c r="K85" s="117"/>
      <c r="L85" s="117"/>
      <c r="M85" s="117"/>
      <c r="N85" s="35"/>
    </row>
  </sheetData>
  <customSheetViews>
    <customSheetView guid="{5957D273-4ED5-4929-9B3A-FCE5C5FA7B27}" showPageBreaks="1" fitToPage="1" state="veryHidden" topLeftCell="C1">
      <pane ySplit="1" topLeftCell="A53" activePane="bottomLeft" state="frozen"/>
      <selection pane="bottomLeft" activeCell="E47" sqref="E47:M47"/>
      <pageMargins left="0.51181102362204722" right="0.51181102362204722" top="0.98425196850393704" bottom="0.98425196850393704" header="0.51181102362204722" footer="0.51181102362204722"/>
      <printOptions horizontalCentered="1"/>
      <pageSetup scale="51" fitToHeight="0" orientation="landscape" r:id="rId1"/>
      <headerFooter>
        <oddHeader>&amp;L&amp;12АО «НИАЭП»&amp;C&amp;12КУРСКАЯ АЭС-2 ЭНЕРГОБЛОКИ № 1 и 2&amp;R&amp;12C01</oddHeader>
      </headerFooter>
    </customSheetView>
    <customSheetView guid="{478FD2A1-4717-400D-8E80-8DFF88862534}" showPageBreaks="1" fitToPage="1" printArea="1" hiddenColumns="1" state="veryHidden" topLeftCell="C1">
      <pane ySplit="1" topLeftCell="A53" activePane="bottomLeft" state="frozen"/>
      <selection pane="bottomLeft" activeCell="E47" sqref="E47:M47"/>
      <pageMargins left="0.51181102362204722" right="0.51181102362204722" top="0.98425196850393704" bottom="0.98425196850393704" header="0.51181102362204722" footer="0.51181102362204722"/>
      <printOptions horizontalCentered="1"/>
      <pageSetup scale="61" fitToHeight="0" orientation="landscape" r:id="rId2"/>
      <headerFooter>
        <oddHeader>&amp;L&amp;12АО «НИАЭП»&amp;C&amp;12КУРСКАЯ АЭС-2 ЭНЕРГОБЛОКИ № 1 и 2&amp;R&amp;12C01</oddHeader>
      </headerFooter>
    </customSheetView>
    <customSheetView guid="{11544635-2A86-474C-9536-A4695C24F945}" fitToPage="1" hiddenColumns="1" state="veryHidden" topLeftCell="C1">
      <pane ySplit="1" topLeftCell="A53" activePane="bottomLeft" state="frozen"/>
      <selection pane="bottomLeft" activeCell="E47" sqref="E47:M47"/>
      <pageMargins left="0.51181102362204722" right="0.51181102362204722" top="0.98425196850393704" bottom="0.98425196850393704" header="0.51181102362204722" footer="0.51181102362204722"/>
      <printOptions horizontalCentered="1"/>
      <pageSetup scale="61" fitToHeight="0" orientation="landscape" r:id="rId3"/>
      <headerFooter>
        <oddHeader>&amp;L&amp;12АО «НИАЭП»&amp;C&amp;12КУРСКАЯ АЭС-2 ЭНЕРГОБЛОКИ № 1 и 2&amp;R&amp;12C01</oddHeader>
      </headerFooter>
    </customSheetView>
    <customSheetView guid="{60DCDA0E-3F55-4C69-A961-338298D6B9EC}" showPageBreaks="1" fitToPage="1" printArea="1" hiddenColumns="1" state="veryHidden" topLeftCell="C1">
      <pane ySplit="1" topLeftCell="A53" activePane="bottomLeft" state="frozen"/>
      <selection pane="bottomLeft" activeCell="E47" sqref="E47:M47"/>
      <pageMargins left="0.51181102362204722" right="0.51181102362204722" top="0.98425196850393704" bottom="0.98425196850393704" header="0.51181102362204722" footer="0.51181102362204722"/>
      <printOptions horizontalCentered="1"/>
      <pageSetup scale="61" fitToHeight="0" orientation="landscape" r:id="rId4"/>
      <headerFooter>
        <oddHeader>&amp;L&amp;12АО «НИАЭП»&amp;C&amp;12КУРСКАЯ АЭС-2 ЭНЕРГОБЛОКИ № 1 и 2&amp;R&amp;12C01</oddHeader>
      </headerFooter>
    </customSheetView>
  </customSheetViews>
  <mergeCells count="80">
    <mergeCell ref="E84:M84"/>
    <mergeCell ref="E85:M85"/>
    <mergeCell ref="E78:M78"/>
    <mergeCell ref="E79:M79"/>
    <mergeCell ref="E80:M80"/>
    <mergeCell ref="E81:M81"/>
    <mergeCell ref="E82:M82"/>
    <mergeCell ref="E83:M83"/>
    <mergeCell ref="E77:M77"/>
    <mergeCell ref="E66:M66"/>
    <mergeCell ref="E67:M67"/>
    <mergeCell ref="E68:M68"/>
    <mergeCell ref="E69:M69"/>
    <mergeCell ref="E70:M70"/>
    <mergeCell ref="E71:M71"/>
    <mergeCell ref="E72:M72"/>
    <mergeCell ref="E73:M73"/>
    <mergeCell ref="E74:M74"/>
    <mergeCell ref="E75:M75"/>
    <mergeCell ref="E76:M76"/>
    <mergeCell ref="E65:M65"/>
    <mergeCell ref="E54:M54"/>
    <mergeCell ref="E55:M55"/>
    <mergeCell ref="E56:M56"/>
    <mergeCell ref="E57:M57"/>
    <mergeCell ref="E58:M58"/>
    <mergeCell ref="E59:M59"/>
    <mergeCell ref="E60:M60"/>
    <mergeCell ref="E61:M61"/>
    <mergeCell ref="E62:M62"/>
    <mergeCell ref="E63:M63"/>
    <mergeCell ref="E64:M64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</mergeCells>
  <printOptions horizontalCentered="1"/>
  <pageMargins left="0.51181102362204722" right="0.51181102362204722" top="0.98425196850393704" bottom="0.98425196850393704" header="0.51181102362204722" footer="0.51181102362204722"/>
  <pageSetup scale="61" fitToHeight="0" orientation="landscape" r:id="rId5"/>
  <headerFooter>
    <oddHeader>&amp;L&amp;12АО «НИАЭП»&amp;C&amp;12КУРСКАЯ АЭС-2 ЭНЕРГОБЛОКИ № 1 и 2&amp;R&amp;12C01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Sheet1!Заголовки_для_печати</vt:lpstr>
      <vt:lpstr>SP3DReport_Layout_1!Заголовки_для_печати</vt:lpstr>
      <vt:lpstr>Sheet1!Область_печати</vt:lpstr>
      <vt:lpstr>SP3DReport_Layout_1!Область_печати</vt:lpstr>
    </vt:vector>
  </TitlesOfParts>
  <Company>Intergraph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Finishing Report</dc:title>
  <dc:subject>Paint and Insulation infos of Equipment</dc:subject>
  <dc:creator>SP3D Reports</dc:creator>
  <cp:lastModifiedBy>Вадим Штейн</cp:lastModifiedBy>
  <cp:lastPrinted>2022-07-06T05:42:49Z</cp:lastPrinted>
  <dcterms:created xsi:type="dcterms:W3CDTF">1998-02-13T19:10:38Z</dcterms:created>
  <dcterms:modified xsi:type="dcterms:W3CDTF">2022-10-17T04:20:29Z</dcterms:modified>
</cp:coreProperties>
</file>