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VR\datasheets_docs\docs\Calculators\"/>
    </mc:Choice>
  </mc:AlternateContent>
  <xr:revisionPtr revIDLastSave="0" documentId="13_ncr:1_{615CDDF6-1E83-4EB3-A4BA-5878D5815D7C}" xr6:coauthVersionLast="45" xr6:coauthVersionMax="45" xr10:uidLastSave="{00000000-0000-0000-0000-000000000000}"/>
  <bookViews>
    <workbookView xWindow="20370" yWindow="-120" windowWidth="19440" windowHeight="15000" xr2:uid="{05B0AC7B-03B2-4199-AB6A-8F6E856C04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" l="1"/>
  <c r="I39" i="1" s="1"/>
  <c r="F92" i="1"/>
  <c r="B94" i="1"/>
  <c r="B89" i="1"/>
  <c r="B90" i="1" s="1"/>
  <c r="B88" i="1"/>
  <c r="B83" i="1"/>
  <c r="B82" i="1"/>
  <c r="B78" i="1"/>
  <c r="B77" i="1"/>
  <c r="B74" i="1"/>
  <c r="B73" i="1"/>
  <c r="B69" i="1"/>
  <c r="B65" i="1"/>
  <c r="K50" i="1"/>
  <c r="B93" i="1" l="1"/>
  <c r="B95" i="1" s="1"/>
  <c r="B92" i="1"/>
  <c r="B12" i="1"/>
  <c r="B10" i="1"/>
  <c r="B14" i="1"/>
  <c r="F48" i="1"/>
  <c r="B7" i="1"/>
  <c r="B24" i="1" s="1"/>
  <c r="B6" i="1"/>
  <c r="B15" i="1" l="1"/>
  <c r="B16" i="1" s="1"/>
  <c r="B21" i="1" s="1"/>
  <c r="B23" i="1" l="1"/>
  <c r="B29" i="1" s="1"/>
  <c r="B54" i="1" l="1"/>
  <c r="B56" i="1" s="1"/>
  <c r="B64" i="1" s="1"/>
  <c r="B66" i="1" s="1"/>
  <c r="B68" i="1" s="1"/>
  <c r="K51" i="1"/>
  <c r="B38" i="1"/>
  <c r="B37" i="1"/>
  <c r="B39" i="1" s="1"/>
  <c r="B40" i="1" s="1"/>
  <c r="B43" i="1" s="1"/>
  <c r="F43" i="1" s="1"/>
  <c r="B49" i="1" s="1"/>
  <c r="B30" i="1"/>
  <c r="B31" i="1" s="1"/>
  <c r="B42" i="1" l="1"/>
  <c r="B41" i="1"/>
  <c r="B60" i="1" s="1"/>
  <c r="B62" i="1" s="1"/>
  <c r="B63" i="1" s="1"/>
</calcChain>
</file>

<file path=xl/sharedStrings.xml><?xml version="1.0" encoding="utf-8"?>
<sst xmlns="http://schemas.openxmlformats.org/spreadsheetml/2006/main" count="149" uniqueCount="105">
  <si>
    <t>Vline min</t>
  </si>
  <si>
    <t>Vline max</t>
  </si>
  <si>
    <t>F line</t>
  </si>
  <si>
    <t>Hz</t>
  </si>
  <si>
    <t>Vac</t>
  </si>
  <si>
    <t>Vline nom</t>
  </si>
  <si>
    <t>Line fluctuation</t>
  </si>
  <si>
    <t>Estimated efficiency</t>
  </si>
  <si>
    <t>Max output voltage</t>
  </si>
  <si>
    <t>Nominal output voltage</t>
  </si>
  <si>
    <t>Nominal output current</t>
  </si>
  <si>
    <t>Max output current</t>
  </si>
  <si>
    <t>Min output voltage</t>
  </si>
  <si>
    <t>V</t>
  </si>
  <si>
    <t>A</t>
  </si>
  <si>
    <t>W</t>
  </si>
  <si>
    <t>Max output power (Po)</t>
  </si>
  <si>
    <t>Max input power (Pin)</t>
  </si>
  <si>
    <t>Kl(1)</t>
  </si>
  <si>
    <t>DC link capacitor</t>
  </si>
  <si>
    <t>DC link capacitor (chosen)</t>
  </si>
  <si>
    <t>µF</t>
  </si>
  <si>
    <t>DC link capacitor charging ration (Dch)</t>
  </si>
  <si>
    <t>Min link voltage (VDCmin)</t>
  </si>
  <si>
    <t>Max link voltage (VDCmax)</t>
  </si>
  <si>
    <t>STEP 1 Determine the system specifications</t>
  </si>
  <si>
    <t>STEP 2 Determine DC link capacitor (CDC) and DC link voltage range</t>
  </si>
  <si>
    <t>STEP 4  Determine the transformer primary side inductance (Lm)</t>
  </si>
  <si>
    <t>STEP 3 Determine the maximum duty ratio (Dmax)</t>
  </si>
  <si>
    <t>Dmax</t>
  </si>
  <si>
    <t>Output voltage reflected to primary (Vro)</t>
  </si>
  <si>
    <t>Max nominal MOSFET voltage</t>
  </si>
  <si>
    <t>MOSFET voltage rating</t>
  </si>
  <si>
    <t>Primary side transformer inductance (Lm)</t>
  </si>
  <si>
    <t>Switching frequency (fs)</t>
  </si>
  <si>
    <t>kHz</t>
  </si>
  <si>
    <t>mH</t>
  </si>
  <si>
    <t>Full load ripple factor (Krf)</t>
  </si>
  <si>
    <t>I EDC</t>
  </si>
  <si>
    <t>Max MOSFET peak current (Ids peak)</t>
  </si>
  <si>
    <t>RMS MOSFET current (Ids rms)</t>
  </si>
  <si>
    <t>Delta I</t>
  </si>
  <si>
    <t>Max Vin with CCM @ full load (Vdc ccm)</t>
  </si>
  <si>
    <t>STEP 6  Determine the proper core and the minimum primary turns</t>
  </si>
  <si>
    <t>Core cross-sectional area (Ae)</t>
  </si>
  <si>
    <t>T</t>
  </si>
  <si>
    <t>Core diameter</t>
  </si>
  <si>
    <t>mm</t>
  </si>
  <si>
    <t>Core cross-sectionnal area</t>
  </si>
  <si>
    <t>mm²</t>
  </si>
  <si>
    <t>Min nb transformer primary turns (Np min)</t>
  </si>
  <si>
    <t>turns</t>
  </si>
  <si>
    <t>Pulse by pulse current limit level (Iover)</t>
  </si>
  <si>
    <t>Pulse by pulse current limit level (Iover) (chosen)</t>
  </si>
  <si>
    <t>Diode forward voltage drop (Vf1)</t>
  </si>
  <si>
    <t>Turn ratio (n)</t>
  </si>
  <si>
    <t>STEP 7  Determine the number of turns for each output</t>
  </si>
  <si>
    <t>Reference output nb of turns (Ns1)</t>
  </si>
  <si>
    <t>Saturation flux density (Bsat)</t>
  </si>
  <si>
    <t>n</t>
  </si>
  <si>
    <t>vo1</t>
  </si>
  <si>
    <t>Calculated primary side nb of turns (Np)</t>
  </si>
  <si>
    <t>secondary winding RMS current (Isec rms)</t>
  </si>
  <si>
    <t>A/mm²</t>
  </si>
  <si>
    <t>Current density</t>
  </si>
  <si>
    <t>STEP 8 Determine the wire diameter for the secondary winding based on the output rms current</t>
  </si>
  <si>
    <t>core window area (Aw)</t>
  </si>
  <si>
    <t>Actual conductor area (Ac)</t>
  </si>
  <si>
    <t>fill factor Kf</t>
  </si>
  <si>
    <t>Secondary strand area</t>
  </si>
  <si>
    <t>Secondary strand diameter</t>
  </si>
  <si>
    <t>Chosen primary wire diameter</t>
  </si>
  <si>
    <t>Chosen secondary wire diameter</t>
  </si>
  <si>
    <t>Primary winding area</t>
  </si>
  <si>
    <t>Secondary winding area</t>
  </si>
  <si>
    <t>Required window area (Awr)</t>
  </si>
  <si>
    <t>STEP 9 Choose the rectifier diode in the secondary side based on the voltage and current ratings</t>
  </si>
  <si>
    <t>Diode max reverse voltage (Vd)</t>
  </si>
  <si>
    <t>Diode rms current (Id rms)</t>
  </si>
  <si>
    <t>Current margin</t>
  </si>
  <si>
    <t>Voltage margin</t>
  </si>
  <si>
    <t>Diode reverse voltage spec</t>
  </si>
  <si>
    <t>Diode rms current spec</t>
  </si>
  <si>
    <t>STEP 10 Determine the output capacitor considering the voltage and current ripple</t>
  </si>
  <si>
    <t>Capacitor ripple current (Icap rms)</t>
  </si>
  <si>
    <t>Voltage ripple (DeltaVo)</t>
  </si>
  <si>
    <t>Ohm</t>
  </si>
  <si>
    <t>Chosen output capacitor</t>
  </si>
  <si>
    <t>Chosen output capacitor ESR</t>
  </si>
  <si>
    <t>mV</t>
  </si>
  <si>
    <t>STEP 11 Design the RCD snubber</t>
  </si>
  <si>
    <t>(at min input volt &amp;@ max load)</t>
  </si>
  <si>
    <t>Snubber capacitor voltage (Vsn)</t>
  </si>
  <si>
    <t>Snubber network power (Psn)</t>
  </si>
  <si>
    <t>leakage inductance (Lik)</t>
  </si>
  <si>
    <t>µH</t>
  </si>
  <si>
    <t>Resistor (Rsn)</t>
  </si>
  <si>
    <t>kOhm</t>
  </si>
  <si>
    <t>Capacitor (Csn)</t>
  </si>
  <si>
    <t>nF</t>
  </si>
  <si>
    <t>5-10% of Vsn</t>
  </si>
  <si>
    <t>Capacitor max ripple (DeltaVsn)</t>
  </si>
  <si>
    <t>peak drain current (Ids2)</t>
  </si>
  <si>
    <t>Capacitor voltage (Vsn2)</t>
  </si>
  <si>
    <t>MOSFET max voltage stress (Vds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</si>
</sst>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72" formatCode="0.00000"/>
    <numFmt numFmtId="17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2" borderId="0" xfId="1" applyFont="1" applyFill="1"/>
    <xf numFmtId="9" fontId="0" fillId="0" borderId="0" xfId="1" applyFont="1" applyFill="1"/>
    <xf numFmtId="0" fontId="0" fillId="0" borderId="0" xfId="1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0" fillId="0" borderId="0" xfId="1" applyNumberFormat="1" applyFont="1" applyFill="1"/>
    <xf numFmtId="0" fontId="0" fillId="0" borderId="0" xfId="0" applyFont="1"/>
    <xf numFmtId="0" fontId="0" fillId="3" borderId="0" xfId="0" applyFont="1" applyFill="1"/>
    <xf numFmtId="0" fontId="0" fillId="0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0" borderId="0" xfId="0" applyFont="1" applyFill="1" applyAlignment="1">
      <alignment horizontal="left"/>
    </xf>
    <xf numFmtId="164" fontId="0" fillId="0" borderId="0" xfId="0" applyNumberFormat="1" applyFont="1" applyFill="1"/>
    <xf numFmtId="1" fontId="0" fillId="0" borderId="0" xfId="0" applyNumberFormat="1" applyFont="1" applyFill="1"/>
    <xf numFmtId="2" fontId="0" fillId="0" borderId="0" xfId="0" applyNumberFormat="1" applyFont="1" applyFill="1"/>
    <xf numFmtId="164" fontId="0" fillId="2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2" fontId="0" fillId="0" borderId="0" xfId="0" applyNumberFormat="1" applyFont="1" applyFill="1"/>
    <xf numFmtId="174" fontId="0" fillId="0" borderId="0" xfId="0" applyNumberFormat="1" applyFont="1" applyFill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C6B1-4FF6-4DD4-86AE-D4E8173CBB90}">
  <dimension ref="A1:K95"/>
  <sheetViews>
    <sheetView tabSelected="1" topLeftCell="A19" workbookViewId="0">
      <selection activeCell="I38" sqref="I38"/>
    </sheetView>
  </sheetViews>
  <sheetFormatPr defaultRowHeight="15" x14ac:dyDescent="0.25"/>
  <cols>
    <col min="1" max="1" width="39.7109375" style="9" bestFit="1" customWidth="1"/>
    <col min="2" max="2" width="12" style="9" bestFit="1" customWidth="1"/>
    <col min="3" max="3" width="7.28515625" style="9" bestFit="1" customWidth="1"/>
    <col min="4" max="4" width="4.140625" style="9" customWidth="1"/>
    <col min="5" max="5" width="45.7109375" style="9" bestFit="1" customWidth="1"/>
    <col min="6" max="6" width="12" style="9" bestFit="1" customWidth="1"/>
    <col min="7" max="7" width="5.140625" style="9" bestFit="1" customWidth="1"/>
    <col min="8" max="9" width="9.140625" style="9"/>
    <col min="10" max="10" width="8.5703125" style="9" bestFit="1" customWidth="1"/>
    <col min="11" max="11" width="12" style="9" bestFit="1" customWidth="1"/>
    <col min="12" max="16384" width="9.140625" style="9"/>
  </cols>
  <sheetData>
    <row r="1" spans="1:7" ht="15.75" thickBot="1" x14ac:dyDescent="0.3"/>
    <row r="2" spans="1:7" ht="15.75" thickBot="1" x14ac:dyDescent="0.3">
      <c r="A2" s="17" t="s">
        <v>25</v>
      </c>
      <c r="B2" s="18"/>
      <c r="C2" s="18"/>
      <c r="D2" s="18"/>
      <c r="E2" s="18"/>
      <c r="F2" s="18"/>
      <c r="G2" s="19"/>
    </row>
    <row r="3" spans="1:7" x14ac:dyDescent="0.25">
      <c r="A3" s="5"/>
    </row>
    <row r="4" spans="1:7" x14ac:dyDescent="0.25">
      <c r="A4" s="10" t="s">
        <v>5</v>
      </c>
      <c r="B4" s="11">
        <v>230</v>
      </c>
      <c r="C4" s="11" t="s">
        <v>4</v>
      </c>
    </row>
    <row r="5" spans="1:7" x14ac:dyDescent="0.25">
      <c r="A5" s="10" t="s">
        <v>6</v>
      </c>
      <c r="B5" s="1">
        <v>0.05</v>
      </c>
      <c r="C5" s="1"/>
      <c r="D5" s="2"/>
    </row>
    <row r="6" spans="1:7" x14ac:dyDescent="0.25">
      <c r="A6" s="12" t="s">
        <v>0</v>
      </c>
      <c r="B6" s="3">
        <f>(1-B5)*B4</f>
        <v>218.5</v>
      </c>
      <c r="C6" s="9" t="s">
        <v>4</v>
      </c>
    </row>
    <row r="7" spans="1:7" x14ac:dyDescent="0.25">
      <c r="A7" s="12" t="s">
        <v>1</v>
      </c>
      <c r="B7" s="9">
        <f>(1+B5)*B4</f>
        <v>241.5</v>
      </c>
      <c r="C7" s="9" t="s">
        <v>4</v>
      </c>
    </row>
    <row r="8" spans="1:7" x14ac:dyDescent="0.25">
      <c r="A8" s="10" t="s">
        <v>2</v>
      </c>
      <c r="B8" s="11">
        <v>50</v>
      </c>
      <c r="C8" s="11" t="s">
        <v>3</v>
      </c>
    </row>
    <row r="9" spans="1:7" x14ac:dyDescent="0.25">
      <c r="A9" s="10" t="s">
        <v>7</v>
      </c>
      <c r="B9" s="1">
        <v>0.75</v>
      </c>
      <c r="C9" s="11"/>
    </row>
    <row r="10" spans="1:7" x14ac:dyDescent="0.25">
      <c r="A10" s="10" t="s">
        <v>8</v>
      </c>
      <c r="B10" s="16">
        <f>1.05*B11</f>
        <v>47.25</v>
      </c>
      <c r="C10" s="11"/>
    </row>
    <row r="11" spans="1:7" x14ac:dyDescent="0.25">
      <c r="A11" s="10" t="s">
        <v>9</v>
      </c>
      <c r="B11" s="11">
        <v>45</v>
      </c>
      <c r="C11" s="11" t="s">
        <v>13</v>
      </c>
    </row>
    <row r="12" spans="1:7" x14ac:dyDescent="0.25">
      <c r="A12" s="10" t="s">
        <v>12</v>
      </c>
      <c r="B12" s="16">
        <f>0.95*B11</f>
        <v>42.75</v>
      </c>
      <c r="C12" s="11" t="s">
        <v>13</v>
      </c>
    </row>
    <row r="13" spans="1:7" x14ac:dyDescent="0.25">
      <c r="A13" s="10" t="s">
        <v>10</v>
      </c>
      <c r="B13" s="11">
        <v>1.5</v>
      </c>
      <c r="C13" s="11" t="s">
        <v>14</v>
      </c>
    </row>
    <row r="14" spans="1:7" x14ac:dyDescent="0.25">
      <c r="A14" s="10" t="s">
        <v>11</v>
      </c>
      <c r="B14" s="11">
        <f>1.2*B13</f>
        <v>1.7999999999999998</v>
      </c>
      <c r="C14" s="11" t="s">
        <v>14</v>
      </c>
    </row>
    <row r="15" spans="1:7" x14ac:dyDescent="0.25">
      <c r="A15" s="12" t="s">
        <v>16</v>
      </c>
      <c r="B15" s="13">
        <f>B14*B10</f>
        <v>85.05</v>
      </c>
      <c r="C15" s="9" t="s">
        <v>15</v>
      </c>
    </row>
    <row r="16" spans="1:7" x14ac:dyDescent="0.25">
      <c r="A16" s="12" t="s">
        <v>17</v>
      </c>
      <c r="B16" s="13">
        <f>B15/B9</f>
        <v>113.39999999999999</v>
      </c>
      <c r="C16" s="9" t="s">
        <v>15</v>
      </c>
    </row>
    <row r="17" spans="1:7" x14ac:dyDescent="0.25">
      <c r="A17" s="10" t="s">
        <v>18</v>
      </c>
      <c r="B17" s="11">
        <v>1</v>
      </c>
    </row>
    <row r="18" spans="1:7" ht="15.75" thickBot="1" x14ac:dyDescent="0.3">
      <c r="A18" s="12"/>
    </row>
    <row r="19" spans="1:7" ht="15.75" thickBot="1" x14ac:dyDescent="0.3">
      <c r="A19" s="17" t="s">
        <v>26</v>
      </c>
      <c r="B19" s="18"/>
      <c r="C19" s="18"/>
      <c r="D19" s="18"/>
      <c r="E19" s="18"/>
      <c r="F19" s="18"/>
      <c r="G19" s="19"/>
    </row>
    <row r="20" spans="1:7" x14ac:dyDescent="0.25">
      <c r="A20" s="4"/>
    </row>
    <row r="21" spans="1:7" x14ac:dyDescent="0.25">
      <c r="A21" s="12" t="s">
        <v>19</v>
      </c>
      <c r="B21" s="13">
        <f>1*B16</f>
        <v>113.39999999999999</v>
      </c>
      <c r="C21" s="9" t="s">
        <v>21</v>
      </c>
      <c r="E21" s="8" t="s">
        <v>20</v>
      </c>
      <c r="F21" s="8">
        <v>150</v>
      </c>
      <c r="G21" s="8" t="s">
        <v>21</v>
      </c>
    </row>
    <row r="22" spans="1:7" x14ac:dyDescent="0.25">
      <c r="A22" s="10" t="s">
        <v>22</v>
      </c>
      <c r="B22" s="11">
        <v>0.2</v>
      </c>
      <c r="C22" s="11"/>
    </row>
    <row r="23" spans="1:7" x14ac:dyDescent="0.25">
      <c r="A23" s="12" t="s">
        <v>23</v>
      </c>
      <c r="B23" s="14">
        <f>SQRT(2*B6*B6-(B16*(1-B22)/(B8*F21*10^-6)))</f>
        <v>288.77067025582772</v>
      </c>
      <c r="C23" s="9" t="s">
        <v>13</v>
      </c>
    </row>
    <row r="24" spans="1:7" x14ac:dyDescent="0.25">
      <c r="A24" s="12" t="s">
        <v>24</v>
      </c>
      <c r="B24" s="14">
        <f>SQRT(2)*B7</f>
        <v>341.53257531310248</v>
      </c>
      <c r="C24" s="9" t="s">
        <v>13</v>
      </c>
    </row>
    <row r="25" spans="1:7" ht="15.75" thickBot="1" x14ac:dyDescent="0.3"/>
    <row r="26" spans="1:7" ht="15.75" thickBot="1" x14ac:dyDescent="0.3">
      <c r="A26" s="17" t="s">
        <v>28</v>
      </c>
      <c r="B26" s="18"/>
      <c r="C26" s="18"/>
      <c r="D26" s="18"/>
      <c r="E26" s="18"/>
      <c r="F26" s="18"/>
      <c r="G26" s="19"/>
    </row>
    <row r="28" spans="1:7" x14ac:dyDescent="0.25">
      <c r="A28" s="11" t="s">
        <v>29</v>
      </c>
      <c r="B28" s="1">
        <v>0.48</v>
      </c>
      <c r="C28" s="11"/>
    </row>
    <row r="29" spans="1:7" x14ac:dyDescent="0.25">
      <c r="A29" s="9" t="s">
        <v>30</v>
      </c>
      <c r="B29" s="6">
        <f>B28/(1-B28)*B23</f>
        <v>266.55754177461017</v>
      </c>
      <c r="C29" s="9" t="s">
        <v>13</v>
      </c>
    </row>
    <row r="30" spans="1:7" x14ac:dyDescent="0.25">
      <c r="A30" s="9" t="s">
        <v>31</v>
      </c>
      <c r="B30" s="6">
        <f>B24+B29</f>
        <v>608.09011708771266</v>
      </c>
      <c r="C30" s="9" t="s">
        <v>13</v>
      </c>
    </row>
    <row r="31" spans="1:7" x14ac:dyDescent="0.25">
      <c r="A31" s="9" t="s">
        <v>32</v>
      </c>
      <c r="B31" s="14">
        <f>B30/0.7</f>
        <v>868.70016726816095</v>
      </c>
      <c r="C31" s="9" t="s">
        <v>13</v>
      </c>
    </row>
    <row r="32" spans="1:7" ht="15.75" thickBot="1" x14ac:dyDescent="0.3">
      <c r="B32" s="13"/>
    </row>
    <row r="33" spans="1:10" ht="15.75" thickBot="1" x14ac:dyDescent="0.3">
      <c r="A33" s="17" t="s">
        <v>27</v>
      </c>
      <c r="B33" s="18"/>
      <c r="C33" s="18"/>
      <c r="D33" s="18"/>
      <c r="E33" s="18"/>
      <c r="F33" s="18"/>
      <c r="G33" s="19"/>
    </row>
    <row r="35" spans="1:10" x14ac:dyDescent="0.25">
      <c r="A35" s="11" t="s">
        <v>34</v>
      </c>
      <c r="B35" s="11">
        <v>100</v>
      </c>
      <c r="C35" s="11" t="s">
        <v>35</v>
      </c>
    </row>
    <row r="36" spans="1:10" x14ac:dyDescent="0.25">
      <c r="A36" s="11" t="s">
        <v>37</v>
      </c>
      <c r="B36" s="11">
        <v>1</v>
      </c>
      <c r="C36" s="11"/>
    </row>
    <row r="37" spans="1:10" x14ac:dyDescent="0.25">
      <c r="A37" s="9" t="s">
        <v>33</v>
      </c>
      <c r="B37" s="28">
        <f>(B23*B28)^2/(2*B16*B35*B36*10^3)*10^3</f>
        <v>0.84712126984126968</v>
      </c>
      <c r="C37" s="9" t="s">
        <v>36</v>
      </c>
    </row>
    <row r="38" spans="1:10" x14ac:dyDescent="0.25">
      <c r="A38" s="9" t="s">
        <v>38</v>
      </c>
      <c r="B38" s="15">
        <f>B16/(B28*B23)</f>
        <v>0.81812325258206231</v>
      </c>
      <c r="C38" s="9" t="s">
        <v>14</v>
      </c>
      <c r="I38" s="9">
        <f>(B15/(0.014*0.16*100000))^(4/3)*10000</f>
        <v>2749.3818803808749</v>
      </c>
    </row>
    <row r="39" spans="1:10" x14ac:dyDescent="0.25">
      <c r="A39" s="9" t="s">
        <v>41</v>
      </c>
      <c r="B39" s="15">
        <f>B23*B28/(B37*B35)</f>
        <v>1.6362465051641248</v>
      </c>
      <c r="C39" s="9" t="s">
        <v>14</v>
      </c>
      <c r="I39" s="9">
        <f>I38/B69</f>
        <v>52.619748906811004</v>
      </c>
    </row>
    <row r="40" spans="1:10" x14ac:dyDescent="0.25">
      <c r="A40" s="9" t="s">
        <v>39</v>
      </c>
      <c r="B40" s="15">
        <f>B38+B39/2</f>
        <v>1.6362465051641246</v>
      </c>
      <c r="C40" s="9" t="s">
        <v>14</v>
      </c>
      <c r="J40" s="27"/>
    </row>
    <row r="41" spans="1:10" x14ac:dyDescent="0.25">
      <c r="A41" s="9" t="s">
        <v>40</v>
      </c>
      <c r="B41" s="15">
        <f>SQRT((3*B38*B38+(B39/2)^2)*B28/3)</f>
        <v>0.65449860206564991</v>
      </c>
      <c r="C41" s="9" t="s">
        <v>14</v>
      </c>
    </row>
    <row r="42" spans="1:10" x14ac:dyDescent="0.25">
      <c r="A42" s="7" t="s">
        <v>42</v>
      </c>
      <c r="B42" s="14">
        <f>1/((1/SQRT(2*B35*B37*B16))-(1/B29))</f>
        <v>288.77067025582778</v>
      </c>
      <c r="C42" s="9" t="s">
        <v>13</v>
      </c>
    </row>
    <row r="43" spans="1:10" x14ac:dyDescent="0.25">
      <c r="A43" s="7" t="s">
        <v>52</v>
      </c>
      <c r="B43" s="15">
        <f>1.2*B40</f>
        <v>1.9634958061969494</v>
      </c>
      <c r="C43" s="9" t="s">
        <v>14</v>
      </c>
      <c r="E43" s="8" t="s">
        <v>53</v>
      </c>
      <c r="F43" s="8">
        <f>TRUNC(1+B43*10)/10</f>
        <v>2</v>
      </c>
      <c r="G43" s="8" t="s">
        <v>14</v>
      </c>
    </row>
    <row r="44" spans="1:10" ht="15.75" thickBot="1" x14ac:dyDescent="0.3"/>
    <row r="45" spans="1:10" ht="15.75" thickBot="1" x14ac:dyDescent="0.3">
      <c r="A45" s="20" t="s">
        <v>43</v>
      </c>
      <c r="B45" s="21"/>
      <c r="C45" s="21"/>
      <c r="D45" s="21"/>
      <c r="E45" s="21"/>
      <c r="F45" s="21"/>
      <c r="G45" s="22"/>
    </row>
    <row r="47" spans="1:10" x14ac:dyDescent="0.25">
      <c r="A47" s="11" t="s">
        <v>44</v>
      </c>
      <c r="B47" s="11">
        <v>572</v>
      </c>
      <c r="C47" s="11" t="s">
        <v>49</v>
      </c>
      <c r="E47" s="9" t="s">
        <v>46</v>
      </c>
      <c r="F47" s="9">
        <v>13.5</v>
      </c>
      <c r="G47" s="9" t="s">
        <v>47</v>
      </c>
    </row>
    <row r="48" spans="1:10" x14ac:dyDescent="0.25">
      <c r="A48" s="7" t="s">
        <v>58</v>
      </c>
      <c r="B48" s="9">
        <v>0.32</v>
      </c>
      <c r="C48" s="9" t="s">
        <v>45</v>
      </c>
      <c r="E48" s="9" t="s">
        <v>48</v>
      </c>
      <c r="F48" s="9">
        <f>(F47)^2*PI()</f>
        <v>572.55526111673976</v>
      </c>
      <c r="G48" s="9" t="s">
        <v>49</v>
      </c>
    </row>
    <row r="49" spans="1:11" x14ac:dyDescent="0.25">
      <c r="A49" s="9" t="s">
        <v>50</v>
      </c>
      <c r="B49" s="14">
        <f>B37*F43/(B48*B47)*10^3</f>
        <v>9.2561327561327538</v>
      </c>
      <c r="C49" s="9" t="s">
        <v>51</v>
      </c>
    </row>
    <row r="50" spans="1:11" ht="15.75" thickBot="1" x14ac:dyDescent="0.3">
      <c r="B50" s="14"/>
      <c r="J50" s="9" t="s">
        <v>59</v>
      </c>
      <c r="K50" s="9">
        <f>43/11</f>
        <v>3.9090909090909092</v>
      </c>
    </row>
    <row r="51" spans="1:11" ht="15.75" thickBot="1" x14ac:dyDescent="0.3">
      <c r="A51" s="17" t="s">
        <v>56</v>
      </c>
      <c r="B51" s="18"/>
      <c r="C51" s="18"/>
      <c r="D51" s="18"/>
      <c r="E51" s="18"/>
      <c r="F51" s="18"/>
      <c r="G51" s="19"/>
      <c r="J51" s="9" t="s">
        <v>60</v>
      </c>
      <c r="K51" s="9">
        <f>B29/K50-B53</f>
        <v>67.189138593504921</v>
      </c>
    </row>
    <row r="52" spans="1:11" x14ac:dyDescent="0.25">
      <c r="B52" s="14"/>
    </row>
    <row r="53" spans="1:11" x14ac:dyDescent="0.25">
      <c r="A53" s="11" t="s">
        <v>54</v>
      </c>
      <c r="B53" s="11">
        <v>1</v>
      </c>
      <c r="C53" s="11" t="s">
        <v>13</v>
      </c>
    </row>
    <row r="54" spans="1:11" x14ac:dyDescent="0.25">
      <c r="A54" s="9" t="s">
        <v>55</v>
      </c>
      <c r="B54" s="28">
        <f>B29/(B11+B53)</f>
        <v>5.794729169013265</v>
      </c>
    </row>
    <row r="55" spans="1:11" x14ac:dyDescent="0.25">
      <c r="A55" s="8" t="s">
        <v>57</v>
      </c>
      <c r="B55" s="8">
        <v>7</v>
      </c>
      <c r="C55" s="8" t="s">
        <v>51</v>
      </c>
    </row>
    <row r="56" spans="1:11" x14ac:dyDescent="0.25">
      <c r="A56" s="9" t="s">
        <v>61</v>
      </c>
      <c r="B56" s="14">
        <f>B55*B54</f>
        <v>40.563104183092854</v>
      </c>
      <c r="C56" s="9" t="s">
        <v>51</v>
      </c>
    </row>
    <row r="57" spans="1:11" ht="15.75" thickBot="1" x14ac:dyDescent="0.3"/>
    <row r="58" spans="1:11" ht="15.75" thickBot="1" x14ac:dyDescent="0.3">
      <c r="A58" s="24" t="s">
        <v>65</v>
      </c>
      <c r="B58" s="25"/>
      <c r="C58" s="25"/>
      <c r="D58" s="25"/>
      <c r="E58" s="25"/>
      <c r="F58" s="25"/>
      <c r="G58" s="26"/>
    </row>
    <row r="59" spans="1:11" x14ac:dyDescent="0.25">
      <c r="A59" s="23"/>
    </row>
    <row r="60" spans="1:11" x14ac:dyDescent="0.25">
      <c r="A60" s="9" t="s">
        <v>62</v>
      </c>
      <c r="B60" s="15">
        <f>B41*SQRT((1-B28)/B28)*B29/(B11+B53)</f>
        <v>3.9475070959775822</v>
      </c>
      <c r="C60" s="9" t="s">
        <v>14</v>
      </c>
    </row>
    <row r="61" spans="1:11" x14ac:dyDescent="0.25">
      <c r="A61" s="11" t="s">
        <v>64</v>
      </c>
      <c r="B61" s="11">
        <v>5</v>
      </c>
      <c r="C61" s="11" t="s">
        <v>63</v>
      </c>
    </row>
    <row r="62" spans="1:11" x14ac:dyDescent="0.25">
      <c r="A62" s="9" t="s">
        <v>69</v>
      </c>
      <c r="B62" s="15">
        <f>B60/B61</f>
        <v>0.78950141919551642</v>
      </c>
      <c r="C62" s="9" t="s">
        <v>49</v>
      </c>
      <c r="E62" s="8" t="s">
        <v>71</v>
      </c>
      <c r="F62" s="8">
        <v>0.3</v>
      </c>
      <c r="G62" s="8" t="s">
        <v>47</v>
      </c>
    </row>
    <row r="63" spans="1:11" x14ac:dyDescent="0.25">
      <c r="A63" s="9" t="s">
        <v>70</v>
      </c>
      <c r="B63" s="15">
        <f>SQRT(B62/PI())*2</f>
        <v>1.0026088108251714</v>
      </c>
      <c r="C63" s="9" t="s">
        <v>47</v>
      </c>
      <c r="E63" s="8" t="s">
        <v>72</v>
      </c>
      <c r="F63" s="8">
        <v>1.2</v>
      </c>
      <c r="G63" s="8" t="s">
        <v>47</v>
      </c>
    </row>
    <row r="64" spans="1:11" x14ac:dyDescent="0.25">
      <c r="A64" s="9" t="s">
        <v>73</v>
      </c>
      <c r="B64" s="15">
        <f>B56*PI()*(F62/2)^2</f>
        <v>2.8672368774390429</v>
      </c>
      <c r="C64" s="9" t="s">
        <v>49</v>
      </c>
    </row>
    <row r="65" spans="1:7" x14ac:dyDescent="0.25">
      <c r="A65" s="9" t="s">
        <v>74</v>
      </c>
      <c r="B65" s="15">
        <f>B55*PI()*(F63/2)^2</f>
        <v>7.9168134870462783</v>
      </c>
      <c r="C65" s="9" t="s">
        <v>49</v>
      </c>
    </row>
    <row r="66" spans="1:7" x14ac:dyDescent="0.25">
      <c r="A66" s="9" t="s">
        <v>67</v>
      </c>
      <c r="B66" s="15">
        <f>B65+B64</f>
        <v>10.784050364485321</v>
      </c>
      <c r="C66" s="9" t="s">
        <v>49</v>
      </c>
    </row>
    <row r="67" spans="1:7" x14ac:dyDescent="0.25">
      <c r="A67" s="9" t="s">
        <v>68</v>
      </c>
      <c r="B67" s="15">
        <v>0.2</v>
      </c>
    </row>
    <row r="68" spans="1:7" x14ac:dyDescent="0.25">
      <c r="A68" s="9" t="s">
        <v>75</v>
      </c>
      <c r="B68" s="15">
        <f>B66/B67</f>
        <v>53.9202518224266</v>
      </c>
      <c r="C68" s="9" t="s">
        <v>49</v>
      </c>
    </row>
    <row r="69" spans="1:7" x14ac:dyDescent="0.25">
      <c r="A69" s="11" t="s">
        <v>66</v>
      </c>
      <c r="B69" s="11">
        <f>9.5*5.5</f>
        <v>52.25</v>
      </c>
      <c r="C69" s="11" t="s">
        <v>49</v>
      </c>
    </row>
    <row r="70" spans="1:7" ht="15.75" thickBot="1" x14ac:dyDescent="0.3"/>
    <row r="71" spans="1:7" ht="15.75" thickBot="1" x14ac:dyDescent="0.3">
      <c r="A71" s="24" t="s">
        <v>76</v>
      </c>
      <c r="B71" s="25"/>
      <c r="C71" s="25"/>
      <c r="D71" s="25"/>
      <c r="E71" s="25"/>
      <c r="F71" s="25"/>
      <c r="G71" s="26"/>
    </row>
    <row r="72" spans="1:7" x14ac:dyDescent="0.25">
      <c r="A72" s="23"/>
    </row>
    <row r="73" spans="1:7" x14ac:dyDescent="0.25">
      <c r="A73" s="9" t="s">
        <v>77</v>
      </c>
      <c r="B73" s="14">
        <f>B11+B24*(B11+B53)/B29</f>
        <v>103.93848795201919</v>
      </c>
      <c r="C73" s="9" t="s">
        <v>13</v>
      </c>
    </row>
    <row r="74" spans="1:7" x14ac:dyDescent="0.25">
      <c r="A74" s="9" t="s">
        <v>78</v>
      </c>
      <c r="B74" s="13">
        <f>B41*SQRT((1-B28)/B28)*B29/(B53+B11)</f>
        <v>3.9475070959775822</v>
      </c>
      <c r="C74" s="9" t="s">
        <v>14</v>
      </c>
    </row>
    <row r="75" spans="1:7" x14ac:dyDescent="0.25">
      <c r="A75" s="11" t="s">
        <v>79</v>
      </c>
      <c r="B75" s="1">
        <v>0.5</v>
      </c>
      <c r="C75" s="11"/>
    </row>
    <row r="76" spans="1:7" x14ac:dyDescent="0.25">
      <c r="A76" s="11" t="s">
        <v>80</v>
      </c>
      <c r="B76" s="1">
        <v>0.3</v>
      </c>
      <c r="C76" s="11"/>
    </row>
    <row r="77" spans="1:7" x14ac:dyDescent="0.25">
      <c r="A77" s="9" t="s">
        <v>81</v>
      </c>
      <c r="B77" s="13">
        <f>B73*(1+B76)</f>
        <v>135.12003433762496</v>
      </c>
      <c r="C77" s="9" t="s">
        <v>13</v>
      </c>
    </row>
    <row r="78" spans="1:7" x14ac:dyDescent="0.25">
      <c r="A78" s="9" t="s">
        <v>82</v>
      </c>
      <c r="B78" s="13">
        <f>B74*(1+B76)</f>
        <v>5.1317592247708568</v>
      </c>
      <c r="C78" s="9" t="s">
        <v>14</v>
      </c>
    </row>
    <row r="79" spans="1:7" ht="15.75" thickBot="1" x14ac:dyDescent="0.3"/>
    <row r="80" spans="1:7" ht="15.75" thickBot="1" x14ac:dyDescent="0.3">
      <c r="A80" s="24" t="s">
        <v>83</v>
      </c>
      <c r="B80" s="25"/>
      <c r="C80" s="25"/>
      <c r="D80" s="25"/>
      <c r="E80" s="25"/>
      <c r="F80" s="25"/>
      <c r="G80" s="26"/>
    </row>
    <row r="82" spans="1:7" x14ac:dyDescent="0.25">
      <c r="A82" s="9" t="s">
        <v>84</v>
      </c>
      <c r="B82" s="13">
        <f>SQRT(B74^2-B13^2)</f>
        <v>3.6514123668511291</v>
      </c>
      <c r="C82" s="9" t="s">
        <v>14</v>
      </c>
      <c r="E82" s="8" t="s">
        <v>87</v>
      </c>
      <c r="F82" s="8">
        <v>330</v>
      </c>
      <c r="G82" s="8" t="s">
        <v>21</v>
      </c>
    </row>
    <row r="83" spans="1:7" x14ac:dyDescent="0.25">
      <c r="A83" s="9" t="s">
        <v>85</v>
      </c>
      <c r="B83" s="14">
        <f>(B13*B28/(B35*F82/1000)+B40*B29*F83/(B53+B11))*1000</f>
        <v>211.45028884159316</v>
      </c>
      <c r="C83" s="9" t="s">
        <v>89</v>
      </c>
      <c r="E83" s="8" t="s">
        <v>88</v>
      </c>
      <c r="F83" s="8">
        <v>0.02</v>
      </c>
      <c r="G83" s="8" t="s">
        <v>86</v>
      </c>
    </row>
    <row r="84" spans="1:7" ht="15.75" thickBot="1" x14ac:dyDescent="0.3"/>
    <row r="85" spans="1:7" ht="15.75" thickBot="1" x14ac:dyDescent="0.3">
      <c r="A85" s="17" t="s">
        <v>90</v>
      </c>
      <c r="B85" s="18"/>
      <c r="C85" s="18"/>
      <c r="D85" s="18"/>
      <c r="E85" s="18"/>
      <c r="F85" s="18"/>
      <c r="G85" s="19"/>
    </row>
    <row r="87" spans="1:7" x14ac:dyDescent="0.25">
      <c r="A87" s="11" t="s">
        <v>94</v>
      </c>
      <c r="B87" s="11">
        <v>20</v>
      </c>
      <c r="C87" s="11" t="s">
        <v>95</v>
      </c>
    </row>
    <row r="88" spans="1:7" x14ac:dyDescent="0.25">
      <c r="A88" s="9" t="s">
        <v>92</v>
      </c>
      <c r="B88" s="14">
        <f>2.3*B29</f>
        <v>613.0823460816033</v>
      </c>
      <c r="C88" s="9" t="s">
        <v>13</v>
      </c>
      <c r="E88" s="9" t="s">
        <v>91</v>
      </c>
    </row>
    <row r="89" spans="1:7" x14ac:dyDescent="0.25">
      <c r="A89" s="9" t="s">
        <v>93</v>
      </c>
      <c r="B89" s="15">
        <f>0.5*B35*B87/1000*(B88/(B88-B29))*(B40^2)</f>
        <v>4.7367661838632058</v>
      </c>
      <c r="C89" s="9" t="s">
        <v>15</v>
      </c>
    </row>
    <row r="90" spans="1:7" x14ac:dyDescent="0.25">
      <c r="A90" s="9" t="s">
        <v>96</v>
      </c>
      <c r="B90" s="14">
        <f>(B88^2)/B89/1000</f>
        <v>79.351597374048822</v>
      </c>
      <c r="C90" s="9" t="s">
        <v>97</v>
      </c>
    </row>
    <row r="91" spans="1:7" x14ac:dyDescent="0.25">
      <c r="A91" s="11" t="s">
        <v>98</v>
      </c>
      <c r="B91" s="11">
        <v>1.8</v>
      </c>
      <c r="C91" s="11" t="s">
        <v>99</v>
      </c>
    </row>
    <row r="92" spans="1:7" x14ac:dyDescent="0.25">
      <c r="A92" s="9" t="s">
        <v>101</v>
      </c>
      <c r="B92" s="14">
        <f>B88/(B90*B91*B35/1000)</f>
        <v>42.923055697686415</v>
      </c>
      <c r="C92" s="9" t="s">
        <v>13</v>
      </c>
      <c r="E92" s="9" t="s">
        <v>100</v>
      </c>
      <c r="F92" s="9">
        <f>B88*0.075</f>
        <v>45.981175956120246</v>
      </c>
    </row>
    <row r="93" spans="1:7" x14ac:dyDescent="0.25">
      <c r="A93" s="9" t="s">
        <v>103</v>
      </c>
      <c r="B93" s="14">
        <f>(B29+SQRT(B29*B29+2*B90*B87*B35*B94*B94))/2</f>
        <v>613.08234608160342</v>
      </c>
      <c r="C93" s="9" t="s">
        <v>13</v>
      </c>
    </row>
    <row r="94" spans="1:7" x14ac:dyDescent="0.25">
      <c r="A94" s="9" t="s">
        <v>102</v>
      </c>
      <c r="B94" s="13">
        <f>SQRT(2*B16/(B35*B37))</f>
        <v>1.6362465051641248</v>
      </c>
      <c r="C94" s="9" t="s">
        <v>14</v>
      </c>
    </row>
    <row r="95" spans="1:7" x14ac:dyDescent="0.25">
      <c r="A95" s="9" t="s">
        <v>104</v>
      </c>
      <c r="B95" s="14">
        <f>B93+B24</f>
        <v>954.6149213947059</v>
      </c>
      <c r="C95" s="9" t="s">
        <v>13</v>
      </c>
    </row>
  </sheetData>
  <mergeCells count="10">
    <mergeCell ref="A51:G51"/>
    <mergeCell ref="A58:G58"/>
    <mergeCell ref="A71:G71"/>
    <mergeCell ref="A80:G80"/>
    <mergeCell ref="A85:G85"/>
    <mergeCell ref="A2:G2"/>
    <mergeCell ref="A19:G19"/>
    <mergeCell ref="A26:G26"/>
    <mergeCell ref="A33:G33"/>
    <mergeCell ref="A45:G45"/>
  </mergeCells>
  <conditionalFormatting sqref="B56">
    <cfRule type="cellIs" dxfId="2" priority="4" operator="lessThan">
      <formula>$B$49</formula>
    </cfRule>
  </conditionalFormatting>
  <conditionalFormatting sqref="B68">
    <cfRule type="cellIs" dxfId="1" priority="2" operator="greaterThan">
      <formula>$B$69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2020-01-05T14:18:41Z</dcterms:created>
  <dcterms:modified xsi:type="dcterms:W3CDTF">2020-01-15T22:22:08Z</dcterms:modified>
</cp:coreProperties>
</file>