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xp1-my.sharepoint.com/personal/xavier_bourlot_nxp_com/Documents/Documents/Kicad/PCB_Kicad/Planar_XFMR/"/>
    </mc:Choice>
  </mc:AlternateContent>
  <xr:revisionPtr revIDLastSave="1137" documentId="8_{DD615B7A-EA43-4BF0-8AA8-17BECC04831E}" xr6:coauthVersionLast="47" xr6:coauthVersionMax="47" xr10:uidLastSave="{98B8429B-0E34-424C-972C-9E4F34956C79}"/>
  <bookViews>
    <workbookView xWindow="28680" yWindow="-120" windowWidth="29040" windowHeight="15840" xr2:uid="{579F1847-482E-4316-B27D-C170499B65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2" l="1"/>
  <c r="W6" i="2"/>
  <c r="W7" i="2"/>
  <c r="AC6" i="2"/>
  <c r="AC7" i="2"/>
  <c r="AC8" i="2"/>
  <c r="AC9" i="2"/>
  <c r="AC10" i="2"/>
  <c r="AC11" i="2"/>
  <c r="AC12" i="2"/>
  <c r="AC13" i="2"/>
  <c r="AC14" i="2"/>
  <c r="AC15" i="2"/>
  <c r="AC5" i="2"/>
  <c r="Z6" i="2"/>
  <c r="Z7" i="2"/>
  <c r="Z8" i="2"/>
  <c r="Z9" i="2"/>
  <c r="Z10" i="2"/>
  <c r="Z11" i="2"/>
  <c r="Z12" i="2"/>
  <c r="Z13" i="2"/>
  <c r="Z14" i="2"/>
  <c r="Z15" i="2"/>
  <c r="Z16" i="2"/>
  <c r="Z5" i="2"/>
  <c r="W8" i="2"/>
  <c r="W9" i="2"/>
  <c r="W10" i="2"/>
  <c r="W11" i="2"/>
  <c r="W12" i="2"/>
  <c r="W13" i="2"/>
  <c r="W14" i="2"/>
  <c r="AN18" i="2"/>
  <c r="O30" i="2"/>
  <c r="L32" i="2"/>
  <c r="L31" i="2"/>
  <c r="L30" i="2"/>
  <c r="X13" i="1"/>
  <c r="X12" i="1"/>
  <c r="X6" i="1"/>
  <c r="X7" i="1" s="1"/>
  <c r="B67" i="1" l="1"/>
  <c r="C67" i="1" s="1"/>
  <c r="B68" i="1"/>
  <c r="C68" i="1" s="1"/>
  <c r="T14" i="1"/>
  <c r="N16" i="2"/>
  <c r="Q10" i="1"/>
  <c r="T13" i="1" s="1"/>
  <c r="T15" i="1" s="1"/>
  <c r="Q4" i="1"/>
  <c r="T11" i="1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D15" i="2"/>
  <c r="D13" i="2"/>
  <c r="D12" i="2"/>
  <c r="D10" i="2"/>
  <c r="D9" i="2"/>
  <c r="D5" i="2"/>
  <c r="L25" i="1"/>
  <c r="S24" i="1"/>
  <c r="L11" i="1"/>
  <c r="L12" i="1" s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L17" i="1"/>
  <c r="C8" i="1"/>
  <c r="C33" i="1" s="1"/>
  <c r="D68" i="1" l="1"/>
  <c r="G67" i="1"/>
  <c r="D67" i="1"/>
  <c r="F67" i="1"/>
  <c r="H67" i="1"/>
  <c r="B69" i="1"/>
  <c r="E67" i="1"/>
  <c r="E68" i="1"/>
  <c r="C55" i="1"/>
  <c r="F55" i="1" s="1"/>
  <c r="E55" i="1"/>
  <c r="B56" i="1"/>
  <c r="C56" i="1" s="1"/>
  <c r="D56" i="1"/>
  <c r="G55" i="1"/>
  <c r="D55" i="1"/>
  <c r="H55" i="1"/>
  <c r="E56" i="1"/>
  <c r="B57" i="1"/>
  <c r="Q6" i="1"/>
  <c r="Q8" i="1" s="1"/>
  <c r="C41" i="1"/>
  <c r="C52" i="1"/>
  <c r="C51" i="1"/>
  <c r="C38" i="1"/>
  <c r="C42" i="1"/>
  <c r="C50" i="1"/>
  <c r="C49" i="1"/>
  <c r="C37" i="1"/>
  <c r="C46" i="1"/>
  <c r="C32" i="1"/>
  <c r="C54" i="1"/>
  <c r="C44" i="1"/>
  <c r="C45" i="1"/>
  <c r="C53" i="1"/>
  <c r="C43" i="1"/>
  <c r="C48" i="1"/>
  <c r="C40" i="1"/>
  <c r="C28" i="1"/>
  <c r="C47" i="1"/>
  <c r="D47" i="1" s="1"/>
  <c r="C39" i="1"/>
  <c r="C31" i="1"/>
  <c r="C30" i="1"/>
  <c r="C29" i="1"/>
  <c r="C36" i="1"/>
  <c r="C35" i="1"/>
  <c r="C34" i="1"/>
  <c r="E28" i="1"/>
  <c r="E29" i="1"/>
  <c r="C9" i="1"/>
  <c r="E69" i="1" l="1"/>
  <c r="B70" i="1"/>
  <c r="C69" i="1"/>
  <c r="B58" i="1"/>
  <c r="E57" i="1"/>
  <c r="C57" i="1"/>
  <c r="E47" i="1"/>
  <c r="E48" i="1"/>
  <c r="D28" i="1"/>
  <c r="F28" i="1" s="1"/>
  <c r="G28" i="1" s="1"/>
  <c r="D29" i="1"/>
  <c r="E30" i="1"/>
  <c r="E70" i="1" l="1"/>
  <c r="B71" i="1"/>
  <c r="C70" i="1"/>
  <c r="D69" i="1"/>
  <c r="G68" i="1"/>
  <c r="F68" i="1"/>
  <c r="H68" i="1" s="1"/>
  <c r="D57" i="1"/>
  <c r="F56" i="1"/>
  <c r="G56" i="1"/>
  <c r="H56" i="1"/>
  <c r="E58" i="1"/>
  <c r="B59" i="1"/>
  <c r="C58" i="1"/>
  <c r="F29" i="1"/>
  <c r="G29" i="1" s="1"/>
  <c r="H28" i="1"/>
  <c r="F47" i="1"/>
  <c r="G47" i="1" s="1"/>
  <c r="H47" i="1"/>
  <c r="E49" i="1"/>
  <c r="D48" i="1"/>
  <c r="D30" i="1"/>
  <c r="E31" i="1"/>
  <c r="D70" i="1" l="1"/>
  <c r="G69" i="1"/>
  <c r="F69" i="1"/>
  <c r="H69" i="1"/>
  <c r="C71" i="1"/>
  <c r="B72" i="1"/>
  <c r="E71" i="1"/>
  <c r="F57" i="1"/>
  <c r="H57" i="1" s="1"/>
  <c r="B60" i="1"/>
  <c r="C59" i="1"/>
  <c r="E59" i="1"/>
  <c r="D58" i="1"/>
  <c r="G57" i="1"/>
  <c r="H29" i="1"/>
  <c r="F30" i="1"/>
  <c r="H30" i="1" s="1"/>
  <c r="F48" i="1"/>
  <c r="G48" i="1" s="1"/>
  <c r="D49" i="1"/>
  <c r="E50" i="1"/>
  <c r="F49" i="1"/>
  <c r="E32" i="1"/>
  <c r="D31" i="1"/>
  <c r="D71" i="1" l="1"/>
  <c r="H70" i="1"/>
  <c r="G70" i="1"/>
  <c r="B73" i="1"/>
  <c r="C72" i="1"/>
  <c r="E72" i="1"/>
  <c r="F70" i="1"/>
  <c r="D59" i="1"/>
  <c r="G58" i="1"/>
  <c r="F58" i="1"/>
  <c r="H58" i="1"/>
  <c r="C60" i="1"/>
  <c r="E60" i="1"/>
  <c r="B61" i="1"/>
  <c r="G30" i="1"/>
  <c r="H48" i="1"/>
  <c r="G49" i="1"/>
  <c r="H49" i="1"/>
  <c r="F31" i="1"/>
  <c r="H31" i="1" s="1"/>
  <c r="D50" i="1"/>
  <c r="E51" i="1"/>
  <c r="E33" i="1"/>
  <c r="D32" i="1"/>
  <c r="D72" i="1" l="1"/>
  <c r="H71" i="1"/>
  <c r="G71" i="1"/>
  <c r="B74" i="1"/>
  <c r="C73" i="1"/>
  <c r="F72" i="1" s="1"/>
  <c r="E73" i="1"/>
  <c r="F71" i="1"/>
  <c r="D60" i="1"/>
  <c r="H59" i="1"/>
  <c r="G59" i="1"/>
  <c r="C61" i="1"/>
  <c r="E61" i="1"/>
  <c r="B62" i="1"/>
  <c r="F59" i="1"/>
  <c r="G31" i="1"/>
  <c r="H32" i="1"/>
  <c r="F50" i="1"/>
  <c r="H50" i="1" s="1"/>
  <c r="G32" i="1"/>
  <c r="F32" i="1"/>
  <c r="D51" i="1"/>
  <c r="H51" i="1"/>
  <c r="E52" i="1"/>
  <c r="E34" i="1"/>
  <c r="D33" i="1"/>
  <c r="B75" i="1" l="1"/>
  <c r="E74" i="1"/>
  <c r="C74" i="1"/>
  <c r="D73" i="1"/>
  <c r="H72" i="1"/>
  <c r="G72" i="1"/>
  <c r="D61" i="1"/>
  <c r="F60" i="1"/>
  <c r="H60" i="1"/>
  <c r="B63" i="1"/>
  <c r="E62" i="1"/>
  <c r="C62" i="1"/>
  <c r="F61" i="1" s="1"/>
  <c r="G60" i="1"/>
  <c r="G50" i="1"/>
  <c r="F33" i="1"/>
  <c r="G33" i="1" s="1"/>
  <c r="G51" i="1"/>
  <c r="F51" i="1"/>
  <c r="E53" i="1"/>
  <c r="D52" i="1"/>
  <c r="E35" i="1"/>
  <c r="D34" i="1"/>
  <c r="D74" i="1" l="1"/>
  <c r="G73" i="1"/>
  <c r="F73" i="1"/>
  <c r="H73" i="1"/>
  <c r="B76" i="1"/>
  <c r="C75" i="1"/>
  <c r="H74" i="1" s="1"/>
  <c r="E75" i="1"/>
  <c r="G61" i="1"/>
  <c r="E63" i="1"/>
  <c r="B64" i="1"/>
  <c r="C63" i="1"/>
  <c r="D62" i="1"/>
  <c r="F62" i="1"/>
  <c r="G62" i="1"/>
  <c r="H62" i="1"/>
  <c r="H61" i="1"/>
  <c r="H33" i="1"/>
  <c r="F34" i="1"/>
  <c r="G34" i="1" s="1"/>
  <c r="H52" i="1"/>
  <c r="F52" i="1"/>
  <c r="G52" i="1"/>
  <c r="D53" i="1"/>
  <c r="E54" i="1"/>
  <c r="E36" i="1"/>
  <c r="D35" i="1"/>
  <c r="C76" i="1" l="1"/>
  <c r="E76" i="1"/>
  <c r="G74" i="1"/>
  <c r="G75" i="1"/>
  <c r="F75" i="1"/>
  <c r="D75" i="1"/>
  <c r="H75" i="1"/>
  <c r="F74" i="1"/>
  <c r="D63" i="1"/>
  <c r="C64" i="1"/>
  <c r="B65" i="1"/>
  <c r="E64" i="1"/>
  <c r="H34" i="1"/>
  <c r="F53" i="1"/>
  <c r="G53" i="1" s="1"/>
  <c r="F35" i="1"/>
  <c r="G35" i="1" s="1"/>
  <c r="D54" i="1"/>
  <c r="F54" i="1" s="1"/>
  <c r="D36" i="1"/>
  <c r="F36" i="1" s="1"/>
  <c r="E37" i="1"/>
  <c r="D76" i="1" l="1"/>
  <c r="H76" i="1"/>
  <c r="G76" i="1"/>
  <c r="F76" i="1"/>
  <c r="B66" i="1"/>
  <c r="E65" i="1"/>
  <c r="C65" i="1"/>
  <c r="F64" i="1" s="1"/>
  <c r="H64" i="1"/>
  <c r="D64" i="1"/>
  <c r="H63" i="1"/>
  <c r="F63" i="1"/>
  <c r="G63" i="1" s="1"/>
  <c r="H54" i="1"/>
  <c r="G54" i="1"/>
  <c r="H53" i="1"/>
  <c r="H35" i="1"/>
  <c r="H36" i="1"/>
  <c r="G36" i="1"/>
  <c r="E38" i="1"/>
  <c r="D37" i="1"/>
  <c r="F37" i="1" s="1"/>
  <c r="G64" i="1" l="1"/>
  <c r="D65" i="1"/>
  <c r="E66" i="1"/>
  <c r="C66" i="1"/>
  <c r="G37" i="1"/>
  <c r="H37" i="1"/>
  <c r="D38" i="1"/>
  <c r="E39" i="1"/>
  <c r="D66" i="1" l="1"/>
  <c r="F66" i="1" s="1"/>
  <c r="H65" i="1"/>
  <c r="F65" i="1"/>
  <c r="G65" i="1"/>
  <c r="F38" i="1"/>
  <c r="G38" i="1"/>
  <c r="H38" i="1"/>
  <c r="D39" i="1"/>
  <c r="E40" i="1"/>
  <c r="H66" i="1" l="1"/>
  <c r="G66" i="1"/>
  <c r="F39" i="1"/>
  <c r="H39" i="1" s="1"/>
  <c r="D40" i="1"/>
  <c r="E41" i="1"/>
  <c r="G39" i="1" l="1"/>
  <c r="F40" i="1"/>
  <c r="G40" i="1" s="1"/>
  <c r="E42" i="1"/>
  <c r="D41" i="1"/>
  <c r="H40" i="1" l="1"/>
  <c r="H41" i="1"/>
  <c r="G41" i="1"/>
  <c r="F41" i="1"/>
  <c r="D42" i="1"/>
  <c r="E43" i="1"/>
  <c r="F42" i="1" l="1"/>
  <c r="H42" i="1" s="1"/>
  <c r="D43" i="1"/>
  <c r="E44" i="1"/>
  <c r="G42" i="1" l="1"/>
  <c r="F43" i="1"/>
  <c r="H43" i="1" s="1"/>
  <c r="D44" i="1"/>
  <c r="F44" i="1" s="1"/>
  <c r="E45" i="1"/>
  <c r="G43" i="1" l="1"/>
  <c r="H44" i="1"/>
  <c r="G44" i="1"/>
  <c r="D45" i="1"/>
  <c r="E46" i="1"/>
  <c r="L24" i="1" l="1"/>
  <c r="H46" i="1"/>
  <c r="G46" i="1"/>
  <c r="F46" i="1"/>
  <c r="L22" i="1"/>
  <c r="L23" i="1" s="1"/>
  <c r="L15" i="1"/>
  <c r="L20" i="1"/>
  <c r="L21" i="1" s="1"/>
  <c r="F45" i="1"/>
  <c r="G45" i="1" s="1"/>
  <c r="L16" i="1" s="1"/>
  <c r="D46" i="1"/>
  <c r="H45" i="1" l="1"/>
  <c r="L18" i="1"/>
</calcChain>
</file>

<file path=xl/sharedStrings.xml><?xml version="1.0" encoding="utf-8"?>
<sst xmlns="http://schemas.openxmlformats.org/spreadsheetml/2006/main" count="225" uniqueCount="161">
  <si>
    <t>Sw</t>
  </si>
  <si>
    <t>H</t>
  </si>
  <si>
    <t>Core width</t>
  </si>
  <si>
    <t>Pw</t>
  </si>
  <si>
    <t>W</t>
  </si>
  <si>
    <t>mm</t>
  </si>
  <si>
    <t>Total core width</t>
  </si>
  <si>
    <t>Central pillar width</t>
  </si>
  <si>
    <t>Central pillar height</t>
  </si>
  <si>
    <t>Side lobe width</t>
  </si>
  <si>
    <t>D</t>
  </si>
  <si>
    <t>Min copper to edge clearance</t>
  </si>
  <si>
    <t>Min S</t>
  </si>
  <si>
    <t>Min track width</t>
  </si>
  <si>
    <t>Min D</t>
  </si>
  <si>
    <t>Min trace to outline distance</t>
  </si>
  <si>
    <t>Min C</t>
  </si>
  <si>
    <t>Min track spacing</t>
  </si>
  <si>
    <t>JLC
capabilities</t>
  </si>
  <si>
    <t>Core
dimensions</t>
  </si>
  <si>
    <t>Max T</t>
  </si>
  <si>
    <t>C</t>
  </si>
  <si>
    <t>Cr</t>
  </si>
  <si>
    <t>Inner copper</t>
  </si>
  <si>
    <t>µm</t>
  </si>
  <si>
    <t>Outer copper</t>
  </si>
  <si>
    <r>
      <rPr>
        <sz val="11"/>
        <color theme="1"/>
        <rFont val="Arial"/>
        <family val="2"/>
      </rPr>
      <t>Ω*</t>
    </r>
    <r>
      <rPr>
        <sz val="11"/>
        <color theme="1"/>
        <rFont val="Calibri"/>
        <family val="2"/>
        <scheme val="minor"/>
      </rPr>
      <t>m</t>
    </r>
  </si>
  <si>
    <t>Cross section (mm²)</t>
  </si>
  <si>
    <t>Track length(mm)</t>
  </si>
  <si>
    <t>Max Turns</t>
  </si>
  <si>
    <t>S(mm)</t>
  </si>
  <si>
    <t>Winding width W=(Core_width - Pw )/2 - Sw</t>
  </si>
  <si>
    <t>Max number of turns using min spacing/min track size Max T = (W-2D+C)/(C+S)</t>
  </si>
  <si>
    <t>Copper resistivity</t>
  </si>
  <si>
    <t>Al</t>
  </si>
  <si>
    <t>nH/turn²</t>
  </si>
  <si>
    <t>TODO: measure on core</t>
  </si>
  <si>
    <t>Copper 1</t>
  </si>
  <si>
    <t>Copper 2</t>
  </si>
  <si>
    <t>N layers</t>
  </si>
  <si>
    <t>Resistance L1 (mΩ)</t>
  </si>
  <si>
    <t>Resistance L2 (mΩ)</t>
  </si>
  <si>
    <t>R1</t>
  </si>
  <si>
    <t>T1</t>
  </si>
  <si>
    <t>T2</t>
  </si>
  <si>
    <t>R2</t>
  </si>
  <si>
    <t>Ttot</t>
  </si>
  <si>
    <t>L</t>
  </si>
  <si>
    <t>µH</t>
  </si>
  <si>
    <t>Rtot</t>
  </si>
  <si>
    <t>mΩ</t>
  </si>
  <si>
    <t>Current</t>
  </si>
  <si>
    <t>A</t>
  </si>
  <si>
    <t>mils²</t>
  </si>
  <si>
    <t>°C</t>
  </si>
  <si>
    <t>L1 section</t>
  </si>
  <si>
    <t>L1 T rise</t>
  </si>
  <si>
    <t>L2 T rise</t>
  </si>
  <si>
    <t>Copper 3</t>
  </si>
  <si>
    <t>Resistance L3 (mΩ)</t>
  </si>
  <si>
    <t>T3</t>
  </si>
  <si>
    <t>R3</t>
  </si>
  <si>
    <t>L2 section</t>
  </si>
  <si>
    <t>L3 section</t>
  </si>
  <si>
    <t>L3 T rise</t>
  </si>
  <si>
    <t>Equivalent DC current</t>
  </si>
  <si>
    <t># turns on Layer 1</t>
  </si>
  <si>
    <t>Total number of turns</t>
  </si>
  <si>
    <t>Expected magnetizing inductance</t>
  </si>
  <si>
    <t># turns on Layer 2</t>
  </si>
  <si>
    <t># turns on Layer 3</t>
  </si>
  <si>
    <t>Layer 1 DCR</t>
  </si>
  <si>
    <t>Total winding DCR (without vias)</t>
  </si>
  <si>
    <t>Layer 2 DCR</t>
  </si>
  <si>
    <t>Layer 3 DCR</t>
  </si>
  <si>
    <t>mOhm</t>
  </si>
  <si>
    <t>turns</t>
  </si>
  <si>
    <t>35/35</t>
  </si>
  <si>
    <t>17.5/17.5</t>
  </si>
  <si>
    <t>Tsw</t>
  </si>
  <si>
    <t>Fsw</t>
  </si>
  <si>
    <t>kHz</t>
  </si>
  <si>
    <t>µs</t>
  </si>
  <si>
    <t>V</t>
  </si>
  <si>
    <t>duty</t>
  </si>
  <si>
    <t>Ton</t>
  </si>
  <si>
    <t>Pout</t>
  </si>
  <si>
    <t>Eout</t>
  </si>
  <si>
    <t>µJ</t>
  </si>
  <si>
    <t>Efficiency</t>
  </si>
  <si>
    <t>Em</t>
  </si>
  <si>
    <t>Pmax</t>
  </si>
  <si>
    <t>Vol</t>
  </si>
  <si>
    <t>µ0</t>
  </si>
  <si>
    <t>µrdg</t>
  </si>
  <si>
    <t>Bm</t>
  </si>
  <si>
    <t>100kHz</t>
  </si>
  <si>
    <t>Turns</t>
  </si>
  <si>
    <t>nH/turns²</t>
  </si>
  <si>
    <t>Formula</t>
  </si>
  <si>
    <t>Error</t>
  </si>
  <si>
    <t>Eff</t>
  </si>
  <si>
    <t>Pin</t>
  </si>
  <si>
    <t>Vin</t>
  </si>
  <si>
    <t>Vout</t>
  </si>
  <si>
    <t>Iout</t>
  </si>
  <si>
    <t>Iin</t>
  </si>
  <si>
    <t>Dmax</t>
  </si>
  <si>
    <t>N ideal</t>
  </si>
  <si>
    <t>Secondary</t>
  </si>
  <si>
    <t>Primary</t>
  </si>
  <si>
    <t>N</t>
  </si>
  <si>
    <t>Variable
constraints</t>
  </si>
  <si>
    <t>step:</t>
  </si>
  <si>
    <t>Lpri max</t>
  </si>
  <si>
    <t>Lpri targ</t>
  </si>
  <si>
    <t>Lsec targ</t>
  </si>
  <si>
    <t>Npri targ</t>
  </si>
  <si>
    <t>Nsec targ</t>
  </si>
  <si>
    <t>Ae</t>
  </si>
  <si>
    <t>mm²</t>
  </si>
  <si>
    <t>Ipk</t>
  </si>
  <si>
    <t>Idc</t>
  </si>
  <si>
    <t>Bmax</t>
  </si>
  <si>
    <t>mA</t>
  </si>
  <si>
    <t>mT</t>
  </si>
  <si>
    <t>Ve</t>
  </si>
  <si>
    <t>mm^3</t>
  </si>
  <si>
    <t>PV@300kHz</t>
  </si>
  <si>
    <t>kW/m^3</t>
  </si>
  <si>
    <t>PV@500kHz</t>
  </si>
  <si>
    <t>P 300k</t>
  </si>
  <si>
    <t>P 500k</t>
  </si>
  <si>
    <t>mW</t>
  </si>
  <si>
    <t>Core losses</t>
  </si>
  <si>
    <t>Keep below 390mT</t>
  </si>
  <si>
    <t>kOhm</t>
  </si>
  <si>
    <t>Conductor width W</t>
  </si>
  <si>
    <t>Conductor height</t>
  </si>
  <si>
    <t>Er</t>
  </si>
  <si>
    <t>Er eff</t>
  </si>
  <si>
    <t>pF/cm</t>
  </si>
  <si>
    <t>Cap</t>
  </si>
  <si>
    <t>Cap+edge</t>
  </si>
  <si>
    <t>L (cm)</t>
  </si>
  <si>
    <t>height (mm)</t>
  </si>
  <si>
    <t>W (mm)</t>
  </si>
  <si>
    <t>W(mm)</t>
  </si>
  <si>
    <t>t(µm)</t>
  </si>
  <si>
    <t>g(mm)</t>
  </si>
  <si>
    <t>d</t>
  </si>
  <si>
    <t>Cap in pf/m</t>
  </si>
  <si>
    <t>With DC bias</t>
  </si>
  <si>
    <t>L 100k</t>
  </si>
  <si>
    <t>6 turns</t>
  </si>
  <si>
    <t>7 turns</t>
  </si>
  <si>
    <t>Sum</t>
  </si>
  <si>
    <t>Average</t>
  </si>
  <si>
    <t>Running Total</t>
  </si>
  <si>
    <t>Count</t>
  </si>
  <si>
    <t>10 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</si>
</sst>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2">
    <xf numFmtId="0" fontId="0" fillId="0" borderId="0" xfId="0"/>
    <xf numFmtId="1" fontId="0" fillId="0" borderId="0" xfId="0" applyNumberFormat="1"/>
    <xf numFmtId="166" fontId="0" fillId="0" borderId="0" xfId="0" applyNumberFormat="1"/>
    <xf numFmtId="11" fontId="0" fillId="0" borderId="0" xfId="0" applyNumberFormat="1"/>
    <xf numFmtId="0" fontId="0" fillId="0" borderId="0" xfId="0"/>
    <xf numFmtId="0" fontId="0" fillId="0" borderId="0" xfId="0" applyAlignment="1"/>
    <xf numFmtId="0" fontId="0" fillId="0" borderId="0" xfId="0" applyFill="1" applyBorder="1" applyAlignment="1"/>
    <xf numFmtId="0" fontId="1" fillId="0" borderId="0" xfId="0" applyFont="1" applyFill="1" applyBorder="1" applyAlignment="1"/>
    <xf numFmtId="0" fontId="0" fillId="0" borderId="0" xfId="0" applyAlignment="1"/>
    <xf numFmtId="9" fontId="0" fillId="0" borderId="0" xfId="0" applyNumberFormat="1"/>
    <xf numFmtId="9" fontId="0" fillId="0" borderId="0" xfId="1" applyFont="1"/>
    <xf numFmtId="9" fontId="0" fillId="0" borderId="0" xfId="0" applyNumberFormat="1" applyAlignment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9" xfId="0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1" xfId="0" applyBorder="1" applyAlignment="1"/>
    <xf numFmtId="1" fontId="0" fillId="0" borderId="2" xfId="0" applyNumberForma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1" fontId="0" fillId="0" borderId="0" xfId="0" applyNumberFormat="1" applyBorder="1"/>
    <xf numFmtId="0" fontId="0" fillId="0" borderId="0" xfId="0" applyBorder="1" applyAlignment="1"/>
    <xf numFmtId="0" fontId="0" fillId="0" borderId="5" xfId="0" applyBorder="1" applyAlignment="1"/>
    <xf numFmtId="0" fontId="1" fillId="0" borderId="6" xfId="0" applyFont="1" applyBorder="1" applyAlignment="1"/>
    <xf numFmtId="1" fontId="1" fillId="0" borderId="7" xfId="0" applyNumberFormat="1" applyFont="1" applyBorder="1" applyAlignment="1"/>
    <xf numFmtId="0" fontId="1" fillId="0" borderId="7" xfId="0" applyFont="1" applyBorder="1" applyAlignment="1"/>
    <xf numFmtId="0" fontId="0" fillId="0" borderId="8" xfId="0" applyBorder="1" applyAlignment="1"/>
    <xf numFmtId="164" fontId="0" fillId="0" borderId="2" xfId="0" applyNumberFormat="1" applyBorder="1" applyAlignment="1"/>
    <xf numFmtId="0" fontId="1" fillId="0" borderId="4" xfId="0" applyFont="1" applyBorder="1" applyAlignment="1"/>
    <xf numFmtId="1" fontId="1" fillId="0" borderId="0" xfId="0" applyNumberFormat="1" applyFont="1" applyBorder="1" applyAlignment="1"/>
    <xf numFmtId="0" fontId="1" fillId="0" borderId="0" xfId="0" applyFont="1" applyBorder="1" applyAlignment="1"/>
    <xf numFmtId="164" fontId="0" fillId="0" borderId="0" xfId="0" applyNumberFormat="1" applyBorder="1" applyAlignment="1"/>
    <xf numFmtId="0" fontId="0" fillId="0" borderId="5" xfId="0" applyFill="1" applyBorder="1" applyAlignment="1"/>
    <xf numFmtId="0" fontId="0" fillId="0" borderId="8" xfId="0" applyBorder="1"/>
    <xf numFmtId="0" fontId="0" fillId="0" borderId="4" xfId="0" applyBorder="1"/>
    <xf numFmtId="164" fontId="1" fillId="0" borderId="7" xfId="0" applyNumberFormat="1" applyFont="1" applyBorder="1" applyAlignme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1" fillId="0" borderId="0" xfId="0" applyFont="1" applyFill="1" applyBorder="1" applyAlignment="1"/>
    <xf numFmtId="0" fontId="1" fillId="0" borderId="5" xfId="0" applyFont="1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1" fillId="0" borderId="4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0" fillId="0" borderId="0" xfId="0" applyFill="1" applyBorder="1" applyAlignment="1"/>
    <xf numFmtId="0" fontId="0" fillId="0" borderId="0" xfId="0" applyAlignment="1"/>
    <xf numFmtId="0" fontId="0" fillId="0" borderId="5" xfId="0" applyFill="1" applyBorder="1" applyAlignment="1"/>
    <xf numFmtId="0" fontId="0" fillId="0" borderId="0" xfId="0" applyBorder="1"/>
    <xf numFmtId="0" fontId="0" fillId="0" borderId="5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Sheet2!$M$3</c:f>
              <c:strCache>
                <c:ptCount val="1"/>
                <c:pt idx="0">
                  <c:v>100kHz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969116360454944"/>
                  <c:y val="4.37580198308544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Sheet2!$L$4:$L$12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Sheet2!$M$4:$M$12</c:f>
              <c:numCache>
                <c:formatCode>General</c:formatCode>
                <c:ptCount val="9"/>
                <c:pt idx="0">
                  <c:v>159</c:v>
                </c:pt>
                <c:pt idx="1">
                  <c:v>633</c:v>
                </c:pt>
                <c:pt idx="2">
                  <c:v>1370</c:v>
                </c:pt>
                <c:pt idx="3">
                  <c:v>2516</c:v>
                </c:pt>
                <c:pt idx="4">
                  <c:v>3500</c:v>
                </c:pt>
                <c:pt idx="5">
                  <c:v>5420</c:v>
                </c:pt>
                <c:pt idx="6">
                  <c:v>7360</c:v>
                </c:pt>
                <c:pt idx="7">
                  <c:v>9640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A-4A66-AD30-F74223DFDAAE}"/>
            </c:ext>
          </c:extLst>
        </c:ser>
        <c:ser>
          <c:idx val="1"/>
          <c:order val="1"/>
          <c:tx>
            <c:strRef>
              <c:f>Sheet2!$N$3</c:f>
              <c:strCache>
                <c:ptCount val="1"/>
                <c:pt idx="0">
                  <c:v>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Sheet2!$L$4:$L$12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Sheet2!$N$4:$N$12</c:f>
              <c:numCache>
                <c:formatCode>General</c:formatCode>
                <c:ptCount val="9"/>
                <c:pt idx="0">
                  <c:v>155</c:v>
                </c:pt>
                <c:pt idx="1">
                  <c:v>620</c:v>
                </c:pt>
                <c:pt idx="2">
                  <c:v>1395</c:v>
                </c:pt>
                <c:pt idx="3">
                  <c:v>2480</c:v>
                </c:pt>
                <c:pt idx="4">
                  <c:v>3875</c:v>
                </c:pt>
                <c:pt idx="5">
                  <c:v>5580</c:v>
                </c:pt>
                <c:pt idx="6">
                  <c:v>7595</c:v>
                </c:pt>
                <c:pt idx="7">
                  <c:v>9920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BA-4A66-AD30-F74223DFD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13951"/>
        <c:axId val="557068975"/>
      </c:scatterChart>
      <c:valAx>
        <c:axId val="64211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68975"/>
        <c:crosses val="autoZero"/>
        <c:crossBetween val="midCat"/>
      </c:valAx>
      <c:valAx>
        <c:axId val="55706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116205</xdr:colOff>
      <xdr:row>34</xdr:row>
      <xdr:rowOff>68580</xdr:rowOff>
    </xdr:from>
    <xdr:to>
      <xdr:col>22</xdr:col>
      <xdr:colOff>96270</xdr:colOff>
      <xdr:row>62</xdr:row>
      <xdr:rowOff>132163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A8D218-9266-E9C7-CEC9-DB960ADB1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0055" y="6316980"/>
          <a:ext cx="7295265" cy="5144218"/>
        </a:xfrm>
        <a:prstGeom prst="rect">
          <a:avLst/>
        </a:prstGeom>
      </xdr:spPr>
    </xdr:pic>
    <xdr:clientData/>
  </xdr:twoCellAnchor>
  <xdr:twoCellAnchor editAs="oneCell">
    <xdr:from>
      <xdr:col>8</xdr:col>
      <xdr:colOff>163830</xdr:colOff>
      <xdr:row>34</xdr:row>
      <xdr:rowOff>34290</xdr:rowOff>
    </xdr:from>
    <xdr:to>
      <xdr:col>12</xdr:col>
      <xdr:colOff>95746</xdr:colOff>
      <xdr:row>65</xdr:row>
      <xdr:rowOff>40788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4A089A-284E-196C-1D62-DE7FCC015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9130" y="6282690"/>
          <a:ext cx="3557131" cy="561672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63</xdr:row>
      <xdr:rowOff>116205</xdr:rowOff>
    </xdr:from>
    <xdr:to>
      <xdr:col>22</xdr:col>
      <xdr:colOff>21961</xdr:colOff>
      <xdr:row>86</xdr:row>
      <xdr:rowOff>15806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F7BD83-E89C-F535-2CF7-FCD0C132D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87200" y="11612880"/>
          <a:ext cx="7209526" cy="40658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411480</xdr:colOff>
      <xdr:row>16</xdr:row>
      <xdr:rowOff>148590</xdr:rowOff>
    </xdr:from>
    <xdr:to>
      <xdr:col>23</xdr:col>
      <xdr:colOff>106680</xdr:colOff>
      <xdr:row>31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E40AB-ACE8-54CB-6B69-87554948F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CB57-2272-4DED-A779-F191F701A3DD}">
  <dimension ref="A2:Z84"/>
  <sheetViews>
    <sheetView tabSelected="1" zoomScaleNormal="100" workbookViewId="0">
      <selection activeCell="J30" sqref="J30"/>
    </sheetView>
  </sheetViews>
  <sheetFormatPr defaultRowHeight="14.4" x14ac:dyDescent="0.3"/>
  <cols>
    <col min="1" max="1" width="9.21875" customWidth="1"/>
    <col min="2" max="2" width="12.33203125" bestFit="1" customWidth="1"/>
    <col min="3" max="3" width="9.6640625" bestFit="1" customWidth="1"/>
    <col min="4" max="4" width="16.21875" bestFit="1" customWidth="1"/>
    <col min="5" max="5" width="18.33203125" bestFit="1" customWidth="1"/>
    <col min="6" max="8" width="17.44140625" bestFit="1" customWidth="1"/>
    <col min="9" max="10" width="16.109375" customWidth="1"/>
    <col min="11" max="11" width="9.44140625" bestFit="1" customWidth="1"/>
    <col min="12" max="12" width="11.33203125" customWidth="1"/>
    <col min="13" max="13" width="5.21875" bestFit="1" customWidth="1"/>
    <col min="14" max="14" width="30.44140625" bestFit="1" customWidth="1"/>
    <col min="23" max="23" width="11.5546875" customWidth="1"/>
    <col min="24" max="24" width="11" bestFit="1" customWidth="1"/>
  </cols>
  <sheetData>
    <row r="2" spans="1:26" ht="15" thickBot="1" x14ac:dyDescent="0.35">
      <c r="K2" t="s">
        <v>51</v>
      </c>
      <c r="L2">
        <v>0.1</v>
      </c>
      <c r="M2" t="s">
        <v>52</v>
      </c>
      <c r="N2" t="s">
        <v>65</v>
      </c>
      <c r="P2" t="s">
        <v>104</v>
      </c>
      <c r="Q2">
        <v>24</v>
      </c>
      <c r="R2" t="s">
        <v>83</v>
      </c>
      <c r="W2" s="43" t="s">
        <v>119</v>
      </c>
      <c r="X2" s="43">
        <v>8.81</v>
      </c>
      <c r="Y2" s="43" t="s">
        <v>120</v>
      </c>
    </row>
    <row r="3" spans="1:26" ht="14.4" customHeight="1" x14ac:dyDescent="0.3">
      <c r="A3" s="44" t="s">
        <v>19</v>
      </c>
      <c r="B3" s="12" t="s">
        <v>2</v>
      </c>
      <c r="C3" s="12">
        <v>9.5</v>
      </c>
      <c r="D3" s="12" t="s">
        <v>5</v>
      </c>
      <c r="E3" s="47" t="s">
        <v>6</v>
      </c>
      <c r="F3" s="47"/>
      <c r="G3" s="47"/>
      <c r="H3" s="47"/>
      <c r="I3" s="48"/>
      <c r="J3" s="5"/>
      <c r="K3" s="5"/>
      <c r="L3" s="5"/>
      <c r="M3" s="5"/>
      <c r="N3" s="5"/>
      <c r="P3" t="s">
        <v>105</v>
      </c>
      <c r="Q3">
        <v>0.1</v>
      </c>
      <c r="R3" t="s">
        <v>52</v>
      </c>
      <c r="W3" s="43" t="s">
        <v>47</v>
      </c>
      <c r="X3" s="43">
        <v>100</v>
      </c>
      <c r="Y3" s="43" t="s">
        <v>48</v>
      </c>
    </row>
    <row r="4" spans="1:26" x14ac:dyDescent="0.3">
      <c r="A4" s="45"/>
      <c r="B4" s="13" t="s">
        <v>3</v>
      </c>
      <c r="C4" s="13">
        <v>3.5</v>
      </c>
      <c r="D4" s="13" t="s">
        <v>5</v>
      </c>
      <c r="E4" s="49" t="s">
        <v>7</v>
      </c>
      <c r="F4" s="49"/>
      <c r="G4" s="49"/>
      <c r="H4" s="49"/>
      <c r="I4" s="50"/>
      <c r="J4" s="5"/>
      <c r="K4" s="5"/>
      <c r="L4" s="11"/>
      <c r="M4" s="5"/>
      <c r="N4" s="5"/>
      <c r="P4" t="s">
        <v>86</v>
      </c>
      <c r="Q4">
        <f>Q3*Q2</f>
        <v>2.4000000000000004</v>
      </c>
      <c r="R4" t="s">
        <v>4</v>
      </c>
      <c r="W4" s="43" t="s">
        <v>111</v>
      </c>
      <c r="X4" s="43">
        <v>16</v>
      </c>
      <c r="Y4" s="43" t="s">
        <v>76</v>
      </c>
    </row>
    <row r="5" spans="1:26" x14ac:dyDescent="0.3">
      <c r="A5" s="45"/>
      <c r="B5" s="13" t="s">
        <v>1</v>
      </c>
      <c r="C5" s="13">
        <v>3.5</v>
      </c>
      <c r="D5" s="13" t="s">
        <v>5</v>
      </c>
      <c r="E5" s="49" t="s">
        <v>8</v>
      </c>
      <c r="F5" s="49"/>
      <c r="G5" s="49"/>
      <c r="H5" s="49"/>
      <c r="I5" s="50"/>
      <c r="J5" s="5"/>
      <c r="K5" s="8"/>
      <c r="L5" s="5"/>
      <c r="M5" s="5"/>
      <c r="N5" s="5"/>
      <c r="P5" t="s">
        <v>101</v>
      </c>
      <c r="Q5" s="9">
        <v>0.7</v>
      </c>
      <c r="W5" s="43" t="s">
        <v>122</v>
      </c>
      <c r="X5" s="43">
        <v>100</v>
      </c>
      <c r="Y5" s="43" t="s">
        <v>124</v>
      </c>
    </row>
    <row r="6" spans="1:26" x14ac:dyDescent="0.3">
      <c r="A6" s="45"/>
      <c r="B6" s="13" t="s">
        <v>0</v>
      </c>
      <c r="C6" s="13">
        <v>1</v>
      </c>
      <c r="D6" s="13" t="s">
        <v>5</v>
      </c>
      <c r="E6" s="49" t="s">
        <v>9</v>
      </c>
      <c r="F6" s="49"/>
      <c r="G6" s="49"/>
      <c r="H6" s="49"/>
      <c r="I6" s="50"/>
      <c r="J6" s="5"/>
      <c r="K6" s="8"/>
      <c r="L6" s="5"/>
      <c r="M6" s="5"/>
      <c r="N6" s="5"/>
      <c r="P6" t="s">
        <v>102</v>
      </c>
      <c r="Q6">
        <f>Q4/Q5</f>
        <v>3.4285714285714293</v>
      </c>
      <c r="R6" t="s">
        <v>4</v>
      </c>
      <c r="W6" t="s">
        <v>121</v>
      </c>
      <c r="X6" s="42">
        <f>2*X5/T10</f>
        <v>476.1904761904762</v>
      </c>
      <c r="Y6" t="s">
        <v>124</v>
      </c>
    </row>
    <row r="7" spans="1:26" ht="15" thickBot="1" x14ac:dyDescent="0.35">
      <c r="A7" s="45"/>
      <c r="B7" s="13" t="s">
        <v>34</v>
      </c>
      <c r="C7" s="13">
        <v>400</v>
      </c>
      <c r="D7" s="13" t="s">
        <v>35</v>
      </c>
      <c r="E7" s="51" t="s">
        <v>36</v>
      </c>
      <c r="F7" s="51"/>
      <c r="G7" s="51"/>
      <c r="H7" s="51"/>
      <c r="I7" s="52"/>
      <c r="J7" s="7"/>
      <c r="K7" s="7"/>
      <c r="L7" s="7"/>
      <c r="M7" s="7"/>
      <c r="N7" s="7"/>
      <c r="P7" t="s">
        <v>103</v>
      </c>
      <c r="Q7">
        <v>48</v>
      </c>
      <c r="R7" t="s">
        <v>83</v>
      </c>
      <c r="W7" t="s">
        <v>123</v>
      </c>
      <c r="X7" s="42">
        <f>X3*X6/(X4*X2)</f>
        <v>337.81957732014484</v>
      </c>
      <c r="Y7" t="s">
        <v>125</v>
      </c>
      <c r="Z7" t="s">
        <v>135</v>
      </c>
    </row>
    <row r="8" spans="1:26" x14ac:dyDescent="0.3">
      <c r="A8" s="45"/>
      <c r="B8" s="13" t="s">
        <v>4</v>
      </c>
      <c r="C8" s="13">
        <f>(C3-C4)/2-C6</f>
        <v>2</v>
      </c>
      <c r="D8" s="13" t="s">
        <v>5</v>
      </c>
      <c r="E8" s="49" t="s">
        <v>31</v>
      </c>
      <c r="F8" s="49"/>
      <c r="G8" s="49"/>
      <c r="H8" s="49"/>
      <c r="I8" s="50"/>
      <c r="J8" s="5"/>
      <c r="K8" s="20" t="s">
        <v>43</v>
      </c>
      <c r="L8" s="12">
        <v>7</v>
      </c>
      <c r="M8" s="22"/>
      <c r="N8" s="23" t="s">
        <v>66</v>
      </c>
      <c r="P8" t="s">
        <v>106</v>
      </c>
      <c r="Q8">
        <f>Q6/Q7</f>
        <v>7.1428571428571438E-2</v>
      </c>
      <c r="R8" t="s">
        <v>52</v>
      </c>
    </row>
    <row r="9" spans="1:26" ht="15" thickBot="1" x14ac:dyDescent="0.35">
      <c r="A9" s="46"/>
      <c r="B9" s="14" t="s">
        <v>20</v>
      </c>
      <c r="C9" s="14">
        <f>FLOOR((C8-(2*C12)+C13)/(C20+C19),1)</f>
        <v>8</v>
      </c>
      <c r="D9" s="14"/>
      <c r="E9" s="53" t="s">
        <v>32</v>
      </c>
      <c r="F9" s="53"/>
      <c r="G9" s="53"/>
      <c r="H9" s="53"/>
      <c r="I9" s="54"/>
      <c r="J9" s="5"/>
      <c r="K9" s="24" t="s">
        <v>44</v>
      </c>
      <c r="L9" s="26">
        <v>7</v>
      </c>
      <c r="M9" s="26"/>
      <c r="N9" s="27" t="s">
        <v>69</v>
      </c>
      <c r="P9" t="s">
        <v>107</v>
      </c>
      <c r="Q9" s="9">
        <v>0.45</v>
      </c>
      <c r="S9" t="s">
        <v>80</v>
      </c>
      <c r="T9">
        <v>500</v>
      </c>
      <c r="U9" t="s">
        <v>81</v>
      </c>
      <c r="W9" s="43" t="s">
        <v>126</v>
      </c>
      <c r="X9" s="43">
        <v>120</v>
      </c>
      <c r="Y9" s="43" t="s">
        <v>127</v>
      </c>
    </row>
    <row r="10" spans="1:26" x14ac:dyDescent="0.3">
      <c r="E10" s="58"/>
      <c r="F10" s="58"/>
      <c r="G10" s="58"/>
      <c r="H10" s="58"/>
      <c r="I10" s="58"/>
      <c r="J10" s="5"/>
      <c r="K10" s="39" t="s">
        <v>60</v>
      </c>
      <c r="L10" s="13">
        <v>2</v>
      </c>
      <c r="M10" s="26"/>
      <c r="N10" s="27" t="s">
        <v>70</v>
      </c>
      <c r="P10" t="s">
        <v>108</v>
      </c>
      <c r="Q10">
        <f>Q2/Q7*(1-Q9)/Q9</f>
        <v>0.61111111111111116</v>
      </c>
      <c r="S10" t="s">
        <v>107</v>
      </c>
      <c r="T10" s="9">
        <v>0.42</v>
      </c>
      <c r="W10" t="s">
        <v>128</v>
      </c>
      <c r="X10">
        <v>390</v>
      </c>
      <c r="Y10" t="s">
        <v>129</v>
      </c>
    </row>
    <row r="11" spans="1:26" ht="15" thickBot="1" x14ac:dyDescent="0.35">
      <c r="E11" s="58"/>
      <c r="F11" s="58"/>
      <c r="G11" s="58"/>
      <c r="H11" s="58"/>
      <c r="I11" s="58"/>
      <c r="J11" s="5"/>
      <c r="K11" s="24" t="s">
        <v>46</v>
      </c>
      <c r="L11" s="26">
        <f>IF(C17&gt;1,IF(C17&gt;2,L8+L9+L10,L8+L9),L8)</f>
        <v>14</v>
      </c>
      <c r="M11" s="26"/>
      <c r="N11" s="27" t="s">
        <v>67</v>
      </c>
      <c r="S11" t="s">
        <v>114</v>
      </c>
      <c r="T11" s="41">
        <f>Q5*T10*T10*Q7*Q7/(2*T9*Q4)*1000</f>
        <v>118.54079999999999</v>
      </c>
      <c r="U11" t="s">
        <v>48</v>
      </c>
      <c r="W11" t="s">
        <v>130</v>
      </c>
      <c r="X11">
        <v>215</v>
      </c>
      <c r="Y11" s="4" t="s">
        <v>129</v>
      </c>
    </row>
    <row r="12" spans="1:26" ht="15" thickBot="1" x14ac:dyDescent="0.35">
      <c r="A12" s="44" t="s">
        <v>112</v>
      </c>
      <c r="B12" s="12" t="s">
        <v>10</v>
      </c>
      <c r="C12" s="12">
        <v>0.3</v>
      </c>
      <c r="D12" s="12" t="s">
        <v>5</v>
      </c>
      <c r="E12" s="47" t="s">
        <v>11</v>
      </c>
      <c r="F12" s="47"/>
      <c r="G12" s="47"/>
      <c r="H12" s="47"/>
      <c r="I12" s="48"/>
      <c r="J12" s="5"/>
      <c r="K12" s="28" t="s">
        <v>47</v>
      </c>
      <c r="L12" s="40">
        <f>L11*L11*C7/1000</f>
        <v>78.400000000000006</v>
      </c>
      <c r="M12" s="30" t="s">
        <v>48</v>
      </c>
      <c r="N12" s="31" t="s">
        <v>68</v>
      </c>
      <c r="S12" t="s">
        <v>115</v>
      </c>
      <c r="T12">
        <v>68</v>
      </c>
      <c r="U12" t="s">
        <v>48</v>
      </c>
      <c r="W12" t="s">
        <v>131</v>
      </c>
      <c r="X12">
        <f>X9*X10/1000</f>
        <v>46.8</v>
      </c>
      <c r="Y12" t="s">
        <v>133</v>
      </c>
      <c r="Z12" t="s">
        <v>134</v>
      </c>
    </row>
    <row r="13" spans="1:26" x14ac:dyDescent="0.3">
      <c r="A13" s="55"/>
      <c r="B13" s="13" t="s">
        <v>21</v>
      </c>
      <c r="C13" s="13">
        <v>0.1</v>
      </c>
      <c r="D13" s="13" t="s">
        <v>5</v>
      </c>
      <c r="E13" s="49"/>
      <c r="F13" s="49"/>
      <c r="G13" s="49"/>
      <c r="H13" s="49"/>
      <c r="I13" s="50"/>
      <c r="J13" s="5"/>
      <c r="L13" s="5"/>
      <c r="M13" s="5"/>
      <c r="N13" s="5"/>
      <c r="S13" t="s">
        <v>116</v>
      </c>
      <c r="T13" s="41">
        <f>T12*Q10</f>
        <v>41.555555555555557</v>
      </c>
      <c r="U13" s="4" t="s">
        <v>48</v>
      </c>
      <c r="W13" t="s">
        <v>132</v>
      </c>
      <c r="X13">
        <f>X11*X9/1000</f>
        <v>25.8</v>
      </c>
      <c r="Y13" t="s">
        <v>133</v>
      </c>
    </row>
    <row r="14" spans="1:26" ht="15" thickBot="1" x14ac:dyDescent="0.35">
      <c r="A14" s="55"/>
      <c r="B14" s="13" t="s">
        <v>37</v>
      </c>
      <c r="C14" s="13">
        <v>17.5</v>
      </c>
      <c r="D14" s="13" t="s">
        <v>24</v>
      </c>
      <c r="E14" s="49"/>
      <c r="F14" s="49"/>
      <c r="G14" s="49"/>
      <c r="H14" s="49"/>
      <c r="I14" s="50"/>
      <c r="J14" s="5"/>
      <c r="K14" s="5"/>
      <c r="L14" s="5"/>
      <c r="M14" s="5"/>
      <c r="N14" s="5"/>
      <c r="S14" t="s">
        <v>117</v>
      </c>
      <c r="T14" s="1">
        <f>SQRT(T12/(C7/1000))</f>
        <v>13.038404810405298</v>
      </c>
      <c r="U14" t="s">
        <v>76</v>
      </c>
    </row>
    <row r="15" spans="1:26" x14ac:dyDescent="0.3">
      <c r="A15" s="55"/>
      <c r="B15" s="13" t="s">
        <v>38</v>
      </c>
      <c r="C15" s="13">
        <v>17.5</v>
      </c>
      <c r="D15" s="13" t="s">
        <v>24</v>
      </c>
      <c r="E15" s="60"/>
      <c r="F15" s="60"/>
      <c r="G15" s="60"/>
      <c r="H15" s="60"/>
      <c r="I15" s="61"/>
      <c r="K15" s="20" t="s">
        <v>42</v>
      </c>
      <c r="L15" s="21">
        <f>_xlfn.XLOOKUP(L8,C28:C66,F28:F66,FALSE,0,-1)</f>
        <v>1051.348637343787</v>
      </c>
      <c r="M15" s="22" t="s">
        <v>50</v>
      </c>
      <c r="N15" s="23" t="s">
        <v>71</v>
      </c>
      <c r="S15" t="s">
        <v>118</v>
      </c>
      <c r="T15" s="1">
        <f>SQRT(T13/C7*1000)</f>
        <v>10.192589900947103</v>
      </c>
      <c r="U15" s="4" t="s">
        <v>76</v>
      </c>
    </row>
    <row r="16" spans="1:26" x14ac:dyDescent="0.3">
      <c r="A16" s="55"/>
      <c r="B16" s="13" t="s">
        <v>58</v>
      </c>
      <c r="C16" s="13">
        <v>35</v>
      </c>
      <c r="D16" s="13" t="s">
        <v>24</v>
      </c>
      <c r="E16" s="60"/>
      <c r="F16" s="60"/>
      <c r="G16" s="60"/>
      <c r="H16" s="60"/>
      <c r="I16" s="61"/>
      <c r="K16" s="24" t="s">
        <v>45</v>
      </c>
      <c r="L16" s="25">
        <f>IF(C17&gt;1,_xlfn.XLOOKUP(L9,C28:C66,G28:G66,FALSE,0,-1),0)</f>
        <v>1051.348637343787</v>
      </c>
      <c r="M16" s="26" t="s">
        <v>50</v>
      </c>
      <c r="N16" s="27" t="s">
        <v>73</v>
      </c>
    </row>
    <row r="17" spans="1:19" ht="15" thickBot="1" x14ac:dyDescent="0.35">
      <c r="A17" s="56"/>
      <c r="B17" s="14" t="s">
        <v>39</v>
      </c>
      <c r="C17" s="14">
        <v>2</v>
      </c>
      <c r="D17" s="14"/>
      <c r="E17" s="53"/>
      <c r="F17" s="53"/>
      <c r="G17" s="53"/>
      <c r="H17" s="53"/>
      <c r="I17" s="54"/>
      <c r="J17" s="5"/>
      <c r="K17" s="24" t="s">
        <v>61</v>
      </c>
      <c r="L17" s="25">
        <f>IF(C17&gt;2,_xlfn.XLOOKUP(L10,C28:C54,H28:H54,FALSE,0,-1),0)</f>
        <v>0</v>
      </c>
      <c r="M17" s="26" t="s">
        <v>50</v>
      </c>
      <c r="N17" s="27" t="s">
        <v>74</v>
      </c>
    </row>
    <row r="18" spans="1:19" ht="15" thickBot="1" x14ac:dyDescent="0.35">
      <c r="E18" s="5"/>
      <c r="F18" s="5"/>
      <c r="G18" s="5"/>
      <c r="H18" s="5"/>
      <c r="I18" s="5"/>
      <c r="J18" s="5"/>
      <c r="K18" s="28" t="s">
        <v>49</v>
      </c>
      <c r="L18" s="29">
        <f>L16+L15+L17</f>
        <v>2102.697274687574</v>
      </c>
      <c r="M18" s="30" t="s">
        <v>50</v>
      </c>
      <c r="N18" s="31" t="s">
        <v>72</v>
      </c>
    </row>
    <row r="19" spans="1:19" ht="14.4" customHeight="1" thickBot="1" x14ac:dyDescent="0.35">
      <c r="A19" s="44" t="s">
        <v>18</v>
      </c>
      <c r="B19" s="12" t="s">
        <v>16</v>
      </c>
      <c r="C19" s="12">
        <v>0.09</v>
      </c>
      <c r="D19" s="12" t="s">
        <v>5</v>
      </c>
      <c r="E19" s="47" t="s">
        <v>17</v>
      </c>
      <c r="F19" s="47"/>
      <c r="G19" s="47"/>
      <c r="H19" s="47"/>
      <c r="I19" s="48"/>
      <c r="J19" s="5"/>
      <c r="K19" s="5"/>
      <c r="L19" s="5"/>
      <c r="M19" s="5"/>
      <c r="N19" s="5"/>
    </row>
    <row r="20" spans="1:19" x14ac:dyDescent="0.3">
      <c r="A20" s="45"/>
      <c r="B20" s="13" t="s">
        <v>12</v>
      </c>
      <c r="C20" s="13">
        <v>0.09</v>
      </c>
      <c r="D20" s="13" t="s">
        <v>5</v>
      </c>
      <c r="E20" s="49" t="s">
        <v>13</v>
      </c>
      <c r="F20" s="49"/>
      <c r="G20" s="49"/>
      <c r="H20" s="49"/>
      <c r="I20" s="50"/>
      <c r="J20" s="5"/>
      <c r="K20" s="20" t="s">
        <v>55</v>
      </c>
      <c r="L20" s="32">
        <f>_xlfn.XLOOKUP(L8,C28:C80,E28:E80,,0,-1)*1550</f>
        <v>2.9906362237500006</v>
      </c>
      <c r="M20" s="22" t="s">
        <v>53</v>
      </c>
      <c r="N20" s="23"/>
    </row>
    <row r="21" spans="1:19" x14ac:dyDescent="0.3">
      <c r="A21" s="45"/>
      <c r="B21" s="13" t="s">
        <v>14</v>
      </c>
      <c r="C21" s="13">
        <v>0.3</v>
      </c>
      <c r="D21" s="13" t="s">
        <v>5</v>
      </c>
      <c r="E21" s="49" t="s">
        <v>15</v>
      </c>
      <c r="F21" s="49"/>
      <c r="G21" s="49"/>
      <c r="H21" s="49"/>
      <c r="I21" s="50"/>
      <c r="J21" s="5"/>
      <c r="K21" s="33" t="s">
        <v>56</v>
      </c>
      <c r="L21" s="34">
        <f>(L2/((IF(C14=35,0.048,0.024))*(L20)^0.725))^(1/0.44)</f>
        <v>4.2138800857774221</v>
      </c>
      <c r="M21" s="35" t="s">
        <v>54</v>
      </c>
      <c r="N21" s="27"/>
    </row>
    <row r="22" spans="1:19" x14ac:dyDescent="0.3">
      <c r="A22" s="45"/>
      <c r="B22" s="13" t="s">
        <v>23</v>
      </c>
      <c r="C22" s="13">
        <v>17.5</v>
      </c>
      <c r="D22" s="13" t="s">
        <v>24</v>
      </c>
      <c r="E22" s="57"/>
      <c r="F22" s="57"/>
      <c r="G22" s="57"/>
      <c r="H22" s="57"/>
      <c r="I22" s="59"/>
      <c r="J22" s="6"/>
      <c r="K22" s="24" t="s">
        <v>62</v>
      </c>
      <c r="L22" s="36">
        <f>_xlfn.XLOOKUP(L9,C28:C85,E28:E85,,0,-1)*1550*C15/C14</f>
        <v>2.9906362237500006</v>
      </c>
      <c r="M22" s="26" t="s">
        <v>53</v>
      </c>
      <c r="N22" s="37"/>
    </row>
    <row r="23" spans="1:19" ht="15" thickBot="1" x14ac:dyDescent="0.35">
      <c r="A23" s="46"/>
      <c r="B23" s="14" t="s">
        <v>25</v>
      </c>
      <c r="C23" s="14">
        <v>35</v>
      </c>
      <c r="D23" s="14" t="s">
        <v>24</v>
      </c>
      <c r="E23" s="53"/>
      <c r="F23" s="53"/>
      <c r="G23" s="53"/>
      <c r="H23" s="53"/>
      <c r="I23" s="54"/>
      <c r="J23" s="5"/>
      <c r="K23" s="33" t="s">
        <v>57</v>
      </c>
      <c r="L23" s="34">
        <f>IF(C17&gt;1,(L2/((IF(C15=35,0.048,0.024))*(L22)^0.725))^(1/0.44),0)</f>
        <v>4.2138800857774221</v>
      </c>
      <c r="M23" s="35" t="s">
        <v>54</v>
      </c>
      <c r="N23" s="27"/>
      <c r="P23" t="s">
        <v>77</v>
      </c>
      <c r="Q23" t="s">
        <v>109</v>
      </c>
    </row>
    <row r="24" spans="1:19" x14ac:dyDescent="0.3">
      <c r="B24" t="s">
        <v>22</v>
      </c>
      <c r="C24" s="3">
        <v>1.7199999999999999E-8</v>
      </c>
      <c r="D24" t="s">
        <v>26</v>
      </c>
      <c r="E24" s="57" t="s">
        <v>33</v>
      </c>
      <c r="F24" s="57"/>
      <c r="G24" s="57"/>
      <c r="H24" s="57"/>
      <c r="I24" s="57"/>
      <c r="J24" s="6"/>
      <c r="K24" s="24" t="s">
        <v>63</v>
      </c>
      <c r="L24" s="36">
        <f>_xlfn.XLOOKUP(L10,C28:C54,E28:E54,,0,-1)*1550*C16/C14</f>
        <v>28.354400655978058</v>
      </c>
      <c r="M24" s="26" t="s">
        <v>53</v>
      </c>
      <c r="N24" s="37"/>
      <c r="P24">
        <v>10</v>
      </c>
      <c r="Q24" t="s">
        <v>76</v>
      </c>
      <c r="R24" t="s">
        <v>111</v>
      </c>
      <c r="S24">
        <f>P24/P29</f>
        <v>0.7142857142857143</v>
      </c>
    </row>
    <row r="25" spans="1:19" ht="15" thickBot="1" x14ac:dyDescent="0.35">
      <c r="C25" s="3"/>
      <c r="K25" s="28" t="s">
        <v>64</v>
      </c>
      <c r="L25" s="29">
        <f>IF(C17&gt;2,(L2/((IF(C16=35,0.048,0.024))*(L24)^0.725))^(1/0.44),0)</f>
        <v>0</v>
      </c>
      <c r="M25" s="30" t="s">
        <v>54</v>
      </c>
      <c r="N25" s="38"/>
      <c r="P25">
        <v>40</v>
      </c>
      <c r="Q25" t="s">
        <v>48</v>
      </c>
    </row>
    <row r="26" spans="1:19" x14ac:dyDescent="0.3">
      <c r="A26" t="s">
        <v>113</v>
      </c>
      <c r="B26" s="9">
        <v>7.0000000000000007E-2</v>
      </c>
      <c r="P26">
        <v>419</v>
      </c>
      <c r="Q26" t="s">
        <v>75</v>
      </c>
    </row>
    <row r="27" spans="1:19" x14ac:dyDescent="0.3">
      <c r="B27" s="15" t="s">
        <v>30</v>
      </c>
      <c r="C27" s="15" t="s">
        <v>29</v>
      </c>
      <c r="D27" s="15" t="s">
        <v>28</v>
      </c>
      <c r="E27" s="15" t="s">
        <v>27</v>
      </c>
      <c r="F27" s="15" t="s">
        <v>40</v>
      </c>
      <c r="G27" s="15" t="s">
        <v>41</v>
      </c>
      <c r="H27" s="15" t="s">
        <v>59</v>
      </c>
    </row>
    <row r="28" spans="1:19" x14ac:dyDescent="0.3">
      <c r="B28" s="16">
        <f>C20</f>
        <v>0.09</v>
      </c>
      <c r="C28" s="17">
        <f>FLOOR(($C$8-2*$C$12+$C$13)/(B28+$C$13),1)</f>
        <v>7</v>
      </c>
      <c r="D28" s="17">
        <f>C28*(2*$C$5+2*$C$8+2*PI()*($C$12+(C28-1)*B28/2+(C28-1)*$C$13/2))</f>
        <v>115.26459852072369</v>
      </c>
      <c r="E28" s="18">
        <f>B28*$C$14/1000</f>
        <v>1.575E-3</v>
      </c>
      <c r="F28" s="19" t="str">
        <f>IF(C28=C29,"",$C$24*D28/E28*1000000)</f>
        <v/>
      </c>
      <c r="G28" s="19" t="str">
        <f>IF(C28=C29,"",F28*$C$14/$C$15)</f>
        <v/>
      </c>
      <c r="H28" s="19" t="str">
        <f>IF(C28=C29,"",F28*$C$14/$C$16)</f>
        <v/>
      </c>
      <c r="P28" t="s">
        <v>78</v>
      </c>
      <c r="Q28" t="s">
        <v>110</v>
      </c>
    </row>
    <row r="29" spans="1:19" x14ac:dyDescent="0.3">
      <c r="B29" s="16">
        <f>B28*(1+$B$26)</f>
        <v>9.6299999999999997E-2</v>
      </c>
      <c r="C29" s="17">
        <f t="shared" ref="C29:C54" si="0">FLOOR(($C$8-2*$C$12+$C$13)/(B29+$C$13),1)</f>
        <v>7</v>
      </c>
      <c r="D29" s="17">
        <f t="shared" ref="D29:D37" si="1">C29*(2*$C$5+2*$C$8+2*PI()*($C$12+(C29-1)*B29/2+(C29-1)*$C$13/2))</f>
        <v>116.09586393686354</v>
      </c>
      <c r="E29" s="18">
        <f t="shared" ref="E29:E37" si="2">B29*$C$14/1000</f>
        <v>1.6852499999999999E-3</v>
      </c>
      <c r="F29" s="19" t="str">
        <f t="shared" ref="F29:F46" si="3">IF(C29=C30,"",$C$24*D29/E29*1000000)</f>
        <v/>
      </c>
      <c r="G29" s="19" t="str">
        <f t="shared" ref="G29:G54" si="4">IF(C29=C30,"",F29*$C$14/$C$15)</f>
        <v/>
      </c>
      <c r="H29" s="19" t="str">
        <f t="shared" ref="H29:H54" si="5">IF(C29=C30,"",F29*$C$14/$C$16)</f>
        <v/>
      </c>
      <c r="P29" s="4">
        <v>14</v>
      </c>
      <c r="Q29" t="s">
        <v>76</v>
      </c>
    </row>
    <row r="30" spans="1:19" x14ac:dyDescent="0.3">
      <c r="B30" s="16">
        <f t="shared" ref="B30:B76" si="6">B29*(1+$B$26)</f>
        <v>0.10304100000000001</v>
      </c>
      <c r="C30" s="17">
        <f t="shared" si="0"/>
        <v>7</v>
      </c>
      <c r="D30" s="17">
        <f t="shared" si="1"/>
        <v>116.9853179321332</v>
      </c>
      <c r="E30" s="18">
        <f t="shared" si="2"/>
        <v>1.8032175000000001E-3</v>
      </c>
      <c r="F30" s="19" t="str">
        <f t="shared" si="3"/>
        <v/>
      </c>
      <c r="G30" s="19" t="str">
        <f t="shared" si="4"/>
        <v/>
      </c>
      <c r="H30" s="19" t="str">
        <f t="shared" si="5"/>
        <v/>
      </c>
      <c r="P30" s="4">
        <v>78.400000000000006</v>
      </c>
      <c r="Q30" t="s">
        <v>48</v>
      </c>
    </row>
    <row r="31" spans="1:19" x14ac:dyDescent="0.3">
      <c r="B31" s="16">
        <f t="shared" si="6"/>
        <v>0.11025387000000002</v>
      </c>
      <c r="C31" s="17">
        <f t="shared" si="0"/>
        <v>7</v>
      </c>
      <c r="D31" s="17">
        <f t="shared" si="1"/>
        <v>117.93703370707172</v>
      </c>
      <c r="E31" s="18">
        <f t="shared" si="2"/>
        <v>1.9294427250000003E-3</v>
      </c>
      <c r="F31" s="19">
        <f t="shared" si="3"/>
        <v>1051.348637343787</v>
      </c>
      <c r="G31" s="19">
        <f t="shared" si="4"/>
        <v>1051.348637343787</v>
      </c>
      <c r="H31" s="19">
        <f t="shared" si="5"/>
        <v>525.6743186718935</v>
      </c>
      <c r="P31" s="4">
        <v>1934</v>
      </c>
      <c r="Q31" t="s">
        <v>75</v>
      </c>
    </row>
    <row r="32" spans="1:19" x14ac:dyDescent="0.3">
      <c r="B32" s="16">
        <f t="shared" si="6"/>
        <v>0.11797164090000002</v>
      </c>
      <c r="C32" s="17">
        <f t="shared" si="0"/>
        <v>6</v>
      </c>
      <c r="D32" s="17">
        <f t="shared" si="1"/>
        <v>97.85307672519383</v>
      </c>
      <c r="E32" s="18">
        <f t="shared" si="2"/>
        <v>2.0645037157500002E-3</v>
      </c>
      <c r="F32" s="19" t="str">
        <f t="shared" si="3"/>
        <v/>
      </c>
      <c r="G32" s="19" t="str">
        <f t="shared" si="4"/>
        <v/>
      </c>
      <c r="H32" s="19" t="str">
        <f t="shared" si="5"/>
        <v/>
      </c>
    </row>
    <row r="33" spans="2:8" x14ac:dyDescent="0.3">
      <c r="B33" s="16">
        <f t="shared" si="6"/>
        <v>0.12622965576300002</v>
      </c>
      <c r="C33" s="17">
        <f t="shared" si="0"/>
        <v>6</v>
      </c>
      <c r="D33" s="17">
        <f t="shared" si="1"/>
        <v>98.631376289998911</v>
      </c>
      <c r="E33" s="18">
        <f t="shared" si="2"/>
        <v>2.2090189758525005E-3</v>
      </c>
      <c r="F33" s="19" t="str">
        <f t="shared" si="3"/>
        <v/>
      </c>
      <c r="G33" s="19" t="str">
        <f t="shared" si="4"/>
        <v/>
      </c>
      <c r="H33" s="19" t="str">
        <f t="shared" si="5"/>
        <v/>
      </c>
    </row>
    <row r="34" spans="2:8" x14ac:dyDescent="0.3">
      <c r="B34" s="16">
        <f t="shared" si="6"/>
        <v>0.13506573166641003</v>
      </c>
      <c r="C34" s="17">
        <f t="shared" si="0"/>
        <v>6</v>
      </c>
      <c r="D34" s="17">
        <f t="shared" si="1"/>
        <v>99.464156824340364</v>
      </c>
      <c r="E34" s="18">
        <f t="shared" si="2"/>
        <v>2.3636503041621756E-3</v>
      </c>
      <c r="F34" s="19" t="str">
        <f t="shared" si="3"/>
        <v/>
      </c>
      <c r="G34" s="19" t="str">
        <f t="shared" si="4"/>
        <v/>
      </c>
      <c r="H34" s="19" t="str">
        <f t="shared" si="5"/>
        <v/>
      </c>
    </row>
    <row r="35" spans="2:8" x14ac:dyDescent="0.3">
      <c r="B35" s="16">
        <f t="shared" si="6"/>
        <v>0.14452033288305874</v>
      </c>
      <c r="C35" s="17">
        <f t="shared" si="0"/>
        <v>6</v>
      </c>
      <c r="D35" s="17">
        <f t="shared" si="1"/>
        <v>100.35523199608571</v>
      </c>
      <c r="E35" s="18">
        <f t="shared" si="2"/>
        <v>2.5291058254535283E-3</v>
      </c>
      <c r="F35" s="19">
        <f t="shared" si="3"/>
        <v>682.49812758354699</v>
      </c>
      <c r="G35" s="19">
        <f t="shared" si="4"/>
        <v>682.49812758354699</v>
      </c>
      <c r="H35" s="19">
        <f t="shared" si="5"/>
        <v>341.24906379177349</v>
      </c>
    </row>
    <row r="36" spans="2:8" x14ac:dyDescent="0.3">
      <c r="B36" s="16">
        <f t="shared" si="6"/>
        <v>0.15463675618487285</v>
      </c>
      <c r="C36" s="17">
        <f t="shared" si="0"/>
        <v>5</v>
      </c>
      <c r="D36" s="17">
        <f t="shared" si="1"/>
        <v>80.424077212056005</v>
      </c>
      <c r="E36" s="18">
        <f t="shared" si="2"/>
        <v>2.7061432332352751E-3</v>
      </c>
      <c r="F36" s="19" t="str">
        <f t="shared" si="3"/>
        <v/>
      </c>
      <c r="G36" s="19" t="str">
        <f t="shared" si="4"/>
        <v/>
      </c>
      <c r="H36" s="19" t="str">
        <f t="shared" si="5"/>
        <v/>
      </c>
    </row>
    <row r="37" spans="2:8" x14ac:dyDescent="0.3">
      <c r="B37" s="16">
        <f t="shared" si="6"/>
        <v>0.16546132911781397</v>
      </c>
      <c r="C37" s="17">
        <f t="shared" si="0"/>
        <v>5</v>
      </c>
      <c r="D37" s="17">
        <f t="shared" si="1"/>
        <v>81.10420518814351</v>
      </c>
      <c r="E37" s="18">
        <f t="shared" si="2"/>
        <v>2.8955732595617443E-3</v>
      </c>
      <c r="F37" s="19" t="str">
        <f t="shared" si="3"/>
        <v/>
      </c>
      <c r="G37" s="19" t="str">
        <f t="shared" si="4"/>
        <v/>
      </c>
      <c r="H37" s="19" t="str">
        <f t="shared" si="5"/>
        <v/>
      </c>
    </row>
    <row r="38" spans="2:8" x14ac:dyDescent="0.3">
      <c r="B38" s="16">
        <f t="shared" si="6"/>
        <v>0.17704362215606095</v>
      </c>
      <c r="C38" s="17">
        <f t="shared" si="0"/>
        <v>5</v>
      </c>
      <c r="D38" s="17">
        <f t="shared" ref="D38:D46" si="7">C38*(2*$C$5+2*$C$8+2*PI()*($C$12+(C38-1)*B38/2+(C38-1)*$C$13/2))</f>
        <v>81.831942122557138</v>
      </c>
      <c r="E38" s="18">
        <f t="shared" ref="E38:E46" si="8">B38*$C$14/1000</f>
        <v>3.0982633877310664E-3</v>
      </c>
      <c r="F38" s="19" t="str">
        <f t="shared" si="3"/>
        <v/>
      </c>
      <c r="G38" s="19" t="str">
        <f t="shared" si="4"/>
        <v/>
      </c>
      <c r="H38" s="19" t="str">
        <f t="shared" si="5"/>
        <v/>
      </c>
    </row>
    <row r="39" spans="2:8" x14ac:dyDescent="0.3">
      <c r="B39" s="16">
        <f t="shared" si="6"/>
        <v>0.18943667570698522</v>
      </c>
      <c r="C39" s="17">
        <f t="shared" si="0"/>
        <v>5</v>
      </c>
      <c r="D39" s="17">
        <f t="shared" si="7"/>
        <v>82.6106206423797</v>
      </c>
      <c r="E39" s="18">
        <f t="shared" si="8"/>
        <v>3.3151418248722414E-3</v>
      </c>
      <c r="F39" s="19">
        <f t="shared" si="3"/>
        <v>428.6099208149833</v>
      </c>
      <c r="G39" s="19">
        <f t="shared" si="4"/>
        <v>428.6099208149833</v>
      </c>
      <c r="H39" s="19">
        <f t="shared" si="5"/>
        <v>214.30496040749165</v>
      </c>
    </row>
    <row r="40" spans="2:8" x14ac:dyDescent="0.3">
      <c r="B40" s="16">
        <f t="shared" si="6"/>
        <v>0.20269724300647421</v>
      </c>
      <c r="C40" s="17">
        <f t="shared" si="0"/>
        <v>4</v>
      </c>
      <c r="D40" s="17">
        <f t="shared" si="7"/>
        <v>62.951239587307789</v>
      </c>
      <c r="E40" s="18">
        <f t="shared" si="8"/>
        <v>3.5472017526132988E-3</v>
      </c>
      <c r="F40" s="19" t="str">
        <f t="shared" si="3"/>
        <v/>
      </c>
      <c r="G40" s="19" t="str">
        <f t="shared" si="4"/>
        <v/>
      </c>
      <c r="H40" s="19" t="str">
        <f t="shared" si="5"/>
        <v/>
      </c>
    </row>
    <row r="41" spans="2:8" x14ac:dyDescent="0.3">
      <c r="B41" s="16">
        <f t="shared" si="6"/>
        <v>0.21688605001692743</v>
      </c>
      <c r="C41" s="17">
        <f t="shared" si="0"/>
        <v>4</v>
      </c>
      <c r="D41" s="17">
        <f t="shared" si="7"/>
        <v>63.486145009714704</v>
      </c>
      <c r="E41" s="18">
        <f t="shared" si="8"/>
        <v>3.7955058752962303E-3</v>
      </c>
      <c r="F41" s="19" t="str">
        <f t="shared" si="3"/>
        <v/>
      </c>
      <c r="G41" s="19" t="str">
        <f t="shared" si="4"/>
        <v/>
      </c>
      <c r="H41" s="19" t="str">
        <f t="shared" si="5"/>
        <v/>
      </c>
    </row>
    <row r="42" spans="2:8" x14ac:dyDescent="0.3">
      <c r="B42" s="16">
        <f t="shared" si="6"/>
        <v>0.23206807351811237</v>
      </c>
      <c r="C42" s="17">
        <f t="shared" si="0"/>
        <v>4</v>
      </c>
      <c r="D42" s="17">
        <f t="shared" si="7"/>
        <v>64.058493811690113</v>
      </c>
      <c r="E42" s="18">
        <f t="shared" si="8"/>
        <v>4.0611912865669668E-3</v>
      </c>
      <c r="F42" s="19" t="str">
        <f t="shared" si="3"/>
        <v/>
      </c>
      <c r="G42" s="19" t="str">
        <f t="shared" si="4"/>
        <v/>
      </c>
      <c r="H42" s="19" t="str">
        <f t="shared" si="5"/>
        <v/>
      </c>
    </row>
    <row r="43" spans="2:8" x14ac:dyDescent="0.3">
      <c r="B43" s="16">
        <f t="shared" si="6"/>
        <v>0.24831283866438025</v>
      </c>
      <c r="C43" s="17">
        <f t="shared" si="0"/>
        <v>4</v>
      </c>
      <c r="D43" s="17">
        <f t="shared" si="7"/>
        <v>64.670907029803786</v>
      </c>
      <c r="E43" s="18">
        <f t="shared" si="8"/>
        <v>4.3454746766266542E-3</v>
      </c>
      <c r="F43" s="19" t="str">
        <f t="shared" si="3"/>
        <v/>
      </c>
      <c r="G43" s="19" t="str">
        <f t="shared" si="4"/>
        <v/>
      </c>
      <c r="H43" s="19" t="str">
        <f t="shared" si="5"/>
        <v/>
      </c>
    </row>
    <row r="44" spans="2:8" x14ac:dyDescent="0.3">
      <c r="B44" s="16">
        <f t="shared" si="6"/>
        <v>0.26569473737088689</v>
      </c>
      <c r="C44" s="17">
        <f t="shared" si="0"/>
        <v>4</v>
      </c>
      <c r="D44" s="17">
        <f t="shared" si="7"/>
        <v>65.326189173185426</v>
      </c>
      <c r="E44" s="18">
        <f t="shared" si="8"/>
        <v>4.6496579039905211E-3</v>
      </c>
      <c r="F44" s="19">
        <f t="shared" si="3"/>
        <v>241.65443501003853</v>
      </c>
      <c r="G44" s="19">
        <f t="shared" si="4"/>
        <v>241.65443501003855</v>
      </c>
      <c r="H44" s="19">
        <f t="shared" si="5"/>
        <v>120.82721750501928</v>
      </c>
    </row>
    <row r="45" spans="2:8" x14ac:dyDescent="0.3">
      <c r="B45" s="16">
        <f t="shared" si="6"/>
        <v>0.28429336898684898</v>
      </c>
      <c r="C45" s="17">
        <f t="shared" si="0"/>
        <v>3</v>
      </c>
      <c r="D45" s="17">
        <f t="shared" si="7"/>
        <v>45.89862612545577</v>
      </c>
      <c r="E45" s="18">
        <f t="shared" si="8"/>
        <v>4.9751339572698576E-3</v>
      </c>
      <c r="F45" s="19" t="str">
        <f t="shared" si="3"/>
        <v/>
      </c>
      <c r="G45" s="19" t="str">
        <f t="shared" si="4"/>
        <v/>
      </c>
      <c r="H45" s="19" t="str">
        <f t="shared" si="5"/>
        <v/>
      </c>
    </row>
    <row r="46" spans="2:8" x14ac:dyDescent="0.3">
      <c r="B46" s="16">
        <f t="shared" si="6"/>
        <v>0.30419390481592845</v>
      </c>
      <c r="C46" s="17">
        <f t="shared" si="0"/>
        <v>3</v>
      </c>
      <c r="D46" s="17">
        <f t="shared" si="7"/>
        <v>46.273742388434584</v>
      </c>
      <c r="E46" s="18">
        <f t="shared" si="8"/>
        <v>5.323393334278748E-3</v>
      </c>
      <c r="F46" s="19" t="str">
        <f t="shared" si="3"/>
        <v/>
      </c>
      <c r="G46" s="19" t="str">
        <f t="shared" si="4"/>
        <v/>
      </c>
      <c r="H46" s="19" t="str">
        <f t="shared" si="5"/>
        <v/>
      </c>
    </row>
    <row r="47" spans="2:8" x14ac:dyDescent="0.3">
      <c r="B47" s="16">
        <f t="shared" si="6"/>
        <v>0.32548747815304346</v>
      </c>
      <c r="C47" s="17">
        <f t="shared" si="0"/>
        <v>3</v>
      </c>
      <c r="D47" s="17">
        <f t="shared" ref="D47:D54" si="9">C47*(2*$C$5+2*$C$8+2*PI()*($C$12+(C47-1)*B47/2+(C47-1)*$C$13/2))</f>
        <v>46.675116789821921</v>
      </c>
      <c r="E47" s="18">
        <f t="shared" ref="E47:E54" si="10">B47*$C$14/1000</f>
        <v>5.6960308676782603E-3</v>
      </c>
      <c r="F47" s="19" t="str">
        <f t="shared" ref="F47:F54" si="11">IF(C47=C48,"",$C$24*D47/E47*1000000)</f>
        <v/>
      </c>
      <c r="G47" s="19" t="str">
        <f t="shared" si="4"/>
        <v/>
      </c>
      <c r="H47" s="19" t="str">
        <f t="shared" si="5"/>
        <v/>
      </c>
    </row>
    <row r="48" spans="2:8" x14ac:dyDescent="0.3">
      <c r="B48" s="16">
        <f t="shared" si="6"/>
        <v>0.34827160162375653</v>
      </c>
      <c r="C48" s="17">
        <f t="shared" si="0"/>
        <v>3</v>
      </c>
      <c r="D48" s="17">
        <f t="shared" si="9"/>
        <v>47.104587399306368</v>
      </c>
      <c r="E48" s="18">
        <f t="shared" si="10"/>
        <v>6.094753028415739E-3</v>
      </c>
      <c r="F48" s="19" t="str">
        <f t="shared" si="11"/>
        <v/>
      </c>
      <c r="G48" s="19" t="str">
        <f t="shared" si="4"/>
        <v/>
      </c>
      <c r="H48" s="19" t="str">
        <f t="shared" si="5"/>
        <v/>
      </c>
    </row>
    <row r="49" spans="2:8" x14ac:dyDescent="0.3">
      <c r="B49" s="16">
        <f t="shared" si="6"/>
        <v>0.37265061373741953</v>
      </c>
      <c r="C49" s="17">
        <f t="shared" si="0"/>
        <v>3</v>
      </c>
      <c r="D49" s="17">
        <f t="shared" si="9"/>
        <v>47.564120951454726</v>
      </c>
      <c r="E49" s="18">
        <f t="shared" si="10"/>
        <v>6.5213857404048418E-3</v>
      </c>
      <c r="F49" s="19" t="str">
        <f t="shared" si="11"/>
        <v/>
      </c>
      <c r="G49" s="19" t="str">
        <f t="shared" si="4"/>
        <v/>
      </c>
      <c r="H49" s="19" t="str">
        <f t="shared" si="5"/>
        <v/>
      </c>
    </row>
    <row r="50" spans="2:8" x14ac:dyDescent="0.3">
      <c r="B50" s="16">
        <f t="shared" si="6"/>
        <v>0.39873615669903895</v>
      </c>
      <c r="C50" s="17">
        <f t="shared" si="0"/>
        <v>3</v>
      </c>
      <c r="D50" s="17">
        <f t="shared" si="9"/>
        <v>48.055821852253473</v>
      </c>
      <c r="E50" s="18">
        <f t="shared" si="10"/>
        <v>6.9778827422331815E-3</v>
      </c>
      <c r="F50" s="19">
        <f t="shared" si="11"/>
        <v>118.45428855604841</v>
      </c>
      <c r="G50" s="19">
        <f t="shared" si="4"/>
        <v>118.45428855604841</v>
      </c>
      <c r="H50" s="19">
        <f t="shared" si="5"/>
        <v>59.227144278024205</v>
      </c>
    </row>
    <row r="51" spans="2:8" x14ac:dyDescent="0.3">
      <c r="B51" s="16">
        <f t="shared" si="6"/>
        <v>0.42664768766797168</v>
      </c>
      <c r="C51" s="17">
        <f t="shared" si="0"/>
        <v>2</v>
      </c>
      <c r="D51" s="17">
        <f t="shared" si="9"/>
        <v>29.078936197523255</v>
      </c>
      <c r="E51" s="18">
        <f t="shared" si="10"/>
        <v>7.4663345341895041E-3</v>
      </c>
      <c r="F51" s="19" t="str">
        <f t="shared" si="11"/>
        <v/>
      </c>
      <c r="G51" s="19" t="str">
        <f t="shared" si="4"/>
        <v/>
      </c>
      <c r="H51" s="19" t="str">
        <f t="shared" si="5"/>
        <v/>
      </c>
    </row>
    <row r="52" spans="2:8" x14ac:dyDescent="0.3">
      <c r="B52" s="16">
        <f t="shared" si="6"/>
        <v>0.45651302580472974</v>
      </c>
      <c r="C52" s="17">
        <f t="shared" si="0"/>
        <v>2</v>
      </c>
      <c r="D52" s="17">
        <f t="shared" si="9"/>
        <v>29.266585651298083</v>
      </c>
      <c r="E52" s="18">
        <f t="shared" si="10"/>
        <v>7.9889779515827705E-3</v>
      </c>
      <c r="F52" s="19" t="str">
        <f t="shared" si="11"/>
        <v/>
      </c>
      <c r="G52" s="19" t="str">
        <f t="shared" si="4"/>
        <v/>
      </c>
      <c r="H52" s="19" t="str">
        <f t="shared" si="5"/>
        <v/>
      </c>
    </row>
    <row r="53" spans="2:8" x14ac:dyDescent="0.3">
      <c r="B53" s="16">
        <f t="shared" si="6"/>
        <v>0.48846893761106086</v>
      </c>
      <c r="C53" s="17">
        <f t="shared" si="0"/>
        <v>2</v>
      </c>
      <c r="D53" s="17">
        <f t="shared" si="9"/>
        <v>29.46737056683715</v>
      </c>
      <c r="E53" s="18">
        <f t="shared" si="10"/>
        <v>8.5482064081935649E-3</v>
      </c>
      <c r="F53" s="19" t="str">
        <f t="shared" si="11"/>
        <v/>
      </c>
      <c r="G53" s="19" t="str">
        <f t="shared" si="4"/>
        <v/>
      </c>
      <c r="H53" s="19" t="str">
        <f t="shared" si="5"/>
        <v/>
      </c>
    </row>
    <row r="54" spans="2:8" x14ac:dyDescent="0.3">
      <c r="B54" s="16">
        <f t="shared" si="6"/>
        <v>0.52266176324383518</v>
      </c>
      <c r="C54" s="17">
        <f t="shared" si="0"/>
        <v>2</v>
      </c>
      <c r="D54" s="17">
        <f t="shared" si="9"/>
        <v>29.682210426463953</v>
      </c>
      <c r="E54" s="18">
        <f t="shared" si="10"/>
        <v>9.1465808567671152E-3</v>
      </c>
      <c r="F54" s="19" t="str">
        <f t="shared" si="11"/>
        <v/>
      </c>
      <c r="G54" s="19" t="str">
        <f t="shared" si="4"/>
        <v/>
      </c>
      <c r="H54" s="19" t="str">
        <f t="shared" si="5"/>
        <v/>
      </c>
    </row>
    <row r="55" spans="2:8" x14ac:dyDescent="0.3">
      <c r="B55" s="16">
        <f t="shared" si="6"/>
        <v>0.55924808667090364</v>
      </c>
      <c r="C55" s="17">
        <f t="shared" ref="C55:C66" si="12">FLOOR(($C$8-2*$C$12+$C$13)/(B55+$C$13),1)</f>
        <v>2</v>
      </c>
      <c r="D55" s="17">
        <f t="shared" ref="D55:D66" si="13">C55*(2*$C$5+2*$C$8+2*PI()*($C$12+(C55-1)*B55/2+(C55-1)*$C$13/2))</f>
        <v>29.912089076264628</v>
      </c>
      <c r="E55" s="18">
        <f t="shared" ref="E55:E66" si="14">B55*$C$14/1000</f>
        <v>9.7868415167408143E-3</v>
      </c>
      <c r="F55" s="19" t="str">
        <f t="shared" ref="F55:F66" si="15">IF(C55=C56,"",$C$24*D55/E55*1000000)</f>
        <v/>
      </c>
      <c r="G55" s="19" t="str">
        <f t="shared" ref="G55:G66" si="16">IF(C55=C56,"",F55*$C$14/$C$15)</f>
        <v/>
      </c>
      <c r="H55" s="19" t="str">
        <f t="shared" ref="H55:H66" si="17">IF(C55=C56,"",F55*$C$14/$C$16)</f>
        <v/>
      </c>
    </row>
    <row r="56" spans="2:8" x14ac:dyDescent="0.3">
      <c r="B56" s="16">
        <f t="shared" si="6"/>
        <v>0.59839545273786698</v>
      </c>
      <c r="C56" s="17">
        <f t="shared" si="12"/>
        <v>2</v>
      </c>
      <c r="D56" s="17">
        <f t="shared" si="13"/>
        <v>30.158059231551352</v>
      </c>
      <c r="E56" s="18">
        <f t="shared" si="14"/>
        <v>1.0471920422912673E-2</v>
      </c>
      <c r="F56" s="19" t="str">
        <f t="shared" si="15"/>
        <v/>
      </c>
      <c r="G56" s="19" t="str">
        <f t="shared" si="16"/>
        <v/>
      </c>
      <c r="H56" s="19" t="str">
        <f t="shared" si="17"/>
        <v/>
      </c>
    </row>
    <row r="57" spans="2:8" x14ac:dyDescent="0.3">
      <c r="B57" s="16">
        <f t="shared" si="6"/>
        <v>0.64028313442951768</v>
      </c>
      <c r="C57" s="17">
        <f t="shared" si="12"/>
        <v>2</v>
      </c>
      <c r="D57" s="17">
        <f t="shared" si="13"/>
        <v>30.421247297708149</v>
      </c>
      <c r="E57" s="18">
        <f t="shared" si="14"/>
        <v>1.1204954852516559E-2</v>
      </c>
      <c r="F57" s="19">
        <f t="shared" si="15"/>
        <v>46.697685123029544</v>
      </c>
      <c r="G57" s="19">
        <f t="shared" si="16"/>
        <v>46.697685123029544</v>
      </c>
      <c r="H57" s="19">
        <f t="shared" si="17"/>
        <v>23.348842561514772</v>
      </c>
    </row>
    <row r="58" spans="2:8" x14ac:dyDescent="0.3">
      <c r="B58" s="16">
        <f t="shared" si="6"/>
        <v>0.68510295383958397</v>
      </c>
      <c r="C58" s="17">
        <f t="shared" si="12"/>
        <v>1</v>
      </c>
      <c r="D58" s="17">
        <f t="shared" si="13"/>
        <v>12.884955592153876</v>
      </c>
      <c r="E58" s="18">
        <f t="shared" si="14"/>
        <v>1.1989301692192721E-2</v>
      </c>
      <c r="F58" s="19" t="str">
        <f t="shared" si="15"/>
        <v/>
      </c>
      <c r="G58" s="19" t="str">
        <f t="shared" si="16"/>
        <v/>
      </c>
      <c r="H58" s="19" t="str">
        <f t="shared" si="17"/>
        <v/>
      </c>
    </row>
    <row r="59" spans="2:8" x14ac:dyDescent="0.3">
      <c r="B59" s="16">
        <f t="shared" si="6"/>
        <v>0.73306016060835488</v>
      </c>
      <c r="C59" s="17">
        <f t="shared" si="12"/>
        <v>1</v>
      </c>
      <c r="D59" s="17">
        <f t="shared" si="13"/>
        <v>12.884955592153876</v>
      </c>
      <c r="E59" s="18">
        <f t="shared" si="14"/>
        <v>1.282855281064621E-2</v>
      </c>
      <c r="F59" s="19" t="str">
        <f t="shared" si="15"/>
        <v/>
      </c>
      <c r="G59" s="19" t="str">
        <f t="shared" si="16"/>
        <v/>
      </c>
      <c r="H59" s="19" t="str">
        <f t="shared" si="17"/>
        <v/>
      </c>
    </row>
    <row r="60" spans="2:8" x14ac:dyDescent="0.3">
      <c r="B60" s="16">
        <f t="shared" si="6"/>
        <v>0.78437437185093972</v>
      </c>
      <c r="C60" s="17">
        <f t="shared" si="12"/>
        <v>1</v>
      </c>
      <c r="D60" s="17">
        <f t="shared" si="13"/>
        <v>12.884955592153876</v>
      </c>
      <c r="E60" s="18">
        <f t="shared" si="14"/>
        <v>1.3726551507391445E-2</v>
      </c>
      <c r="F60" s="19" t="str">
        <f t="shared" si="15"/>
        <v/>
      </c>
      <c r="G60" s="19" t="str">
        <f t="shared" si="16"/>
        <v/>
      </c>
      <c r="H60" s="19" t="str">
        <f t="shared" si="17"/>
        <v/>
      </c>
    </row>
    <row r="61" spans="2:8" x14ac:dyDescent="0.3">
      <c r="B61" s="16">
        <f t="shared" si="6"/>
        <v>0.83928057788050558</v>
      </c>
      <c r="C61" s="17">
        <f t="shared" si="12"/>
        <v>1</v>
      </c>
      <c r="D61" s="17">
        <f t="shared" si="13"/>
        <v>12.884955592153876</v>
      </c>
      <c r="E61" s="18">
        <f t="shared" si="14"/>
        <v>1.4687410112908849E-2</v>
      </c>
      <c r="F61" s="19" t="str">
        <f t="shared" si="15"/>
        <v/>
      </c>
      <c r="G61" s="19" t="str">
        <f t="shared" si="16"/>
        <v/>
      </c>
      <c r="H61" s="19" t="str">
        <f t="shared" si="17"/>
        <v/>
      </c>
    </row>
    <row r="62" spans="2:8" x14ac:dyDescent="0.3">
      <c r="B62" s="16">
        <f t="shared" si="6"/>
        <v>0.89803021833214103</v>
      </c>
      <c r="C62" s="17">
        <f t="shared" si="12"/>
        <v>1</v>
      </c>
      <c r="D62" s="17">
        <f t="shared" si="13"/>
        <v>12.884955592153876</v>
      </c>
      <c r="E62" s="18">
        <f t="shared" si="14"/>
        <v>1.5715528820812466E-2</v>
      </c>
      <c r="F62" s="19" t="str">
        <f t="shared" si="15"/>
        <v/>
      </c>
      <c r="G62" s="19" t="str">
        <f t="shared" si="16"/>
        <v/>
      </c>
      <c r="H62" s="19" t="str">
        <f t="shared" si="17"/>
        <v/>
      </c>
    </row>
    <row r="63" spans="2:8" x14ac:dyDescent="0.3">
      <c r="B63" s="16">
        <f t="shared" si="6"/>
        <v>0.96089233361539095</v>
      </c>
      <c r="C63" s="17">
        <f t="shared" si="12"/>
        <v>1</v>
      </c>
      <c r="D63" s="17">
        <f t="shared" si="13"/>
        <v>12.884955592153876</v>
      </c>
      <c r="E63" s="18">
        <f t="shared" si="14"/>
        <v>1.6815615838269342E-2</v>
      </c>
      <c r="F63" s="19" t="str">
        <f t="shared" si="15"/>
        <v/>
      </c>
      <c r="G63" s="19" t="str">
        <f t="shared" si="16"/>
        <v/>
      </c>
      <c r="H63" s="19" t="str">
        <f t="shared" si="17"/>
        <v/>
      </c>
    </row>
    <row r="64" spans="2:8" x14ac:dyDescent="0.3">
      <c r="B64" s="16">
        <f t="shared" si="6"/>
        <v>1.0281547969684683</v>
      </c>
      <c r="C64" s="17">
        <f t="shared" si="12"/>
        <v>1</v>
      </c>
      <c r="D64" s="17">
        <f t="shared" si="13"/>
        <v>12.884955592153876</v>
      </c>
      <c r="E64" s="18">
        <f t="shared" si="14"/>
        <v>1.7992708946948197E-2</v>
      </c>
      <c r="F64" s="19" t="str">
        <f t="shared" si="15"/>
        <v/>
      </c>
      <c r="G64" s="19" t="str">
        <f t="shared" si="16"/>
        <v/>
      </c>
      <c r="H64" s="19" t="str">
        <f t="shared" si="17"/>
        <v/>
      </c>
    </row>
    <row r="65" spans="2:8" x14ac:dyDescent="0.3">
      <c r="B65" s="16">
        <f t="shared" si="6"/>
        <v>1.1001256327562612</v>
      </c>
      <c r="C65" s="17">
        <f t="shared" si="12"/>
        <v>1</v>
      </c>
      <c r="D65" s="17">
        <f t="shared" si="13"/>
        <v>12.884955592153876</v>
      </c>
      <c r="E65" s="18">
        <f t="shared" si="14"/>
        <v>1.9252198573234569E-2</v>
      </c>
      <c r="F65" s="19" t="str">
        <f t="shared" si="15"/>
        <v/>
      </c>
      <c r="G65" s="19" t="str">
        <f t="shared" si="16"/>
        <v/>
      </c>
      <c r="H65" s="19" t="str">
        <f t="shared" si="17"/>
        <v/>
      </c>
    </row>
    <row r="66" spans="2:8" x14ac:dyDescent="0.3">
      <c r="B66" s="16">
        <f t="shared" si="6"/>
        <v>1.1771344270491995</v>
      </c>
      <c r="C66" s="17">
        <f t="shared" si="12"/>
        <v>1</v>
      </c>
      <c r="D66" s="17">
        <f t="shared" si="13"/>
        <v>12.884955592153876</v>
      </c>
      <c r="E66" s="18">
        <f t="shared" si="14"/>
        <v>2.0599852473360991E-2</v>
      </c>
      <c r="F66" s="19" t="str">
        <f t="shared" si="15"/>
        <v/>
      </c>
      <c r="G66" s="19" t="str">
        <f t="shared" si="16"/>
        <v/>
      </c>
      <c r="H66" s="19" t="str">
        <f t="shared" si="17"/>
        <v/>
      </c>
    </row>
    <row r="67" spans="2:8" x14ac:dyDescent="0.3">
      <c r="B67" s="16">
        <f t="shared" si="6"/>
        <v>1.2595338369426434</v>
      </c>
      <c r="C67" s="17">
        <f t="shared" ref="C67:C76" si="18">FLOOR(($C$8-2*$C$12+$C$13)/(B67+$C$13),1)</f>
        <v>1</v>
      </c>
      <c r="D67" s="17">
        <f t="shared" ref="D67:D76" si="19">C67*(2*$C$5+2*$C$8+2*PI()*($C$12+(C67-1)*B67/2+(C67-1)*$C$13/2))</f>
        <v>12.884955592153876</v>
      </c>
      <c r="E67" s="18">
        <f t="shared" ref="E67:E76" si="20">B67*$C$14/1000</f>
        <v>2.2041842146496262E-2</v>
      </c>
      <c r="F67" s="19" t="str">
        <f t="shared" ref="F67:F76" si="21">IF(C67=C68,"",$C$24*D67/E67*1000000)</f>
        <v/>
      </c>
      <c r="G67" s="19" t="str">
        <f t="shared" ref="G67:G76" si="22">IF(C67=C68,"",F67*$C$14/$C$15)</f>
        <v/>
      </c>
      <c r="H67" s="19" t="str">
        <f t="shared" ref="H67:H76" si="23">IF(C67=C68,"",F67*$C$14/$C$16)</f>
        <v/>
      </c>
    </row>
    <row r="68" spans="2:8" x14ac:dyDescent="0.3">
      <c r="B68" s="16">
        <f t="shared" si="6"/>
        <v>1.3477012055286286</v>
      </c>
      <c r="C68" s="17">
        <f t="shared" si="18"/>
        <v>1</v>
      </c>
      <c r="D68" s="17">
        <f t="shared" si="19"/>
        <v>12.884955592153876</v>
      </c>
      <c r="E68" s="18">
        <f t="shared" si="20"/>
        <v>2.3584771096751E-2</v>
      </c>
      <c r="F68" s="19">
        <f t="shared" si="21"/>
        <v>9.3967940276332307</v>
      </c>
      <c r="G68" s="19">
        <f t="shared" si="22"/>
        <v>9.3967940276332307</v>
      </c>
      <c r="H68" s="19">
        <f t="shared" si="23"/>
        <v>4.6983970138166153</v>
      </c>
    </row>
    <row r="69" spans="2:8" x14ac:dyDescent="0.3">
      <c r="B69" s="16">
        <f t="shared" si="6"/>
        <v>1.4420402899156326</v>
      </c>
      <c r="C69" s="17">
        <f t="shared" si="18"/>
        <v>0</v>
      </c>
      <c r="D69" s="17">
        <f t="shared" si="19"/>
        <v>0</v>
      </c>
      <c r="E69" s="18">
        <f t="shared" si="20"/>
        <v>2.523570507352357E-2</v>
      </c>
      <c r="F69" s="19" t="str">
        <f t="shared" si="21"/>
        <v/>
      </c>
      <c r="G69" s="19" t="str">
        <f t="shared" si="22"/>
        <v/>
      </c>
      <c r="H69" s="19" t="str">
        <f t="shared" si="23"/>
        <v/>
      </c>
    </row>
    <row r="70" spans="2:8" x14ac:dyDescent="0.3">
      <c r="B70" s="16">
        <f t="shared" si="6"/>
        <v>1.5429831102097269</v>
      </c>
      <c r="C70" s="17">
        <f t="shared" si="18"/>
        <v>0</v>
      </c>
      <c r="D70" s="17">
        <f t="shared" si="19"/>
        <v>0</v>
      </c>
      <c r="E70" s="18">
        <f t="shared" si="20"/>
        <v>2.7002204428670223E-2</v>
      </c>
      <c r="F70" s="19" t="str">
        <f t="shared" si="21"/>
        <v/>
      </c>
      <c r="G70" s="19" t="str">
        <f t="shared" si="22"/>
        <v/>
      </c>
      <c r="H70" s="19" t="str">
        <f t="shared" si="23"/>
        <v/>
      </c>
    </row>
    <row r="71" spans="2:8" x14ac:dyDescent="0.3">
      <c r="B71" s="16">
        <f t="shared" si="6"/>
        <v>1.6509919279244079</v>
      </c>
      <c r="C71" s="17">
        <f t="shared" si="18"/>
        <v>0</v>
      </c>
      <c r="D71" s="17">
        <f t="shared" si="19"/>
        <v>0</v>
      </c>
      <c r="E71" s="18">
        <f t="shared" si="20"/>
        <v>2.889235873867714E-2</v>
      </c>
      <c r="F71" s="19" t="str">
        <f t="shared" si="21"/>
        <v/>
      </c>
      <c r="G71" s="19" t="str">
        <f t="shared" si="22"/>
        <v/>
      </c>
      <c r="H71" s="19" t="str">
        <f t="shared" si="23"/>
        <v/>
      </c>
    </row>
    <row r="72" spans="2:8" x14ac:dyDescent="0.3">
      <c r="B72" s="16">
        <f t="shared" si="6"/>
        <v>1.7665613628791166</v>
      </c>
      <c r="C72" s="17">
        <f t="shared" si="18"/>
        <v>0</v>
      </c>
      <c r="D72" s="17">
        <f t="shared" si="19"/>
        <v>0</v>
      </c>
      <c r="E72" s="18">
        <f t="shared" si="20"/>
        <v>3.0914823850384542E-2</v>
      </c>
      <c r="F72" s="19" t="str">
        <f t="shared" si="21"/>
        <v/>
      </c>
      <c r="G72" s="19" t="str">
        <f t="shared" si="22"/>
        <v/>
      </c>
      <c r="H72" s="19" t="str">
        <f t="shared" si="23"/>
        <v/>
      </c>
    </row>
    <row r="73" spans="2:8" x14ac:dyDescent="0.3">
      <c r="B73" s="16">
        <f t="shared" si="6"/>
        <v>1.8902206582806549</v>
      </c>
      <c r="C73" s="17">
        <f t="shared" si="18"/>
        <v>0</v>
      </c>
      <c r="D73" s="17">
        <f t="shared" si="19"/>
        <v>0</v>
      </c>
      <c r="E73" s="18">
        <f t="shared" si="20"/>
        <v>3.3078861519911462E-2</v>
      </c>
      <c r="F73" s="19" t="str">
        <f t="shared" si="21"/>
        <v/>
      </c>
      <c r="G73" s="19" t="str">
        <f t="shared" si="22"/>
        <v/>
      </c>
      <c r="H73" s="19" t="str">
        <f t="shared" si="23"/>
        <v/>
      </c>
    </row>
    <row r="74" spans="2:8" x14ac:dyDescent="0.3">
      <c r="B74" s="16">
        <f t="shared" si="6"/>
        <v>2.022536104360301</v>
      </c>
      <c r="C74" s="17">
        <f t="shared" si="18"/>
        <v>0</v>
      </c>
      <c r="D74" s="17">
        <f t="shared" si="19"/>
        <v>0</v>
      </c>
      <c r="E74" s="18">
        <f t="shared" si="20"/>
        <v>3.5394381826305263E-2</v>
      </c>
      <c r="F74" s="19" t="str">
        <f t="shared" si="21"/>
        <v/>
      </c>
      <c r="G74" s="19" t="str">
        <f t="shared" si="22"/>
        <v/>
      </c>
      <c r="H74" s="19" t="str">
        <f t="shared" si="23"/>
        <v/>
      </c>
    </row>
    <row r="75" spans="2:8" x14ac:dyDescent="0.3">
      <c r="B75" s="16">
        <f t="shared" si="6"/>
        <v>2.1641136316655221</v>
      </c>
      <c r="C75" s="17">
        <f t="shared" si="18"/>
        <v>0</v>
      </c>
      <c r="D75" s="17">
        <f t="shared" si="19"/>
        <v>0</v>
      </c>
      <c r="E75" s="18">
        <f t="shared" si="20"/>
        <v>3.7871988554146641E-2</v>
      </c>
      <c r="F75" s="19" t="str">
        <f t="shared" si="21"/>
        <v/>
      </c>
      <c r="G75" s="19" t="str">
        <f t="shared" si="22"/>
        <v/>
      </c>
      <c r="H75" s="19" t="str">
        <f t="shared" si="23"/>
        <v/>
      </c>
    </row>
    <row r="76" spans="2:8" x14ac:dyDescent="0.3">
      <c r="B76" s="16">
        <f t="shared" si="6"/>
        <v>2.3156015858821086</v>
      </c>
      <c r="C76" s="17">
        <f t="shared" si="18"/>
        <v>0</v>
      </c>
      <c r="D76" s="17">
        <f t="shared" si="19"/>
        <v>0</v>
      </c>
      <c r="E76" s="18">
        <f t="shared" si="20"/>
        <v>4.0523027752936897E-2</v>
      </c>
      <c r="F76" s="19" t="str">
        <f t="shared" si="21"/>
        <v/>
      </c>
      <c r="G76" s="19" t="str">
        <f t="shared" si="22"/>
        <v/>
      </c>
      <c r="H76" s="19" t="str">
        <f t="shared" si="23"/>
        <v/>
      </c>
    </row>
    <row r="77" spans="2:8" x14ac:dyDescent="0.3">
      <c r="B77" s="2"/>
      <c r="C77" s="1"/>
      <c r="D77" s="2"/>
      <c r="F77" s="1"/>
    </row>
    <row r="78" spans="2:8" x14ac:dyDescent="0.3">
      <c r="B78" s="2"/>
      <c r="C78" s="1"/>
      <c r="D78" s="2"/>
      <c r="F78" s="1"/>
    </row>
    <row r="79" spans="2:8" x14ac:dyDescent="0.3">
      <c r="B79" s="2"/>
      <c r="C79" s="1"/>
      <c r="D79" s="2"/>
      <c r="F79" s="1"/>
    </row>
    <row r="80" spans="2:8" x14ac:dyDescent="0.3">
      <c r="B80" s="2"/>
      <c r="C80" s="1"/>
      <c r="D80" s="2"/>
      <c r="F80" s="1"/>
    </row>
    <row r="81" spans="2:6" x14ac:dyDescent="0.3">
      <c r="B81" s="2"/>
      <c r="C81" s="1"/>
      <c r="D81" s="2"/>
      <c r="F81" s="1"/>
    </row>
    <row r="82" spans="2:6" x14ac:dyDescent="0.3">
      <c r="B82" s="2"/>
      <c r="C82" s="1"/>
      <c r="D82" s="2"/>
      <c r="F82" s="1"/>
    </row>
    <row r="83" spans="2:6" x14ac:dyDescent="0.3">
      <c r="B83" s="2"/>
      <c r="C83" s="1"/>
      <c r="D83" s="2"/>
      <c r="F83" s="1"/>
    </row>
    <row r="84" spans="2:6" x14ac:dyDescent="0.3">
      <c r="B84" s="2"/>
      <c r="C84" s="1"/>
      <c r="D84" s="2"/>
      <c r="F84" s="1"/>
    </row>
  </sheetData>
  <mergeCells count="24">
    <mergeCell ref="E24:I24"/>
    <mergeCell ref="E8:I8"/>
    <mergeCell ref="E9:I9"/>
    <mergeCell ref="E10:I10"/>
    <mergeCell ref="E11:I11"/>
    <mergeCell ref="E12:I12"/>
    <mergeCell ref="E13:I13"/>
    <mergeCell ref="E19:I19"/>
    <mergeCell ref="E20:I20"/>
    <mergeCell ref="E21:I21"/>
    <mergeCell ref="E22:I22"/>
    <mergeCell ref="E14:I14"/>
    <mergeCell ref="E15:I15"/>
    <mergeCell ref="E16:I16"/>
    <mergeCell ref="E17:I17"/>
    <mergeCell ref="A19:A23"/>
    <mergeCell ref="E3:I3"/>
    <mergeCell ref="E4:I4"/>
    <mergeCell ref="E5:I5"/>
    <mergeCell ref="E6:I6"/>
    <mergeCell ref="E7:I7"/>
    <mergeCell ref="E23:I23"/>
    <mergeCell ref="A3:A9"/>
    <mergeCell ref="A12:A17"/>
  </mergeCells>
  <conditionalFormatting sqref="L15:L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{CE8172FF-2FC0-48A9-A502-62CA8AFA77B6}</x14:id>
        </ext>
      </extLst>
    </cfRule>
  </conditionalFormatting>
  <conditionalFormatting sqref="L23 L21 L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{AAE1FC71-E2FD-400A-BDF1-D0150903926B}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172FF-2FC0-48A9-A502-62CA8AFA77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L15:L17</xm:sqref>
        </x14:conditionalFormatting>
        <x14:conditionalFormatting xmlns:xm="http://schemas.microsoft.com/office/excel/2006/main">
          <x14:cfRule type="dataBar" id="{AAE1FC71-E2FD-400A-BDF1-D015090392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L23 L21 L25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5F05-62BB-4D9F-A672-3298C8683E81}">
  <dimension ref="C2:AO32"/>
  <sheetViews>
    <sheetView topLeftCell="G1" zoomScaleNormal="100" workbookViewId="0">
      <selection activeCell="AB17" sqref="AB17"/>
    </sheetView>
  </sheetViews>
  <sheetFormatPr defaultRowHeight="14.4" x14ac:dyDescent="0.3"/>
  <cols>
    <col min="28" max="28" width="7.77734375" customWidth="1"/>
    <col min="29" max="29" width="8.33203125" bestFit="1" customWidth="1"/>
  </cols>
  <sheetData>
    <row r="2" spans="3:41" x14ac:dyDescent="0.3">
      <c r="N2" t="s">
        <v>34</v>
      </c>
      <c r="O2">
        <v>155</v>
      </c>
      <c r="P2" t="s">
        <v>98</v>
      </c>
      <c r="R2" t="s">
        <v>152</v>
      </c>
      <c r="U2" t="s">
        <v>154</v>
      </c>
      <c r="X2" s="4" t="s">
        <v>155</v>
      </c>
      <c r="Y2" s="4"/>
      <c r="AA2" s="4" t="s">
        <v>160</v>
      </c>
      <c r="AB2" s="4"/>
      <c r="AC2" s="4"/>
    </row>
    <row r="3" spans="3:41" x14ac:dyDescent="0.3">
      <c r="L3" t="s">
        <v>97</v>
      </c>
      <c r="M3" t="s">
        <v>96</v>
      </c>
      <c r="N3" t="s">
        <v>99</v>
      </c>
      <c r="O3" t="s">
        <v>100</v>
      </c>
      <c r="R3" s="4" t="s">
        <v>97</v>
      </c>
      <c r="S3" t="s">
        <v>96</v>
      </c>
      <c r="U3" t="s">
        <v>51</v>
      </c>
      <c r="V3" t="s">
        <v>153</v>
      </c>
      <c r="X3" s="4" t="s">
        <v>51</v>
      </c>
      <c r="Y3" s="4" t="s">
        <v>153</v>
      </c>
      <c r="AA3" s="4" t="s">
        <v>51</v>
      </c>
      <c r="AB3" s="4" t="s">
        <v>153</v>
      </c>
      <c r="AC3" s="4"/>
      <c r="AJ3" t="s">
        <v>137</v>
      </c>
      <c r="AK3" t="s">
        <v>138</v>
      </c>
      <c r="AL3" t="s">
        <v>139</v>
      </c>
      <c r="AM3" t="s">
        <v>140</v>
      </c>
      <c r="AN3" t="s">
        <v>141</v>
      </c>
    </row>
    <row r="4" spans="3:41" x14ac:dyDescent="0.3">
      <c r="C4" t="s">
        <v>80</v>
      </c>
      <c r="D4">
        <v>500</v>
      </c>
      <c r="E4" t="s">
        <v>81</v>
      </c>
      <c r="G4" t="s">
        <v>93</v>
      </c>
      <c r="H4">
        <v>1</v>
      </c>
      <c r="L4">
        <v>1</v>
      </c>
      <c r="M4">
        <v>159</v>
      </c>
      <c r="N4" s="4">
        <f t="shared" ref="N4:N11" si="0">L4*L4*$O$2</f>
        <v>155</v>
      </c>
      <c r="O4" s="10">
        <f t="shared" ref="O4:O11" si="1">(M4-N4)/M4</f>
        <v>2.5157232704402517E-2</v>
      </c>
      <c r="R4" s="4">
        <v>1</v>
      </c>
      <c r="S4">
        <v>150</v>
      </c>
      <c r="U4">
        <v>0</v>
      </c>
      <c r="V4">
        <v>4.87</v>
      </c>
      <c r="X4">
        <v>0</v>
      </c>
      <c r="Y4" s="4">
        <v>6.31</v>
      </c>
      <c r="AA4" s="4">
        <v>0</v>
      </c>
      <c r="AB4" s="4">
        <v>14.22</v>
      </c>
      <c r="AC4" s="4"/>
      <c r="AJ4">
        <v>0.127</v>
      </c>
      <c r="AK4">
        <v>0.254</v>
      </c>
      <c r="AL4">
        <v>4.5999999999999996</v>
      </c>
      <c r="AM4">
        <v>2.9</v>
      </c>
      <c r="AN4">
        <v>0.67079999999999995</v>
      </c>
    </row>
    <row r="5" spans="3:41" x14ac:dyDescent="0.3">
      <c r="C5" t="s">
        <v>79</v>
      </c>
      <c r="D5">
        <f>1000/D4</f>
        <v>2</v>
      </c>
      <c r="E5" t="s">
        <v>82</v>
      </c>
      <c r="G5" t="s">
        <v>94</v>
      </c>
      <c r="H5">
        <v>1</v>
      </c>
      <c r="L5">
        <v>2</v>
      </c>
      <c r="M5">
        <v>633</v>
      </c>
      <c r="N5" s="4">
        <f t="shared" si="0"/>
        <v>620</v>
      </c>
      <c r="O5" s="10">
        <f t="shared" si="1"/>
        <v>2.0537124802527645E-2</v>
      </c>
      <c r="R5" s="4">
        <v>2</v>
      </c>
      <c r="S5">
        <v>582</v>
      </c>
      <c r="U5">
        <v>0.1</v>
      </c>
      <c r="V5">
        <v>4.87</v>
      </c>
      <c r="W5" s="10">
        <f t="shared" ref="W5:W7" si="2">(V5-$V$4)/$V$4</f>
        <v>0</v>
      </c>
      <c r="X5">
        <v>0.1</v>
      </c>
      <c r="Y5">
        <v>6.4</v>
      </c>
      <c r="Z5" s="10">
        <f>(Y5-$Y$4)/$Y$4</f>
        <v>1.4263074484944651E-2</v>
      </c>
      <c r="AA5" s="4">
        <v>0.2</v>
      </c>
      <c r="AB5" s="4">
        <v>14.29</v>
      </c>
      <c r="AC5" s="10">
        <f>(AB5-$AB$4)/$AB$4</f>
        <v>4.9226441631503868E-3</v>
      </c>
      <c r="AJ5">
        <v>0.254</v>
      </c>
      <c r="AK5" s="4">
        <v>0.254</v>
      </c>
      <c r="AL5" s="4">
        <v>4.5999999999999996</v>
      </c>
      <c r="AM5">
        <v>3.1</v>
      </c>
      <c r="AN5">
        <v>0.89559999999999995</v>
      </c>
    </row>
    <row r="6" spans="3:41" x14ac:dyDescent="0.3">
      <c r="G6" t="s">
        <v>95</v>
      </c>
      <c r="H6">
        <v>400</v>
      </c>
      <c r="L6">
        <v>3</v>
      </c>
      <c r="M6">
        <v>1370</v>
      </c>
      <c r="N6" s="4">
        <f t="shared" si="0"/>
        <v>1395</v>
      </c>
      <c r="O6" s="10">
        <f t="shared" si="1"/>
        <v>-1.824817518248175E-2</v>
      </c>
      <c r="R6" s="4">
        <v>3</v>
      </c>
      <c r="S6">
        <v>1000</v>
      </c>
      <c r="U6">
        <v>0.3</v>
      </c>
      <c r="V6">
        <v>4.88</v>
      </c>
      <c r="W6" s="10">
        <f t="shared" si="2"/>
        <v>2.0533880903490323E-3</v>
      </c>
      <c r="X6">
        <v>0.2</v>
      </c>
      <c r="Y6">
        <v>6.44</v>
      </c>
      <c r="Z6" s="10">
        <f t="shared" ref="Z6:Z16" si="3">(Y6-$Y$4)/$Y$4</f>
        <v>2.0602218700475562E-2</v>
      </c>
      <c r="AA6" s="4">
        <v>0.4</v>
      </c>
      <c r="AB6" s="4">
        <v>14.33</v>
      </c>
      <c r="AC6" s="10">
        <f>(AB6-$AB$4)/$AB$4</f>
        <v>7.7355836849507332E-3</v>
      </c>
      <c r="AJ6">
        <v>0.50800000000000001</v>
      </c>
      <c r="AK6" s="4">
        <v>0.254</v>
      </c>
      <c r="AL6" s="4">
        <v>4.5999999999999996</v>
      </c>
      <c r="AM6">
        <v>3.3412000000000002</v>
      </c>
      <c r="AN6">
        <v>1.3143</v>
      </c>
    </row>
    <row r="7" spans="3:41" x14ac:dyDescent="0.3">
      <c r="C7" t="s">
        <v>86</v>
      </c>
      <c r="D7">
        <v>2.5</v>
      </c>
      <c r="E7" t="s">
        <v>4</v>
      </c>
      <c r="L7">
        <v>4</v>
      </c>
      <c r="M7">
        <v>2516</v>
      </c>
      <c r="N7" s="4">
        <f t="shared" si="0"/>
        <v>2480</v>
      </c>
      <c r="O7" s="10">
        <f t="shared" si="1"/>
        <v>1.4308426073131956E-2</v>
      </c>
      <c r="R7" s="4">
        <v>4</v>
      </c>
      <c r="S7">
        <v>1818</v>
      </c>
      <c r="U7">
        <v>0.5</v>
      </c>
      <c r="V7">
        <v>4.88</v>
      </c>
      <c r="W7" s="10">
        <f t="shared" si="2"/>
        <v>2.0533880903490323E-3</v>
      </c>
      <c r="X7">
        <v>0.4</v>
      </c>
      <c r="Y7">
        <v>6.48</v>
      </c>
      <c r="Z7" s="10">
        <f t="shared" si="3"/>
        <v>2.6941362916006472E-2</v>
      </c>
      <c r="AA7" s="4">
        <v>0.6</v>
      </c>
      <c r="AB7" s="4">
        <v>14.3</v>
      </c>
      <c r="AC7" s="10">
        <f>(AB7-$AB$4)/$AB$4</f>
        <v>5.625879043600567E-3</v>
      </c>
      <c r="AJ7">
        <v>1</v>
      </c>
      <c r="AK7" s="4">
        <v>0.254</v>
      </c>
      <c r="AL7" s="4">
        <v>4.5999999999999996</v>
      </c>
      <c r="AM7">
        <v>3.6095000000000002</v>
      </c>
      <c r="AN7">
        <v>2.0973999999999999</v>
      </c>
    </row>
    <row r="8" spans="3:41" x14ac:dyDescent="0.3">
      <c r="C8" t="s">
        <v>84</v>
      </c>
      <c r="D8" s="9">
        <v>0.4</v>
      </c>
      <c r="L8">
        <v>5</v>
      </c>
      <c r="M8">
        <v>3500</v>
      </c>
      <c r="N8" s="4">
        <f t="shared" si="0"/>
        <v>3875</v>
      </c>
      <c r="O8" s="10">
        <f t="shared" si="1"/>
        <v>-0.10714285714285714</v>
      </c>
      <c r="R8" s="4">
        <v>5</v>
      </c>
      <c r="S8">
        <v>2900</v>
      </c>
      <c r="U8">
        <v>0.7</v>
      </c>
      <c r="V8" s="4">
        <v>4.88</v>
      </c>
      <c r="W8" s="10">
        <f t="shared" ref="W8:W13" si="4">(V8-$V$4)/$V$4</f>
        <v>2.0533880903490323E-3</v>
      </c>
      <c r="X8">
        <v>0.6</v>
      </c>
      <c r="Y8">
        <v>6.5</v>
      </c>
      <c r="Z8" s="10">
        <f t="shared" si="3"/>
        <v>3.0110935023771854E-2</v>
      </c>
      <c r="AA8" s="4">
        <v>0.9</v>
      </c>
      <c r="AB8" s="4">
        <v>14.2</v>
      </c>
      <c r="AC8" s="10">
        <f>(AB8-$AB$4)/$AB$4</f>
        <v>-1.4064697609002354E-3</v>
      </c>
      <c r="AJ8">
        <v>2</v>
      </c>
      <c r="AK8" s="4">
        <v>0.254</v>
      </c>
      <c r="AL8" s="4">
        <v>4.5999999999999996</v>
      </c>
      <c r="AM8">
        <v>3.8887999999999998</v>
      </c>
      <c r="AN8">
        <v>3.6715</v>
      </c>
    </row>
    <row r="9" spans="3:41" x14ac:dyDescent="0.3">
      <c r="C9" t="s">
        <v>85</v>
      </c>
      <c r="D9">
        <f>D8*D5</f>
        <v>0.8</v>
      </c>
      <c r="E9" t="s">
        <v>82</v>
      </c>
      <c r="L9">
        <v>6</v>
      </c>
      <c r="M9">
        <v>5420</v>
      </c>
      <c r="N9" s="4">
        <f t="shared" si="0"/>
        <v>5580</v>
      </c>
      <c r="O9" s="10">
        <f t="shared" si="1"/>
        <v>-2.9520295202952029E-2</v>
      </c>
      <c r="R9" s="4">
        <v>6</v>
      </c>
      <c r="S9">
        <v>4630</v>
      </c>
      <c r="U9">
        <v>1.44</v>
      </c>
      <c r="V9">
        <v>4.8499999999999996</v>
      </c>
      <c r="W9" s="10">
        <f t="shared" si="4"/>
        <v>-4.1067761806982466E-3</v>
      </c>
      <c r="X9">
        <v>0.9</v>
      </c>
      <c r="Y9">
        <v>6.51</v>
      </c>
      <c r="Z9" s="10">
        <f t="shared" si="3"/>
        <v>3.1695721077654546E-2</v>
      </c>
      <c r="AA9" s="4">
        <v>1.2</v>
      </c>
      <c r="AB9" s="4">
        <v>14</v>
      </c>
      <c r="AC9" s="10">
        <f>(AB9-$AB$4)/$AB$4</f>
        <v>-1.5471167369901591E-2</v>
      </c>
      <c r="AJ9">
        <v>20</v>
      </c>
      <c r="AK9" s="4">
        <v>0.254</v>
      </c>
      <c r="AL9" s="4">
        <v>4.5999999999999996</v>
      </c>
      <c r="AM9">
        <v>4.4530000000000003</v>
      </c>
      <c r="AN9">
        <v>32.2164</v>
      </c>
    </row>
    <row r="10" spans="3:41" x14ac:dyDescent="0.3">
      <c r="C10" t="s">
        <v>87</v>
      </c>
      <c r="D10">
        <f>D7*D5</f>
        <v>5</v>
      </c>
      <c r="E10" t="s">
        <v>88</v>
      </c>
      <c r="L10">
        <v>7</v>
      </c>
      <c r="M10">
        <v>7360</v>
      </c>
      <c r="N10" s="4">
        <f t="shared" si="0"/>
        <v>7595</v>
      </c>
      <c r="O10" s="10">
        <f t="shared" si="1"/>
        <v>-3.192934782608696E-2</v>
      </c>
      <c r="R10" s="4">
        <v>7</v>
      </c>
      <c r="S10">
        <v>6.31</v>
      </c>
      <c r="U10">
        <v>1.9</v>
      </c>
      <c r="V10">
        <v>4.8</v>
      </c>
      <c r="W10" s="10">
        <f t="shared" si="4"/>
        <v>-1.437371663244359E-2</v>
      </c>
      <c r="X10">
        <v>1.2</v>
      </c>
      <c r="Y10">
        <v>6.5</v>
      </c>
      <c r="Z10" s="10">
        <f t="shared" si="3"/>
        <v>3.0110935023771854E-2</v>
      </c>
      <c r="AA10" s="4">
        <v>1.5</v>
      </c>
      <c r="AB10" s="4">
        <v>13.6</v>
      </c>
      <c r="AC10" s="10">
        <f>(AB10-$AB$4)/$AB$4</f>
        <v>-4.3600562587904429E-2</v>
      </c>
    </row>
    <row r="11" spans="3:41" x14ac:dyDescent="0.3">
      <c r="C11" t="s">
        <v>89</v>
      </c>
      <c r="D11" s="9">
        <v>0.7</v>
      </c>
      <c r="L11">
        <v>8</v>
      </c>
      <c r="M11">
        <v>9640</v>
      </c>
      <c r="N11" s="4">
        <f t="shared" si="0"/>
        <v>9920</v>
      </c>
      <c r="O11" s="10">
        <f t="shared" si="1"/>
        <v>-2.9045643153526972E-2</v>
      </c>
      <c r="R11" s="4">
        <v>8</v>
      </c>
      <c r="U11">
        <v>2.2000000000000002</v>
      </c>
      <c r="V11">
        <v>4.78</v>
      </c>
      <c r="W11" s="10">
        <f t="shared" si="4"/>
        <v>-1.8480492813141656E-2</v>
      </c>
      <c r="X11">
        <v>1.5</v>
      </c>
      <c r="Y11">
        <v>6.5</v>
      </c>
      <c r="Z11" s="10">
        <f t="shared" si="3"/>
        <v>3.0110935023771854E-2</v>
      </c>
      <c r="AA11" s="4">
        <v>1.8</v>
      </c>
      <c r="AB11" s="4">
        <v>12.9</v>
      </c>
      <c r="AC11" s="10">
        <f>(AB11-$AB$4)/$AB$4</f>
        <v>-9.2827004219409301E-2</v>
      </c>
    </row>
    <row r="12" spans="3:41" x14ac:dyDescent="0.3">
      <c r="C12" t="s">
        <v>90</v>
      </c>
      <c r="D12">
        <f>D10/D11</f>
        <v>7.1428571428571432</v>
      </c>
      <c r="E12" t="s">
        <v>88</v>
      </c>
      <c r="O12" s="10"/>
      <c r="U12">
        <v>2.6</v>
      </c>
      <c r="V12">
        <v>4.67</v>
      </c>
      <c r="W12" s="10">
        <f t="shared" si="4"/>
        <v>-4.1067761806981552E-2</v>
      </c>
      <c r="X12">
        <v>1.8</v>
      </c>
      <c r="Y12">
        <v>6.43</v>
      </c>
      <c r="Z12" s="10">
        <f t="shared" si="3"/>
        <v>1.9017432646592728E-2</v>
      </c>
      <c r="AA12" s="4">
        <v>2.1</v>
      </c>
      <c r="AB12" s="4">
        <v>11.3</v>
      </c>
      <c r="AC12" s="10">
        <f>(AB12-$AB$4)/$AB$4</f>
        <v>-0.20534458509142053</v>
      </c>
    </row>
    <row r="13" spans="3:41" x14ac:dyDescent="0.3">
      <c r="C13" t="s">
        <v>91</v>
      </c>
      <c r="D13">
        <f>D12/D9</f>
        <v>8.9285714285714288</v>
      </c>
      <c r="E13" t="s">
        <v>4</v>
      </c>
      <c r="U13">
        <v>2.8</v>
      </c>
      <c r="V13">
        <v>4.62</v>
      </c>
      <c r="W13" s="10">
        <f t="shared" si="4"/>
        <v>-5.1334702258726897E-2</v>
      </c>
      <c r="X13">
        <v>2.1</v>
      </c>
      <c r="Y13">
        <v>6.36</v>
      </c>
      <c r="Z13" s="10">
        <f t="shared" si="3"/>
        <v>7.9239302694137422E-3</v>
      </c>
      <c r="AA13">
        <v>2.2000000000000002</v>
      </c>
      <c r="AB13">
        <v>9.9</v>
      </c>
      <c r="AC13" s="10">
        <f>(AB13-$AB$4)/$AB$4</f>
        <v>-0.30379746835443039</v>
      </c>
      <c r="AJ13" t="s">
        <v>146</v>
      </c>
      <c r="AK13" t="s">
        <v>145</v>
      </c>
      <c r="AL13" t="s">
        <v>144</v>
      </c>
      <c r="AM13" t="s">
        <v>139</v>
      </c>
      <c r="AN13" t="s">
        <v>142</v>
      </c>
      <c r="AO13" t="s">
        <v>143</v>
      </c>
    </row>
    <row r="14" spans="3:41" x14ac:dyDescent="0.3">
      <c r="U14">
        <v>3</v>
      </c>
      <c r="V14">
        <v>4.59</v>
      </c>
      <c r="W14" s="10">
        <f>(V14-$V$4)/$V$4</f>
        <v>-5.7494866529774175E-2</v>
      </c>
      <c r="X14">
        <v>2.5</v>
      </c>
      <c r="Y14">
        <v>6.19</v>
      </c>
      <c r="Z14" s="10">
        <f t="shared" si="3"/>
        <v>-1.9017432646592586E-2</v>
      </c>
      <c r="AA14">
        <v>2.2999999999999998</v>
      </c>
      <c r="AB14" s="4">
        <v>7.6</v>
      </c>
      <c r="AC14" s="10">
        <f>(AB14-$AB$4)/$AB$4</f>
        <v>-0.4655414908579466</v>
      </c>
      <c r="AJ14">
        <v>0.15</v>
      </c>
      <c r="AK14">
        <v>0.21</v>
      </c>
      <c r="AL14">
        <v>1</v>
      </c>
      <c r="AM14">
        <v>4.2</v>
      </c>
      <c r="AN14">
        <v>2.6549999999999998</v>
      </c>
      <c r="AO14">
        <v>3.1076999999999999</v>
      </c>
    </row>
    <row r="15" spans="3:41" x14ac:dyDescent="0.3">
      <c r="C15" t="s">
        <v>92</v>
      </c>
      <c r="D15">
        <f>2*D7*H4*H5/(H6*H6*D11*D4*1000)</f>
        <v>8.9285714285714288E-11</v>
      </c>
      <c r="X15">
        <v>2.9</v>
      </c>
      <c r="Y15">
        <v>5.77</v>
      </c>
      <c r="Z15" s="10">
        <f t="shared" si="3"/>
        <v>-8.5578446909667205E-2</v>
      </c>
      <c r="AA15" s="4">
        <v>2.5</v>
      </c>
      <c r="AB15" s="4">
        <v>5</v>
      </c>
      <c r="AC15" s="10">
        <f>(AB15-$AB$4)/$AB$4</f>
        <v>-0.64838255977496484</v>
      </c>
      <c r="AO15" s="4"/>
    </row>
    <row r="16" spans="3:41" x14ac:dyDescent="0.3">
      <c r="L16">
        <v>0.97</v>
      </c>
      <c r="M16">
        <v>2.5</v>
      </c>
      <c r="N16" s="10">
        <f>L16/M16</f>
        <v>0.38800000000000001</v>
      </c>
      <c r="X16">
        <v>2.8</v>
      </c>
      <c r="Y16">
        <v>5.95</v>
      </c>
      <c r="Z16" s="10">
        <f t="shared" si="3"/>
        <v>-5.7052297939778042E-2</v>
      </c>
      <c r="AA16" s="4"/>
      <c r="AB16" s="4"/>
      <c r="AC16" s="10"/>
    </row>
    <row r="17" spans="12:40" x14ac:dyDescent="0.3">
      <c r="AJ17" t="s">
        <v>147</v>
      </c>
      <c r="AK17" t="s">
        <v>148</v>
      </c>
      <c r="AL17" t="s">
        <v>149</v>
      </c>
      <c r="AM17" t="s">
        <v>150</v>
      </c>
      <c r="AN17" t="s">
        <v>151</v>
      </c>
    </row>
    <row r="18" spans="12:40" x14ac:dyDescent="0.3">
      <c r="AJ18">
        <v>10</v>
      </c>
      <c r="AK18">
        <v>2</v>
      </c>
      <c r="AL18">
        <v>0.5</v>
      </c>
      <c r="AM18">
        <v>3.5</v>
      </c>
      <c r="AN18" s="42">
        <f>0.12*AK18/AJ18+0.09*(1+AM18)*LOG10(1+2*AJ18/AL18+AJ18*AJ18/AL18)</f>
        <v>0.9887169022428216</v>
      </c>
    </row>
    <row r="27" spans="12:40" x14ac:dyDescent="0.3">
      <c r="L27">
        <v>48</v>
      </c>
      <c r="M27" t="s">
        <v>83</v>
      </c>
      <c r="O27">
        <v>950</v>
      </c>
    </row>
    <row r="28" spans="12:40" x14ac:dyDescent="0.3">
      <c r="L28">
        <v>24</v>
      </c>
      <c r="M28" t="s">
        <v>83</v>
      </c>
      <c r="O28">
        <v>10</v>
      </c>
    </row>
    <row r="29" spans="12:40" x14ac:dyDescent="0.3">
      <c r="L29">
        <v>10</v>
      </c>
      <c r="M29" t="s">
        <v>124</v>
      </c>
      <c r="O29">
        <v>2000</v>
      </c>
    </row>
    <row r="30" spans="12:40" x14ac:dyDescent="0.3">
      <c r="L30">
        <f>L27-L28</f>
        <v>24</v>
      </c>
      <c r="M30" t="s">
        <v>83</v>
      </c>
      <c r="O30">
        <f>O27*O28/(O29+O28)</f>
        <v>4.7263681592039797</v>
      </c>
      <c r="P30" t="s">
        <v>83</v>
      </c>
    </row>
    <row r="31" spans="12:40" x14ac:dyDescent="0.3">
      <c r="L31">
        <f>L30/L29</f>
        <v>2.4</v>
      </c>
      <c r="M31" t="s">
        <v>136</v>
      </c>
    </row>
    <row r="32" spans="12:40" x14ac:dyDescent="0.3">
      <c r="L32">
        <f>L30*L29</f>
        <v>240</v>
      </c>
      <c r="M32" t="s">
        <v>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Bourlot</dc:creator>
  <cp:lastModifiedBy>Xavier Bourlot</cp:lastModifiedBy>
  <dcterms:created xsi:type="dcterms:W3CDTF">2024-01-25T09:50:51Z</dcterms:created>
  <dcterms:modified xsi:type="dcterms:W3CDTF">2024-02-09T15:45:05Z</dcterms:modified>
</cp:coreProperties>
</file>