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xp1-my.sharepoint.com/personal/xavier_bourlot_nxp_com/Documents/Documents/Kicad/PCB_Kicad/Planar_XFMR/"/>
    </mc:Choice>
  </mc:AlternateContent>
  <xr:revisionPtr revIDLastSave="1748" documentId="8_{DD615B7A-EA43-4BF0-8AA8-17BECC04831E}" xr6:coauthVersionLast="47" xr6:coauthVersionMax="47" xr10:uidLastSave="{A268F306-E374-4919-B6D1-11953948EAB5}"/>
  <bookViews>
    <workbookView xWindow="28680" yWindow="-120" windowWidth="29040" windowHeight="15840" activeTab="6" xr2:uid="{579F1847-482E-4316-B27D-C170499B655C}"/>
  </bookViews>
  <sheets>
    <sheet name="EELP22" sheetId="4" r:id="rId1"/>
    <sheet name="ER11-12V" sheetId="1" r:id="rId2"/>
    <sheet name="ER9.5-48V" sheetId="3" r:id="rId3"/>
    <sheet name="Sheet2" sheetId="2" r:id="rId4"/>
    <sheet name="Sheet1" sheetId="5" r:id="rId5"/>
    <sheet name="ER11-48V" sheetId="6" r:id="rId6"/>
    <sheet name="48V_design_measurement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7" l="1"/>
  <c r="K17" i="7"/>
  <c r="E28" i="7"/>
  <c r="E35" i="7" s="1"/>
  <c r="E37" i="7"/>
  <c r="B43" i="7"/>
  <c r="D47" i="7"/>
  <c r="G47" i="7"/>
  <c r="G53" i="7" s="1"/>
  <c r="G54" i="7" s="1"/>
  <c r="D48" i="7"/>
  <c r="D50" i="7" s="1"/>
  <c r="D51" i="7" s="1"/>
  <c r="B53" i="7" s="1"/>
  <c r="G48" i="7"/>
  <c r="D49" i="7"/>
  <c r="G49" i="7"/>
  <c r="G50" i="7"/>
  <c r="G51" i="7"/>
  <c r="G52" i="7"/>
  <c r="L9" i="6"/>
  <c r="Y28" i="6"/>
  <c r="L10" i="6"/>
  <c r="L18" i="6" s="1"/>
  <c r="L11" i="6"/>
  <c r="X20" i="6"/>
  <c r="X22" i="6" s="1"/>
  <c r="X24" i="6" s="1"/>
  <c r="B30" i="6"/>
  <c r="B31" i="6" s="1"/>
  <c r="B29" i="6"/>
  <c r="E29" i="6" s="1"/>
  <c r="S25" i="6"/>
  <c r="T15" i="6"/>
  <c r="X14" i="6"/>
  <c r="T14" i="6"/>
  <c r="T16" i="6" s="1"/>
  <c r="X13" i="6"/>
  <c r="Q10" i="6"/>
  <c r="C8" i="6"/>
  <c r="C29" i="6" s="1"/>
  <c r="X6" i="6"/>
  <c r="Q4" i="6"/>
  <c r="T12" i="6" s="1"/>
  <c r="D32" i="5"/>
  <c r="E43" i="7" l="1"/>
  <c r="E56" i="7" s="1"/>
  <c r="L12" i="6"/>
  <c r="X4" i="6" s="1"/>
  <c r="C9" i="6"/>
  <c r="B32" i="6"/>
  <c r="C32" i="6" s="1"/>
  <c r="E31" i="6"/>
  <c r="C31" i="6"/>
  <c r="C30" i="6"/>
  <c r="D29" i="6"/>
  <c r="E30" i="6"/>
  <c r="Q6" i="6"/>
  <c r="Q8" i="6" s="1"/>
  <c r="K26" i="5"/>
  <c r="D13" i="5"/>
  <c r="D9" i="5"/>
  <c r="D11" i="5" s="1"/>
  <c r="I11" i="5" s="1"/>
  <c r="D17" i="5" s="1"/>
  <c r="D18" i="5" s="1"/>
  <c r="D19" i="5" s="1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L17" i="3"/>
  <c r="L24" i="4"/>
  <c r="L22" i="4"/>
  <c r="L20" i="4"/>
  <c r="L17" i="4"/>
  <c r="L15" i="4"/>
  <c r="B112" i="4"/>
  <c r="C112" i="4" s="1"/>
  <c r="B94" i="4"/>
  <c r="C94" i="4" s="1"/>
  <c r="B95" i="4"/>
  <c r="C95" i="4" s="1"/>
  <c r="B77" i="4"/>
  <c r="C77" i="4" s="1"/>
  <c r="B78" i="4"/>
  <c r="C78" i="4" s="1"/>
  <c r="X6" i="4"/>
  <c r="X7" i="4"/>
  <c r="B29" i="4"/>
  <c r="B28" i="4"/>
  <c r="E28" i="4" s="1"/>
  <c r="L25" i="4"/>
  <c r="S24" i="4"/>
  <c r="X21" i="4"/>
  <c r="X23" i="4" s="1"/>
  <c r="T14" i="4"/>
  <c r="X13" i="4"/>
  <c r="X12" i="4"/>
  <c r="T11" i="4"/>
  <c r="L11" i="4"/>
  <c r="L12" i="4" s="1"/>
  <c r="Q10" i="4"/>
  <c r="T13" i="4" s="1"/>
  <c r="T15" i="4" s="1"/>
  <c r="C8" i="4"/>
  <c r="Q6" i="4"/>
  <c r="Q8" i="4" s="1"/>
  <c r="Q4" i="4"/>
  <c r="X7" i="3"/>
  <c r="S24" i="1"/>
  <c r="B39" i="1"/>
  <c r="B29" i="3"/>
  <c r="B30" i="3" s="1"/>
  <c r="B31" i="3" s="1"/>
  <c r="E31" i="3" s="1"/>
  <c r="E28" i="3"/>
  <c r="B28" i="3"/>
  <c r="L25" i="3"/>
  <c r="S24" i="3"/>
  <c r="X23" i="3"/>
  <c r="X21" i="3"/>
  <c r="T14" i="3"/>
  <c r="X13" i="3"/>
  <c r="X12" i="3"/>
  <c r="L11" i="3"/>
  <c r="L12" i="3" s="1"/>
  <c r="Q10" i="3"/>
  <c r="T13" i="3" s="1"/>
  <c r="C9" i="3"/>
  <c r="C8" i="3"/>
  <c r="Q4" i="3"/>
  <c r="Q6" i="3" s="1"/>
  <c r="Q8" i="3" s="1"/>
  <c r="X23" i="1"/>
  <c r="X21" i="1"/>
  <c r="AH5" i="2"/>
  <c r="AH6" i="2"/>
  <c r="AH7" i="2"/>
  <c r="AH8" i="2"/>
  <c r="AH9" i="2"/>
  <c r="AH10" i="2"/>
  <c r="AH11" i="2"/>
  <c r="AH12" i="2"/>
  <c r="AH13" i="2"/>
  <c r="AH14" i="2"/>
  <c r="AH15" i="2"/>
  <c r="AH16" i="2"/>
  <c r="AH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4" i="2"/>
  <c r="X5" i="2"/>
  <c r="X6" i="2"/>
  <c r="X7" i="2"/>
  <c r="X8" i="2"/>
  <c r="X9" i="2"/>
  <c r="X10" i="2"/>
  <c r="X11" i="2"/>
  <c r="X12" i="2"/>
  <c r="X13" i="2"/>
  <c r="X14" i="2"/>
  <c r="X4" i="2"/>
  <c r="W5" i="2"/>
  <c r="W6" i="2"/>
  <c r="W7" i="2"/>
  <c r="AG6" i="2"/>
  <c r="AG7" i="2"/>
  <c r="AG8" i="2"/>
  <c r="AG9" i="2"/>
  <c r="AG10" i="2"/>
  <c r="AG11" i="2"/>
  <c r="AG12" i="2"/>
  <c r="AG13" i="2"/>
  <c r="AG14" i="2"/>
  <c r="AG15" i="2"/>
  <c r="AG5" i="2"/>
  <c r="AB6" i="2"/>
  <c r="AB7" i="2"/>
  <c r="AB8" i="2"/>
  <c r="AB9" i="2"/>
  <c r="AB10" i="2"/>
  <c r="AB11" i="2"/>
  <c r="AB12" i="2"/>
  <c r="AB13" i="2"/>
  <c r="AB14" i="2"/>
  <c r="AB15" i="2"/>
  <c r="AB16" i="2"/>
  <c r="AB5" i="2"/>
  <c r="W8" i="2"/>
  <c r="W9" i="2"/>
  <c r="W10" i="2"/>
  <c r="W11" i="2"/>
  <c r="W12" i="2"/>
  <c r="W13" i="2"/>
  <c r="W14" i="2"/>
  <c r="AR18" i="2"/>
  <c r="O30" i="2"/>
  <c r="L30" i="2"/>
  <c r="L31" i="2" s="1"/>
  <c r="X13" i="1"/>
  <c r="X12" i="1"/>
  <c r="X6" i="1"/>
  <c r="X7" i="1" s="1"/>
  <c r="F29" i="6" l="1"/>
  <c r="G29" i="6" s="1"/>
  <c r="L13" i="6"/>
  <c r="X3" i="6" s="1"/>
  <c r="X7" i="6" s="1"/>
  <c r="D32" i="6"/>
  <c r="H31" i="6"/>
  <c r="G31" i="6"/>
  <c r="F31" i="6"/>
  <c r="D31" i="6"/>
  <c r="G30" i="6"/>
  <c r="H30" i="6"/>
  <c r="F30" i="6"/>
  <c r="D30" i="6"/>
  <c r="B33" i="6"/>
  <c r="E32" i="6"/>
  <c r="D20" i="5"/>
  <c r="D21" i="5" s="1"/>
  <c r="D112" i="4"/>
  <c r="B113" i="4"/>
  <c r="E112" i="4"/>
  <c r="D95" i="4"/>
  <c r="D94" i="4"/>
  <c r="H94" i="4"/>
  <c r="F94" i="4"/>
  <c r="G94" i="4"/>
  <c r="B96" i="4"/>
  <c r="E94" i="4"/>
  <c r="E95" i="4"/>
  <c r="D78" i="4"/>
  <c r="D77" i="4"/>
  <c r="G77" i="4"/>
  <c r="F77" i="4"/>
  <c r="H77" i="4"/>
  <c r="E77" i="4"/>
  <c r="B79" i="4"/>
  <c r="E78" i="4"/>
  <c r="C28" i="4"/>
  <c r="C9" i="4"/>
  <c r="C29" i="4"/>
  <c r="B30" i="4"/>
  <c r="E29" i="4"/>
  <c r="T15" i="3"/>
  <c r="C30" i="3"/>
  <c r="T11" i="3"/>
  <c r="E30" i="3"/>
  <c r="C31" i="3"/>
  <c r="B32" i="3"/>
  <c r="C29" i="3"/>
  <c r="C28" i="3"/>
  <c r="E29" i="3"/>
  <c r="L32" i="2"/>
  <c r="T14" i="1"/>
  <c r="N16" i="2"/>
  <c r="Q10" i="1"/>
  <c r="T13" i="1" s="1"/>
  <c r="T15" i="1" s="1"/>
  <c r="Q4" i="1"/>
  <c r="T11" i="1" s="1"/>
  <c r="N4" i="2"/>
  <c r="O4" i="2" s="1"/>
  <c r="N5" i="2"/>
  <c r="O5" i="2" s="1"/>
  <c r="N6" i="2"/>
  <c r="O6" i="2" s="1"/>
  <c r="N7" i="2"/>
  <c r="O7" i="2" s="1"/>
  <c r="N8" i="2"/>
  <c r="O8" i="2" s="1"/>
  <c r="N9" i="2"/>
  <c r="O9" i="2" s="1"/>
  <c r="N10" i="2"/>
  <c r="O10" i="2" s="1"/>
  <c r="N11" i="2"/>
  <c r="O11" i="2" s="1"/>
  <c r="D15" i="2"/>
  <c r="D5" i="2"/>
  <c r="D9" i="2" s="1"/>
  <c r="L25" i="1"/>
  <c r="L11" i="1"/>
  <c r="L12" i="1" s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L17" i="1"/>
  <c r="C8" i="1"/>
  <c r="C33" i="1" s="1"/>
  <c r="H29" i="6" l="1"/>
  <c r="B34" i="6"/>
  <c r="E33" i="6"/>
  <c r="C33" i="6"/>
  <c r="D23" i="5"/>
  <c r="D24" i="5" s="1"/>
  <c r="D26" i="5" s="1"/>
  <c r="D22" i="5"/>
  <c r="C113" i="4"/>
  <c r="E113" i="4"/>
  <c r="B114" i="4"/>
  <c r="E96" i="4"/>
  <c r="C96" i="4"/>
  <c r="B97" i="4"/>
  <c r="B80" i="4"/>
  <c r="E79" i="4"/>
  <c r="C79" i="4"/>
  <c r="B31" i="4"/>
  <c r="E30" i="4"/>
  <c r="D28" i="4"/>
  <c r="F28" i="4" s="1"/>
  <c r="C30" i="4"/>
  <c r="D29" i="4"/>
  <c r="H28" i="3"/>
  <c r="D28" i="3"/>
  <c r="G28" i="3"/>
  <c r="D31" i="3"/>
  <c r="H30" i="3"/>
  <c r="G30" i="3"/>
  <c r="D30" i="3"/>
  <c r="E32" i="3"/>
  <c r="B33" i="3"/>
  <c r="H29" i="3"/>
  <c r="G29" i="3"/>
  <c r="D29" i="3"/>
  <c r="C32" i="3"/>
  <c r="D10" i="2"/>
  <c r="D12" i="2" s="1"/>
  <c r="D13" i="2" s="1"/>
  <c r="C55" i="1"/>
  <c r="E55" i="1"/>
  <c r="B56" i="1"/>
  <c r="C56" i="1" s="1"/>
  <c r="D56" i="1" s="1"/>
  <c r="Q6" i="1"/>
  <c r="Q8" i="1" s="1"/>
  <c r="C41" i="1"/>
  <c r="C52" i="1"/>
  <c r="C51" i="1"/>
  <c r="C38" i="1"/>
  <c r="C42" i="1"/>
  <c r="C50" i="1"/>
  <c r="C49" i="1"/>
  <c r="C37" i="1"/>
  <c r="C46" i="1"/>
  <c r="C32" i="1"/>
  <c r="C54" i="1"/>
  <c r="C44" i="1"/>
  <c r="C45" i="1"/>
  <c r="C53" i="1"/>
  <c r="C43" i="1"/>
  <c r="C48" i="1"/>
  <c r="C40" i="1"/>
  <c r="C28" i="1"/>
  <c r="D28" i="1" s="1"/>
  <c r="C47" i="1"/>
  <c r="D47" i="1" s="1"/>
  <c r="C39" i="1"/>
  <c r="C31" i="1"/>
  <c r="C30" i="1"/>
  <c r="C29" i="1"/>
  <c r="C36" i="1"/>
  <c r="C35" i="1"/>
  <c r="C34" i="1"/>
  <c r="E28" i="1"/>
  <c r="E29" i="1"/>
  <c r="C9" i="1"/>
  <c r="E34" i="6" l="1"/>
  <c r="B35" i="6"/>
  <c r="C34" i="6"/>
  <c r="D33" i="6"/>
  <c r="F32" i="6"/>
  <c r="H32" i="6" s="1"/>
  <c r="E114" i="4"/>
  <c r="B115" i="4"/>
  <c r="C114" i="4"/>
  <c r="F113" i="4" s="1"/>
  <c r="D113" i="4"/>
  <c r="F112" i="4"/>
  <c r="H112" i="4"/>
  <c r="G112" i="4"/>
  <c r="E97" i="4"/>
  <c r="B98" i="4"/>
  <c r="C97" i="4"/>
  <c r="D96" i="4"/>
  <c r="F96" i="4"/>
  <c r="F95" i="4"/>
  <c r="G95" i="4"/>
  <c r="H95" i="4"/>
  <c r="D79" i="4"/>
  <c r="H78" i="4"/>
  <c r="F78" i="4"/>
  <c r="G78" i="4"/>
  <c r="E80" i="4"/>
  <c r="B81" i="4"/>
  <c r="C80" i="4"/>
  <c r="H79" i="4" s="1"/>
  <c r="H28" i="4"/>
  <c r="G28" i="4"/>
  <c r="D30" i="4"/>
  <c r="F29" i="4"/>
  <c r="H29" i="4" s="1"/>
  <c r="B32" i="4"/>
  <c r="E31" i="4"/>
  <c r="C31" i="4"/>
  <c r="F55" i="1"/>
  <c r="B57" i="1"/>
  <c r="E57" i="1" s="1"/>
  <c r="H55" i="1"/>
  <c r="D55" i="1"/>
  <c r="G55" i="1"/>
  <c r="E56" i="1"/>
  <c r="G31" i="3"/>
  <c r="E33" i="3"/>
  <c r="B34" i="3"/>
  <c r="C33" i="3"/>
  <c r="G32" i="3" s="1"/>
  <c r="H31" i="3"/>
  <c r="D32" i="3"/>
  <c r="C57" i="1"/>
  <c r="E47" i="1"/>
  <c r="E48" i="1"/>
  <c r="F28" i="1"/>
  <c r="G28" i="1" s="1"/>
  <c r="D29" i="1"/>
  <c r="E30" i="1"/>
  <c r="F33" i="6" l="1"/>
  <c r="H33" i="6" s="1"/>
  <c r="E35" i="6"/>
  <c r="B36" i="6"/>
  <c r="C35" i="6"/>
  <c r="F34" i="6" s="1"/>
  <c r="G32" i="6"/>
  <c r="D34" i="6"/>
  <c r="G34" i="6"/>
  <c r="H32" i="3"/>
  <c r="G113" i="4"/>
  <c r="D114" i="4"/>
  <c r="H113" i="4"/>
  <c r="E115" i="4"/>
  <c r="B116" i="4"/>
  <c r="C115" i="4"/>
  <c r="H114" i="4" s="1"/>
  <c r="D97" i="4"/>
  <c r="H96" i="4"/>
  <c r="B99" i="4"/>
  <c r="E98" i="4"/>
  <c r="C98" i="4"/>
  <c r="G97" i="4" s="1"/>
  <c r="G96" i="4"/>
  <c r="D80" i="4"/>
  <c r="G80" i="4"/>
  <c r="H80" i="4"/>
  <c r="F79" i="4"/>
  <c r="G79" i="4"/>
  <c r="E81" i="4"/>
  <c r="B82" i="4"/>
  <c r="C81" i="4"/>
  <c r="G29" i="4"/>
  <c r="D31" i="4"/>
  <c r="B33" i="4"/>
  <c r="E32" i="4"/>
  <c r="C32" i="4"/>
  <c r="F30" i="4"/>
  <c r="G30" i="4" s="1"/>
  <c r="B58" i="1"/>
  <c r="E58" i="1" s="1"/>
  <c r="E34" i="3"/>
  <c r="C34" i="3"/>
  <c r="H33" i="3" s="1"/>
  <c r="B35" i="3"/>
  <c r="D33" i="3"/>
  <c r="D57" i="1"/>
  <c r="F56" i="1"/>
  <c r="H56" i="1" s="1"/>
  <c r="G56" i="1"/>
  <c r="F29" i="1"/>
  <c r="G29" i="1" s="1"/>
  <c r="H28" i="1"/>
  <c r="F47" i="1"/>
  <c r="G47" i="1" s="1"/>
  <c r="E49" i="1"/>
  <c r="D48" i="1"/>
  <c r="D30" i="1"/>
  <c r="E31" i="1"/>
  <c r="H34" i="6" l="1"/>
  <c r="G33" i="6"/>
  <c r="D35" i="6"/>
  <c r="E36" i="6"/>
  <c r="B37" i="6"/>
  <c r="C36" i="6"/>
  <c r="G33" i="3"/>
  <c r="G114" i="4"/>
  <c r="B117" i="4"/>
  <c r="C116" i="4"/>
  <c r="E116" i="4"/>
  <c r="F114" i="4"/>
  <c r="F115" i="4"/>
  <c r="G115" i="4"/>
  <c r="H115" i="4"/>
  <c r="D115" i="4"/>
  <c r="E99" i="4"/>
  <c r="B100" i="4"/>
  <c r="C99" i="4"/>
  <c r="G98" i="4" s="1"/>
  <c r="H97" i="4"/>
  <c r="D98" i="4"/>
  <c r="F97" i="4"/>
  <c r="C82" i="4"/>
  <c r="E82" i="4"/>
  <c r="B83" i="4"/>
  <c r="D81" i="4"/>
  <c r="F81" i="4" s="1"/>
  <c r="F80" i="4"/>
  <c r="H30" i="4"/>
  <c r="D32" i="4"/>
  <c r="F31" i="4"/>
  <c r="G31" i="4" s="1"/>
  <c r="E33" i="4"/>
  <c r="B34" i="4"/>
  <c r="C33" i="4"/>
  <c r="H47" i="1"/>
  <c r="B59" i="1"/>
  <c r="B60" i="1" s="1"/>
  <c r="C58" i="1"/>
  <c r="D58" i="1" s="1"/>
  <c r="B36" i="3"/>
  <c r="E35" i="3"/>
  <c r="C35" i="3"/>
  <c r="D34" i="3"/>
  <c r="E59" i="1"/>
  <c r="H29" i="1"/>
  <c r="F30" i="1"/>
  <c r="H30" i="1" s="1"/>
  <c r="F48" i="1"/>
  <c r="G48" i="1" s="1"/>
  <c r="D49" i="1"/>
  <c r="E50" i="1"/>
  <c r="F49" i="1"/>
  <c r="E32" i="1"/>
  <c r="D31" i="1"/>
  <c r="D36" i="6" l="1"/>
  <c r="C37" i="6"/>
  <c r="E37" i="6"/>
  <c r="B38" i="6"/>
  <c r="G35" i="6"/>
  <c r="H35" i="6"/>
  <c r="F35" i="6"/>
  <c r="D116" i="4"/>
  <c r="B118" i="4"/>
  <c r="C117" i="4"/>
  <c r="G116" i="4" s="1"/>
  <c r="E117" i="4"/>
  <c r="D99" i="4"/>
  <c r="B101" i="4"/>
  <c r="C100" i="4"/>
  <c r="F99" i="4" s="1"/>
  <c r="E100" i="4"/>
  <c r="H98" i="4"/>
  <c r="F98" i="4"/>
  <c r="H81" i="4"/>
  <c r="G81" i="4"/>
  <c r="B84" i="4"/>
  <c r="E83" i="4"/>
  <c r="C83" i="4"/>
  <c r="G82" i="4" s="1"/>
  <c r="D82" i="4"/>
  <c r="E34" i="4"/>
  <c r="B35" i="4"/>
  <c r="C34" i="4"/>
  <c r="F32" i="4"/>
  <c r="H32" i="4" s="1"/>
  <c r="H31" i="4"/>
  <c r="D33" i="4"/>
  <c r="C59" i="1"/>
  <c r="D59" i="1" s="1"/>
  <c r="F57" i="1"/>
  <c r="H57" i="1" s="1"/>
  <c r="D35" i="3"/>
  <c r="G34" i="3"/>
  <c r="H34" i="3"/>
  <c r="B37" i="3"/>
  <c r="E36" i="3"/>
  <c r="C36" i="3"/>
  <c r="C60" i="1"/>
  <c r="E60" i="1"/>
  <c r="B61" i="1"/>
  <c r="G30" i="1"/>
  <c r="H48" i="1"/>
  <c r="G49" i="1"/>
  <c r="H49" i="1"/>
  <c r="F31" i="1"/>
  <c r="H31" i="1" s="1"/>
  <c r="D50" i="1"/>
  <c r="E51" i="1"/>
  <c r="E33" i="1"/>
  <c r="D32" i="1"/>
  <c r="B39" i="6" l="1"/>
  <c r="E38" i="6"/>
  <c r="C38" i="6"/>
  <c r="D37" i="6"/>
  <c r="F36" i="6"/>
  <c r="H36" i="6" s="1"/>
  <c r="G36" i="6"/>
  <c r="D117" i="4"/>
  <c r="B119" i="4"/>
  <c r="C118" i="4"/>
  <c r="F117" i="4" s="1"/>
  <c r="E118" i="4"/>
  <c r="H116" i="4"/>
  <c r="F116" i="4"/>
  <c r="B102" i="4"/>
  <c r="C101" i="4"/>
  <c r="H100" i="4" s="1"/>
  <c r="E101" i="4"/>
  <c r="H99" i="4"/>
  <c r="D100" i="4"/>
  <c r="G99" i="4"/>
  <c r="D83" i="4"/>
  <c r="H82" i="4"/>
  <c r="B85" i="4"/>
  <c r="C84" i="4"/>
  <c r="F83" i="4" s="1"/>
  <c r="E84" i="4"/>
  <c r="F82" i="4"/>
  <c r="G32" i="4"/>
  <c r="D34" i="4"/>
  <c r="E35" i="4"/>
  <c r="B36" i="4"/>
  <c r="C35" i="4"/>
  <c r="F33" i="4"/>
  <c r="H33" i="4" s="1"/>
  <c r="H58" i="1"/>
  <c r="F58" i="1"/>
  <c r="G58" i="1"/>
  <c r="G57" i="1"/>
  <c r="B38" i="3"/>
  <c r="E37" i="3"/>
  <c r="C37" i="3"/>
  <c r="D36" i="3"/>
  <c r="H35" i="3"/>
  <c r="D60" i="1"/>
  <c r="C61" i="1"/>
  <c r="E61" i="1"/>
  <c r="B62" i="1"/>
  <c r="F59" i="1"/>
  <c r="H59" i="1" s="1"/>
  <c r="G31" i="1"/>
  <c r="F50" i="1"/>
  <c r="H50" i="1" s="1"/>
  <c r="F32" i="1"/>
  <c r="H32" i="1" s="1"/>
  <c r="D51" i="1"/>
  <c r="H51" i="1"/>
  <c r="E52" i="1"/>
  <c r="E34" i="1"/>
  <c r="D33" i="1"/>
  <c r="F37" i="6" l="1"/>
  <c r="H37" i="6" s="1"/>
  <c r="D38" i="6"/>
  <c r="B40" i="6"/>
  <c r="E39" i="6"/>
  <c r="C39" i="6"/>
  <c r="D118" i="4"/>
  <c r="H117" i="4"/>
  <c r="B120" i="4"/>
  <c r="C119" i="4"/>
  <c r="F118" i="4" s="1"/>
  <c r="E119" i="4"/>
  <c r="G117" i="4"/>
  <c r="G100" i="4"/>
  <c r="F100" i="4"/>
  <c r="D101" i="4"/>
  <c r="C102" i="4"/>
  <c r="E102" i="4"/>
  <c r="B103" i="4"/>
  <c r="G83" i="4"/>
  <c r="C85" i="4"/>
  <c r="E85" i="4"/>
  <c r="B86" i="4"/>
  <c r="G84" i="4"/>
  <c r="H84" i="4"/>
  <c r="D84" i="4"/>
  <c r="F84" i="4"/>
  <c r="H83" i="4"/>
  <c r="G33" i="4"/>
  <c r="E36" i="4"/>
  <c r="B37" i="4"/>
  <c r="C36" i="4"/>
  <c r="D35" i="4"/>
  <c r="F35" i="4" s="1"/>
  <c r="F34" i="4"/>
  <c r="H34" i="4" s="1"/>
  <c r="G59" i="1"/>
  <c r="G32" i="1"/>
  <c r="D37" i="3"/>
  <c r="G36" i="3"/>
  <c r="H36" i="3"/>
  <c r="G35" i="3"/>
  <c r="B39" i="3"/>
  <c r="E38" i="3"/>
  <c r="C38" i="3"/>
  <c r="D61" i="1"/>
  <c r="F60" i="1"/>
  <c r="H60" i="1" s="1"/>
  <c r="B63" i="1"/>
  <c r="E62" i="1"/>
  <c r="C62" i="1"/>
  <c r="F61" i="1" s="1"/>
  <c r="G60" i="1"/>
  <c r="G50" i="1"/>
  <c r="F33" i="1"/>
  <c r="G33" i="1" s="1"/>
  <c r="G51" i="1"/>
  <c r="F51" i="1"/>
  <c r="E53" i="1"/>
  <c r="D52" i="1"/>
  <c r="E35" i="1"/>
  <c r="D34" i="1"/>
  <c r="G37" i="6" l="1"/>
  <c r="D39" i="6"/>
  <c r="F38" i="6"/>
  <c r="G38" i="6"/>
  <c r="B41" i="6"/>
  <c r="E40" i="6"/>
  <c r="C40" i="6"/>
  <c r="H38" i="6"/>
  <c r="C120" i="4"/>
  <c r="E120" i="4"/>
  <c r="B121" i="4"/>
  <c r="D119" i="4"/>
  <c r="F119" i="4"/>
  <c r="G119" i="4"/>
  <c r="H119" i="4"/>
  <c r="G118" i="4"/>
  <c r="H118" i="4"/>
  <c r="D102" i="4"/>
  <c r="F101" i="4"/>
  <c r="G101" i="4"/>
  <c r="H101" i="4"/>
  <c r="C103" i="4"/>
  <c r="H102" i="4" s="1"/>
  <c r="E103" i="4"/>
  <c r="B104" i="4"/>
  <c r="C86" i="4"/>
  <c r="E86" i="4"/>
  <c r="B87" i="4"/>
  <c r="G85" i="4"/>
  <c r="D85" i="4"/>
  <c r="F85" i="4"/>
  <c r="H85" i="4"/>
  <c r="G34" i="4"/>
  <c r="G35" i="4"/>
  <c r="H35" i="4"/>
  <c r="B38" i="4"/>
  <c r="E37" i="4"/>
  <c r="C37" i="4"/>
  <c r="D36" i="4"/>
  <c r="D38" i="3"/>
  <c r="G37" i="3"/>
  <c r="B40" i="3"/>
  <c r="E39" i="3"/>
  <c r="C39" i="3"/>
  <c r="H37" i="3"/>
  <c r="G61" i="1"/>
  <c r="E63" i="1"/>
  <c r="B64" i="1"/>
  <c r="C63" i="1"/>
  <c r="F62" i="1" s="1"/>
  <c r="D62" i="1"/>
  <c r="H62" i="1"/>
  <c r="H61" i="1"/>
  <c r="H33" i="1"/>
  <c r="F34" i="1"/>
  <c r="G34" i="1" s="1"/>
  <c r="F52" i="1"/>
  <c r="H52" i="1" s="1"/>
  <c r="D53" i="1"/>
  <c r="E54" i="1"/>
  <c r="E36" i="1"/>
  <c r="D35" i="1"/>
  <c r="B42" i="6" l="1"/>
  <c r="E41" i="6"/>
  <c r="C41" i="6"/>
  <c r="F39" i="6"/>
  <c r="G39" i="6" s="1"/>
  <c r="D40" i="6"/>
  <c r="G38" i="3"/>
  <c r="C121" i="4"/>
  <c r="E121" i="4"/>
  <c r="B122" i="4"/>
  <c r="D120" i="4"/>
  <c r="F120" i="4"/>
  <c r="G120" i="4"/>
  <c r="H120" i="4"/>
  <c r="D103" i="4"/>
  <c r="G102" i="4"/>
  <c r="E104" i="4"/>
  <c r="C104" i="4"/>
  <c r="F103" i="4" s="1"/>
  <c r="B105" i="4"/>
  <c r="F102" i="4"/>
  <c r="E87" i="4"/>
  <c r="B88" i="4"/>
  <c r="C87" i="4"/>
  <c r="D86" i="4"/>
  <c r="G86" i="4"/>
  <c r="H86" i="4"/>
  <c r="F86" i="4"/>
  <c r="F36" i="4"/>
  <c r="G36" i="4"/>
  <c r="H36" i="4"/>
  <c r="D37" i="4"/>
  <c r="B39" i="4"/>
  <c r="E38" i="4"/>
  <c r="C38" i="4"/>
  <c r="G52" i="1"/>
  <c r="G62" i="1"/>
  <c r="E40" i="3"/>
  <c r="B41" i="3"/>
  <c r="C40" i="3"/>
  <c r="D39" i="3"/>
  <c r="H38" i="3"/>
  <c r="D63" i="1"/>
  <c r="C64" i="1"/>
  <c r="B65" i="1"/>
  <c r="E64" i="1"/>
  <c r="H34" i="1"/>
  <c r="F53" i="1"/>
  <c r="G53" i="1" s="1"/>
  <c r="F35" i="1"/>
  <c r="G35" i="1" s="1"/>
  <c r="D54" i="1"/>
  <c r="F54" i="1" s="1"/>
  <c r="D36" i="1"/>
  <c r="F36" i="1" s="1"/>
  <c r="E37" i="1"/>
  <c r="D41" i="6" l="1"/>
  <c r="G40" i="6"/>
  <c r="H40" i="6"/>
  <c r="F40" i="6"/>
  <c r="H39" i="6"/>
  <c r="E42" i="6"/>
  <c r="B43" i="6"/>
  <c r="C42" i="6"/>
  <c r="F41" i="6" s="1"/>
  <c r="H39" i="3"/>
  <c r="E122" i="4"/>
  <c r="B123" i="4"/>
  <c r="C122" i="4"/>
  <c r="D121" i="4"/>
  <c r="F121" i="4"/>
  <c r="G121" i="4"/>
  <c r="H121" i="4"/>
  <c r="E105" i="4"/>
  <c r="B106" i="4"/>
  <c r="C105" i="4"/>
  <c r="G103" i="4"/>
  <c r="H103" i="4"/>
  <c r="D104" i="4"/>
  <c r="D87" i="4"/>
  <c r="E88" i="4"/>
  <c r="C88" i="4"/>
  <c r="H87" i="4" s="1"/>
  <c r="B89" i="4"/>
  <c r="B40" i="4"/>
  <c r="E39" i="4"/>
  <c r="C39" i="4"/>
  <c r="D38" i="4"/>
  <c r="F37" i="4"/>
  <c r="H37" i="4" s="1"/>
  <c r="E41" i="3"/>
  <c r="B42" i="3"/>
  <c r="C41" i="3"/>
  <c r="D40" i="3"/>
  <c r="B66" i="1"/>
  <c r="B67" i="1" s="1"/>
  <c r="E65" i="1"/>
  <c r="C65" i="1"/>
  <c r="F64" i="1" s="1"/>
  <c r="D64" i="1"/>
  <c r="F63" i="1"/>
  <c r="G63" i="1" s="1"/>
  <c r="H54" i="1"/>
  <c r="G54" i="1"/>
  <c r="H53" i="1"/>
  <c r="H35" i="1"/>
  <c r="H36" i="1"/>
  <c r="G36" i="1"/>
  <c r="E38" i="1"/>
  <c r="D37" i="1"/>
  <c r="F37" i="1" s="1"/>
  <c r="D42" i="6" l="1"/>
  <c r="G41" i="6"/>
  <c r="E43" i="6"/>
  <c r="B44" i="6"/>
  <c r="C43" i="6"/>
  <c r="H41" i="6"/>
  <c r="G39" i="3"/>
  <c r="E123" i="4"/>
  <c r="B124" i="4"/>
  <c r="C123" i="4"/>
  <c r="D122" i="4"/>
  <c r="F122" i="4"/>
  <c r="G122" i="4"/>
  <c r="H122" i="4"/>
  <c r="D105" i="4"/>
  <c r="B107" i="4"/>
  <c r="E106" i="4"/>
  <c r="C106" i="4"/>
  <c r="G104" i="4"/>
  <c r="F104" i="4"/>
  <c r="H104" i="4"/>
  <c r="B90" i="4"/>
  <c r="C89" i="4"/>
  <c r="E89" i="4"/>
  <c r="F87" i="4"/>
  <c r="D88" i="4"/>
  <c r="F88" i="4" s="1"/>
  <c r="G87" i="4"/>
  <c r="F38" i="4"/>
  <c r="G37" i="4"/>
  <c r="G38" i="4"/>
  <c r="H38" i="4"/>
  <c r="D39" i="4"/>
  <c r="B41" i="4"/>
  <c r="E40" i="4"/>
  <c r="C40" i="4"/>
  <c r="H63" i="1"/>
  <c r="H64" i="1"/>
  <c r="C67" i="1"/>
  <c r="B68" i="1"/>
  <c r="E67" i="1"/>
  <c r="H40" i="3"/>
  <c r="G40" i="3"/>
  <c r="D41" i="3"/>
  <c r="E42" i="3"/>
  <c r="B43" i="3"/>
  <c r="C42" i="3"/>
  <c r="H41" i="3" s="1"/>
  <c r="G64" i="1"/>
  <c r="D65" i="1"/>
  <c r="E66" i="1"/>
  <c r="C66" i="1"/>
  <c r="G37" i="1"/>
  <c r="H37" i="1"/>
  <c r="D38" i="1"/>
  <c r="E39" i="1"/>
  <c r="D43" i="6" l="1"/>
  <c r="F42" i="6"/>
  <c r="G42" i="6"/>
  <c r="E44" i="6"/>
  <c r="B45" i="6"/>
  <c r="C44" i="6"/>
  <c r="H42" i="6"/>
  <c r="G41" i="3"/>
  <c r="B125" i="4"/>
  <c r="C124" i="4"/>
  <c r="E124" i="4"/>
  <c r="D123" i="4"/>
  <c r="D106" i="4"/>
  <c r="H105" i="4"/>
  <c r="G105" i="4"/>
  <c r="B108" i="4"/>
  <c r="C107" i="4"/>
  <c r="H106" i="4" s="1"/>
  <c r="E107" i="4"/>
  <c r="F105" i="4"/>
  <c r="G88" i="4"/>
  <c r="H88" i="4"/>
  <c r="D89" i="4"/>
  <c r="C90" i="4"/>
  <c r="E90" i="4"/>
  <c r="B91" i="4"/>
  <c r="F39" i="4"/>
  <c r="H39" i="4" s="1"/>
  <c r="D40" i="4"/>
  <c r="E41" i="4"/>
  <c r="B42" i="4"/>
  <c r="C41" i="4"/>
  <c r="G39" i="4"/>
  <c r="C68" i="1"/>
  <c r="E68" i="1"/>
  <c r="B69" i="1"/>
  <c r="D67" i="1"/>
  <c r="E43" i="3"/>
  <c r="C43" i="3"/>
  <c r="H42" i="3" s="1"/>
  <c r="B44" i="3"/>
  <c r="D42" i="3"/>
  <c r="D66" i="1"/>
  <c r="F66" i="1" s="1"/>
  <c r="H65" i="1"/>
  <c r="F65" i="1"/>
  <c r="G65" i="1"/>
  <c r="F38" i="1"/>
  <c r="G38" i="1" s="1"/>
  <c r="D39" i="1"/>
  <c r="E40" i="1"/>
  <c r="E45" i="6" l="1"/>
  <c r="B46" i="6"/>
  <c r="C45" i="6"/>
  <c r="G44" i="6" s="1"/>
  <c r="D44" i="6"/>
  <c r="H44" i="6"/>
  <c r="F43" i="6"/>
  <c r="G42" i="3"/>
  <c r="H124" i="4"/>
  <c r="D124" i="4"/>
  <c r="H123" i="4"/>
  <c r="G123" i="4"/>
  <c r="F123" i="4"/>
  <c r="B126" i="4"/>
  <c r="C125" i="4"/>
  <c r="G124" i="4" s="1"/>
  <c r="E125" i="4"/>
  <c r="D107" i="4"/>
  <c r="B109" i="4"/>
  <c r="C108" i="4"/>
  <c r="H107" i="4" s="1"/>
  <c r="E108" i="4"/>
  <c r="G106" i="4"/>
  <c r="F106" i="4"/>
  <c r="D90" i="4"/>
  <c r="G89" i="4"/>
  <c r="H89" i="4"/>
  <c r="F89" i="4"/>
  <c r="B92" i="4"/>
  <c r="E91" i="4"/>
  <c r="C91" i="4"/>
  <c r="H90" i="4" s="1"/>
  <c r="F40" i="4"/>
  <c r="G40" i="4" s="1"/>
  <c r="H40" i="4"/>
  <c r="E42" i="4"/>
  <c r="B43" i="4"/>
  <c r="C42" i="4"/>
  <c r="D41" i="4"/>
  <c r="F41" i="4" s="1"/>
  <c r="G41" i="4" s="1"/>
  <c r="H38" i="1"/>
  <c r="F67" i="1"/>
  <c r="G67" i="1"/>
  <c r="H67" i="1"/>
  <c r="B70" i="1"/>
  <c r="E69" i="1"/>
  <c r="C69" i="1"/>
  <c r="D68" i="1"/>
  <c r="B45" i="3"/>
  <c r="E44" i="3"/>
  <c r="C44" i="3"/>
  <c r="D43" i="3"/>
  <c r="H66" i="1"/>
  <c r="G66" i="1"/>
  <c r="F39" i="1"/>
  <c r="H39" i="1" s="1"/>
  <c r="D40" i="1"/>
  <c r="E41" i="1"/>
  <c r="F44" i="6" l="1"/>
  <c r="H43" i="6"/>
  <c r="G43" i="6"/>
  <c r="D45" i="6"/>
  <c r="B47" i="6"/>
  <c r="E46" i="6"/>
  <c r="C46" i="6"/>
  <c r="H45" i="6" s="1"/>
  <c r="B127" i="4"/>
  <c r="C126" i="4"/>
  <c r="E126" i="4"/>
  <c r="G125" i="4"/>
  <c r="H125" i="4"/>
  <c r="D125" i="4"/>
  <c r="F125" i="4"/>
  <c r="F124" i="4"/>
  <c r="B110" i="4"/>
  <c r="C109" i="4"/>
  <c r="E109" i="4"/>
  <c r="F107" i="4"/>
  <c r="H108" i="4"/>
  <c r="G108" i="4"/>
  <c r="F108" i="4"/>
  <c r="D108" i="4"/>
  <c r="G107" i="4"/>
  <c r="B93" i="4"/>
  <c r="C92" i="4"/>
  <c r="G91" i="4" s="1"/>
  <c r="E92" i="4"/>
  <c r="F90" i="4"/>
  <c r="D91" i="4"/>
  <c r="F91" i="4"/>
  <c r="G90" i="4"/>
  <c r="H41" i="4"/>
  <c r="D42" i="4"/>
  <c r="E43" i="4"/>
  <c r="B44" i="4"/>
  <c r="C43" i="4"/>
  <c r="E70" i="1"/>
  <c r="B71" i="1"/>
  <c r="C70" i="1"/>
  <c r="D69" i="1"/>
  <c r="H69" i="1"/>
  <c r="F69" i="1"/>
  <c r="G69" i="1"/>
  <c r="F68" i="1"/>
  <c r="D44" i="3"/>
  <c r="G43" i="3"/>
  <c r="H43" i="3"/>
  <c r="B46" i="3"/>
  <c r="C45" i="3"/>
  <c r="E45" i="3"/>
  <c r="G39" i="1"/>
  <c r="F40" i="1"/>
  <c r="G40" i="1" s="1"/>
  <c r="E42" i="1"/>
  <c r="D41" i="1"/>
  <c r="G45" i="6" l="1"/>
  <c r="F45" i="6"/>
  <c r="B48" i="6"/>
  <c r="E47" i="6"/>
  <c r="C47" i="6"/>
  <c r="D46" i="6"/>
  <c r="D126" i="4"/>
  <c r="B128" i="4"/>
  <c r="C127" i="4"/>
  <c r="E127" i="4"/>
  <c r="D109" i="4"/>
  <c r="C110" i="4"/>
  <c r="E110" i="4"/>
  <c r="B111" i="4"/>
  <c r="D92" i="4"/>
  <c r="H91" i="4"/>
  <c r="C93" i="4"/>
  <c r="E93" i="4"/>
  <c r="D43" i="4"/>
  <c r="E44" i="4"/>
  <c r="B45" i="4"/>
  <c r="C44" i="4"/>
  <c r="F42" i="4"/>
  <c r="H42" i="4" s="1"/>
  <c r="H68" i="1"/>
  <c r="G68" i="1"/>
  <c r="C71" i="1"/>
  <c r="B72" i="1"/>
  <c r="E71" i="1"/>
  <c r="D70" i="1"/>
  <c r="F70" i="1" s="1"/>
  <c r="H70" i="1" s="1"/>
  <c r="D45" i="3"/>
  <c r="B47" i="3"/>
  <c r="E46" i="3"/>
  <c r="C46" i="3"/>
  <c r="G44" i="3"/>
  <c r="H44" i="3"/>
  <c r="H40" i="1"/>
  <c r="F41" i="1"/>
  <c r="H41" i="1" s="1"/>
  <c r="D42" i="1"/>
  <c r="E43" i="1"/>
  <c r="D47" i="6" l="1"/>
  <c r="F46" i="6"/>
  <c r="G46" i="6"/>
  <c r="H46" i="6"/>
  <c r="B49" i="6"/>
  <c r="E48" i="6"/>
  <c r="C48" i="6"/>
  <c r="F47" i="6" s="1"/>
  <c r="D127" i="4"/>
  <c r="F126" i="4"/>
  <c r="C128" i="4"/>
  <c r="H127" i="4" s="1"/>
  <c r="E128" i="4"/>
  <c r="B129" i="4"/>
  <c r="G126" i="4"/>
  <c r="H126" i="4"/>
  <c r="D110" i="4"/>
  <c r="F109" i="4"/>
  <c r="H109" i="4"/>
  <c r="C111" i="4"/>
  <c r="F110" i="4" s="1"/>
  <c r="E111" i="4"/>
  <c r="G109" i="4"/>
  <c r="D93" i="4"/>
  <c r="F93" i="4"/>
  <c r="H93" i="4" s="1"/>
  <c r="G93" i="4"/>
  <c r="H92" i="4"/>
  <c r="G92" i="4"/>
  <c r="F92" i="4"/>
  <c r="G42" i="4"/>
  <c r="D44" i="4"/>
  <c r="F43" i="4"/>
  <c r="B46" i="4"/>
  <c r="E45" i="4"/>
  <c r="C45" i="4"/>
  <c r="H43" i="4"/>
  <c r="G43" i="4"/>
  <c r="G70" i="1"/>
  <c r="G41" i="1"/>
  <c r="B73" i="1"/>
  <c r="C72" i="1"/>
  <c r="F71" i="1" s="1"/>
  <c r="E72" i="1"/>
  <c r="D71" i="1"/>
  <c r="H45" i="3"/>
  <c r="D46" i="3"/>
  <c r="B48" i="3"/>
  <c r="E47" i="3"/>
  <c r="C47" i="3"/>
  <c r="G45" i="3"/>
  <c r="F42" i="1"/>
  <c r="H42" i="1" s="1"/>
  <c r="D43" i="1"/>
  <c r="E44" i="1"/>
  <c r="B50" i="6" l="1"/>
  <c r="E49" i="6"/>
  <c r="C49" i="6"/>
  <c r="D48" i="6"/>
  <c r="G47" i="6"/>
  <c r="H47" i="6"/>
  <c r="D128" i="4"/>
  <c r="G127" i="4"/>
  <c r="F127" i="4"/>
  <c r="C129" i="4"/>
  <c r="E129" i="4"/>
  <c r="B130" i="4"/>
  <c r="H110" i="4"/>
  <c r="G110" i="4"/>
  <c r="D111" i="4"/>
  <c r="F111" i="4"/>
  <c r="H111" i="4" s="1"/>
  <c r="B47" i="4"/>
  <c r="E46" i="4"/>
  <c r="C46" i="4"/>
  <c r="D45" i="4"/>
  <c r="F44" i="4"/>
  <c r="G44" i="4" s="1"/>
  <c r="H44" i="4"/>
  <c r="G71" i="1"/>
  <c r="H71" i="1"/>
  <c r="D72" i="1"/>
  <c r="B74" i="1"/>
  <c r="C73" i="1"/>
  <c r="E73" i="1"/>
  <c r="D47" i="3"/>
  <c r="B49" i="3"/>
  <c r="E48" i="3"/>
  <c r="C48" i="3"/>
  <c r="H47" i="3" s="1"/>
  <c r="G46" i="3"/>
  <c r="H46" i="3"/>
  <c r="G42" i="1"/>
  <c r="F43" i="1"/>
  <c r="H43" i="1" s="1"/>
  <c r="D44" i="1"/>
  <c r="F44" i="1" s="1"/>
  <c r="E45" i="1"/>
  <c r="D49" i="6" l="1"/>
  <c r="F48" i="6"/>
  <c r="G48" i="6" s="1"/>
  <c r="E50" i="6"/>
  <c r="B51" i="6"/>
  <c r="C50" i="6"/>
  <c r="H49" i="6" s="1"/>
  <c r="D129" i="4"/>
  <c r="H129" i="4"/>
  <c r="G128" i="4"/>
  <c r="H128" i="4"/>
  <c r="F128" i="4"/>
  <c r="E130" i="4"/>
  <c r="B131" i="4"/>
  <c r="C130" i="4"/>
  <c r="G129" i="4" s="1"/>
  <c r="G111" i="4"/>
  <c r="F45" i="4"/>
  <c r="G45" i="4" s="1"/>
  <c r="D46" i="4"/>
  <c r="B48" i="4"/>
  <c r="E47" i="4"/>
  <c r="C47" i="4"/>
  <c r="B75" i="1"/>
  <c r="E74" i="1"/>
  <c r="C74" i="1"/>
  <c r="F72" i="1"/>
  <c r="H72" i="1" s="1"/>
  <c r="D73" i="1"/>
  <c r="G73" i="1"/>
  <c r="F73" i="1"/>
  <c r="H73" i="1"/>
  <c r="E49" i="3"/>
  <c r="C49" i="3"/>
  <c r="H48" i="3" s="1"/>
  <c r="B50" i="3"/>
  <c r="D48" i="3"/>
  <c r="G47" i="3"/>
  <c r="G43" i="1"/>
  <c r="H44" i="1"/>
  <c r="G44" i="1"/>
  <c r="D45" i="1"/>
  <c r="E46" i="1"/>
  <c r="E51" i="6" l="1"/>
  <c r="B52" i="6"/>
  <c r="C51" i="6"/>
  <c r="G50" i="6" s="1"/>
  <c r="H48" i="6"/>
  <c r="F49" i="6"/>
  <c r="D50" i="6"/>
  <c r="G49" i="6"/>
  <c r="G48" i="3"/>
  <c r="D130" i="4"/>
  <c r="F129" i="4"/>
  <c r="E131" i="4"/>
  <c r="B132" i="4"/>
  <c r="C131" i="4"/>
  <c r="F130" i="4" s="1"/>
  <c r="H45" i="4"/>
  <c r="B49" i="4"/>
  <c r="E48" i="4"/>
  <c r="C48" i="4"/>
  <c r="D47" i="4"/>
  <c r="F46" i="4"/>
  <c r="H46" i="4" s="1"/>
  <c r="G72" i="1"/>
  <c r="D74" i="1"/>
  <c r="B76" i="1"/>
  <c r="C75" i="1"/>
  <c r="E75" i="1"/>
  <c r="D49" i="3"/>
  <c r="E50" i="3"/>
  <c r="B51" i="3"/>
  <c r="C50" i="3"/>
  <c r="L24" i="1"/>
  <c r="H46" i="1"/>
  <c r="G46" i="1"/>
  <c r="F46" i="1"/>
  <c r="L15" i="1"/>
  <c r="F45" i="1"/>
  <c r="G45" i="1" s="1"/>
  <c r="L16" i="1" s="1"/>
  <c r="D46" i="1"/>
  <c r="F50" i="6" l="1"/>
  <c r="E52" i="6"/>
  <c r="B53" i="6"/>
  <c r="C52" i="6"/>
  <c r="F51" i="6" s="1"/>
  <c r="D51" i="6"/>
  <c r="H50" i="6"/>
  <c r="H130" i="4"/>
  <c r="G130" i="4"/>
  <c r="D131" i="4"/>
  <c r="B133" i="4"/>
  <c r="C132" i="4"/>
  <c r="G131" i="4" s="1"/>
  <c r="E132" i="4"/>
  <c r="G46" i="4"/>
  <c r="F47" i="4"/>
  <c r="H47" i="4" s="1"/>
  <c r="D48" i="4"/>
  <c r="E49" i="4"/>
  <c r="B50" i="4"/>
  <c r="C49" i="4"/>
  <c r="D75" i="1"/>
  <c r="C76" i="1"/>
  <c r="F75" i="1" s="1"/>
  <c r="E76" i="1"/>
  <c r="F74" i="1"/>
  <c r="H74" i="1" s="1"/>
  <c r="G74" i="1"/>
  <c r="D50" i="3"/>
  <c r="H49" i="3"/>
  <c r="C51" i="3"/>
  <c r="B52" i="3"/>
  <c r="E51" i="3"/>
  <c r="G49" i="3"/>
  <c r="H45" i="1"/>
  <c r="L18" i="1"/>
  <c r="H51" i="6" l="1"/>
  <c r="G51" i="6"/>
  <c r="C53" i="6"/>
  <c r="H52" i="6" s="1"/>
  <c r="E53" i="6"/>
  <c r="B54" i="6"/>
  <c r="F52" i="6"/>
  <c r="D52" i="6"/>
  <c r="D132" i="4"/>
  <c r="H131" i="4"/>
  <c r="F131" i="4"/>
  <c r="B134" i="4"/>
  <c r="C133" i="4"/>
  <c r="G132" i="4" s="1"/>
  <c r="E133" i="4"/>
  <c r="G47" i="4"/>
  <c r="D49" i="4"/>
  <c r="E50" i="4"/>
  <c r="B51" i="4"/>
  <c r="C50" i="4"/>
  <c r="F48" i="4"/>
  <c r="H48" i="4" s="1"/>
  <c r="H75" i="1"/>
  <c r="F76" i="1"/>
  <c r="D76" i="1"/>
  <c r="H76" i="1"/>
  <c r="G76" i="1"/>
  <c r="L20" i="1"/>
  <c r="L21" i="1" s="1"/>
  <c r="L22" i="1"/>
  <c r="L23" i="1" s="1"/>
  <c r="G75" i="1"/>
  <c r="D51" i="3"/>
  <c r="H50" i="3"/>
  <c r="G50" i="3"/>
  <c r="E52" i="3"/>
  <c r="B53" i="3"/>
  <c r="C52" i="3"/>
  <c r="H51" i="3" s="1"/>
  <c r="G52" i="6" l="1"/>
  <c r="B55" i="6"/>
  <c r="E54" i="6"/>
  <c r="C54" i="6"/>
  <c r="D53" i="6"/>
  <c r="B135" i="4"/>
  <c r="C134" i="4"/>
  <c r="E134" i="4"/>
  <c r="H132" i="4"/>
  <c r="H133" i="4"/>
  <c r="D133" i="4"/>
  <c r="F133" i="4"/>
  <c r="F132" i="4"/>
  <c r="G48" i="4"/>
  <c r="D50" i="4"/>
  <c r="E51" i="4"/>
  <c r="B52" i="4"/>
  <c r="C51" i="4"/>
  <c r="F49" i="4"/>
  <c r="G49" i="4" s="1"/>
  <c r="B54" i="3"/>
  <c r="E53" i="3"/>
  <c r="C53" i="3"/>
  <c r="H52" i="3" s="1"/>
  <c r="D52" i="3"/>
  <c r="G51" i="3"/>
  <c r="D54" i="6" l="1"/>
  <c r="B56" i="6"/>
  <c r="E55" i="6"/>
  <c r="C55" i="6"/>
  <c r="G54" i="6" s="1"/>
  <c r="F53" i="6"/>
  <c r="G53" i="6" s="1"/>
  <c r="G52" i="3"/>
  <c r="D134" i="4"/>
  <c r="G133" i="4"/>
  <c r="B136" i="4"/>
  <c r="C135" i="4"/>
  <c r="E135" i="4"/>
  <c r="H49" i="4"/>
  <c r="E52" i="4"/>
  <c r="B53" i="4"/>
  <c r="C52" i="4"/>
  <c r="D51" i="4"/>
  <c r="F50" i="4"/>
  <c r="D53" i="3"/>
  <c r="B55" i="3"/>
  <c r="C54" i="3"/>
  <c r="E54" i="3"/>
  <c r="H53" i="6" l="1"/>
  <c r="L25" i="6"/>
  <c r="L26" i="6" s="1"/>
  <c r="D55" i="6"/>
  <c r="B57" i="6"/>
  <c r="E56" i="6"/>
  <c r="C56" i="6"/>
  <c r="H55" i="6" s="1"/>
  <c r="F54" i="6"/>
  <c r="H54" i="6"/>
  <c r="C136" i="4"/>
  <c r="E136" i="4"/>
  <c r="B137" i="4"/>
  <c r="D135" i="4"/>
  <c r="F135" i="4"/>
  <c r="G135" i="4"/>
  <c r="H135" i="4"/>
  <c r="G134" i="4"/>
  <c r="F134" i="4"/>
  <c r="H134" i="4"/>
  <c r="F51" i="4"/>
  <c r="H51" i="4" s="1"/>
  <c r="G51" i="4"/>
  <c r="G50" i="4"/>
  <c r="H50" i="4"/>
  <c r="D52" i="4"/>
  <c r="B54" i="4"/>
  <c r="E53" i="4"/>
  <c r="C53" i="4"/>
  <c r="D54" i="3"/>
  <c r="L24" i="3"/>
  <c r="E55" i="3"/>
  <c r="B56" i="3"/>
  <c r="C55" i="3"/>
  <c r="G54" i="3" s="1"/>
  <c r="G53" i="3"/>
  <c r="H53" i="3"/>
  <c r="F55" i="6" l="1"/>
  <c r="G55" i="6"/>
  <c r="B58" i="6"/>
  <c r="E57" i="6"/>
  <c r="C57" i="6"/>
  <c r="D56" i="6"/>
  <c r="C137" i="4"/>
  <c r="E137" i="4"/>
  <c r="B138" i="4"/>
  <c r="D136" i="4"/>
  <c r="F136" i="4"/>
  <c r="G136" i="4"/>
  <c r="H136" i="4"/>
  <c r="F52" i="4"/>
  <c r="G52" i="4" s="1"/>
  <c r="H52" i="4"/>
  <c r="B55" i="4"/>
  <c r="E54" i="4"/>
  <c r="C54" i="4"/>
  <c r="D53" i="4"/>
  <c r="F53" i="4" s="1"/>
  <c r="D55" i="3"/>
  <c r="H54" i="3"/>
  <c r="B57" i="3"/>
  <c r="E56" i="3"/>
  <c r="C56" i="3"/>
  <c r="H55" i="3" s="1"/>
  <c r="D57" i="6" l="1"/>
  <c r="G56" i="6"/>
  <c r="H56" i="6"/>
  <c r="F56" i="6"/>
  <c r="E58" i="6"/>
  <c r="B59" i="6"/>
  <c r="C58" i="6"/>
  <c r="E138" i="4"/>
  <c r="B139" i="4"/>
  <c r="C138" i="4"/>
  <c r="D137" i="4"/>
  <c r="F137" i="4"/>
  <c r="G137" i="4"/>
  <c r="H137" i="4"/>
  <c r="H53" i="4"/>
  <c r="G53" i="4"/>
  <c r="D54" i="4"/>
  <c r="B56" i="4"/>
  <c r="E55" i="4"/>
  <c r="C55" i="4"/>
  <c r="E57" i="3"/>
  <c r="C57" i="3"/>
  <c r="G56" i="3" s="1"/>
  <c r="B58" i="3"/>
  <c r="D56" i="3"/>
  <c r="G55" i="3"/>
  <c r="F57" i="6" l="1"/>
  <c r="H57" i="6" s="1"/>
  <c r="D58" i="6"/>
  <c r="E59" i="6"/>
  <c r="B60" i="6"/>
  <c r="C59" i="6"/>
  <c r="H56" i="3"/>
  <c r="E139" i="4"/>
  <c r="B140" i="4"/>
  <c r="C139" i="4"/>
  <c r="F138" i="4" s="1"/>
  <c r="D138" i="4"/>
  <c r="G138" i="4"/>
  <c r="H138" i="4"/>
  <c r="B57" i="4"/>
  <c r="E56" i="4"/>
  <c r="C56" i="4"/>
  <c r="D55" i="4"/>
  <c r="F55" i="4" s="1"/>
  <c r="F54" i="4"/>
  <c r="H54" i="4" s="1"/>
  <c r="D57" i="3"/>
  <c r="E58" i="3"/>
  <c r="B59" i="3"/>
  <c r="C58" i="3"/>
  <c r="G57" i="6" l="1"/>
  <c r="D59" i="6"/>
  <c r="F58" i="6"/>
  <c r="G58" i="6"/>
  <c r="H58" i="6"/>
  <c r="E60" i="6"/>
  <c r="B61" i="6"/>
  <c r="C60" i="6"/>
  <c r="H59" i="6" s="1"/>
  <c r="D139" i="4"/>
  <c r="B141" i="4"/>
  <c r="C140" i="4"/>
  <c r="E140" i="4"/>
  <c r="G54" i="4"/>
  <c r="H55" i="4"/>
  <c r="G55" i="4"/>
  <c r="D56" i="4"/>
  <c r="E57" i="4"/>
  <c r="B58" i="4"/>
  <c r="C57" i="4"/>
  <c r="F56" i="4" s="1"/>
  <c r="D58" i="3"/>
  <c r="B60" i="3"/>
  <c r="E59" i="3"/>
  <c r="C59" i="3"/>
  <c r="G57" i="3"/>
  <c r="G59" i="6" l="1"/>
  <c r="D60" i="6"/>
  <c r="E61" i="6"/>
  <c r="B62" i="6"/>
  <c r="C61" i="6"/>
  <c r="F59" i="6"/>
  <c r="D140" i="4"/>
  <c r="B142" i="4"/>
  <c r="C141" i="4"/>
  <c r="H140" i="4" s="1"/>
  <c r="E141" i="4"/>
  <c r="H139" i="4"/>
  <c r="G139" i="4"/>
  <c r="F139" i="4"/>
  <c r="E58" i="4"/>
  <c r="B59" i="4"/>
  <c r="C58" i="4"/>
  <c r="D57" i="4"/>
  <c r="F57" i="4" s="1"/>
  <c r="H57" i="4" s="1"/>
  <c r="G56" i="4"/>
  <c r="H56" i="4"/>
  <c r="D59" i="3"/>
  <c r="G58" i="3"/>
  <c r="C60" i="3"/>
  <c r="B61" i="3"/>
  <c r="E60" i="3"/>
  <c r="H57" i="3"/>
  <c r="H58" i="3"/>
  <c r="B63" i="6" l="1"/>
  <c r="E62" i="6"/>
  <c r="C62" i="6"/>
  <c r="H61" i="6" s="1"/>
  <c r="F60" i="6"/>
  <c r="G60" i="6" s="1"/>
  <c r="D61" i="6"/>
  <c r="B143" i="4"/>
  <c r="C142" i="4"/>
  <c r="G141" i="4" s="1"/>
  <c r="E142" i="4"/>
  <c r="D141" i="4"/>
  <c r="G140" i="4"/>
  <c r="F140" i="4"/>
  <c r="G57" i="4"/>
  <c r="E59" i="4"/>
  <c r="B60" i="4"/>
  <c r="C59" i="4"/>
  <c r="D58" i="4"/>
  <c r="D60" i="3"/>
  <c r="H59" i="3"/>
  <c r="B62" i="3"/>
  <c r="E61" i="3"/>
  <c r="C61" i="3"/>
  <c r="G59" i="3"/>
  <c r="G61" i="6" l="1"/>
  <c r="H60" i="6"/>
  <c r="D62" i="6"/>
  <c r="B64" i="6"/>
  <c r="E63" i="6"/>
  <c r="C63" i="6"/>
  <c r="G62" i="6" s="1"/>
  <c r="F61" i="6"/>
  <c r="F141" i="4"/>
  <c r="D142" i="4"/>
  <c r="H141" i="4"/>
  <c r="B144" i="4"/>
  <c r="C143" i="4"/>
  <c r="H142" i="4" s="1"/>
  <c r="E143" i="4"/>
  <c r="F58" i="4"/>
  <c r="G58" i="4" s="1"/>
  <c r="D59" i="4"/>
  <c r="E60" i="4"/>
  <c r="B61" i="4"/>
  <c r="C60" i="4"/>
  <c r="D61" i="3"/>
  <c r="B63" i="3"/>
  <c r="E62" i="3"/>
  <c r="C62" i="3"/>
  <c r="G60" i="3"/>
  <c r="H60" i="3"/>
  <c r="D63" i="6" l="1"/>
  <c r="F62" i="6"/>
  <c r="H62" i="6"/>
  <c r="B65" i="6"/>
  <c r="E64" i="6"/>
  <c r="C64" i="6"/>
  <c r="G63" i="6" s="1"/>
  <c r="C144" i="4"/>
  <c r="H143" i="4" s="1"/>
  <c r="E144" i="4"/>
  <c r="B145" i="4"/>
  <c r="G142" i="4"/>
  <c r="F142" i="4"/>
  <c r="D143" i="4"/>
  <c r="H58" i="4"/>
  <c r="D60" i="4"/>
  <c r="B62" i="4"/>
  <c r="E61" i="4"/>
  <c r="C61" i="4"/>
  <c r="F59" i="4"/>
  <c r="H59" i="4" s="1"/>
  <c r="E63" i="3"/>
  <c r="B64" i="3"/>
  <c r="C63" i="3"/>
  <c r="H62" i="3" s="1"/>
  <c r="D62" i="3"/>
  <c r="G61" i="3"/>
  <c r="H61" i="3"/>
  <c r="F63" i="6" l="1"/>
  <c r="B66" i="6"/>
  <c r="E65" i="6"/>
  <c r="C65" i="6"/>
  <c r="F64" i="6" s="1"/>
  <c r="D64" i="6"/>
  <c r="H63" i="6"/>
  <c r="G62" i="3"/>
  <c r="C145" i="4"/>
  <c r="E145" i="4"/>
  <c r="B146" i="4"/>
  <c r="D144" i="4"/>
  <c r="F144" i="4"/>
  <c r="G144" i="4"/>
  <c r="H144" i="4"/>
  <c r="G143" i="4"/>
  <c r="F143" i="4"/>
  <c r="G59" i="4"/>
  <c r="D61" i="4"/>
  <c r="B63" i="4"/>
  <c r="E62" i="4"/>
  <c r="C62" i="4"/>
  <c r="F60" i="4"/>
  <c r="G60" i="4" s="1"/>
  <c r="H60" i="4"/>
  <c r="D63" i="3"/>
  <c r="E64" i="3"/>
  <c r="B65" i="3"/>
  <c r="C64" i="3"/>
  <c r="G64" i="6" l="1"/>
  <c r="H64" i="6"/>
  <c r="D65" i="6"/>
  <c r="E66" i="6"/>
  <c r="B67" i="6"/>
  <c r="C66" i="6"/>
  <c r="E146" i="4"/>
  <c r="B147" i="4"/>
  <c r="C146" i="4"/>
  <c r="D145" i="4"/>
  <c r="F145" i="4"/>
  <c r="G145" i="4"/>
  <c r="H145" i="4"/>
  <c r="D62" i="4"/>
  <c r="B64" i="4"/>
  <c r="E63" i="4"/>
  <c r="C63" i="4"/>
  <c r="F61" i="4"/>
  <c r="G61" i="4" s="1"/>
  <c r="D64" i="3"/>
  <c r="E65" i="3"/>
  <c r="C65" i="3"/>
  <c r="B66" i="3"/>
  <c r="G63" i="3"/>
  <c r="H63" i="3"/>
  <c r="E67" i="6" l="1"/>
  <c r="B68" i="6"/>
  <c r="C67" i="6"/>
  <c r="H66" i="6" s="1"/>
  <c r="D66" i="6"/>
  <c r="G66" i="6"/>
  <c r="F66" i="6"/>
  <c r="F65" i="6"/>
  <c r="G65" i="6" s="1"/>
  <c r="D146" i="4"/>
  <c r="E147" i="4"/>
  <c r="B148" i="4"/>
  <c r="C147" i="4"/>
  <c r="F146" i="4" s="1"/>
  <c r="H61" i="4"/>
  <c r="B65" i="4"/>
  <c r="E64" i="4"/>
  <c r="C64" i="4"/>
  <c r="D63" i="4"/>
  <c r="F62" i="4"/>
  <c r="G62" i="4"/>
  <c r="H62" i="4"/>
  <c r="D65" i="3"/>
  <c r="E66" i="3"/>
  <c r="C66" i="3"/>
  <c r="B67" i="3"/>
  <c r="G64" i="3"/>
  <c r="H64" i="3"/>
  <c r="H65" i="6" l="1"/>
  <c r="L17" i="6"/>
  <c r="D67" i="6"/>
  <c r="L16" i="6"/>
  <c r="E68" i="6"/>
  <c r="B69" i="6"/>
  <c r="C68" i="6"/>
  <c r="B149" i="4"/>
  <c r="C148" i="4"/>
  <c r="E148" i="4"/>
  <c r="H146" i="4"/>
  <c r="G146" i="4"/>
  <c r="F147" i="4"/>
  <c r="G147" i="4"/>
  <c r="H147" i="4"/>
  <c r="D147" i="4"/>
  <c r="D64" i="4"/>
  <c r="F63" i="4"/>
  <c r="G63" i="4" s="1"/>
  <c r="H63" i="4"/>
  <c r="E65" i="4"/>
  <c r="B66" i="4"/>
  <c r="C65" i="4"/>
  <c r="D66" i="3"/>
  <c r="E67" i="3"/>
  <c r="B68" i="3"/>
  <c r="C67" i="3"/>
  <c r="H66" i="3" s="1"/>
  <c r="G65" i="3"/>
  <c r="H65" i="3"/>
  <c r="D68" i="6" l="1"/>
  <c r="E69" i="6"/>
  <c r="B70" i="6"/>
  <c r="C69" i="6"/>
  <c r="F67" i="6"/>
  <c r="G67" i="6"/>
  <c r="H67" i="6"/>
  <c r="L19" i="6"/>
  <c r="G66" i="3"/>
  <c r="D148" i="4"/>
  <c r="B150" i="4"/>
  <c r="C149" i="4"/>
  <c r="E149" i="4"/>
  <c r="F64" i="4"/>
  <c r="G64" i="4" s="1"/>
  <c r="D65" i="4"/>
  <c r="E66" i="4"/>
  <c r="B67" i="4"/>
  <c r="C66" i="4"/>
  <c r="C68" i="3"/>
  <c r="H67" i="3" s="1"/>
  <c r="B69" i="3"/>
  <c r="E68" i="3"/>
  <c r="G67" i="3"/>
  <c r="D67" i="3"/>
  <c r="D69" i="6" l="1"/>
  <c r="H68" i="6"/>
  <c r="F68" i="6"/>
  <c r="B71" i="6"/>
  <c r="E70" i="6"/>
  <c r="C70" i="6"/>
  <c r="G69" i="6" s="1"/>
  <c r="G68" i="6"/>
  <c r="B151" i="4"/>
  <c r="C150" i="4"/>
  <c r="E150" i="4"/>
  <c r="G149" i="4"/>
  <c r="H149" i="4"/>
  <c r="D149" i="4"/>
  <c r="F149" i="4"/>
  <c r="H148" i="4"/>
  <c r="G148" i="4"/>
  <c r="F148" i="4"/>
  <c r="H64" i="4"/>
  <c r="F65" i="4"/>
  <c r="H65" i="4" s="1"/>
  <c r="G65" i="4"/>
  <c r="E67" i="4"/>
  <c r="B68" i="4"/>
  <c r="C67" i="4"/>
  <c r="D66" i="4"/>
  <c r="B70" i="3"/>
  <c r="E69" i="3"/>
  <c r="C69" i="3"/>
  <c r="D68" i="3"/>
  <c r="F69" i="6" l="1"/>
  <c r="B72" i="6"/>
  <c r="E71" i="6"/>
  <c r="C71" i="6"/>
  <c r="H70" i="6" s="1"/>
  <c r="D70" i="6"/>
  <c r="H69" i="6"/>
  <c r="D150" i="4"/>
  <c r="B152" i="4"/>
  <c r="C151" i="4"/>
  <c r="E151" i="4"/>
  <c r="F66" i="4"/>
  <c r="G66" i="4" s="1"/>
  <c r="L16" i="4" s="1"/>
  <c r="L18" i="4" s="1"/>
  <c r="H66" i="4"/>
  <c r="D67" i="4"/>
  <c r="E68" i="4"/>
  <c r="B69" i="4"/>
  <c r="C68" i="4"/>
  <c r="H68" i="3"/>
  <c r="G68" i="3"/>
  <c r="D69" i="3"/>
  <c r="B71" i="3"/>
  <c r="C70" i="3"/>
  <c r="E70" i="3"/>
  <c r="F70" i="6" l="1"/>
  <c r="G70" i="6"/>
  <c r="D71" i="6"/>
  <c r="B73" i="6"/>
  <c r="E72" i="6"/>
  <c r="C72" i="6"/>
  <c r="D151" i="4"/>
  <c r="C152" i="4"/>
  <c r="G151" i="4" s="1"/>
  <c r="E152" i="4"/>
  <c r="B153" i="4"/>
  <c r="G150" i="4"/>
  <c r="F150" i="4"/>
  <c r="H150" i="4"/>
  <c r="D68" i="4"/>
  <c r="B70" i="4"/>
  <c r="E69" i="4"/>
  <c r="C69" i="4"/>
  <c r="F67" i="4"/>
  <c r="H67" i="4" s="1"/>
  <c r="D70" i="3"/>
  <c r="B72" i="3"/>
  <c r="E71" i="3"/>
  <c r="C71" i="3"/>
  <c r="G69" i="3"/>
  <c r="H69" i="3"/>
  <c r="D72" i="6" l="1"/>
  <c r="F71" i="6"/>
  <c r="H71" i="6" s="1"/>
  <c r="G71" i="6"/>
  <c r="B74" i="6"/>
  <c r="E73" i="6"/>
  <c r="C73" i="6"/>
  <c r="H72" i="6" s="1"/>
  <c r="H151" i="4"/>
  <c r="D152" i="4"/>
  <c r="F151" i="4"/>
  <c r="C153" i="4"/>
  <c r="F152" i="4" s="1"/>
  <c r="E153" i="4"/>
  <c r="B154" i="4"/>
  <c r="G67" i="4"/>
  <c r="D69" i="4"/>
  <c r="B71" i="4"/>
  <c r="E70" i="4"/>
  <c r="C70" i="4"/>
  <c r="F68" i="4"/>
  <c r="G68" i="4" s="1"/>
  <c r="H68" i="4"/>
  <c r="D71" i="3"/>
  <c r="B73" i="3"/>
  <c r="E72" i="3"/>
  <c r="C72" i="3"/>
  <c r="G70" i="3"/>
  <c r="H70" i="3"/>
  <c r="G72" i="6" l="1"/>
  <c r="E74" i="6"/>
  <c r="B75" i="6"/>
  <c r="C74" i="6"/>
  <c r="F73" i="6" s="1"/>
  <c r="D73" i="6"/>
  <c r="F72" i="6"/>
  <c r="H152" i="4"/>
  <c r="G152" i="4"/>
  <c r="D153" i="4"/>
  <c r="F153" i="4"/>
  <c r="H153" i="4"/>
  <c r="E154" i="4"/>
  <c r="B155" i="4"/>
  <c r="C154" i="4"/>
  <c r="G153" i="4" s="1"/>
  <c r="D70" i="4"/>
  <c r="B72" i="4"/>
  <c r="E71" i="4"/>
  <c r="C71" i="4"/>
  <c r="F69" i="4"/>
  <c r="G69" i="4"/>
  <c r="H69" i="4"/>
  <c r="D72" i="3"/>
  <c r="H71" i="3"/>
  <c r="E73" i="3"/>
  <c r="B74" i="3"/>
  <c r="C73" i="3"/>
  <c r="G71" i="3"/>
  <c r="H73" i="6" l="1"/>
  <c r="D74" i="6"/>
  <c r="E75" i="6"/>
  <c r="B76" i="6"/>
  <c r="C75" i="6"/>
  <c r="G74" i="6" s="1"/>
  <c r="G73" i="6"/>
  <c r="E155" i="4"/>
  <c r="B156" i="4"/>
  <c r="C155" i="4"/>
  <c r="D154" i="4"/>
  <c r="F154" i="4"/>
  <c r="G154" i="4"/>
  <c r="H154" i="4"/>
  <c r="D71" i="4"/>
  <c r="B73" i="4"/>
  <c r="E72" i="4"/>
  <c r="C72" i="4"/>
  <c r="F70" i="4"/>
  <c r="G70" i="4"/>
  <c r="H70" i="4"/>
  <c r="D73" i="3"/>
  <c r="H72" i="3"/>
  <c r="E74" i="3"/>
  <c r="B75" i="3"/>
  <c r="C74" i="3"/>
  <c r="G73" i="3" s="1"/>
  <c r="G72" i="3"/>
  <c r="D75" i="6" l="1"/>
  <c r="F74" i="6"/>
  <c r="H74" i="6"/>
  <c r="E76" i="6"/>
  <c r="B77" i="6"/>
  <c r="C76" i="6"/>
  <c r="H75" i="6" s="1"/>
  <c r="H73" i="3"/>
  <c r="D155" i="4"/>
  <c r="B157" i="4"/>
  <c r="C156" i="4"/>
  <c r="E156" i="4"/>
  <c r="E73" i="4"/>
  <c r="B74" i="4"/>
  <c r="C73" i="4"/>
  <c r="D72" i="4"/>
  <c r="F72" i="4" s="1"/>
  <c r="F71" i="4"/>
  <c r="G71" i="4"/>
  <c r="H71" i="4"/>
  <c r="E75" i="3"/>
  <c r="B76" i="3"/>
  <c r="C75" i="3"/>
  <c r="G74" i="3" s="1"/>
  <c r="D74" i="3"/>
  <c r="G75" i="6" l="1"/>
  <c r="E77" i="6"/>
  <c r="C77" i="6"/>
  <c r="F76" i="6" s="1"/>
  <c r="D76" i="6"/>
  <c r="F75" i="6"/>
  <c r="H74" i="3"/>
  <c r="D156" i="4"/>
  <c r="H155" i="4"/>
  <c r="G155" i="4"/>
  <c r="B158" i="4"/>
  <c r="C157" i="4"/>
  <c r="H156" i="4" s="1"/>
  <c r="E157" i="4"/>
  <c r="F155" i="4"/>
  <c r="H72" i="4"/>
  <c r="G72" i="4"/>
  <c r="D73" i="4"/>
  <c r="E74" i="4"/>
  <c r="B75" i="4"/>
  <c r="C74" i="4"/>
  <c r="F73" i="4" s="1"/>
  <c r="D75" i="3"/>
  <c r="E76" i="3"/>
  <c r="C76" i="3"/>
  <c r="H76" i="6" l="1"/>
  <c r="L23" i="6"/>
  <c r="L24" i="6" s="1"/>
  <c r="D77" i="6"/>
  <c r="F77" i="6" s="1"/>
  <c r="L21" i="6"/>
  <c r="L22" i="6" s="1"/>
  <c r="G76" i="6"/>
  <c r="L15" i="3"/>
  <c r="L16" i="3"/>
  <c r="D157" i="4"/>
  <c r="B159" i="4"/>
  <c r="C158" i="4"/>
  <c r="F157" i="4" s="1"/>
  <c r="E158" i="4"/>
  <c r="G156" i="4"/>
  <c r="F156" i="4"/>
  <c r="E75" i="4"/>
  <c r="B76" i="4"/>
  <c r="C75" i="4"/>
  <c r="F74" i="4" s="1"/>
  <c r="D74" i="4"/>
  <c r="G74" i="4"/>
  <c r="H74" i="4"/>
  <c r="G73" i="4"/>
  <c r="H73" i="4"/>
  <c r="H76" i="3"/>
  <c r="G76" i="3"/>
  <c r="D76" i="3"/>
  <c r="L22" i="3"/>
  <c r="L23" i="3" s="1"/>
  <c r="L20" i="3"/>
  <c r="L21" i="3" s="1"/>
  <c r="H75" i="3"/>
  <c r="G75" i="3"/>
  <c r="G77" i="6" l="1"/>
  <c r="H77" i="6"/>
  <c r="L18" i="3"/>
  <c r="D158" i="4"/>
  <c r="H157" i="4"/>
  <c r="B160" i="4"/>
  <c r="C159" i="4"/>
  <c r="F158" i="4" s="1"/>
  <c r="E159" i="4"/>
  <c r="G157" i="4"/>
  <c r="D75" i="4"/>
  <c r="E76" i="4"/>
  <c r="C76" i="4"/>
  <c r="C160" i="4" l="1"/>
  <c r="E160" i="4"/>
  <c r="B161" i="4"/>
  <c r="G158" i="4"/>
  <c r="D159" i="4"/>
  <c r="F159" i="4"/>
  <c r="G159" i="4"/>
  <c r="H159" i="4"/>
  <c r="H158" i="4"/>
  <c r="D76" i="4"/>
  <c r="F76" i="4" s="1"/>
  <c r="L23" i="4"/>
  <c r="L21" i="4"/>
  <c r="F75" i="4"/>
  <c r="H75" i="4" s="1"/>
  <c r="G75" i="4"/>
  <c r="C161" i="4" l="1"/>
  <c r="G160" i="4" s="1"/>
  <c r="E161" i="4"/>
  <c r="B162" i="4"/>
  <c r="D160" i="4"/>
  <c r="H76" i="4"/>
  <c r="G76" i="4"/>
  <c r="H160" i="4" l="1"/>
  <c r="F160" i="4"/>
  <c r="E162" i="4"/>
  <c r="B163" i="4"/>
  <c r="C162" i="4"/>
  <c r="F161" i="4" s="1"/>
  <c r="D161" i="4"/>
  <c r="G161" i="4"/>
  <c r="D162" i="4" l="1"/>
  <c r="E163" i="4"/>
  <c r="B164" i="4"/>
  <c r="C163" i="4"/>
  <c r="H161" i="4"/>
  <c r="D163" i="4" l="1"/>
  <c r="B165" i="4"/>
  <c r="C164" i="4"/>
  <c r="H163" i="4" s="1"/>
  <c r="E164" i="4"/>
  <c r="H162" i="4"/>
  <c r="G162" i="4"/>
  <c r="F162" i="4"/>
  <c r="D164" i="4" l="1"/>
  <c r="G163" i="4"/>
  <c r="B166" i="4"/>
  <c r="C165" i="4"/>
  <c r="G164" i="4" s="1"/>
  <c r="E165" i="4"/>
  <c r="F163" i="4"/>
  <c r="B167" i="4" l="1"/>
  <c r="C166" i="4"/>
  <c r="E166" i="4"/>
  <c r="H164" i="4"/>
  <c r="G165" i="4"/>
  <c r="H165" i="4"/>
  <c r="D165" i="4"/>
  <c r="F165" i="4"/>
  <c r="F164" i="4"/>
  <c r="D166" i="4" l="1"/>
  <c r="B168" i="4"/>
  <c r="C167" i="4"/>
  <c r="E167" i="4"/>
  <c r="D167" i="4" l="1"/>
  <c r="C168" i="4"/>
  <c r="E168" i="4"/>
  <c r="B169" i="4"/>
  <c r="G166" i="4"/>
  <c r="F166" i="4"/>
  <c r="H166" i="4"/>
  <c r="C169" i="4" l="1"/>
  <c r="E169" i="4"/>
  <c r="B170" i="4"/>
  <c r="D168" i="4"/>
  <c r="F168" i="4"/>
  <c r="G168" i="4"/>
  <c r="H168" i="4"/>
  <c r="G167" i="4"/>
  <c r="F167" i="4"/>
  <c r="H167" i="4"/>
  <c r="E170" i="4" l="1"/>
  <c r="B171" i="4"/>
  <c r="C170" i="4"/>
  <c r="D169" i="4"/>
  <c r="F169" i="4"/>
  <c r="G169" i="4"/>
  <c r="H169" i="4"/>
  <c r="D170" i="4" l="1"/>
  <c r="E171" i="4"/>
  <c r="B172" i="4"/>
  <c r="C171" i="4"/>
  <c r="G170" i="4" s="1"/>
  <c r="D171" i="4" l="1"/>
  <c r="B173" i="4"/>
  <c r="C172" i="4"/>
  <c r="E172" i="4"/>
  <c r="H170" i="4"/>
  <c r="F170" i="4"/>
  <c r="B174" i="4" l="1"/>
  <c r="C173" i="4"/>
  <c r="E173" i="4"/>
  <c r="F172" i="4"/>
  <c r="G172" i="4"/>
  <c r="H172" i="4"/>
  <c r="D172" i="4"/>
  <c r="H171" i="4"/>
  <c r="G171" i="4"/>
  <c r="F171" i="4"/>
  <c r="D173" i="4" l="1"/>
  <c r="B175" i="4"/>
  <c r="C174" i="4"/>
  <c r="H173" i="4" s="1"/>
  <c r="E174" i="4"/>
  <c r="D174" i="4" l="1"/>
  <c r="B176" i="4"/>
  <c r="C175" i="4"/>
  <c r="F174" i="4" s="1"/>
  <c r="E175" i="4"/>
  <c r="F173" i="4"/>
  <c r="G173" i="4"/>
  <c r="D175" i="4" l="1"/>
  <c r="C176" i="4"/>
  <c r="E176" i="4"/>
  <c r="B177" i="4"/>
  <c r="G174" i="4"/>
  <c r="H174" i="4"/>
  <c r="D176" i="4" l="1"/>
  <c r="H175" i="4"/>
  <c r="G175" i="4"/>
  <c r="F175" i="4"/>
  <c r="C177" i="4"/>
  <c r="E177" i="4"/>
  <c r="B178" i="4"/>
  <c r="D177" i="4" l="1"/>
  <c r="F177" i="4"/>
  <c r="G177" i="4"/>
  <c r="H177" i="4"/>
  <c r="G176" i="4"/>
  <c r="H176" i="4"/>
  <c r="E178" i="4"/>
  <c r="B179" i="4"/>
  <c r="C178" i="4"/>
  <c r="F176" i="4"/>
  <c r="E179" i="4" l="1"/>
  <c r="B180" i="4"/>
  <c r="C179" i="4"/>
  <c r="D178" i="4"/>
  <c r="F178" i="4"/>
  <c r="G178" i="4"/>
  <c r="H178" i="4"/>
  <c r="B181" i="4" l="1"/>
  <c r="C180" i="4"/>
  <c r="E180" i="4"/>
  <c r="G179" i="4"/>
  <c r="H179" i="4"/>
  <c r="D179" i="4"/>
  <c r="D180" i="4" l="1"/>
  <c r="F179" i="4"/>
  <c r="B182" i="4"/>
  <c r="C181" i="4"/>
  <c r="G180" i="4" s="1"/>
  <c r="E181" i="4"/>
  <c r="B183" i="4" l="1"/>
  <c r="C182" i="4"/>
  <c r="E182" i="4"/>
  <c r="H180" i="4"/>
  <c r="G181" i="4"/>
  <c r="H181" i="4"/>
  <c r="D181" i="4"/>
  <c r="F181" i="4"/>
  <c r="F180" i="4"/>
  <c r="D182" i="4" l="1"/>
  <c r="B184" i="4"/>
  <c r="C183" i="4"/>
  <c r="E183" i="4"/>
  <c r="D183" i="4" l="1"/>
  <c r="C184" i="4"/>
  <c r="G183" i="4" s="1"/>
  <c r="E184" i="4"/>
  <c r="B185" i="4"/>
  <c r="G182" i="4"/>
  <c r="F182" i="4"/>
  <c r="H182" i="4"/>
  <c r="H183" i="4" l="1"/>
  <c r="D184" i="4"/>
  <c r="F183" i="4"/>
  <c r="C185" i="4"/>
  <c r="E185" i="4"/>
  <c r="B186" i="4"/>
  <c r="D185" i="4" l="1"/>
  <c r="H184" i="4"/>
  <c r="G184" i="4"/>
  <c r="F184" i="4"/>
  <c r="E186" i="4"/>
  <c r="B187" i="4"/>
  <c r="C186" i="4"/>
  <c r="G185" i="4" s="1"/>
  <c r="H185" i="4" l="1"/>
  <c r="D186" i="4"/>
  <c r="F186" i="4"/>
  <c r="H186" i="4"/>
  <c r="F185" i="4"/>
  <c r="E187" i="4"/>
  <c r="B188" i="4"/>
  <c r="C187" i="4"/>
  <c r="G186" i="4" s="1"/>
  <c r="B189" i="4" l="1"/>
  <c r="C188" i="4"/>
  <c r="H187" i="4" s="1"/>
  <c r="E188" i="4"/>
  <c r="D187" i="4"/>
  <c r="F187" i="4" l="1"/>
  <c r="G187" i="4"/>
  <c r="D188" i="4"/>
  <c r="B190" i="4"/>
  <c r="C189" i="4"/>
  <c r="F188" i="4" s="1"/>
  <c r="E189" i="4"/>
  <c r="H188" i="4" l="1"/>
  <c r="D189" i="4"/>
  <c r="B191" i="4"/>
  <c r="C190" i="4"/>
  <c r="E190" i="4"/>
  <c r="G188" i="4"/>
  <c r="D190" i="4" l="1"/>
  <c r="B192" i="4"/>
  <c r="C191" i="4"/>
  <c r="F190" i="4" s="1"/>
  <c r="E191" i="4"/>
  <c r="F189" i="4"/>
  <c r="H189" i="4"/>
  <c r="G189" i="4"/>
  <c r="G190" i="4" l="1"/>
  <c r="C192" i="4"/>
  <c r="E192" i="4"/>
  <c r="B193" i="4"/>
  <c r="D191" i="4"/>
  <c r="F191" i="4"/>
  <c r="G191" i="4"/>
  <c r="H191" i="4"/>
  <c r="H190" i="4"/>
  <c r="D192" i="4" l="1"/>
  <c r="C193" i="4"/>
  <c r="E193" i="4"/>
  <c r="B194" i="4"/>
  <c r="E194" i="4" l="1"/>
  <c r="B195" i="4"/>
  <c r="C194" i="4"/>
  <c r="F193" i="4" s="1"/>
  <c r="D193" i="4"/>
  <c r="H193" i="4"/>
  <c r="H192" i="4"/>
  <c r="G192" i="4"/>
  <c r="F192" i="4"/>
  <c r="G193" i="4" l="1"/>
  <c r="E195" i="4"/>
  <c r="B196" i="4"/>
  <c r="C195" i="4"/>
  <c r="F194" i="4" s="1"/>
  <c r="D194" i="4"/>
  <c r="G194" i="4"/>
  <c r="H194" i="4"/>
  <c r="D195" i="4" l="1"/>
  <c r="B197" i="4"/>
  <c r="C196" i="4"/>
  <c r="G195" i="4" s="1"/>
  <c r="E196" i="4"/>
  <c r="D196" i="4" l="1"/>
  <c r="B198" i="4"/>
  <c r="C197" i="4"/>
  <c r="G196" i="4" s="1"/>
  <c r="E197" i="4"/>
  <c r="H195" i="4"/>
  <c r="F195" i="4"/>
  <c r="H196" i="4" l="1"/>
  <c r="D197" i="4"/>
  <c r="B199" i="4"/>
  <c r="C198" i="4"/>
  <c r="E198" i="4"/>
  <c r="F196" i="4"/>
  <c r="D198" i="4" l="1"/>
  <c r="H197" i="4"/>
  <c r="G197" i="4"/>
  <c r="B200" i="4"/>
  <c r="C199" i="4"/>
  <c r="G198" i="4" s="1"/>
  <c r="E199" i="4"/>
  <c r="F197" i="4"/>
  <c r="F198" i="4" l="1"/>
  <c r="C200" i="4"/>
  <c r="E200" i="4"/>
  <c r="B201" i="4"/>
  <c r="D199" i="4"/>
  <c r="F199" i="4"/>
  <c r="G199" i="4"/>
  <c r="H199" i="4"/>
  <c r="H198" i="4"/>
  <c r="C201" i="4" l="1"/>
  <c r="E201" i="4"/>
  <c r="B202" i="4"/>
  <c r="D200" i="4"/>
  <c r="F200" i="4"/>
  <c r="G200" i="4"/>
  <c r="H200" i="4"/>
  <c r="E202" i="4" l="1"/>
  <c r="B203" i="4"/>
  <c r="C202" i="4"/>
  <c r="D201" i="4"/>
  <c r="F201" i="4"/>
  <c r="G201" i="4"/>
  <c r="H201" i="4"/>
  <c r="D202" i="4" l="1"/>
  <c r="E203" i="4"/>
  <c r="B204" i="4"/>
  <c r="C203" i="4"/>
  <c r="F202" i="4" s="1"/>
  <c r="B205" i="4" l="1"/>
  <c r="C204" i="4"/>
  <c r="E204" i="4"/>
  <c r="H202" i="4"/>
  <c r="G202" i="4"/>
  <c r="F203" i="4"/>
  <c r="G203" i="4"/>
  <c r="H203" i="4"/>
  <c r="D203" i="4"/>
  <c r="D204" i="4" l="1"/>
  <c r="B206" i="4"/>
  <c r="C205" i="4"/>
  <c r="E205" i="4"/>
  <c r="D205" i="4" l="1"/>
  <c r="B207" i="4"/>
  <c r="C206" i="4"/>
  <c r="E206" i="4"/>
  <c r="H204" i="4"/>
  <c r="G204" i="4"/>
  <c r="F204" i="4"/>
  <c r="D206" i="4" l="1"/>
  <c r="B208" i="4"/>
  <c r="C207" i="4"/>
  <c r="G206" i="4" s="1"/>
  <c r="E207" i="4"/>
  <c r="F205" i="4"/>
  <c r="H205" i="4"/>
  <c r="G205" i="4"/>
  <c r="C208" i="4" l="1"/>
  <c r="E208" i="4"/>
  <c r="B209" i="4"/>
  <c r="D207" i="4"/>
  <c r="F207" i="4"/>
  <c r="G207" i="4"/>
  <c r="H207" i="4"/>
  <c r="F206" i="4"/>
  <c r="H206" i="4"/>
  <c r="C209" i="4" l="1"/>
  <c r="E209" i="4"/>
  <c r="B210" i="4"/>
  <c r="D208" i="4"/>
  <c r="F208" i="4"/>
  <c r="G208" i="4"/>
  <c r="H208" i="4"/>
  <c r="E210" i="4" l="1"/>
  <c r="B211" i="4"/>
  <c r="C210" i="4"/>
  <c r="D209" i="4"/>
  <c r="F209" i="4"/>
  <c r="G209" i="4"/>
  <c r="H209" i="4"/>
  <c r="E211" i="4" l="1"/>
  <c r="B212" i="4"/>
  <c r="C211" i="4"/>
  <c r="D210" i="4"/>
  <c r="H210" i="4"/>
  <c r="F210" i="4"/>
  <c r="G210" i="4"/>
  <c r="C212" i="4" l="1"/>
  <c r="B213" i="4"/>
  <c r="E212" i="4"/>
  <c r="F211" i="4"/>
  <c r="G211" i="4"/>
  <c r="H211" i="4"/>
  <c r="D211" i="4"/>
  <c r="B214" i="4" l="1"/>
  <c r="C213" i="4"/>
  <c r="E213" i="4"/>
  <c r="G212" i="4"/>
  <c r="H212" i="4"/>
  <c r="D212" i="4"/>
  <c r="D213" i="4" l="1"/>
  <c r="F212" i="4"/>
  <c r="C214" i="4"/>
  <c r="F213" i="4" s="1"/>
  <c r="E214" i="4"/>
  <c r="H214" i="4" l="1"/>
  <c r="D214" i="4"/>
  <c r="F214" i="4"/>
  <c r="G214" i="4"/>
  <c r="H213" i="4"/>
  <c r="G213" i="4"/>
</calcChain>
</file>

<file path=xl/sharedStrings.xml><?xml version="1.0" encoding="utf-8"?>
<sst xmlns="http://schemas.openxmlformats.org/spreadsheetml/2006/main" count="945" uniqueCount="270">
  <si>
    <t>Sw</t>
  </si>
  <si>
    <t>H</t>
  </si>
  <si>
    <t>Core width</t>
  </si>
  <si>
    <t>Pw</t>
  </si>
  <si>
    <t>W</t>
  </si>
  <si>
    <t>mm</t>
  </si>
  <si>
    <t>Total core width</t>
  </si>
  <si>
    <t>Central pillar width</t>
  </si>
  <si>
    <t>Central pillar height</t>
  </si>
  <si>
    <t>Side lobe width</t>
  </si>
  <si>
    <t>D</t>
  </si>
  <si>
    <t>Min copper to edge clearance</t>
  </si>
  <si>
    <t>Min S</t>
  </si>
  <si>
    <t>Min track width</t>
  </si>
  <si>
    <t>Min D</t>
  </si>
  <si>
    <t>Min trace to outline distance</t>
  </si>
  <si>
    <t>Min C</t>
  </si>
  <si>
    <t>Min track spacing</t>
  </si>
  <si>
    <t>JLC
capabilities</t>
  </si>
  <si>
    <t>Core
dimensions</t>
  </si>
  <si>
    <t>Max T</t>
  </si>
  <si>
    <t>C</t>
  </si>
  <si>
    <t>Cr</t>
  </si>
  <si>
    <t>Inner copper</t>
  </si>
  <si>
    <t>µm</t>
  </si>
  <si>
    <t>Outer copper</t>
  </si>
  <si>
    <r>
      <rPr>
        <sz val="11"/>
        <color theme="1"/>
        <rFont val="Arial"/>
        <family val="2"/>
      </rPr>
      <t>Ω*</t>
    </r>
    <r>
      <rPr>
        <sz val="11"/>
        <color theme="1"/>
        <rFont val="Calibri"/>
        <family val="2"/>
        <scheme val="minor"/>
      </rPr>
      <t>m</t>
    </r>
  </si>
  <si>
    <t>Cross section (mm²)</t>
  </si>
  <si>
    <t>Track length(mm)</t>
  </si>
  <si>
    <t>Max Turns</t>
  </si>
  <si>
    <t>S(mm)</t>
  </si>
  <si>
    <t>Winding width W=(Core_width - Pw )/2 - Sw</t>
  </si>
  <si>
    <t>Max number of turns using min spacing/min track size Max T = (W-2D+C)/(C+S)</t>
  </si>
  <si>
    <t>Copper resistivity</t>
  </si>
  <si>
    <t>Al</t>
  </si>
  <si>
    <t>nH/turn²</t>
  </si>
  <si>
    <t>TODO: measure on core</t>
  </si>
  <si>
    <t>Copper 1</t>
  </si>
  <si>
    <t>Copper 2</t>
  </si>
  <si>
    <t>N layers</t>
  </si>
  <si>
    <t>Resistance L1 (mΩ)</t>
  </si>
  <si>
    <t>Resistance L2 (mΩ)</t>
  </si>
  <si>
    <t>R1</t>
  </si>
  <si>
    <t>T1</t>
  </si>
  <si>
    <t>T2</t>
  </si>
  <si>
    <t>R2</t>
  </si>
  <si>
    <t>Ttot</t>
  </si>
  <si>
    <t>L</t>
  </si>
  <si>
    <t>µH</t>
  </si>
  <si>
    <t>Rtot</t>
  </si>
  <si>
    <t>mΩ</t>
  </si>
  <si>
    <t>Current</t>
  </si>
  <si>
    <t>A</t>
  </si>
  <si>
    <t>mils²</t>
  </si>
  <si>
    <t>°C</t>
  </si>
  <si>
    <t>L1 section</t>
  </si>
  <si>
    <t>L1 T rise</t>
  </si>
  <si>
    <t>L2 T rise</t>
  </si>
  <si>
    <t>Copper 3</t>
  </si>
  <si>
    <t>Resistance L3 (mΩ)</t>
  </si>
  <si>
    <t>T3</t>
  </si>
  <si>
    <t>R3</t>
  </si>
  <si>
    <t>L2 section</t>
  </si>
  <si>
    <t>L3 section</t>
  </si>
  <si>
    <t>L3 T rise</t>
  </si>
  <si>
    <t>Equivalent DC current</t>
  </si>
  <si>
    <t># turns on Layer 1</t>
  </si>
  <si>
    <t>Total number of turns</t>
  </si>
  <si>
    <t>Expected magnetizing inductance</t>
  </si>
  <si>
    <t># turns on Layer 2</t>
  </si>
  <si>
    <t># turns on Layer 3</t>
  </si>
  <si>
    <t>Layer 1 DCR</t>
  </si>
  <si>
    <t>Total winding DCR (without vias)</t>
  </si>
  <si>
    <t>Layer 2 DCR</t>
  </si>
  <si>
    <t>Layer 3 DCR</t>
  </si>
  <si>
    <t>mOhm</t>
  </si>
  <si>
    <t>turns</t>
  </si>
  <si>
    <t>35/35</t>
  </si>
  <si>
    <t>17.5/17.5</t>
  </si>
  <si>
    <t>Tsw</t>
  </si>
  <si>
    <t>Fsw</t>
  </si>
  <si>
    <t>kHz</t>
  </si>
  <si>
    <t>µs</t>
  </si>
  <si>
    <t>V</t>
  </si>
  <si>
    <t>duty</t>
  </si>
  <si>
    <t>Ton</t>
  </si>
  <si>
    <t>Pout</t>
  </si>
  <si>
    <t>Eout</t>
  </si>
  <si>
    <t>µJ</t>
  </si>
  <si>
    <t>Efficiency</t>
  </si>
  <si>
    <t>Em</t>
  </si>
  <si>
    <t>Pmax</t>
  </si>
  <si>
    <t>Vol</t>
  </si>
  <si>
    <t>µ0</t>
  </si>
  <si>
    <t>µrdg</t>
  </si>
  <si>
    <t>Bm</t>
  </si>
  <si>
    <t>100kHz</t>
  </si>
  <si>
    <t>Turns</t>
  </si>
  <si>
    <t>nH/turns²</t>
  </si>
  <si>
    <t>Formula</t>
  </si>
  <si>
    <t>Error</t>
  </si>
  <si>
    <t>Eff</t>
  </si>
  <si>
    <t>Pin</t>
  </si>
  <si>
    <t>Vin</t>
  </si>
  <si>
    <t>Vout</t>
  </si>
  <si>
    <t>Iout</t>
  </si>
  <si>
    <t>Iin</t>
  </si>
  <si>
    <t>Dmax</t>
  </si>
  <si>
    <t>N ideal</t>
  </si>
  <si>
    <t>Secondary</t>
  </si>
  <si>
    <t>Primary</t>
  </si>
  <si>
    <t>N</t>
  </si>
  <si>
    <t>Variable
constraints</t>
  </si>
  <si>
    <t>step:</t>
  </si>
  <si>
    <t>Lpri max</t>
  </si>
  <si>
    <t>Lpri targ</t>
  </si>
  <si>
    <t>Lsec targ</t>
  </si>
  <si>
    <t>Npri targ</t>
  </si>
  <si>
    <t>Nsec targ</t>
  </si>
  <si>
    <t>Ae</t>
  </si>
  <si>
    <t>mm²</t>
  </si>
  <si>
    <t>Ipk</t>
  </si>
  <si>
    <t>Idc</t>
  </si>
  <si>
    <t>Bmax</t>
  </si>
  <si>
    <t>mA</t>
  </si>
  <si>
    <t>mT</t>
  </si>
  <si>
    <t>Ve</t>
  </si>
  <si>
    <t>mm^3</t>
  </si>
  <si>
    <t>PV@300kHz</t>
  </si>
  <si>
    <t>kW/m^3</t>
  </si>
  <si>
    <t>PV@500kHz</t>
  </si>
  <si>
    <t>P 300k</t>
  </si>
  <si>
    <t>P 500k</t>
  </si>
  <si>
    <t>mW</t>
  </si>
  <si>
    <t>Core losses</t>
  </si>
  <si>
    <t>Keep below 390mT</t>
  </si>
  <si>
    <t>kOhm</t>
  </si>
  <si>
    <t>Conductor width W</t>
  </si>
  <si>
    <t>Conductor height</t>
  </si>
  <si>
    <t>Er</t>
  </si>
  <si>
    <t>Er eff</t>
  </si>
  <si>
    <t>pF/cm</t>
  </si>
  <si>
    <t>Cap</t>
  </si>
  <si>
    <t>Cap+edge</t>
  </si>
  <si>
    <t>L (cm)</t>
  </si>
  <si>
    <t>height (mm)</t>
  </si>
  <si>
    <t>W (mm)</t>
  </si>
  <si>
    <t>W(mm)</t>
  </si>
  <si>
    <t>t(µm)</t>
  </si>
  <si>
    <t>g(mm)</t>
  </si>
  <si>
    <t>d</t>
  </si>
  <si>
    <t>Cap in pf/m</t>
  </si>
  <si>
    <t>With DC bias</t>
  </si>
  <si>
    <t>L 100k</t>
  </si>
  <si>
    <t>6 turns</t>
  </si>
  <si>
    <t>7 turns</t>
  </si>
  <si>
    <t>10 turns</t>
  </si>
  <si>
    <t>100kHz standalone</t>
  </si>
  <si>
    <t>Max energy transfer:</t>
  </si>
  <si>
    <t>Lpri</t>
  </si>
  <si>
    <t>I sat (+margin)</t>
  </si>
  <si>
    <t>E pulse</t>
  </si>
  <si>
    <t>Pin calc</t>
  </si>
  <si>
    <t>237/+6°C</t>
  </si>
  <si>
    <t>1388/+0°C</t>
  </si>
  <si>
    <t>+4°C</t>
  </si>
  <si>
    <t>Order options:</t>
  </si>
  <si>
    <t>Material: FR4 TG155</t>
  </si>
  <si>
    <t>HASL</t>
  </si>
  <si>
    <t>Inner &amp; outer copper weight 1oz</t>
  </si>
  <si>
    <t>Plugged vias</t>
  </si>
  <si>
    <t>Min size/hole diameter 0.3mm/0.45mm</t>
  </si>
  <si>
    <t>No extra charge for hole&lt;0.3mm if pad&gt;=0.45mm</t>
  </si>
  <si>
    <t>Confirm production file: yes</t>
  </si>
  <si>
    <t>Remove order number: specify a location</t>
  </si>
  <si>
    <t>$3</t>
  </si>
  <si>
    <t>$0</t>
  </si>
  <si>
    <t>$15</t>
  </si>
  <si>
    <t>$0.5</t>
  </si>
  <si>
    <t>Board outline tolerance: +/-0.1mm (precision)</t>
  </si>
  <si>
    <t>$8</t>
  </si>
  <si>
    <t>4Layer 50x50mm</t>
  </si>
  <si>
    <t>$2</t>
  </si>
  <si>
    <t>or</t>
  </si>
  <si>
    <t>4Layer 100x100mm</t>
  </si>
  <si>
    <t>$7</t>
  </si>
  <si>
    <t>proto</t>
  </si>
  <si>
    <t>$55</t>
  </si>
  <si>
    <t>HB 4L 15x15</t>
  </si>
  <si>
    <t>1.2mm</t>
  </si>
  <si>
    <t>https://www.digikey.com/en/products/detail/epcos-tdk-electronics/B65525J0160A087/3913735</t>
  </si>
  <si>
    <t>https://www.mouser.fr/ProductDetail/EPCOS-TDK/B65525J0160A087</t>
  </si>
  <si>
    <t>Pout needed</t>
  </si>
  <si>
    <t>burst duty</t>
  </si>
  <si>
    <t>Pout pk</t>
  </si>
  <si>
    <t>Est eff</t>
  </si>
  <si>
    <t>Pin pk</t>
  </si>
  <si>
    <t>P/Fsw</t>
  </si>
  <si>
    <t>E=1/2Li²</t>
  </si>
  <si>
    <t>i=sqrt(2E/L)</t>
  </si>
  <si>
    <t>Ipri min</t>
  </si>
  <si>
    <t>U=Ldi/dt</t>
  </si>
  <si>
    <t>dt=Ldi/U</t>
  </si>
  <si>
    <t>chg time</t>
  </si>
  <si>
    <t>chg duty</t>
  </si>
  <si>
    <t>Coil DCR</t>
  </si>
  <si>
    <t>Ω</t>
  </si>
  <si>
    <t>MOS Rdson</t>
  </si>
  <si>
    <t>Shunt</t>
  </si>
  <si>
    <t>Total R</t>
  </si>
  <si>
    <t>i(t)=(v-v*exp(-rt/L))/r</t>
  </si>
  <si>
    <t>t</t>
  </si>
  <si>
    <t>i</t>
  </si>
  <si>
    <t>chg time comp</t>
  </si>
  <si>
    <t>chg duty comp</t>
  </si>
  <si>
    <t>t(i)=-ln((V-Ri)/V)*L/R</t>
  </si>
  <si>
    <t>Iavg</t>
  </si>
  <si>
    <t>Irms</t>
  </si>
  <si>
    <t>Pmos</t>
  </si>
  <si>
    <t>Rth mos</t>
  </si>
  <si>
    <t>°C/W</t>
  </si>
  <si>
    <t>Trise MOS</t>
  </si>
  <si>
    <t>T4</t>
  </si>
  <si>
    <t># turns on Layer 4</t>
  </si>
  <si>
    <t>tot arc+segments</t>
  </si>
  <si>
    <t>tot arc</t>
  </si>
  <si>
    <t>tot arc/layer</t>
  </si>
  <si>
    <t>longueur (mm)</t>
  </si>
  <si>
    <t>angle (°)</t>
  </si>
  <si>
    <t>rayon (mm)</t>
  </si>
  <si>
    <t>segments courbes</t>
  </si>
  <si>
    <t>total L1+L2</t>
  </si>
  <si>
    <t>tot segments</t>
  </si>
  <si>
    <t>Fin L2</t>
  </si>
  <si>
    <t>top</t>
  </si>
  <si>
    <t>Début L2</t>
  </si>
  <si>
    <t>bot</t>
  </si>
  <si>
    <t>L3</t>
  </si>
  <si>
    <t>segments droits</t>
  </si>
  <si>
    <t>sec X HS</t>
  </si>
  <si>
    <t>pri X LS</t>
  </si>
  <si>
    <t>pri X HS</t>
  </si>
  <si>
    <t>598 *2 in //</t>
  </si>
  <si>
    <t>(L1-&gt;L2)//(L5-&gt;L6)</t>
  </si>
  <si>
    <t>Current at 20°C rise</t>
  </si>
  <si>
    <r>
      <t>DCR (m</t>
    </r>
    <r>
      <rPr>
        <sz val="11"/>
        <color theme="1"/>
        <rFont val="Arial"/>
        <family val="2"/>
      </rPr>
      <t>Ω</t>
    </r>
    <r>
      <rPr>
        <sz val="11"/>
        <color theme="1"/>
        <rFont val="Calibri"/>
        <family val="2"/>
      </rPr>
      <t>)</t>
    </r>
  </si>
  <si>
    <t>length (mm)</t>
  </si>
  <si>
    <t>width (mm)</t>
  </si>
  <si>
    <t>config</t>
  </si>
  <si>
    <t>total</t>
  </si>
  <si>
    <t>L6</t>
  </si>
  <si>
    <t>L5</t>
  </si>
  <si>
    <t>L2</t>
  </si>
  <si>
    <t>L1</t>
  </si>
  <si>
    <t>L1-&gt;L2-&gt;L5-&gt;L6 in series</t>
  </si>
  <si>
    <t>tours</t>
  </si>
  <si>
    <t>tot</t>
  </si>
  <si>
    <t>pri1+pri2+feed</t>
  </si>
  <si>
    <t>B</t>
  </si>
  <si>
    <t>supply 75.6mm</t>
  </si>
  <si>
    <t>pri1+pri2+supply</t>
  </si>
  <si>
    <t>IN4</t>
  </si>
  <si>
    <t>x</t>
  </si>
  <si>
    <t>IN3</t>
  </si>
  <si>
    <t>IN2</t>
  </si>
  <si>
    <t>pri1+pri2</t>
  </si>
  <si>
    <t>IN1</t>
  </si>
  <si>
    <t>pri1+pri2+caps</t>
  </si>
  <si>
    <t>F</t>
  </si>
  <si>
    <t>48V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</si>
</sst>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97">
    <xf numFmtId="0" fontId="0" fillId="0" borderId="0" xfId="0"/>
    <xf numFmtId="1" fontId="0" fillId="0" borderId="0" xfId="0" applyNumberFormat="1"/>
    <xf numFmtId="166" fontId="0" fillId="0" borderId="0" xfId="0" applyNumberFormat="1"/>
    <xf numFmtId="11" fontId="0" fillId="0" borderId="0" xfId="0" applyNumberFormat="1"/>
    <xf numFmtId="0" fontId="0" fillId="0" borderId="0" xfId="0"/>
    <xf numFmtId="0" fontId="0" fillId="0" borderId="0" xfId="0" applyAlignment="1"/>
    <xf numFmtId="0" fontId="0" fillId="0" borderId="0" xfId="0" applyFill="1" applyBorder="1" applyAlignment="1"/>
    <xf numFmtId="0" fontId="1" fillId="0" borderId="0" xfId="0" applyFont="1" applyFill="1" applyBorder="1" applyAlignment="1"/>
    <xf numFmtId="0" fontId="0" fillId="0" borderId="0" xfId="0" applyAlignment="1"/>
    <xf numFmtId="9" fontId="0" fillId="0" borderId="0" xfId="0" applyNumberFormat="1"/>
    <xf numFmtId="9" fontId="0" fillId="0" borderId="0" xfId="1" applyFont="1"/>
    <xf numFmtId="9" fontId="0" fillId="0" borderId="0" xfId="0" applyNumberFormat="1" applyAlignment="1"/>
    <xf numFmtId="0" fontId="0" fillId="0" borderId="2" xfId="0" applyBorder="1"/>
    <xf numFmtId="0" fontId="0" fillId="0" borderId="0" xfId="0" applyBorder="1"/>
    <xf numFmtId="0" fontId="0" fillId="0" borderId="7" xfId="0" applyBorder="1"/>
    <xf numFmtId="0" fontId="0" fillId="0" borderId="9" xfId="0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0" fontId="0" fillId="0" borderId="1" xfId="0" applyBorder="1" applyAlignment="1"/>
    <xf numFmtId="1" fontId="0" fillId="0" borderId="2" xfId="0" applyNumberFormat="1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1" fontId="0" fillId="0" borderId="0" xfId="0" applyNumberFormat="1" applyBorder="1"/>
    <xf numFmtId="0" fontId="0" fillId="0" borderId="0" xfId="0" applyBorder="1" applyAlignment="1"/>
    <xf numFmtId="0" fontId="0" fillId="0" borderId="5" xfId="0" applyBorder="1" applyAlignment="1"/>
    <xf numFmtId="0" fontId="1" fillId="0" borderId="6" xfId="0" applyFont="1" applyBorder="1" applyAlignment="1"/>
    <xf numFmtId="1" fontId="1" fillId="0" borderId="7" xfId="0" applyNumberFormat="1" applyFont="1" applyBorder="1" applyAlignment="1"/>
    <xf numFmtId="0" fontId="1" fillId="0" borderId="7" xfId="0" applyFont="1" applyBorder="1" applyAlignment="1"/>
    <xf numFmtId="0" fontId="0" fillId="0" borderId="8" xfId="0" applyBorder="1" applyAlignment="1"/>
    <xf numFmtId="164" fontId="0" fillId="0" borderId="2" xfId="0" applyNumberFormat="1" applyBorder="1" applyAlignment="1"/>
    <xf numFmtId="0" fontId="1" fillId="0" borderId="4" xfId="0" applyFont="1" applyBorder="1" applyAlignment="1"/>
    <xf numFmtId="1" fontId="1" fillId="0" borderId="0" xfId="0" applyNumberFormat="1" applyFont="1" applyBorder="1" applyAlignment="1"/>
    <xf numFmtId="0" fontId="1" fillId="0" borderId="0" xfId="0" applyFont="1" applyBorder="1" applyAlignment="1"/>
    <xf numFmtId="164" fontId="0" fillId="0" borderId="0" xfId="0" applyNumberFormat="1" applyBorder="1" applyAlignment="1"/>
    <xf numFmtId="0" fontId="0" fillId="0" borderId="5" xfId="0" applyFill="1" applyBorder="1" applyAlignment="1"/>
    <xf numFmtId="0" fontId="0" fillId="0" borderId="8" xfId="0" applyBorder="1"/>
    <xf numFmtId="0" fontId="0" fillId="0" borderId="4" xfId="0" applyBorder="1"/>
    <xf numFmtId="164" fontId="1" fillId="0" borderId="7" xfId="0" applyNumberFormat="1" applyFont="1" applyBorder="1" applyAlignment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8" xfId="0" applyBorder="1" applyAlignment="1"/>
    <xf numFmtId="0" fontId="0" fillId="0" borderId="0" xfId="0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5" xfId="0" applyFill="1" applyBorder="1" applyAlignment="1"/>
    <xf numFmtId="0" fontId="0" fillId="0" borderId="0" xfId="0" applyBorder="1"/>
    <xf numFmtId="0" fontId="1" fillId="0" borderId="0" xfId="0" applyFont="1" applyFill="1" applyBorder="1" applyAlignment="1"/>
    <xf numFmtId="0" fontId="0" fillId="0" borderId="0" xfId="0" quotePrefix="1"/>
    <xf numFmtId="0" fontId="0" fillId="0" borderId="2" xfId="0" applyBorder="1" applyAlignment="1"/>
    <xf numFmtId="0" fontId="0" fillId="0" borderId="3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1" fillId="0" borderId="0" xfId="0" applyFont="1" applyFill="1" applyBorder="1" applyAlignment="1"/>
    <xf numFmtId="0" fontId="0" fillId="0" borderId="8" xfId="0" applyBorder="1" applyAlignment="1"/>
    <xf numFmtId="0" fontId="0" fillId="0" borderId="0" xfId="0" applyFill="1" applyBorder="1" applyAlignment="1"/>
    <xf numFmtId="0" fontId="0" fillId="0" borderId="0" xfId="0" applyAlignment="1"/>
    <xf numFmtId="0" fontId="0" fillId="0" borderId="5" xfId="0" applyFill="1" applyBorder="1" applyAlignment="1"/>
    <xf numFmtId="0" fontId="0" fillId="0" borderId="0" xfId="0" applyBorder="1"/>
    <xf numFmtId="0" fontId="4" fillId="0" borderId="0" xfId="2"/>
    <xf numFmtId="0" fontId="0" fillId="0" borderId="0" xfId="0" applyNumberFormat="1"/>
    <xf numFmtId="0" fontId="2" fillId="0" borderId="0" xfId="0" applyFont="1"/>
    <xf numFmtId="0" fontId="0" fillId="0" borderId="2" xfId="0" applyBorder="1" applyAlignment="1"/>
    <xf numFmtId="0" fontId="0" fillId="0" borderId="3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1" fillId="0" borderId="0" xfId="0" applyFont="1" applyFill="1" applyBorder="1" applyAlignment="1"/>
    <xf numFmtId="0" fontId="0" fillId="0" borderId="8" xfId="0" applyBorder="1" applyAlignment="1"/>
    <xf numFmtId="0" fontId="0" fillId="0" borderId="0" xfId="0" applyAlignment="1"/>
    <xf numFmtId="0" fontId="0" fillId="0" borderId="0" xfId="0" applyFill="1" applyBorder="1" applyAlignment="1"/>
    <xf numFmtId="0" fontId="0" fillId="0" borderId="0" xfId="0" applyBorder="1"/>
    <xf numFmtId="0" fontId="0" fillId="0" borderId="5" xfId="0" applyFill="1" applyBorder="1" applyAlignment="1"/>
    <xf numFmtId="164" fontId="1" fillId="0" borderId="0" xfId="0" applyNumberFormat="1" applyFont="1"/>
    <xf numFmtId="0" fontId="1" fillId="0" borderId="1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1" fillId="0" borderId="0" xfId="0" applyFont="1" applyFill="1" applyBorder="1" applyAlignment="1"/>
    <xf numFmtId="0" fontId="1" fillId="0" borderId="5" xfId="0" applyFont="1" applyFill="1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0" xfId="0" applyAlignment="1"/>
    <xf numFmtId="0" fontId="1" fillId="0" borderId="4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0" fillId="0" borderId="0" xfId="0" applyFill="1" applyBorder="1" applyAlignment="1"/>
    <xf numFmtId="0" fontId="0" fillId="0" borderId="0" xfId="0" applyBorder="1"/>
    <xf numFmtId="0" fontId="0" fillId="0" borderId="5" xfId="0" applyBorder="1"/>
    <xf numFmtId="0" fontId="0" fillId="0" borderId="5" xfId="0" applyFill="1" applyBorder="1" applyAlignme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 curve, 0 bias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Sheet2!$M$3</c:f>
              <c:strCache>
                <c:ptCount val="1"/>
                <c:pt idx="0">
                  <c:v>100kHz standalone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1126157943492357"/>
                  <c:y val="-9.09931545063336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Sheet2!$L$4:$L$12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Sheet2!$M$4:$M$12</c:f>
              <c:numCache>
                <c:formatCode>General</c:formatCode>
                <c:ptCount val="9"/>
                <c:pt idx="0">
                  <c:v>159</c:v>
                </c:pt>
                <c:pt idx="1">
                  <c:v>633</c:v>
                </c:pt>
                <c:pt idx="2">
                  <c:v>1370</c:v>
                </c:pt>
                <c:pt idx="3">
                  <c:v>2516</c:v>
                </c:pt>
                <c:pt idx="4">
                  <c:v>3500</c:v>
                </c:pt>
                <c:pt idx="5">
                  <c:v>5420</c:v>
                </c:pt>
                <c:pt idx="6">
                  <c:v>7360</c:v>
                </c:pt>
                <c:pt idx="7">
                  <c:v>9640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BA-4A66-AD30-F74223DFDAAE}"/>
            </c:ext>
          </c:extLst>
        </c:ser>
        <c:ser>
          <c:idx val="1"/>
          <c:order val="1"/>
          <c:tx>
            <c:strRef>
              <c:f>Sheet2!$N$3</c:f>
              <c:strCache>
                <c:ptCount val="1"/>
                <c:pt idx="0">
                  <c:v>Formula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Sheet2!$L$4:$L$12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Sheet2!$N$4:$N$12</c:f>
              <c:numCache>
                <c:formatCode>General</c:formatCode>
                <c:ptCount val="9"/>
                <c:pt idx="0">
                  <c:v>155</c:v>
                </c:pt>
                <c:pt idx="1">
                  <c:v>620</c:v>
                </c:pt>
                <c:pt idx="2">
                  <c:v>1395</c:v>
                </c:pt>
                <c:pt idx="3">
                  <c:v>2480</c:v>
                </c:pt>
                <c:pt idx="4">
                  <c:v>3875</c:v>
                </c:pt>
                <c:pt idx="5">
                  <c:v>5580</c:v>
                </c:pt>
                <c:pt idx="6">
                  <c:v>7595</c:v>
                </c:pt>
                <c:pt idx="7">
                  <c:v>9920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BA-4A66-AD30-F74223DFDAAE}"/>
            </c:ext>
          </c:extLst>
        </c:ser>
        <c:ser>
          <c:idx val="2"/>
          <c:order val="2"/>
          <c:tx>
            <c:strRef>
              <c:f>Sheet2!$R$2</c:f>
              <c:strCache>
                <c:ptCount val="1"/>
                <c:pt idx="0">
                  <c:v>With DC bias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Sheet2!$R$4:$R$11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</c:numCache>
            </c:numRef>
          </c:xVal>
          <c:yVal>
            <c:numRef>
              <c:f>Sheet2!$S$4:$S$11</c:f>
              <c:numCache>
                <c:formatCode>General</c:formatCode>
                <c:ptCount val="8"/>
                <c:pt idx="0">
                  <c:v>150</c:v>
                </c:pt>
                <c:pt idx="1">
                  <c:v>582</c:v>
                </c:pt>
                <c:pt idx="2">
                  <c:v>1000</c:v>
                </c:pt>
                <c:pt idx="3">
                  <c:v>1818</c:v>
                </c:pt>
                <c:pt idx="4">
                  <c:v>2900</c:v>
                </c:pt>
                <c:pt idx="5">
                  <c:v>4630</c:v>
                </c:pt>
                <c:pt idx="6">
                  <c:v>6310</c:v>
                </c:pt>
                <c:pt idx="7">
                  <c:v>14220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58-4D50-AD62-3597512ED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113951"/>
        <c:axId val="557068975"/>
      </c:scatterChart>
      <c:valAx>
        <c:axId val="64211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68975"/>
        <c:crosses val="autoZero"/>
        <c:crossBetween val="midCat"/>
      </c:valAx>
      <c:valAx>
        <c:axId val="55706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Inductance (nH)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13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Sheet2!$U$2</c:f>
              <c:strCache>
                <c:ptCount val="1"/>
                <c:pt idx="0">
                  <c:v>6 turns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Sheet2!$X$4:$X$14</c:f>
              <c:numCache>
                <c:formatCode>General</c:formatCode>
                <c:ptCount val="11"/>
                <c:pt idx="0">
                  <c:v>0</c:v>
                </c:pt>
                <c:pt idx="1">
                  <c:v>0.60000000000000009</c:v>
                </c:pt>
                <c:pt idx="2">
                  <c:v>1.7999999999999998</c:v>
                </c:pt>
                <c:pt idx="3">
                  <c:v>3</c:v>
                </c:pt>
                <c:pt idx="4">
                  <c:v>4.1999999999999993</c:v>
                </c:pt>
                <c:pt idx="5">
                  <c:v>8.64</c:v>
                </c:pt>
                <c:pt idx="6">
                  <c:v>11.399999999999999</c:v>
                </c:pt>
                <c:pt idx="7">
                  <c:v>13.200000000000001</c:v>
                </c:pt>
                <c:pt idx="8">
                  <c:v>15.600000000000001</c:v>
                </c:pt>
                <c:pt idx="9">
                  <c:v>16.799999999999997</c:v>
                </c:pt>
                <c:pt idx="10">
                  <c:v>18</c:v>
                </c:pt>
              </c:numCache>
            </c:numRef>
          </c:xVal>
          <c:yVal>
            <c:numRef>
              <c:f>Sheet2!$V$4:$V$14</c:f>
              <c:numCache>
                <c:formatCode>General</c:formatCode>
                <c:ptCount val="11"/>
                <c:pt idx="0">
                  <c:v>4.87</c:v>
                </c:pt>
                <c:pt idx="1">
                  <c:v>4.87</c:v>
                </c:pt>
                <c:pt idx="2">
                  <c:v>4.88</c:v>
                </c:pt>
                <c:pt idx="3">
                  <c:v>4.88</c:v>
                </c:pt>
                <c:pt idx="4">
                  <c:v>4.88</c:v>
                </c:pt>
                <c:pt idx="5">
                  <c:v>4.8499999999999996</c:v>
                </c:pt>
                <c:pt idx="6">
                  <c:v>4.8</c:v>
                </c:pt>
                <c:pt idx="7">
                  <c:v>4.78</c:v>
                </c:pt>
                <c:pt idx="8">
                  <c:v>4.67</c:v>
                </c:pt>
                <c:pt idx="9">
                  <c:v>4.62</c:v>
                </c:pt>
                <c:pt idx="10">
                  <c:v>4.59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C6-465B-BD6D-94C008200DED}"/>
            </c:ext>
          </c:extLst>
        </c:ser>
        <c:ser>
          <c:idx val="1"/>
          <c:order val="1"/>
          <c:tx>
            <c:strRef>
              <c:f>Sheet2!$Z$2</c:f>
              <c:strCache>
                <c:ptCount val="1"/>
                <c:pt idx="0">
                  <c:v>7 turns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Sheet2!$AC$4:$AC$16</c:f>
              <c:numCache>
                <c:formatCode>General</c:formatCode>
                <c:ptCount val="13"/>
                <c:pt idx="0">
                  <c:v>0</c:v>
                </c:pt>
                <c:pt idx="1">
                  <c:v>0.70000000000000007</c:v>
                </c:pt>
                <c:pt idx="2">
                  <c:v>1.4000000000000001</c:v>
                </c:pt>
                <c:pt idx="3">
                  <c:v>2.8000000000000003</c:v>
                </c:pt>
                <c:pt idx="4">
                  <c:v>4.2</c:v>
                </c:pt>
                <c:pt idx="5">
                  <c:v>6.3</c:v>
                </c:pt>
                <c:pt idx="6">
                  <c:v>8.4</c:v>
                </c:pt>
                <c:pt idx="7">
                  <c:v>10.5</c:v>
                </c:pt>
                <c:pt idx="8">
                  <c:v>12.6</c:v>
                </c:pt>
                <c:pt idx="9">
                  <c:v>14.700000000000001</c:v>
                </c:pt>
                <c:pt idx="10">
                  <c:v>17.5</c:v>
                </c:pt>
                <c:pt idx="11">
                  <c:v>20.3</c:v>
                </c:pt>
                <c:pt idx="12">
                  <c:v>19.599999999999998</c:v>
                </c:pt>
              </c:numCache>
            </c:numRef>
          </c:xVal>
          <c:yVal>
            <c:numRef>
              <c:f>Sheet2!$AA$4:$AA$16</c:f>
              <c:numCache>
                <c:formatCode>General</c:formatCode>
                <c:ptCount val="13"/>
                <c:pt idx="0">
                  <c:v>6.31</c:v>
                </c:pt>
                <c:pt idx="1">
                  <c:v>6.4</c:v>
                </c:pt>
                <c:pt idx="2">
                  <c:v>6.44</c:v>
                </c:pt>
                <c:pt idx="3">
                  <c:v>6.48</c:v>
                </c:pt>
                <c:pt idx="4">
                  <c:v>6.5</c:v>
                </c:pt>
                <c:pt idx="5">
                  <c:v>6.51</c:v>
                </c:pt>
                <c:pt idx="6">
                  <c:v>6.5</c:v>
                </c:pt>
                <c:pt idx="7">
                  <c:v>6.5</c:v>
                </c:pt>
                <c:pt idx="8">
                  <c:v>6.43</c:v>
                </c:pt>
                <c:pt idx="9">
                  <c:v>6.36</c:v>
                </c:pt>
                <c:pt idx="10">
                  <c:v>6.19</c:v>
                </c:pt>
                <c:pt idx="11">
                  <c:v>5.77</c:v>
                </c:pt>
                <c:pt idx="12">
                  <c:v>5.95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C6-465B-BD6D-94C008200DED}"/>
            </c:ext>
          </c:extLst>
        </c:ser>
        <c:ser>
          <c:idx val="2"/>
          <c:order val="2"/>
          <c:tx>
            <c:strRef>
              <c:f>Sheet2!$AE$2</c:f>
              <c:strCache>
                <c:ptCount val="1"/>
                <c:pt idx="0">
                  <c:v>10 turns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Sheet2!$AH$4:$AH$15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25</c:v>
                </c:pt>
              </c:numCache>
            </c:numRef>
          </c:xVal>
          <c:yVal>
            <c:numRef>
              <c:f>Sheet2!$AF$4:$AF$15</c:f>
              <c:numCache>
                <c:formatCode>General</c:formatCode>
                <c:ptCount val="12"/>
                <c:pt idx="0">
                  <c:v>14.22</c:v>
                </c:pt>
                <c:pt idx="1">
                  <c:v>14.29</c:v>
                </c:pt>
                <c:pt idx="2">
                  <c:v>14.33</c:v>
                </c:pt>
                <c:pt idx="3">
                  <c:v>14.3</c:v>
                </c:pt>
                <c:pt idx="4">
                  <c:v>14.2</c:v>
                </c:pt>
                <c:pt idx="5">
                  <c:v>14</c:v>
                </c:pt>
                <c:pt idx="6">
                  <c:v>13.6</c:v>
                </c:pt>
                <c:pt idx="7">
                  <c:v>12.9</c:v>
                </c:pt>
                <c:pt idx="8">
                  <c:v>11.3</c:v>
                </c:pt>
                <c:pt idx="9">
                  <c:v>9.9</c:v>
                </c:pt>
                <c:pt idx="10">
                  <c:v>7.6</c:v>
                </c:pt>
                <c:pt idx="1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C6-465B-BD6D-94C008200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290912"/>
        <c:axId val="7288336"/>
      </c:scatterChart>
      <c:valAx>
        <c:axId val="209929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8336"/>
        <c:crosses val="autoZero"/>
        <c:crossBetween val="midCat"/>
      </c:valAx>
      <c:valAx>
        <c:axId val="72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Inductance (µH)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29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34</xdr:row>
      <xdr:rowOff>55245</xdr:rowOff>
    </xdr:from>
    <xdr:to>
      <xdr:col>21</xdr:col>
      <xdr:colOff>591570</xdr:colOff>
      <xdr:row>62</xdr:row>
      <xdr:rowOff>135973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6543F1-2A98-4032-82C9-63E1254CF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53850" y="6307455"/>
          <a:ext cx="7306695" cy="5144218"/>
        </a:xfrm>
        <a:prstGeom prst="rect">
          <a:avLst/>
        </a:prstGeom>
      </xdr:spPr>
    </xdr:pic>
    <xdr:clientData/>
  </xdr:twoCellAnchor>
  <xdr:twoCellAnchor editAs="oneCell">
    <xdr:from>
      <xdr:col>8</xdr:col>
      <xdr:colOff>53340</xdr:colOff>
      <xdr:row>34</xdr:row>
      <xdr:rowOff>34290</xdr:rowOff>
    </xdr:from>
    <xdr:to>
      <xdr:col>11</xdr:col>
      <xdr:colOff>764401</xdr:colOff>
      <xdr:row>65</xdr:row>
      <xdr:rowOff>40788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17550D-8333-4F35-9F28-044944830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72450" y="6282690"/>
          <a:ext cx="3564751" cy="5616723"/>
        </a:xfrm>
        <a:prstGeom prst="rect">
          <a:avLst/>
        </a:prstGeom>
      </xdr:spPr>
    </xdr:pic>
    <xdr:clientData/>
  </xdr:twoCellAnchor>
  <xdr:twoCellAnchor editAs="oneCell">
    <xdr:from>
      <xdr:col>12</xdr:col>
      <xdr:colOff>11430</xdr:colOff>
      <xdr:row>63</xdr:row>
      <xdr:rowOff>116205</xdr:rowOff>
    </xdr:from>
    <xdr:to>
      <xdr:col>21</xdr:col>
      <xdr:colOff>511546</xdr:colOff>
      <xdr:row>86</xdr:row>
      <xdr:rowOff>19616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C5EBC5-E948-4CE5-B713-B29890282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69090" y="11612880"/>
          <a:ext cx="7211431" cy="40658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116205</xdr:colOff>
      <xdr:row>34</xdr:row>
      <xdr:rowOff>68580</xdr:rowOff>
    </xdr:from>
    <xdr:to>
      <xdr:col>22</xdr:col>
      <xdr:colOff>96270</xdr:colOff>
      <xdr:row>62</xdr:row>
      <xdr:rowOff>132163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A8D218-9266-E9C7-CEC9-DB960ADB1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70055" y="6316980"/>
          <a:ext cx="7295265" cy="5144218"/>
        </a:xfrm>
        <a:prstGeom prst="rect">
          <a:avLst/>
        </a:prstGeom>
      </xdr:spPr>
    </xdr:pic>
    <xdr:clientData/>
  </xdr:twoCellAnchor>
  <xdr:twoCellAnchor editAs="oneCell">
    <xdr:from>
      <xdr:col>8</xdr:col>
      <xdr:colOff>163830</xdr:colOff>
      <xdr:row>34</xdr:row>
      <xdr:rowOff>34290</xdr:rowOff>
    </xdr:from>
    <xdr:to>
      <xdr:col>12</xdr:col>
      <xdr:colOff>95746</xdr:colOff>
      <xdr:row>65</xdr:row>
      <xdr:rowOff>40788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4A089A-284E-196C-1D62-DE7FCC015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79130" y="6282690"/>
          <a:ext cx="3557131" cy="5616723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63</xdr:row>
      <xdr:rowOff>116205</xdr:rowOff>
    </xdr:from>
    <xdr:to>
      <xdr:col>22</xdr:col>
      <xdr:colOff>21961</xdr:colOff>
      <xdr:row>86</xdr:row>
      <xdr:rowOff>15806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4F7BD83-E89C-F535-2CF7-FCD0C132D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87200" y="11612880"/>
          <a:ext cx="7209526" cy="4065836"/>
        </a:xfrm>
        <a:prstGeom prst="rect">
          <a:avLst/>
        </a:prstGeom>
      </xdr:spPr>
    </xdr:pic>
    <xdr:clientData/>
  </xdr:twoCellAnchor>
  <xdr:twoCellAnchor editAs="oneCell">
    <xdr:from>
      <xdr:col>0</xdr:col>
      <xdr:colOff>573413</xdr:colOff>
      <xdr:row>76</xdr:row>
      <xdr:rowOff>120015</xdr:rowOff>
    </xdr:from>
    <xdr:to>
      <xdr:col>7</xdr:col>
      <xdr:colOff>781929</xdr:colOff>
      <xdr:row>90</xdr:row>
      <xdr:rowOff>98745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0AD947-3216-F7C7-34B8-2EBAE5BA1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13" y="13969365"/>
          <a:ext cx="7110331" cy="25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34</xdr:row>
      <xdr:rowOff>55245</xdr:rowOff>
    </xdr:from>
    <xdr:to>
      <xdr:col>21</xdr:col>
      <xdr:colOff>587760</xdr:colOff>
      <xdr:row>62</xdr:row>
      <xdr:rowOff>132163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71B01E-B0B6-423F-8142-1A651D119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53850" y="6303645"/>
          <a:ext cx="7299075" cy="5148028"/>
        </a:xfrm>
        <a:prstGeom prst="rect">
          <a:avLst/>
        </a:prstGeom>
      </xdr:spPr>
    </xdr:pic>
    <xdr:clientData/>
  </xdr:twoCellAnchor>
  <xdr:twoCellAnchor editAs="oneCell">
    <xdr:from>
      <xdr:col>8</xdr:col>
      <xdr:colOff>53340</xdr:colOff>
      <xdr:row>34</xdr:row>
      <xdr:rowOff>34290</xdr:rowOff>
    </xdr:from>
    <xdr:to>
      <xdr:col>12</xdr:col>
      <xdr:colOff>4082</xdr:colOff>
      <xdr:row>65</xdr:row>
      <xdr:rowOff>40788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2209B9-8B82-4DFE-A083-253DD9CD0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68640" y="6282690"/>
          <a:ext cx="3568561" cy="5616723"/>
        </a:xfrm>
        <a:prstGeom prst="rect">
          <a:avLst/>
        </a:prstGeom>
      </xdr:spPr>
    </xdr:pic>
    <xdr:clientData/>
  </xdr:twoCellAnchor>
  <xdr:twoCellAnchor editAs="oneCell">
    <xdr:from>
      <xdr:col>12</xdr:col>
      <xdr:colOff>11430</xdr:colOff>
      <xdr:row>63</xdr:row>
      <xdr:rowOff>116205</xdr:rowOff>
    </xdr:from>
    <xdr:to>
      <xdr:col>21</xdr:col>
      <xdr:colOff>515356</xdr:colOff>
      <xdr:row>86</xdr:row>
      <xdr:rowOff>15806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700957A-D316-49A0-A419-C8641AC57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65280" y="11612880"/>
          <a:ext cx="7215241" cy="40658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16</xdr:row>
      <xdr:rowOff>148590</xdr:rowOff>
    </xdr:from>
    <xdr:to>
      <xdr:col>25</xdr:col>
      <xdr:colOff>104775</xdr:colOff>
      <xdr:row>33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3E40AB-ACE8-54CB-6B69-87554948F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168592</xdr:colOff>
      <xdr:row>19</xdr:row>
      <xdr:rowOff>103822</xdr:rowOff>
    </xdr:from>
    <xdr:to>
      <xdr:col>36</xdr:col>
      <xdr:colOff>587692</xdr:colOff>
      <xdr:row>34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369E35-D3DB-6B2F-B97A-2E50DBC3B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116205</xdr:colOff>
      <xdr:row>35</xdr:row>
      <xdr:rowOff>68580</xdr:rowOff>
    </xdr:from>
    <xdr:to>
      <xdr:col>22</xdr:col>
      <xdr:colOff>96270</xdr:colOff>
      <xdr:row>63</xdr:row>
      <xdr:rowOff>132163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553B25-E173-485E-BA3F-083DBD474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27155" y="6621780"/>
          <a:ext cx="7238115" cy="5397583"/>
        </a:xfrm>
        <a:prstGeom prst="rect">
          <a:avLst/>
        </a:prstGeom>
      </xdr:spPr>
    </xdr:pic>
    <xdr:clientData/>
  </xdr:twoCellAnchor>
  <xdr:twoCellAnchor editAs="oneCell">
    <xdr:from>
      <xdr:col>8</xdr:col>
      <xdr:colOff>163830</xdr:colOff>
      <xdr:row>35</xdr:row>
      <xdr:rowOff>34290</xdr:rowOff>
    </xdr:from>
    <xdr:to>
      <xdr:col>12</xdr:col>
      <xdr:colOff>95746</xdr:colOff>
      <xdr:row>66</xdr:row>
      <xdr:rowOff>40788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A642FA-509B-4DA7-87CA-8F8B148F1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41005" y="6587490"/>
          <a:ext cx="3465691" cy="5911998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64</xdr:row>
      <xdr:rowOff>116205</xdr:rowOff>
    </xdr:from>
    <xdr:to>
      <xdr:col>22</xdr:col>
      <xdr:colOff>21961</xdr:colOff>
      <xdr:row>87</xdr:row>
      <xdr:rowOff>15806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2E4306-1E34-48DD-81AA-CAF3A7F0C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44300" y="12193905"/>
          <a:ext cx="7146661" cy="4281101"/>
        </a:xfrm>
        <a:prstGeom prst="rect">
          <a:avLst/>
        </a:prstGeom>
      </xdr:spPr>
    </xdr:pic>
    <xdr:clientData/>
  </xdr:twoCellAnchor>
  <xdr:twoCellAnchor editAs="oneCell">
    <xdr:from>
      <xdr:col>0</xdr:col>
      <xdr:colOff>573413</xdr:colOff>
      <xdr:row>77</xdr:row>
      <xdr:rowOff>120015</xdr:rowOff>
    </xdr:from>
    <xdr:to>
      <xdr:col>7</xdr:col>
      <xdr:colOff>781929</xdr:colOff>
      <xdr:row>91</xdr:row>
      <xdr:rowOff>98745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3EE15A7-BE10-4FE1-AE5F-7D0AA3B50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13" y="14674215"/>
          <a:ext cx="6923641" cy="2645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mouser.fr/ProductDetail/EPCOS-TDK/B65525J0160A087" TargetMode="External"/><Relationship Id="rId1" Type="http://schemas.openxmlformats.org/officeDocument/2006/relationships/hyperlink" Target="https://www.digikey.com/en/products/detail/epcos-tdk-electronics/B65525J0160A087/3913735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mouser.fr/ProductDetail/EPCOS-TDK/B65525J0160A087" TargetMode="External"/><Relationship Id="rId1" Type="http://schemas.openxmlformats.org/officeDocument/2006/relationships/hyperlink" Target="https://www.digikey.com/en/products/detail/epcos-tdk-electronics/B65525J0160A087/3913735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FDBDC-33AF-444F-8897-9F6D8E237B5E}">
  <dimension ref="A2:Z214"/>
  <sheetViews>
    <sheetView topLeftCell="B12" zoomScaleNormal="100" workbookViewId="0">
      <selection activeCell="J26" sqref="J26"/>
    </sheetView>
  </sheetViews>
  <sheetFormatPr defaultColWidth="8.85546875" defaultRowHeight="15" x14ac:dyDescent="0.25"/>
  <cols>
    <col min="1" max="1" width="9.28515625" style="4" customWidth="1"/>
    <col min="2" max="2" width="12.28515625" style="4" bestFit="1" customWidth="1"/>
    <col min="3" max="3" width="9.7109375" style="4" bestFit="1" customWidth="1"/>
    <col min="4" max="4" width="16.28515625" style="4" bestFit="1" customWidth="1"/>
    <col min="5" max="5" width="18.28515625" style="4" bestFit="1" customWidth="1"/>
    <col min="6" max="8" width="17.42578125" style="4" bestFit="1" customWidth="1"/>
    <col min="9" max="10" width="16.140625" style="4" customWidth="1"/>
    <col min="11" max="11" width="9.42578125" style="4" bestFit="1" customWidth="1"/>
    <col min="12" max="12" width="11.28515625" style="4" customWidth="1"/>
    <col min="13" max="13" width="5.28515625" style="4" bestFit="1" customWidth="1"/>
    <col min="14" max="14" width="30.42578125" style="4" bestFit="1" customWidth="1"/>
    <col min="15" max="22" width="8.85546875" style="4"/>
    <col min="23" max="23" width="13.7109375" style="4" customWidth="1"/>
    <col min="24" max="24" width="11" style="4" bestFit="1" customWidth="1"/>
    <col min="25" max="16384" width="8.85546875" style="4"/>
  </cols>
  <sheetData>
    <row r="2" spans="1:26" ht="15.75" thickBot="1" x14ac:dyDescent="0.3">
      <c r="K2" s="4" t="s">
        <v>51</v>
      </c>
      <c r="L2" s="4">
        <v>0.1</v>
      </c>
      <c r="M2" s="4" t="s">
        <v>52</v>
      </c>
      <c r="N2" s="4" t="s">
        <v>65</v>
      </c>
      <c r="P2" s="4" t="s">
        <v>104</v>
      </c>
      <c r="Q2" s="4">
        <v>24</v>
      </c>
      <c r="R2" s="4" t="s">
        <v>83</v>
      </c>
      <c r="W2" s="43" t="s">
        <v>119</v>
      </c>
      <c r="X2" s="43">
        <v>78.5</v>
      </c>
      <c r="Y2" s="43" t="s">
        <v>120</v>
      </c>
    </row>
    <row r="3" spans="1:26" ht="14.45" customHeight="1" x14ac:dyDescent="0.25">
      <c r="A3" s="79" t="s">
        <v>19</v>
      </c>
      <c r="B3" s="12" t="s">
        <v>2</v>
      </c>
      <c r="C3" s="12">
        <v>21.8</v>
      </c>
      <c r="D3" s="12" t="s">
        <v>5</v>
      </c>
      <c r="E3" s="82" t="s">
        <v>6</v>
      </c>
      <c r="F3" s="82"/>
      <c r="G3" s="82"/>
      <c r="H3" s="82"/>
      <c r="I3" s="83"/>
      <c r="J3" s="62"/>
      <c r="K3" s="62"/>
      <c r="L3" s="62"/>
      <c r="M3" s="62"/>
      <c r="N3" s="62"/>
      <c r="P3" s="4" t="s">
        <v>105</v>
      </c>
      <c r="Q3" s="4">
        <v>0.1</v>
      </c>
      <c r="R3" s="4" t="s">
        <v>52</v>
      </c>
      <c r="W3" s="43" t="s">
        <v>47</v>
      </c>
      <c r="X3" s="43">
        <v>38</v>
      </c>
      <c r="Y3" s="43" t="s">
        <v>48</v>
      </c>
    </row>
    <row r="4" spans="1:26" x14ac:dyDescent="0.25">
      <c r="A4" s="80"/>
      <c r="B4" s="64" t="s">
        <v>3</v>
      </c>
      <c r="C4" s="64">
        <v>5</v>
      </c>
      <c r="D4" s="64" t="s">
        <v>5</v>
      </c>
      <c r="E4" s="84" t="s">
        <v>7</v>
      </c>
      <c r="F4" s="84"/>
      <c r="G4" s="84"/>
      <c r="H4" s="84"/>
      <c r="I4" s="85"/>
      <c r="J4" s="62"/>
      <c r="K4" s="62"/>
      <c r="L4" s="11"/>
      <c r="M4" s="62"/>
      <c r="N4" s="62"/>
      <c r="P4" s="4" t="s">
        <v>86</v>
      </c>
      <c r="Q4" s="4">
        <f>Q3*Q2</f>
        <v>2.4000000000000004</v>
      </c>
      <c r="R4" s="4" t="s">
        <v>4</v>
      </c>
      <c r="W4" s="43" t="s">
        <v>111</v>
      </c>
      <c r="X4" s="43">
        <v>5</v>
      </c>
      <c r="Y4" s="43" t="s">
        <v>76</v>
      </c>
    </row>
    <row r="5" spans="1:26" x14ac:dyDescent="0.25">
      <c r="A5" s="80"/>
      <c r="B5" s="64" t="s">
        <v>1</v>
      </c>
      <c r="C5" s="64">
        <v>15.8</v>
      </c>
      <c r="D5" s="64" t="s">
        <v>5</v>
      </c>
      <c r="E5" s="84" t="s">
        <v>8</v>
      </c>
      <c r="F5" s="84"/>
      <c r="G5" s="84"/>
      <c r="H5" s="84"/>
      <c r="I5" s="85"/>
      <c r="J5" s="62"/>
      <c r="K5" s="62"/>
      <c r="L5" s="62"/>
      <c r="M5" s="62"/>
      <c r="N5" s="62"/>
      <c r="P5" s="4" t="s">
        <v>101</v>
      </c>
      <c r="Q5" s="9">
        <v>0.65</v>
      </c>
      <c r="W5" s="43" t="s">
        <v>122</v>
      </c>
      <c r="X5" s="43">
        <v>300</v>
      </c>
      <c r="Y5" s="43" t="s">
        <v>124</v>
      </c>
    </row>
    <row r="6" spans="1:26" x14ac:dyDescent="0.25">
      <c r="A6" s="80"/>
      <c r="B6" s="64" t="s">
        <v>0</v>
      </c>
      <c r="C6" s="64">
        <v>2.5</v>
      </c>
      <c r="D6" s="64" t="s">
        <v>5</v>
      </c>
      <c r="E6" s="84" t="s">
        <v>9</v>
      </c>
      <c r="F6" s="84"/>
      <c r="G6" s="84"/>
      <c r="H6" s="84"/>
      <c r="I6" s="85"/>
      <c r="J6" s="62"/>
      <c r="K6" s="62"/>
      <c r="L6" s="62"/>
      <c r="M6" s="62"/>
      <c r="N6" s="62"/>
      <c r="P6" s="4" t="s">
        <v>102</v>
      </c>
      <c r="Q6" s="4">
        <f>Q4/Q5</f>
        <v>3.6923076923076925</v>
      </c>
      <c r="R6" s="4" t="s">
        <v>4</v>
      </c>
      <c r="W6" s="4" t="s">
        <v>121</v>
      </c>
      <c r="X6" s="42">
        <f>X5/0.45*3*2/1000</f>
        <v>4</v>
      </c>
      <c r="Y6" s="4" t="s">
        <v>52</v>
      </c>
    </row>
    <row r="7" spans="1:26" ht="15.75" thickBot="1" x14ac:dyDescent="0.3">
      <c r="A7" s="80"/>
      <c r="B7" s="64" t="s">
        <v>34</v>
      </c>
      <c r="C7" s="64">
        <v>1520</v>
      </c>
      <c r="D7" s="64" t="s">
        <v>35</v>
      </c>
      <c r="E7" s="86" t="s">
        <v>36</v>
      </c>
      <c r="F7" s="86"/>
      <c r="G7" s="86"/>
      <c r="H7" s="86"/>
      <c r="I7" s="87"/>
      <c r="J7" s="59"/>
      <c r="K7" s="59"/>
      <c r="L7" s="59"/>
      <c r="M7" s="59"/>
      <c r="N7" s="59"/>
      <c r="P7" s="4" t="s">
        <v>103</v>
      </c>
      <c r="Q7" s="4">
        <v>24</v>
      </c>
      <c r="R7" s="4" t="s">
        <v>83</v>
      </c>
      <c r="W7" s="4" t="s">
        <v>123</v>
      </c>
      <c r="X7" s="42">
        <f>X3*X6/(X4*X2)*1000</f>
        <v>387.26114649681529</v>
      </c>
      <c r="Y7" s="4" t="s">
        <v>125</v>
      </c>
      <c r="Z7" s="4" t="s">
        <v>135</v>
      </c>
    </row>
    <row r="8" spans="1:26" x14ac:dyDescent="0.25">
      <c r="A8" s="80"/>
      <c r="B8" s="64" t="s">
        <v>4</v>
      </c>
      <c r="C8" s="64">
        <f>(C3-C4)/2-C6</f>
        <v>5.9</v>
      </c>
      <c r="D8" s="64" t="s">
        <v>5</v>
      </c>
      <c r="E8" s="84" t="s">
        <v>31</v>
      </c>
      <c r="F8" s="84"/>
      <c r="G8" s="84"/>
      <c r="H8" s="84"/>
      <c r="I8" s="85"/>
      <c r="J8" s="62"/>
      <c r="K8" s="20" t="s">
        <v>43</v>
      </c>
      <c r="L8" s="12">
        <v>4</v>
      </c>
      <c r="M8" s="55"/>
      <c r="N8" s="56" t="s">
        <v>66</v>
      </c>
      <c r="P8" s="4" t="s">
        <v>106</v>
      </c>
      <c r="Q8" s="4">
        <f>Q6/Q7</f>
        <v>0.15384615384615385</v>
      </c>
      <c r="R8" s="4" t="s">
        <v>52</v>
      </c>
    </row>
    <row r="9" spans="1:26" ht="15.75" thickBot="1" x14ac:dyDescent="0.3">
      <c r="A9" s="81"/>
      <c r="B9" s="14" t="s">
        <v>20</v>
      </c>
      <c r="C9" s="14">
        <f>FLOOR((C8-(2*C12)+C13)/(C20+C19),1)</f>
        <v>30</v>
      </c>
      <c r="D9" s="14"/>
      <c r="E9" s="88" t="s">
        <v>32</v>
      </c>
      <c r="F9" s="88"/>
      <c r="G9" s="88"/>
      <c r="H9" s="88"/>
      <c r="I9" s="89"/>
      <c r="J9" s="62"/>
      <c r="K9" s="24" t="s">
        <v>44</v>
      </c>
      <c r="L9" s="57">
        <v>5</v>
      </c>
      <c r="M9" s="57"/>
      <c r="N9" s="58" t="s">
        <v>69</v>
      </c>
      <c r="P9" s="4" t="s">
        <v>107</v>
      </c>
      <c r="Q9" s="9">
        <v>0.45</v>
      </c>
      <c r="S9" s="4" t="s">
        <v>80</v>
      </c>
      <c r="T9" s="4">
        <v>300</v>
      </c>
      <c r="U9" s="4" t="s">
        <v>81</v>
      </c>
      <c r="W9" s="43" t="s">
        <v>126</v>
      </c>
      <c r="X9" s="43">
        <v>120</v>
      </c>
      <c r="Y9" s="43" t="s">
        <v>127</v>
      </c>
    </row>
    <row r="10" spans="1:26" x14ac:dyDescent="0.25">
      <c r="E10" s="90"/>
      <c r="F10" s="90"/>
      <c r="G10" s="90"/>
      <c r="H10" s="90"/>
      <c r="I10" s="90"/>
      <c r="J10" s="62"/>
      <c r="K10" s="39" t="s">
        <v>60</v>
      </c>
      <c r="L10" s="64">
        <v>2</v>
      </c>
      <c r="M10" s="57"/>
      <c r="N10" s="58" t="s">
        <v>70</v>
      </c>
      <c r="P10" s="4" t="s">
        <v>108</v>
      </c>
      <c r="Q10" s="4">
        <f>Q2/Q7*(1-Q9)/Q9</f>
        <v>1.2222222222222223</v>
      </c>
      <c r="S10" s="4" t="s">
        <v>107</v>
      </c>
      <c r="T10" s="9">
        <v>0.42</v>
      </c>
      <c r="W10" s="4" t="s">
        <v>128</v>
      </c>
      <c r="X10" s="4">
        <v>390</v>
      </c>
      <c r="Y10" s="4" t="s">
        <v>129</v>
      </c>
    </row>
    <row r="11" spans="1:26" ht="15.75" thickBot="1" x14ac:dyDescent="0.3">
      <c r="E11" s="90"/>
      <c r="F11" s="90"/>
      <c r="G11" s="90"/>
      <c r="H11" s="90"/>
      <c r="I11" s="90"/>
      <c r="J11" s="62"/>
      <c r="K11" s="24" t="s">
        <v>46</v>
      </c>
      <c r="L11" s="57">
        <f>IF(C17&gt;1,IF(C17&gt;2,L8+L9+L10,L8+L9),L8)</f>
        <v>4</v>
      </c>
      <c r="M11" s="57"/>
      <c r="N11" s="58" t="s">
        <v>67</v>
      </c>
      <c r="S11" s="4" t="s">
        <v>114</v>
      </c>
      <c r="T11" s="41">
        <f>Q5*T10*T10*Q7*Q7/(2*T9*Q4)*1000</f>
        <v>45.863999999999997</v>
      </c>
      <c r="U11" s="4" t="s">
        <v>48</v>
      </c>
      <c r="W11" s="4" t="s">
        <v>130</v>
      </c>
      <c r="X11" s="4">
        <v>215</v>
      </c>
      <c r="Y11" s="4" t="s">
        <v>129</v>
      </c>
    </row>
    <row r="12" spans="1:26" ht="15.75" thickBot="1" x14ac:dyDescent="0.3">
      <c r="A12" s="79" t="s">
        <v>112</v>
      </c>
      <c r="B12" s="12" t="s">
        <v>10</v>
      </c>
      <c r="C12" s="12">
        <v>0.3</v>
      </c>
      <c r="D12" s="12" t="s">
        <v>5</v>
      </c>
      <c r="E12" s="82" t="s">
        <v>11</v>
      </c>
      <c r="F12" s="82"/>
      <c r="G12" s="82"/>
      <c r="H12" s="82"/>
      <c r="I12" s="83"/>
      <c r="J12" s="62"/>
      <c r="K12" s="28" t="s">
        <v>47</v>
      </c>
      <c r="L12" s="40">
        <f>L11*L11*C7/1000</f>
        <v>24.32</v>
      </c>
      <c r="M12" s="30" t="s">
        <v>48</v>
      </c>
      <c r="N12" s="60" t="s">
        <v>68</v>
      </c>
      <c r="S12" s="4" t="s">
        <v>115</v>
      </c>
      <c r="T12" s="4">
        <v>24.3</v>
      </c>
      <c r="U12" s="4" t="s">
        <v>48</v>
      </c>
      <c r="W12" s="4" t="s">
        <v>131</v>
      </c>
      <c r="X12" s="4">
        <f>X9*X10/1000</f>
        <v>46.8</v>
      </c>
      <c r="Y12" s="4" t="s">
        <v>133</v>
      </c>
      <c r="Z12" s="4" t="s">
        <v>134</v>
      </c>
    </row>
    <row r="13" spans="1:26" x14ac:dyDescent="0.25">
      <c r="A13" s="91"/>
      <c r="B13" s="64" t="s">
        <v>21</v>
      </c>
      <c r="C13" s="64">
        <v>0.1</v>
      </c>
      <c r="D13" s="64" t="s">
        <v>5</v>
      </c>
      <c r="E13" s="93" t="s">
        <v>17</v>
      </c>
      <c r="F13" s="93"/>
      <c r="G13" s="93"/>
      <c r="H13" s="93"/>
      <c r="I13" s="93"/>
      <c r="J13" s="62"/>
      <c r="L13" s="62"/>
      <c r="M13" s="62"/>
      <c r="N13" s="62"/>
      <c r="S13" s="4" t="s">
        <v>116</v>
      </c>
      <c r="T13" s="41">
        <f>T12*Q10*Q10</f>
        <v>36.300000000000004</v>
      </c>
      <c r="U13" s="4" t="s">
        <v>48</v>
      </c>
      <c r="W13" s="4" t="s">
        <v>132</v>
      </c>
      <c r="X13" s="4">
        <f>X11*X9/1000</f>
        <v>25.8</v>
      </c>
      <c r="Y13" s="4" t="s">
        <v>133</v>
      </c>
    </row>
    <row r="14" spans="1:26" ht="15.75" thickBot="1" x14ac:dyDescent="0.3">
      <c r="A14" s="91"/>
      <c r="B14" s="64" t="s">
        <v>37</v>
      </c>
      <c r="C14" s="64">
        <v>35</v>
      </c>
      <c r="D14" s="64" t="s">
        <v>24</v>
      </c>
      <c r="E14" s="84"/>
      <c r="F14" s="84"/>
      <c r="G14" s="84"/>
      <c r="H14" s="84"/>
      <c r="I14" s="85"/>
      <c r="J14" s="62"/>
      <c r="K14" s="62"/>
      <c r="L14" s="62"/>
      <c r="M14" s="62"/>
      <c r="N14" s="62"/>
      <c r="S14" s="4" t="s">
        <v>117</v>
      </c>
      <c r="T14" s="1">
        <f>SQRT(T12/(C7/1000))</f>
        <v>3.9983549248738735</v>
      </c>
      <c r="U14" s="4" t="s">
        <v>76</v>
      </c>
    </row>
    <row r="15" spans="1:26" x14ac:dyDescent="0.25">
      <c r="A15" s="91"/>
      <c r="B15" s="64" t="s">
        <v>38</v>
      </c>
      <c r="C15" s="64">
        <v>35</v>
      </c>
      <c r="D15" s="64" t="s">
        <v>24</v>
      </c>
      <c r="E15" s="94"/>
      <c r="F15" s="94"/>
      <c r="G15" s="94"/>
      <c r="H15" s="94"/>
      <c r="I15" s="95"/>
      <c r="K15" s="20" t="s">
        <v>42</v>
      </c>
      <c r="L15" s="21">
        <f>_xlfn.XLOOKUP(L8,C28:C214,F28:F214,FALSE,0,-1)</f>
        <v>94.584405628349998</v>
      </c>
      <c r="M15" s="55" t="s">
        <v>50</v>
      </c>
      <c r="N15" s="56" t="s">
        <v>71</v>
      </c>
      <c r="S15" s="4" t="s">
        <v>118</v>
      </c>
      <c r="T15" s="1">
        <f>SQRT(T13/C7*1000)</f>
        <v>4.8868782415125125</v>
      </c>
      <c r="U15" s="4" t="s">
        <v>76</v>
      </c>
    </row>
    <row r="16" spans="1:26" x14ac:dyDescent="0.25">
      <c r="A16" s="91"/>
      <c r="B16" s="64" t="s">
        <v>58</v>
      </c>
      <c r="C16" s="64">
        <v>35</v>
      </c>
      <c r="D16" s="64" t="s">
        <v>24</v>
      </c>
      <c r="E16" s="94"/>
      <c r="F16" s="94"/>
      <c r="G16" s="94"/>
      <c r="H16" s="94"/>
      <c r="I16" s="95"/>
      <c r="K16" s="24" t="s">
        <v>45</v>
      </c>
      <c r="L16" s="25">
        <f>IF(C17&gt;1,_xlfn.XLOOKUP(L9,C28:C66,G28:G66,FALSE,0,-1),0)</f>
        <v>0</v>
      </c>
      <c r="M16" s="57" t="s">
        <v>50</v>
      </c>
      <c r="N16" s="58" t="s">
        <v>73</v>
      </c>
    </row>
    <row r="17" spans="1:25" ht="15.75" thickBot="1" x14ac:dyDescent="0.3">
      <c r="A17" s="92"/>
      <c r="B17" s="14" t="s">
        <v>39</v>
      </c>
      <c r="C17" s="14">
        <v>1</v>
      </c>
      <c r="D17" s="14"/>
      <c r="E17" s="88"/>
      <c r="F17" s="88"/>
      <c r="G17" s="88"/>
      <c r="H17" s="88"/>
      <c r="I17" s="89"/>
      <c r="J17" s="62"/>
      <c r="K17" s="24" t="s">
        <v>61</v>
      </c>
      <c r="L17" s="25">
        <f>IF(C17&gt;2,_xlfn.XLOOKUP(L10,C28:C214,H28:H214,FALSE,0,-1),0)</f>
        <v>0</v>
      </c>
      <c r="M17" s="57" t="s">
        <v>50</v>
      </c>
      <c r="N17" s="58" t="s">
        <v>74</v>
      </c>
    </row>
    <row r="18" spans="1:25" ht="15.75" thickBot="1" x14ac:dyDescent="0.3">
      <c r="E18" s="62"/>
      <c r="F18" s="62"/>
      <c r="G18" s="62"/>
      <c r="H18" s="62"/>
      <c r="I18" s="62"/>
      <c r="J18" s="62"/>
      <c r="K18" s="28" t="s">
        <v>49</v>
      </c>
      <c r="L18" s="29">
        <f>L16+L15+L17</f>
        <v>94.584405628349998</v>
      </c>
      <c r="M18" s="30" t="s">
        <v>50</v>
      </c>
      <c r="N18" s="60" t="s">
        <v>72</v>
      </c>
      <c r="W18" s="4" t="s">
        <v>158</v>
      </c>
    </row>
    <row r="19" spans="1:25" ht="14.45" customHeight="1" thickBot="1" x14ac:dyDescent="0.3">
      <c r="A19" s="79" t="s">
        <v>18</v>
      </c>
      <c r="B19" s="12" t="s">
        <v>16</v>
      </c>
      <c r="C19" s="12">
        <v>0.09</v>
      </c>
      <c r="D19" s="12" t="s">
        <v>5</v>
      </c>
      <c r="E19" s="82" t="s">
        <v>17</v>
      </c>
      <c r="F19" s="82"/>
      <c r="G19" s="82"/>
      <c r="H19" s="82"/>
      <c r="I19" s="83"/>
      <c r="J19" s="62"/>
      <c r="K19" s="62"/>
      <c r="L19" s="62"/>
      <c r="M19" s="62"/>
      <c r="N19" s="62"/>
      <c r="W19" s="4" t="s">
        <v>159</v>
      </c>
      <c r="X19" s="4">
        <v>60</v>
      </c>
      <c r="Y19" s="4" t="s">
        <v>48</v>
      </c>
    </row>
    <row r="20" spans="1:25" x14ac:dyDescent="0.25">
      <c r="A20" s="80"/>
      <c r="B20" s="64" t="s">
        <v>12</v>
      </c>
      <c r="C20" s="64">
        <v>0.09</v>
      </c>
      <c r="D20" s="64" t="s">
        <v>5</v>
      </c>
      <c r="E20" s="84" t="s">
        <v>13</v>
      </c>
      <c r="F20" s="84"/>
      <c r="G20" s="84"/>
      <c r="H20" s="84"/>
      <c r="I20" s="85"/>
      <c r="J20" s="62"/>
      <c r="K20" s="20" t="s">
        <v>55</v>
      </c>
      <c r="L20" s="32">
        <f>_xlfn.XLOOKUP(L8,C28:C214,E28:E214,,0,-1)*1550</f>
        <v>64.81493691537014</v>
      </c>
      <c r="M20" s="55" t="s">
        <v>53</v>
      </c>
      <c r="N20" s="56"/>
      <c r="W20" s="4" t="s">
        <v>160</v>
      </c>
      <c r="X20" s="4">
        <v>1.1000000000000001</v>
      </c>
      <c r="Y20" s="4" t="s">
        <v>52</v>
      </c>
    </row>
    <row r="21" spans="1:25" x14ac:dyDescent="0.25">
      <c r="A21" s="80"/>
      <c r="B21" s="64" t="s">
        <v>14</v>
      </c>
      <c r="C21" s="64">
        <v>0.3</v>
      </c>
      <c r="D21" s="64" t="s">
        <v>5</v>
      </c>
      <c r="E21" s="84" t="s">
        <v>15</v>
      </c>
      <c r="F21" s="84"/>
      <c r="G21" s="84"/>
      <c r="H21" s="84"/>
      <c r="I21" s="85"/>
      <c r="J21" s="62"/>
      <c r="K21" s="33" t="s">
        <v>56</v>
      </c>
      <c r="L21" s="34">
        <f>(L2/((IF(C14=35,0.048,0.024))*(L20)^0.725))^(1/0.44)</f>
        <v>5.4866247373966393E-3</v>
      </c>
      <c r="M21" s="35" t="s">
        <v>54</v>
      </c>
      <c r="N21" s="58"/>
      <c r="W21" s="4" t="s">
        <v>161</v>
      </c>
      <c r="X21" s="4">
        <f>0.5*X19*X20*X20</f>
        <v>36.300000000000004</v>
      </c>
      <c r="Y21" s="4" t="s">
        <v>88</v>
      </c>
    </row>
    <row r="22" spans="1:25" x14ac:dyDescent="0.25">
      <c r="A22" s="80"/>
      <c r="B22" s="64" t="s">
        <v>23</v>
      </c>
      <c r="C22" s="64">
        <v>17.5</v>
      </c>
      <c r="D22" s="64" t="s">
        <v>24</v>
      </c>
      <c r="E22" s="93"/>
      <c r="F22" s="93"/>
      <c r="G22" s="93"/>
      <c r="H22" s="93"/>
      <c r="I22" s="96"/>
      <c r="J22" s="61"/>
      <c r="K22" s="24" t="s">
        <v>62</v>
      </c>
      <c r="L22" s="36">
        <f>_xlfn.XLOOKUP(L9,C28:C214,E28:E214,,0,-1)*1550*C15/C14</f>
        <v>50.784199051194967</v>
      </c>
      <c r="M22" s="57" t="s">
        <v>53</v>
      </c>
      <c r="N22" s="63"/>
      <c r="W22" s="4" t="s">
        <v>80</v>
      </c>
      <c r="X22" s="4">
        <v>100</v>
      </c>
      <c r="Y22" s="4" t="s">
        <v>81</v>
      </c>
    </row>
    <row r="23" spans="1:25" ht="15.75" thickBot="1" x14ac:dyDescent="0.3">
      <c r="A23" s="81"/>
      <c r="B23" s="14" t="s">
        <v>25</v>
      </c>
      <c r="C23" s="14">
        <v>35</v>
      </c>
      <c r="D23" s="14" t="s">
        <v>24</v>
      </c>
      <c r="E23" s="88"/>
      <c r="F23" s="88"/>
      <c r="G23" s="88"/>
      <c r="H23" s="88"/>
      <c r="I23" s="89"/>
      <c r="J23" s="62"/>
      <c r="K23" s="33" t="s">
        <v>57</v>
      </c>
      <c r="L23" s="34">
        <f>IF(C17&gt;1,(L2/((IF(C15=35,0.048,0.024))*(L22)^0.725))^(1/0.44),0)</f>
        <v>0</v>
      </c>
      <c r="M23" s="35" t="s">
        <v>54</v>
      </c>
      <c r="N23" s="58"/>
      <c r="P23" s="4" t="s">
        <v>77</v>
      </c>
      <c r="Q23" s="4" t="s">
        <v>109</v>
      </c>
      <c r="W23" s="4" t="s">
        <v>162</v>
      </c>
      <c r="X23" s="4">
        <f>X22*X21/1000</f>
        <v>3.6300000000000003</v>
      </c>
      <c r="Y23" s="4" t="s">
        <v>4</v>
      </c>
    </row>
    <row r="24" spans="1:25" x14ac:dyDescent="0.25">
      <c r="B24" s="4" t="s">
        <v>22</v>
      </c>
      <c r="C24" s="3">
        <v>1.7199999999999999E-8</v>
      </c>
      <c r="D24" s="4" t="s">
        <v>26</v>
      </c>
      <c r="E24" s="93" t="s">
        <v>33</v>
      </c>
      <c r="F24" s="93"/>
      <c r="G24" s="93"/>
      <c r="H24" s="93"/>
      <c r="I24" s="93"/>
      <c r="J24" s="61"/>
      <c r="K24" s="24" t="s">
        <v>63</v>
      </c>
      <c r="L24" s="36">
        <f>_xlfn.XLOOKUP(L10,C28:C214,E28:E214,,0,-1)*1550*C16/C14</f>
        <v>134.74559880013317</v>
      </c>
      <c r="M24" s="57" t="s">
        <v>53</v>
      </c>
      <c r="N24" s="63"/>
      <c r="P24" s="4">
        <v>7</v>
      </c>
      <c r="Q24" s="4" t="s">
        <v>76</v>
      </c>
      <c r="R24" s="4" t="s">
        <v>111</v>
      </c>
      <c r="S24" s="4">
        <f>P24/P29</f>
        <v>1.75</v>
      </c>
    </row>
    <row r="25" spans="1:25" ht="15.75" thickBot="1" x14ac:dyDescent="0.3">
      <c r="C25" s="3"/>
      <c r="K25" s="28" t="s">
        <v>64</v>
      </c>
      <c r="L25" s="29">
        <f>IF(C17&gt;2,(L2/((IF(C16=35,0.048,0.024))*(L24)^0.725))^(1/0.44),0)</f>
        <v>0</v>
      </c>
      <c r="M25" s="30" t="s">
        <v>54</v>
      </c>
      <c r="N25" s="38"/>
      <c r="P25" s="4">
        <v>40</v>
      </c>
      <c r="Q25" s="4" t="s">
        <v>48</v>
      </c>
    </row>
    <row r="26" spans="1:25" x14ac:dyDescent="0.25">
      <c r="A26" s="4" t="s">
        <v>113</v>
      </c>
      <c r="B26" s="9">
        <v>0.05</v>
      </c>
      <c r="P26" s="4">
        <v>429</v>
      </c>
      <c r="Q26" s="4" t="s">
        <v>75</v>
      </c>
    </row>
    <row r="27" spans="1:25" x14ac:dyDescent="0.25">
      <c r="B27" s="15" t="s">
        <v>30</v>
      </c>
      <c r="C27" s="15" t="s">
        <v>29</v>
      </c>
      <c r="D27" s="15" t="s">
        <v>28</v>
      </c>
      <c r="E27" s="15" t="s">
        <v>27</v>
      </c>
      <c r="F27" s="15" t="s">
        <v>40</v>
      </c>
      <c r="G27" s="15" t="s">
        <v>41</v>
      </c>
      <c r="H27" s="15" t="s">
        <v>59</v>
      </c>
    </row>
    <row r="28" spans="1:25" x14ac:dyDescent="0.25">
      <c r="B28" s="16">
        <f>C20</f>
        <v>0.09</v>
      </c>
      <c r="C28" s="17">
        <f>FLOOR(($C$8-2*$C$12+$C$13)/(B28+$C$13),1)</f>
        <v>28</v>
      </c>
      <c r="D28" s="17">
        <f>C28*(2*$C$5+2*$C$8+2*PI()*($C$12+(C28-1)*B28/2+(C28-1)*$C$13/2))</f>
        <v>1719.2371253419467</v>
      </c>
      <c r="E28" s="18">
        <f>B28*$C$14/1000</f>
        <v>3.15E-3</v>
      </c>
      <c r="F28" s="19">
        <f>IF(C28=C29,"",$C$24*D28/E28*1000000)</f>
        <v>9387.580493930629</v>
      </c>
      <c r="G28" s="19">
        <f>IF(C28=C29,"",F28*$C$14/$C$15)</f>
        <v>9387.580493930629</v>
      </c>
      <c r="H28" s="19">
        <f>IF(C28=C29,"",F28*$C$14/$C$16)</f>
        <v>9387.580493930629</v>
      </c>
      <c r="P28" s="4" t="s">
        <v>77</v>
      </c>
      <c r="Q28" s="4" t="s">
        <v>110</v>
      </c>
    </row>
    <row r="29" spans="1:25" x14ac:dyDescent="0.25">
      <c r="B29" s="16">
        <f>B28*(1+$B$26)</f>
        <v>9.4500000000000001E-2</v>
      </c>
      <c r="C29" s="17">
        <f t="shared" ref="C29:C76" si="0">FLOOR(($C$8-2*$C$12+$C$13)/(B29+$C$13),1)</f>
        <v>27</v>
      </c>
      <c r="D29" s="17">
        <f t="shared" ref="D29:D76" si="1">C29*(2*$C$5+2*$C$8+2*PI()*($C$12+(C29-1)*B29/2+(C29-1)*$C$13/2))</f>
        <v>1651.6437203166518</v>
      </c>
      <c r="E29" s="18">
        <f t="shared" ref="E29:E76" si="2">B29*$C$14/1000</f>
        <v>3.3075000000000001E-3</v>
      </c>
      <c r="F29" s="19" t="str">
        <f t="shared" ref="F29:F76" si="3">IF(C29=C30,"",$C$24*D29/E29*1000000)</f>
        <v/>
      </c>
      <c r="G29" s="19" t="str">
        <f t="shared" ref="G29:G76" si="4">IF(C29=C30,"",F29*$C$14/$C$15)</f>
        <v/>
      </c>
      <c r="H29" s="19" t="str">
        <f t="shared" ref="H29:H76" si="5">IF(C29=C30,"",F29*$C$14/$C$16)</f>
        <v/>
      </c>
      <c r="P29" s="4">
        <v>4</v>
      </c>
      <c r="Q29" s="4" t="s">
        <v>76</v>
      </c>
      <c r="R29" s="4" t="s">
        <v>189</v>
      </c>
    </row>
    <row r="30" spans="1:25" x14ac:dyDescent="0.25">
      <c r="B30" s="16">
        <f t="shared" ref="B30:B94" si="6">B29*(1+$B$26)</f>
        <v>9.9225000000000008E-2</v>
      </c>
      <c r="C30" s="17">
        <f t="shared" si="0"/>
        <v>27</v>
      </c>
      <c r="D30" s="17">
        <f t="shared" si="1"/>
        <v>1662.0642260689763</v>
      </c>
      <c r="E30" s="18">
        <f t="shared" si="2"/>
        <v>3.4728750000000003E-3</v>
      </c>
      <c r="F30" s="19">
        <f t="shared" si="3"/>
        <v>8231.6537993410038</v>
      </c>
      <c r="G30" s="19">
        <f t="shared" si="4"/>
        <v>8231.6537993410038</v>
      </c>
      <c r="H30" s="19">
        <f t="shared" si="5"/>
        <v>8231.6537993410038</v>
      </c>
      <c r="P30" s="4">
        <v>24.3</v>
      </c>
      <c r="Q30" s="4" t="s">
        <v>48</v>
      </c>
    </row>
    <row r="31" spans="1:25" x14ac:dyDescent="0.25">
      <c r="B31" s="16">
        <f t="shared" si="6"/>
        <v>0.10418625000000001</v>
      </c>
      <c r="C31" s="17">
        <f t="shared" si="0"/>
        <v>26</v>
      </c>
      <c r="D31" s="17">
        <f t="shared" si="1"/>
        <v>1594.3643603226328</v>
      </c>
      <c r="E31" s="18">
        <f t="shared" si="2"/>
        <v>3.6465187500000001E-3</v>
      </c>
      <c r="F31" s="19">
        <f t="shared" si="3"/>
        <v>7520.341695089126</v>
      </c>
      <c r="G31" s="19">
        <f t="shared" si="4"/>
        <v>7520.341695089126</v>
      </c>
      <c r="H31" s="19">
        <f t="shared" si="5"/>
        <v>7520.341695089126</v>
      </c>
      <c r="P31" s="4">
        <v>150</v>
      </c>
      <c r="Q31" s="4" t="s">
        <v>75</v>
      </c>
    </row>
    <row r="32" spans="1:25" x14ac:dyDescent="0.25">
      <c r="B32" s="16">
        <f t="shared" si="6"/>
        <v>0.10939556250000002</v>
      </c>
      <c r="C32" s="17">
        <f t="shared" si="0"/>
        <v>25</v>
      </c>
      <c r="D32" s="17">
        <f t="shared" si="1"/>
        <v>1526.8252263104284</v>
      </c>
      <c r="E32" s="18">
        <f t="shared" si="2"/>
        <v>3.8288446875000006E-3</v>
      </c>
      <c r="F32" s="19" t="str">
        <f t="shared" si="3"/>
        <v/>
      </c>
      <c r="G32" s="19" t="str">
        <f t="shared" si="4"/>
        <v/>
      </c>
      <c r="H32" s="19" t="str">
        <f t="shared" si="5"/>
        <v/>
      </c>
    </row>
    <row r="33" spans="2:25" x14ac:dyDescent="0.25">
      <c r="B33" s="16">
        <f t="shared" si="6"/>
        <v>0.11486534062500002</v>
      </c>
      <c r="C33" s="17">
        <f t="shared" si="0"/>
        <v>25</v>
      </c>
      <c r="D33" s="17">
        <f t="shared" si="1"/>
        <v>1537.1355151749881</v>
      </c>
      <c r="E33" s="18">
        <f t="shared" si="2"/>
        <v>4.0202869218750005E-3</v>
      </c>
      <c r="F33" s="19">
        <f t="shared" si="3"/>
        <v>6576.3293453391561</v>
      </c>
      <c r="G33" s="19">
        <f t="shared" si="4"/>
        <v>6576.3293453391561</v>
      </c>
      <c r="H33" s="19">
        <f t="shared" si="5"/>
        <v>6576.3293453391561</v>
      </c>
    </row>
    <row r="34" spans="2:25" x14ac:dyDescent="0.25">
      <c r="B34" s="16">
        <f t="shared" si="6"/>
        <v>0.12060860765625003</v>
      </c>
      <c r="C34" s="17">
        <f t="shared" si="0"/>
        <v>24</v>
      </c>
      <c r="D34" s="17">
        <f t="shared" si="1"/>
        <v>1469.4093685963078</v>
      </c>
      <c r="E34" s="18">
        <f t="shared" si="2"/>
        <v>4.2213012679687516E-3</v>
      </c>
      <c r="F34" s="19">
        <f t="shared" si="3"/>
        <v>5987.2156795901974</v>
      </c>
      <c r="G34" s="19">
        <f t="shared" si="4"/>
        <v>5987.2156795901974</v>
      </c>
      <c r="H34" s="19">
        <f t="shared" si="5"/>
        <v>5987.2156795901974</v>
      </c>
    </row>
    <row r="35" spans="2:25" x14ac:dyDescent="0.25">
      <c r="B35" s="16">
        <f t="shared" si="6"/>
        <v>0.12663903803906254</v>
      </c>
      <c r="C35" s="17">
        <f t="shared" si="0"/>
        <v>23</v>
      </c>
      <c r="D35" s="17">
        <f t="shared" si="1"/>
        <v>1401.8297923011487</v>
      </c>
      <c r="E35" s="18">
        <f t="shared" si="2"/>
        <v>4.432366331367189E-3</v>
      </c>
      <c r="F35" s="19" t="str">
        <f t="shared" si="3"/>
        <v/>
      </c>
      <c r="G35" s="19" t="str">
        <f t="shared" si="4"/>
        <v/>
      </c>
      <c r="H35" s="19" t="str">
        <f t="shared" si="5"/>
        <v/>
      </c>
    </row>
    <row r="36" spans="2:25" x14ac:dyDescent="0.25">
      <c r="B36" s="16">
        <f t="shared" si="6"/>
        <v>0.13297098994101567</v>
      </c>
      <c r="C36" s="17">
        <f t="shared" si="0"/>
        <v>23</v>
      </c>
      <c r="D36" s="17">
        <f t="shared" si="1"/>
        <v>1411.8953535716469</v>
      </c>
      <c r="E36" s="18">
        <f t="shared" si="2"/>
        <v>4.653984647935548E-3</v>
      </c>
      <c r="F36" s="19">
        <f t="shared" si="3"/>
        <v>5218.0232464249057</v>
      </c>
      <c r="G36" s="19">
        <f t="shared" si="4"/>
        <v>5218.0232464249057</v>
      </c>
      <c r="H36" s="19">
        <f t="shared" si="5"/>
        <v>5218.0232464249057</v>
      </c>
      <c r="X36" s="4" t="s">
        <v>166</v>
      </c>
    </row>
    <row r="37" spans="2:25" x14ac:dyDescent="0.25">
      <c r="B37" s="16">
        <f t="shared" si="6"/>
        <v>0.13961953943806646</v>
      </c>
      <c r="C37" s="17">
        <f t="shared" si="0"/>
        <v>22</v>
      </c>
      <c r="D37" s="17">
        <f t="shared" si="1"/>
        <v>1344.0566099842874</v>
      </c>
      <c r="E37" s="18">
        <f t="shared" si="2"/>
        <v>4.8866838803323254E-3</v>
      </c>
      <c r="F37" s="19">
        <f t="shared" si="3"/>
        <v>4730.7692205695912</v>
      </c>
      <c r="G37" s="19">
        <f t="shared" si="4"/>
        <v>4730.7692205695912</v>
      </c>
      <c r="H37" s="19">
        <f t="shared" si="5"/>
        <v>4730.7692205695912</v>
      </c>
    </row>
    <row r="38" spans="2:25" x14ac:dyDescent="0.25">
      <c r="B38" s="16">
        <f t="shared" si="6"/>
        <v>0.14660051640996979</v>
      </c>
      <c r="C38" s="17">
        <f t="shared" si="0"/>
        <v>21</v>
      </c>
      <c r="D38" s="17">
        <f t="shared" si="1"/>
        <v>1276.3657831397359</v>
      </c>
      <c r="E38" s="18">
        <f t="shared" si="2"/>
        <v>5.131018074348943E-3</v>
      </c>
      <c r="F38" s="19" t="str">
        <f t="shared" si="3"/>
        <v/>
      </c>
      <c r="G38" s="19" t="str">
        <f t="shared" si="4"/>
        <v/>
      </c>
      <c r="H38" s="19" t="str">
        <f t="shared" si="5"/>
        <v/>
      </c>
      <c r="W38" s="4" t="s">
        <v>182</v>
      </c>
      <c r="X38" s="4" t="s">
        <v>181</v>
      </c>
    </row>
    <row r="39" spans="2:25" x14ac:dyDescent="0.25">
      <c r="B39" s="16">
        <f t="shared" si="6"/>
        <v>0.15393054223046829</v>
      </c>
      <c r="C39" s="17">
        <f t="shared" si="0"/>
        <v>21</v>
      </c>
      <c r="D39" s="17">
        <f t="shared" si="1"/>
        <v>1286.0375243524227</v>
      </c>
      <c r="E39" s="18">
        <f t="shared" si="2"/>
        <v>5.3875689780663906E-3</v>
      </c>
      <c r="F39" s="19">
        <f t="shared" si="3"/>
        <v>4105.7192045085467</v>
      </c>
      <c r="G39" s="19">
        <f t="shared" si="4"/>
        <v>4105.7192045085467</v>
      </c>
      <c r="H39" s="19">
        <f t="shared" si="5"/>
        <v>4105.7192045085467</v>
      </c>
      <c r="X39" s="4" t="s">
        <v>183</v>
      </c>
    </row>
    <row r="40" spans="2:25" x14ac:dyDescent="0.25">
      <c r="B40" s="16">
        <f t="shared" si="6"/>
        <v>0.1616270693419917</v>
      </c>
      <c r="C40" s="17">
        <f t="shared" si="0"/>
        <v>20</v>
      </c>
      <c r="D40" s="17">
        <f t="shared" si="1"/>
        <v>1218.0308698725885</v>
      </c>
      <c r="E40" s="18">
        <f t="shared" si="2"/>
        <v>5.6569474269697094E-3</v>
      </c>
      <c r="F40" s="19" t="str">
        <f t="shared" si="3"/>
        <v/>
      </c>
      <c r="G40" s="19" t="str">
        <f t="shared" si="4"/>
        <v/>
      </c>
      <c r="H40" s="19" t="str">
        <f t="shared" si="5"/>
        <v/>
      </c>
      <c r="W40" s="4" t="s">
        <v>185</v>
      </c>
      <c r="X40" s="4" t="s">
        <v>184</v>
      </c>
    </row>
    <row r="41" spans="2:25" x14ac:dyDescent="0.25">
      <c r="B41" s="16">
        <f t="shared" si="6"/>
        <v>0.16970842280909129</v>
      </c>
      <c r="C41" s="17">
        <f t="shared" si="0"/>
        <v>20</v>
      </c>
      <c r="D41" s="17">
        <f t="shared" si="1"/>
        <v>1227.6784317322436</v>
      </c>
      <c r="E41" s="18">
        <f t="shared" si="2"/>
        <v>5.9397947983181954E-3</v>
      </c>
      <c r="F41" s="19">
        <f t="shared" si="3"/>
        <v>3555.0165860567154</v>
      </c>
      <c r="G41" s="19">
        <f t="shared" si="4"/>
        <v>3555.0165860567154</v>
      </c>
      <c r="H41" s="19">
        <f t="shared" si="5"/>
        <v>3555.0165860567154</v>
      </c>
      <c r="W41" s="4" t="s">
        <v>175</v>
      </c>
      <c r="X41" s="4" t="s">
        <v>167</v>
      </c>
    </row>
    <row r="42" spans="2:25" x14ac:dyDescent="0.25">
      <c r="B42" s="16">
        <f t="shared" si="6"/>
        <v>0.17819384394954588</v>
      </c>
      <c r="C42" s="17">
        <f t="shared" si="0"/>
        <v>19</v>
      </c>
      <c r="D42" s="17">
        <f t="shared" si="1"/>
        <v>1159.3124901085469</v>
      </c>
      <c r="E42" s="18">
        <f t="shared" si="2"/>
        <v>6.2367845382341053E-3</v>
      </c>
      <c r="F42" s="19">
        <f t="shared" si="3"/>
        <v>3197.1883440297429</v>
      </c>
      <c r="G42" s="19">
        <f t="shared" si="4"/>
        <v>3197.1883440297429</v>
      </c>
      <c r="H42" s="19">
        <f t="shared" si="5"/>
        <v>3197.1883440297429</v>
      </c>
      <c r="W42" s="4" t="s">
        <v>176</v>
      </c>
      <c r="X42" s="4" t="s">
        <v>168</v>
      </c>
    </row>
    <row r="43" spans="2:25" x14ac:dyDescent="0.25">
      <c r="B43" s="16">
        <f t="shared" si="6"/>
        <v>0.18710353614702319</v>
      </c>
      <c r="C43" s="17">
        <f t="shared" si="0"/>
        <v>18</v>
      </c>
      <c r="D43" s="17">
        <f t="shared" si="1"/>
        <v>1091.1296828123866</v>
      </c>
      <c r="E43" s="18">
        <f t="shared" si="2"/>
        <v>6.5486237651458121E-3</v>
      </c>
      <c r="F43" s="19" t="str">
        <f t="shared" si="3"/>
        <v/>
      </c>
      <c r="G43" s="19" t="str">
        <f t="shared" si="4"/>
        <v/>
      </c>
      <c r="H43" s="19" t="str">
        <f t="shared" si="5"/>
        <v/>
      </c>
      <c r="W43" s="4" t="s">
        <v>177</v>
      </c>
      <c r="X43" s="4" t="s">
        <v>169</v>
      </c>
    </row>
    <row r="44" spans="2:25" x14ac:dyDescent="0.25">
      <c r="B44" s="16">
        <f t="shared" si="6"/>
        <v>0.19645871295437436</v>
      </c>
      <c r="C44" s="17">
        <f t="shared" si="0"/>
        <v>18</v>
      </c>
      <c r="D44" s="17">
        <f t="shared" si="1"/>
        <v>1100.1230701600753</v>
      </c>
      <c r="E44" s="18">
        <f t="shared" si="2"/>
        <v>6.8760549534031034E-3</v>
      </c>
      <c r="F44" s="19">
        <f t="shared" si="3"/>
        <v>2751.8856284573963</v>
      </c>
      <c r="G44" s="19">
        <f t="shared" si="4"/>
        <v>2751.8856284573963</v>
      </c>
      <c r="H44" s="19">
        <f t="shared" si="5"/>
        <v>2751.8856284573963</v>
      </c>
      <c r="W44" s="4" t="s">
        <v>176</v>
      </c>
      <c r="X44" s="4" t="s">
        <v>170</v>
      </c>
    </row>
    <row r="45" spans="2:25" x14ac:dyDescent="0.25">
      <c r="B45" s="16">
        <f t="shared" si="6"/>
        <v>0.20628164860209308</v>
      </c>
      <c r="C45" s="17">
        <f t="shared" si="0"/>
        <v>17</v>
      </c>
      <c r="D45" s="17">
        <f t="shared" si="1"/>
        <v>1031.565957258952</v>
      </c>
      <c r="E45" s="18">
        <f t="shared" si="2"/>
        <v>7.2198577010732573E-3</v>
      </c>
      <c r="F45" s="19" t="str">
        <f t="shared" si="3"/>
        <v/>
      </c>
      <c r="G45" s="19" t="str">
        <f t="shared" si="4"/>
        <v/>
      </c>
      <c r="H45" s="19" t="str">
        <f t="shared" si="5"/>
        <v/>
      </c>
      <c r="W45" s="4" t="s">
        <v>176</v>
      </c>
      <c r="X45" s="4" t="s">
        <v>171</v>
      </c>
    </row>
    <row r="46" spans="2:25" x14ac:dyDescent="0.25">
      <c r="B46" s="16">
        <f t="shared" si="6"/>
        <v>0.21659573103219776</v>
      </c>
      <c r="C46" s="17">
        <f t="shared" si="0"/>
        <v>17</v>
      </c>
      <c r="D46" s="17">
        <f t="shared" si="1"/>
        <v>1040.3794768596867</v>
      </c>
      <c r="E46" s="18">
        <f t="shared" si="2"/>
        <v>7.5808505861269214E-3</v>
      </c>
      <c r="F46" s="19">
        <f t="shared" si="3"/>
        <v>2360.4906598124867</v>
      </c>
      <c r="G46" s="19">
        <f t="shared" si="4"/>
        <v>2360.4906598124867</v>
      </c>
      <c r="H46" s="19">
        <f t="shared" si="5"/>
        <v>2360.4906598124867</v>
      </c>
      <c r="Y46" s="4" t="s">
        <v>172</v>
      </c>
    </row>
    <row r="47" spans="2:25" x14ac:dyDescent="0.25">
      <c r="B47" s="16">
        <f t="shared" si="6"/>
        <v>0.22742551758380766</v>
      </c>
      <c r="C47" s="17">
        <f t="shared" si="0"/>
        <v>16</v>
      </c>
      <c r="D47" s="17">
        <f t="shared" si="1"/>
        <v>971.4323136278523</v>
      </c>
      <c r="E47" s="18">
        <f t="shared" si="2"/>
        <v>7.959893115433268E-3</v>
      </c>
      <c r="F47" s="19">
        <f t="shared" si="3"/>
        <v>2099.1030346881216</v>
      </c>
      <c r="G47" s="19">
        <f t="shared" si="4"/>
        <v>2099.1030346881216</v>
      </c>
      <c r="H47" s="19">
        <f t="shared" si="5"/>
        <v>2099.1030346881216</v>
      </c>
      <c r="W47" s="4" t="s">
        <v>180</v>
      </c>
      <c r="X47" s="4" t="s">
        <v>179</v>
      </c>
    </row>
    <row r="48" spans="2:25" x14ac:dyDescent="0.25">
      <c r="B48" s="16">
        <f t="shared" si="6"/>
        <v>0.23879679346299806</v>
      </c>
      <c r="C48" s="17">
        <f t="shared" si="0"/>
        <v>15</v>
      </c>
      <c r="D48" s="17">
        <f t="shared" si="1"/>
        <v>902.79025253696614</v>
      </c>
      <c r="E48" s="18">
        <f t="shared" si="2"/>
        <v>8.3578877712049329E-3</v>
      </c>
      <c r="F48" s="19" t="str">
        <f t="shared" si="3"/>
        <v/>
      </c>
      <c r="G48" s="19" t="str">
        <f t="shared" si="4"/>
        <v/>
      </c>
      <c r="H48" s="19" t="str">
        <f t="shared" si="5"/>
        <v/>
      </c>
      <c r="W48" s="4" t="s">
        <v>178</v>
      </c>
      <c r="X48" s="4" t="s">
        <v>173</v>
      </c>
    </row>
    <row r="49" spans="2:24" x14ac:dyDescent="0.25">
      <c r="B49" s="16">
        <f t="shared" si="6"/>
        <v>0.25073663313614797</v>
      </c>
      <c r="C49" s="17">
        <f t="shared" si="0"/>
        <v>15</v>
      </c>
      <c r="D49" s="17">
        <f t="shared" si="1"/>
        <v>910.66737618342984</v>
      </c>
      <c r="E49" s="18">
        <f t="shared" si="2"/>
        <v>8.7757821597651779E-3</v>
      </c>
      <c r="F49" s="19">
        <f t="shared" si="3"/>
        <v>1784.8527441996252</v>
      </c>
      <c r="G49" s="19">
        <f t="shared" si="4"/>
        <v>1784.8527441996252</v>
      </c>
      <c r="H49" s="19">
        <f t="shared" si="5"/>
        <v>1784.8527441996252</v>
      </c>
      <c r="W49" s="4" t="s">
        <v>176</v>
      </c>
      <c r="X49" s="4" t="s">
        <v>174</v>
      </c>
    </row>
    <row r="50" spans="2:24" x14ac:dyDescent="0.25">
      <c r="B50" s="16">
        <f t="shared" si="6"/>
        <v>0.26327346479295538</v>
      </c>
      <c r="C50" s="17">
        <f t="shared" si="0"/>
        <v>14</v>
      </c>
      <c r="D50" s="17">
        <f t="shared" si="1"/>
        <v>841.69819746940823</v>
      </c>
      <c r="E50" s="18">
        <f t="shared" si="2"/>
        <v>9.2145712677534387E-3</v>
      </c>
      <c r="F50" s="19" t="str">
        <f t="shared" si="3"/>
        <v/>
      </c>
      <c r="G50" s="19" t="str">
        <f t="shared" si="4"/>
        <v/>
      </c>
      <c r="H50" s="19" t="str">
        <f t="shared" si="5"/>
        <v/>
      </c>
    </row>
    <row r="51" spans="2:24" x14ac:dyDescent="0.25">
      <c r="B51" s="16">
        <f t="shared" si="6"/>
        <v>0.27643713803260317</v>
      </c>
      <c r="C51" s="17">
        <f t="shared" si="0"/>
        <v>14</v>
      </c>
      <c r="D51" s="17">
        <f t="shared" si="1"/>
        <v>849.22478911360429</v>
      </c>
      <c r="E51" s="18">
        <f t="shared" si="2"/>
        <v>9.6752998311411108E-3</v>
      </c>
      <c r="F51" s="19">
        <f t="shared" si="3"/>
        <v>1509.6861727985615</v>
      </c>
      <c r="G51" s="19">
        <f t="shared" si="4"/>
        <v>1509.6861727985615</v>
      </c>
      <c r="H51" s="19">
        <f t="shared" si="5"/>
        <v>1509.6861727985615</v>
      </c>
    </row>
    <row r="52" spans="2:24" x14ac:dyDescent="0.25">
      <c r="B52" s="16">
        <f t="shared" si="6"/>
        <v>0.29025899493423335</v>
      </c>
      <c r="C52" s="17">
        <f t="shared" si="0"/>
        <v>13</v>
      </c>
      <c r="D52" s="17">
        <f t="shared" si="1"/>
        <v>779.96585016930533</v>
      </c>
      <c r="E52" s="18">
        <f t="shared" si="2"/>
        <v>1.0159064822698167E-2</v>
      </c>
      <c r="F52" s="19" t="str">
        <f t="shared" si="3"/>
        <v/>
      </c>
      <c r="G52" s="19" t="str">
        <f t="shared" si="4"/>
        <v/>
      </c>
      <c r="H52" s="19" t="str">
        <f t="shared" si="5"/>
        <v/>
      </c>
    </row>
    <row r="53" spans="2:24" x14ac:dyDescent="0.25">
      <c r="B53" s="16">
        <f t="shared" si="6"/>
        <v>0.30477194468094504</v>
      </c>
      <c r="C53" s="17">
        <f t="shared" si="0"/>
        <v>13</v>
      </c>
      <c r="D53" s="17">
        <f t="shared" si="1"/>
        <v>787.07847927307057</v>
      </c>
      <c r="E53" s="18">
        <f t="shared" si="2"/>
        <v>1.0667018063833076E-2</v>
      </c>
      <c r="F53" s="19">
        <f t="shared" si="3"/>
        <v>1269.1222385192223</v>
      </c>
      <c r="G53" s="19">
        <f t="shared" si="4"/>
        <v>1269.1222385192223</v>
      </c>
      <c r="H53" s="19">
        <f t="shared" si="5"/>
        <v>1269.1222385192223</v>
      </c>
      <c r="W53" s="4" t="s">
        <v>186</v>
      </c>
      <c r="X53" s="4" t="s">
        <v>177</v>
      </c>
    </row>
    <row r="54" spans="2:24" x14ac:dyDescent="0.25">
      <c r="B54" s="16">
        <f t="shared" si="6"/>
        <v>0.32001054191499229</v>
      </c>
      <c r="C54" s="17">
        <f t="shared" si="0"/>
        <v>12</v>
      </c>
      <c r="D54" s="17">
        <f t="shared" si="1"/>
        <v>717.5937354500204</v>
      </c>
      <c r="E54" s="18">
        <f t="shared" si="2"/>
        <v>1.120036896702473E-2</v>
      </c>
      <c r="F54" s="19" t="str">
        <f t="shared" si="3"/>
        <v/>
      </c>
      <c r="G54" s="19" t="str">
        <f t="shared" si="4"/>
        <v/>
      </c>
      <c r="H54" s="19" t="str">
        <f t="shared" si="5"/>
        <v/>
      </c>
      <c r="W54" s="4" t="s">
        <v>188</v>
      </c>
      <c r="X54" s="4" t="s">
        <v>187</v>
      </c>
    </row>
    <row r="55" spans="2:24" x14ac:dyDescent="0.25">
      <c r="B55" s="16">
        <f t="shared" si="6"/>
        <v>0.3360110690107419</v>
      </c>
      <c r="C55" s="17">
        <f t="shared" si="0"/>
        <v>12</v>
      </c>
      <c r="D55" s="17">
        <f t="shared" si="1"/>
        <v>724.2289977158598</v>
      </c>
      <c r="E55" s="18">
        <f t="shared" si="2"/>
        <v>1.1760387415375967E-2</v>
      </c>
      <c r="F55" s="19">
        <f t="shared" si="3"/>
        <v>1059.2115991371497</v>
      </c>
      <c r="G55" s="19">
        <f t="shared" si="4"/>
        <v>1059.2115991371497</v>
      </c>
      <c r="H55" s="19">
        <f t="shared" si="5"/>
        <v>1059.2115991371497</v>
      </c>
    </row>
    <row r="56" spans="2:24" x14ac:dyDescent="0.25">
      <c r="B56" s="16">
        <f t="shared" si="6"/>
        <v>0.35281162246127901</v>
      </c>
      <c r="C56" s="17">
        <f t="shared" si="0"/>
        <v>11</v>
      </c>
      <c r="D56" s="17">
        <f t="shared" si="1"/>
        <v>654.61497483797984</v>
      </c>
      <c r="E56" s="18">
        <f t="shared" si="2"/>
        <v>1.2348406786144767E-2</v>
      </c>
      <c r="F56" s="19" t="str">
        <f t="shared" si="3"/>
        <v/>
      </c>
      <c r="G56" s="19" t="str">
        <f t="shared" si="4"/>
        <v/>
      </c>
      <c r="H56" s="19" t="str">
        <f t="shared" si="5"/>
        <v/>
      </c>
    </row>
    <row r="57" spans="2:24" x14ac:dyDescent="0.25">
      <c r="B57" s="16">
        <f t="shared" si="6"/>
        <v>0.370452203584343</v>
      </c>
      <c r="C57" s="17">
        <f t="shared" si="0"/>
        <v>11</v>
      </c>
      <c r="D57" s="17">
        <f t="shared" si="1"/>
        <v>660.7111220447199</v>
      </c>
      <c r="E57" s="18">
        <f t="shared" si="2"/>
        <v>1.2965827125452006E-2</v>
      </c>
      <c r="F57" s="19" t="str">
        <f t="shared" si="3"/>
        <v/>
      </c>
      <c r="G57" s="19" t="str">
        <f t="shared" si="4"/>
        <v/>
      </c>
      <c r="H57" s="19" t="str">
        <f t="shared" si="5"/>
        <v/>
      </c>
    </row>
    <row r="58" spans="2:24" x14ac:dyDescent="0.25">
      <c r="B58" s="16">
        <f t="shared" si="6"/>
        <v>0.38897481376356019</v>
      </c>
      <c r="C58" s="17">
        <f t="shared" si="0"/>
        <v>11</v>
      </c>
      <c r="D58" s="17">
        <f t="shared" si="1"/>
        <v>667.11207661179685</v>
      </c>
      <c r="E58" s="18">
        <f t="shared" si="2"/>
        <v>1.3614118481724606E-2</v>
      </c>
      <c r="F58" s="19">
        <f t="shared" si="3"/>
        <v>842.82561027552936</v>
      </c>
      <c r="G58" s="19">
        <f t="shared" si="4"/>
        <v>842.82561027552936</v>
      </c>
      <c r="H58" s="19">
        <f t="shared" si="5"/>
        <v>842.82561027552936</v>
      </c>
    </row>
    <row r="59" spans="2:24" x14ac:dyDescent="0.25">
      <c r="B59" s="16">
        <f t="shared" si="6"/>
        <v>0.40842355445173822</v>
      </c>
      <c r="C59" s="17">
        <f t="shared" si="0"/>
        <v>10</v>
      </c>
      <c r="D59" s="17">
        <f t="shared" si="1"/>
        <v>596.60292924352211</v>
      </c>
      <c r="E59" s="18">
        <f t="shared" si="2"/>
        <v>1.4294824405810837E-2</v>
      </c>
      <c r="F59" s="19" t="str">
        <f t="shared" si="3"/>
        <v/>
      </c>
      <c r="G59" s="19" t="str">
        <f t="shared" si="4"/>
        <v/>
      </c>
      <c r="H59" s="19" t="str">
        <f t="shared" si="5"/>
        <v/>
      </c>
    </row>
    <row r="60" spans="2:24" x14ac:dyDescent="0.25">
      <c r="B60" s="16">
        <f t="shared" si="6"/>
        <v>0.42884473217432517</v>
      </c>
      <c r="C60" s="17">
        <f t="shared" si="0"/>
        <v>10</v>
      </c>
      <c r="D60" s="17">
        <f t="shared" si="1"/>
        <v>602.37688121550582</v>
      </c>
      <c r="E60" s="18">
        <f t="shared" si="2"/>
        <v>1.5009565626101382E-2</v>
      </c>
      <c r="F60" s="19">
        <f t="shared" si="3"/>
        <v>690.28528972812512</v>
      </c>
      <c r="G60" s="19">
        <f t="shared" si="4"/>
        <v>690.28528972812512</v>
      </c>
      <c r="H60" s="19">
        <f t="shared" si="5"/>
        <v>690.28528972812512</v>
      </c>
    </row>
    <row r="61" spans="2:24" x14ac:dyDescent="0.25">
      <c r="B61" s="16">
        <f t="shared" si="6"/>
        <v>0.45028696878304147</v>
      </c>
      <c r="C61" s="17">
        <f t="shared" si="0"/>
        <v>9</v>
      </c>
      <c r="D61" s="17">
        <f t="shared" si="1"/>
        <v>532.03658022102479</v>
      </c>
      <c r="E61" s="18">
        <f t="shared" si="2"/>
        <v>1.5760043907406453E-2</v>
      </c>
      <c r="F61" s="19" t="str">
        <f t="shared" si="3"/>
        <v/>
      </c>
      <c r="G61" s="19" t="str">
        <f t="shared" si="4"/>
        <v/>
      </c>
      <c r="H61" s="19" t="str">
        <f t="shared" si="5"/>
        <v/>
      </c>
    </row>
    <row r="62" spans="2:24" x14ac:dyDescent="0.25">
      <c r="B62" s="16">
        <f t="shared" si="6"/>
        <v>0.4728013172221936</v>
      </c>
      <c r="C62" s="17">
        <f t="shared" si="0"/>
        <v>9</v>
      </c>
      <c r="D62" s="17">
        <f t="shared" si="1"/>
        <v>537.12920586031453</v>
      </c>
      <c r="E62" s="18">
        <f t="shared" si="2"/>
        <v>1.6548046102776777E-2</v>
      </c>
      <c r="F62" s="19" t="str">
        <f t="shared" si="3"/>
        <v/>
      </c>
      <c r="G62" s="19" t="str">
        <f t="shared" si="4"/>
        <v/>
      </c>
      <c r="H62" s="19" t="str">
        <f t="shared" si="5"/>
        <v/>
      </c>
    </row>
    <row r="63" spans="2:24" x14ac:dyDescent="0.25">
      <c r="B63" s="16">
        <f t="shared" si="6"/>
        <v>0.49644138308330332</v>
      </c>
      <c r="C63" s="17">
        <f t="shared" si="0"/>
        <v>9</v>
      </c>
      <c r="D63" s="17">
        <f t="shared" si="1"/>
        <v>542.47646278156867</v>
      </c>
      <c r="E63" s="18">
        <f t="shared" si="2"/>
        <v>1.7375448407915616E-2</v>
      </c>
      <c r="F63" s="19">
        <f t="shared" si="3"/>
        <v>536.9988123927958</v>
      </c>
      <c r="G63" s="19">
        <f t="shared" si="4"/>
        <v>536.9988123927958</v>
      </c>
      <c r="H63" s="19">
        <f t="shared" si="5"/>
        <v>536.9988123927958</v>
      </c>
    </row>
    <row r="64" spans="2:24" x14ac:dyDescent="0.25">
      <c r="B64" s="16">
        <f t="shared" si="6"/>
        <v>0.52126345223746851</v>
      </c>
      <c r="C64" s="17">
        <f t="shared" si="0"/>
        <v>8</v>
      </c>
      <c r="D64" s="17">
        <f t="shared" si="1"/>
        <v>471.57801979684268</v>
      </c>
      <c r="E64" s="18">
        <f t="shared" si="2"/>
        <v>1.8244220828311397E-2</v>
      </c>
      <c r="F64" s="19" t="str">
        <f t="shared" si="3"/>
        <v/>
      </c>
      <c r="G64" s="19" t="str">
        <f t="shared" si="4"/>
        <v/>
      </c>
      <c r="H64" s="19" t="str">
        <f t="shared" si="5"/>
        <v/>
      </c>
    </row>
    <row r="65" spans="2:8" x14ac:dyDescent="0.25">
      <c r="B65" s="16">
        <f t="shared" si="6"/>
        <v>0.54732662484934191</v>
      </c>
      <c r="C65" s="17">
        <f t="shared" si="0"/>
        <v>8</v>
      </c>
      <c r="D65" s="17">
        <f t="shared" si="1"/>
        <v>476.16329260681812</v>
      </c>
      <c r="E65" s="18">
        <f t="shared" si="2"/>
        <v>1.9156431869726966E-2</v>
      </c>
      <c r="F65" s="19" t="str">
        <f t="shared" si="3"/>
        <v/>
      </c>
      <c r="G65" s="19" t="str">
        <f t="shared" si="4"/>
        <v/>
      </c>
      <c r="H65" s="19" t="str">
        <f t="shared" si="5"/>
        <v/>
      </c>
    </row>
    <row r="66" spans="2:8" x14ac:dyDescent="0.25">
      <c r="B66" s="16">
        <f t="shared" si="6"/>
        <v>0.57469295609180904</v>
      </c>
      <c r="C66" s="17">
        <f t="shared" si="0"/>
        <v>8</v>
      </c>
      <c r="D66" s="17">
        <f t="shared" si="1"/>
        <v>480.9778290572923</v>
      </c>
      <c r="E66" s="18">
        <f t="shared" si="2"/>
        <v>2.0114253463213317E-2</v>
      </c>
      <c r="F66" s="19">
        <f t="shared" si="3"/>
        <v>411.29135987649119</v>
      </c>
      <c r="G66" s="19">
        <f t="shared" si="4"/>
        <v>411.29135987649119</v>
      </c>
      <c r="H66" s="19">
        <f t="shared" si="5"/>
        <v>411.29135987649119</v>
      </c>
    </row>
    <row r="67" spans="2:8" x14ac:dyDescent="0.25">
      <c r="B67" s="16">
        <f t="shared" si="6"/>
        <v>0.60342760389639949</v>
      </c>
      <c r="C67" s="17">
        <f t="shared" si="0"/>
        <v>7</v>
      </c>
      <c r="D67" s="17">
        <f t="shared" si="1"/>
        <v>409.80977483987152</v>
      </c>
      <c r="E67" s="18">
        <f t="shared" si="2"/>
        <v>2.1119966136373982E-2</v>
      </c>
      <c r="F67" s="19" t="str">
        <f t="shared" si="3"/>
        <v/>
      </c>
      <c r="G67" s="19" t="str">
        <f t="shared" si="4"/>
        <v/>
      </c>
      <c r="H67" s="19" t="str">
        <f t="shared" si="5"/>
        <v/>
      </c>
    </row>
    <row r="68" spans="2:8" x14ac:dyDescent="0.25">
      <c r="B68" s="16">
        <f t="shared" si="6"/>
        <v>0.63359898409121951</v>
      </c>
      <c r="C68" s="17">
        <f t="shared" si="0"/>
        <v>7</v>
      </c>
      <c r="D68" s="17">
        <f t="shared" si="1"/>
        <v>413.79079466735743</v>
      </c>
      <c r="E68" s="18">
        <f t="shared" si="2"/>
        <v>2.2175964443192683E-2</v>
      </c>
      <c r="F68" s="19" t="str">
        <f t="shared" si="3"/>
        <v/>
      </c>
      <c r="G68" s="19" t="str">
        <f t="shared" si="4"/>
        <v/>
      </c>
      <c r="H68" s="19" t="str">
        <f t="shared" si="5"/>
        <v/>
      </c>
    </row>
    <row r="69" spans="2:8" x14ac:dyDescent="0.25">
      <c r="B69" s="16">
        <f t="shared" si="6"/>
        <v>0.66527893329578047</v>
      </c>
      <c r="C69" s="17">
        <f t="shared" si="0"/>
        <v>7</v>
      </c>
      <c r="D69" s="17">
        <f t="shared" si="1"/>
        <v>417.97086548621758</v>
      </c>
      <c r="E69" s="18">
        <f t="shared" si="2"/>
        <v>2.3284762665352319E-2</v>
      </c>
      <c r="F69" s="19">
        <f t="shared" si="3"/>
        <v>308.74692560471345</v>
      </c>
      <c r="G69" s="19">
        <f t="shared" si="4"/>
        <v>308.74692560471345</v>
      </c>
      <c r="H69" s="19">
        <f t="shared" si="5"/>
        <v>308.74692560471345</v>
      </c>
    </row>
    <row r="70" spans="2:8" x14ac:dyDescent="0.25">
      <c r="B70" s="16">
        <f t="shared" si="6"/>
        <v>0.69854287996056952</v>
      </c>
      <c r="C70" s="17">
        <f t="shared" si="0"/>
        <v>6</v>
      </c>
      <c r="D70" s="17">
        <f t="shared" si="1"/>
        <v>346.97062691074018</v>
      </c>
      <c r="E70" s="18">
        <f t="shared" si="2"/>
        <v>2.4449000798619936E-2</v>
      </c>
      <c r="F70" s="19" t="str">
        <f t="shared" si="3"/>
        <v/>
      </c>
      <c r="G70" s="19" t="str">
        <f t="shared" si="4"/>
        <v/>
      </c>
      <c r="H70" s="19" t="str">
        <f t="shared" si="5"/>
        <v/>
      </c>
    </row>
    <row r="71" spans="2:8" x14ac:dyDescent="0.25">
      <c r="B71" s="16">
        <f t="shared" si="6"/>
        <v>0.73347002395859806</v>
      </c>
      <c r="C71" s="17">
        <f t="shared" si="0"/>
        <v>6</v>
      </c>
      <c r="D71" s="17">
        <f t="shared" si="1"/>
        <v>350.2624326805925</v>
      </c>
      <c r="E71" s="18">
        <f t="shared" si="2"/>
        <v>2.5671450838550932E-2</v>
      </c>
      <c r="F71" s="19" t="str">
        <f t="shared" si="3"/>
        <v/>
      </c>
      <c r="G71" s="19" t="str">
        <f t="shared" si="4"/>
        <v/>
      </c>
      <c r="H71" s="19" t="str">
        <f t="shared" si="5"/>
        <v/>
      </c>
    </row>
    <row r="72" spans="2:8" x14ac:dyDescent="0.25">
      <c r="B72" s="16">
        <f t="shared" si="6"/>
        <v>0.77014352515652795</v>
      </c>
      <c r="C72" s="17">
        <f t="shared" si="0"/>
        <v>6</v>
      </c>
      <c r="D72" s="17">
        <f t="shared" si="1"/>
        <v>353.71882873893753</v>
      </c>
      <c r="E72" s="18">
        <f t="shared" si="2"/>
        <v>2.695502338047848E-2</v>
      </c>
      <c r="F72" s="19">
        <f t="shared" si="3"/>
        <v>225.70797911887132</v>
      </c>
      <c r="G72" s="19">
        <f t="shared" si="4"/>
        <v>225.70797911887132</v>
      </c>
      <c r="H72" s="19">
        <f t="shared" si="5"/>
        <v>225.70797911887132</v>
      </c>
    </row>
    <row r="73" spans="2:8" x14ac:dyDescent="0.25">
      <c r="B73" s="16">
        <f t="shared" si="6"/>
        <v>0.80865070141435436</v>
      </c>
      <c r="C73" s="17">
        <f t="shared" si="0"/>
        <v>5</v>
      </c>
      <c r="D73" s="17">
        <f t="shared" si="1"/>
        <v>283.5169853256204</v>
      </c>
      <c r="E73" s="18">
        <f t="shared" si="2"/>
        <v>2.8302774549502401E-2</v>
      </c>
      <c r="F73" s="19" t="str">
        <f t="shared" si="3"/>
        <v/>
      </c>
      <c r="G73" s="19" t="str">
        <f t="shared" si="4"/>
        <v/>
      </c>
      <c r="H73" s="19" t="str">
        <f t="shared" si="5"/>
        <v/>
      </c>
    </row>
    <row r="74" spans="2:8" x14ac:dyDescent="0.25">
      <c r="B74" s="16">
        <f t="shared" si="6"/>
        <v>0.84908323648507211</v>
      </c>
      <c r="C74" s="17">
        <f t="shared" si="0"/>
        <v>5</v>
      </c>
      <c r="D74" s="17">
        <f t="shared" si="1"/>
        <v>286.05743642850393</v>
      </c>
      <c r="E74" s="18">
        <f t="shared" si="2"/>
        <v>2.9717913276977523E-2</v>
      </c>
      <c r="F74" s="19" t="str">
        <f t="shared" si="3"/>
        <v/>
      </c>
      <c r="G74" s="19" t="str">
        <f t="shared" si="4"/>
        <v/>
      </c>
      <c r="H74" s="19" t="str">
        <f t="shared" si="5"/>
        <v/>
      </c>
    </row>
    <row r="75" spans="2:8" x14ac:dyDescent="0.25">
      <c r="B75" s="16">
        <f t="shared" si="6"/>
        <v>0.89153739830932577</v>
      </c>
      <c r="C75" s="17">
        <f t="shared" si="0"/>
        <v>5</v>
      </c>
      <c r="D75" s="17">
        <f t="shared" si="1"/>
        <v>288.72491008653174</v>
      </c>
      <c r="E75" s="18">
        <f t="shared" si="2"/>
        <v>3.1203808940826402E-2</v>
      </c>
      <c r="F75" s="19" t="str">
        <f t="shared" si="3"/>
        <v/>
      </c>
      <c r="G75" s="19" t="str">
        <f t="shared" si="4"/>
        <v/>
      </c>
      <c r="H75" s="19" t="str">
        <f t="shared" si="5"/>
        <v/>
      </c>
    </row>
    <row r="76" spans="2:8" x14ac:dyDescent="0.25">
      <c r="B76" s="16">
        <f t="shared" si="6"/>
        <v>0.93611426822479205</v>
      </c>
      <c r="C76" s="17">
        <f t="shared" si="0"/>
        <v>5</v>
      </c>
      <c r="D76" s="17">
        <f t="shared" si="1"/>
        <v>291.52575742746086</v>
      </c>
      <c r="E76" s="18">
        <f t="shared" si="2"/>
        <v>3.2763999387867719E-2</v>
      </c>
      <c r="F76" s="19">
        <f t="shared" si="3"/>
        <v>153.0412379878467</v>
      </c>
      <c r="G76" s="19">
        <f t="shared" si="4"/>
        <v>153.0412379878467</v>
      </c>
      <c r="H76" s="19">
        <f t="shared" si="5"/>
        <v>153.0412379878467</v>
      </c>
    </row>
    <row r="77" spans="2:8" x14ac:dyDescent="0.25">
      <c r="B77" s="16">
        <f t="shared" si="6"/>
        <v>0.98291998163603167</v>
      </c>
      <c r="C77" s="17">
        <f t="shared" ref="C77:C94" si="7">FLOOR(($C$8-2*$C$12+$C$13)/(B77+$C$13),1)</f>
        <v>4</v>
      </c>
      <c r="D77" s="17">
        <f t="shared" ref="D77:D94" si="8">C77*(2*$C$5+2*$C$8+2*PI()*($C$12+(C77-1)*B77/2+(C77-1)*$C$13/2))</f>
        <v>221.96494387341573</v>
      </c>
      <c r="E77" s="18">
        <f t="shared" ref="E77:E94" si="9">B77*$C$14/1000</f>
        <v>3.4402199357261111E-2</v>
      </c>
      <c r="F77" s="19" t="str">
        <f t="shared" ref="F77:F94" si="10">IF(C77=C78,"",$C$24*D77/E77*1000000)</f>
        <v/>
      </c>
      <c r="G77" s="19" t="str">
        <f t="shared" ref="G77:G94" si="11">IF(C77=C78,"",F77*$C$14/$C$15)</f>
        <v/>
      </c>
      <c r="H77" s="19" t="str">
        <f t="shared" ref="H77:H94" si="12">IF(C77=C78,"",F77*$C$14/$C$16)</f>
        <v/>
      </c>
    </row>
    <row r="78" spans="2:8" x14ac:dyDescent="0.25">
      <c r="B78" s="16">
        <f t="shared" si="6"/>
        <v>1.0320659807178334</v>
      </c>
      <c r="C78" s="17">
        <f t="shared" si="7"/>
        <v>4</v>
      </c>
      <c r="D78" s="17">
        <f t="shared" si="8"/>
        <v>223.81770438944037</v>
      </c>
      <c r="E78" s="18">
        <f t="shared" si="9"/>
        <v>3.6122309325124169E-2</v>
      </c>
      <c r="F78" s="19" t="str">
        <f t="shared" si="10"/>
        <v/>
      </c>
      <c r="G78" s="19" t="str">
        <f t="shared" si="11"/>
        <v/>
      </c>
      <c r="H78" s="19" t="str">
        <f t="shared" si="12"/>
        <v/>
      </c>
    </row>
    <row r="79" spans="2:8" x14ac:dyDescent="0.25">
      <c r="B79" s="16">
        <f t="shared" si="6"/>
        <v>1.0836692797537251</v>
      </c>
      <c r="C79" s="17">
        <f t="shared" si="7"/>
        <v>4</v>
      </c>
      <c r="D79" s="17">
        <f t="shared" si="8"/>
        <v>225.76310293126622</v>
      </c>
      <c r="E79" s="18">
        <f t="shared" si="9"/>
        <v>3.792842479138038E-2</v>
      </c>
      <c r="F79" s="19" t="str">
        <f t="shared" si="10"/>
        <v/>
      </c>
      <c r="G79" s="19" t="str">
        <f t="shared" si="11"/>
        <v/>
      </c>
      <c r="H79" s="19" t="str">
        <f t="shared" si="12"/>
        <v/>
      </c>
    </row>
    <row r="80" spans="2:8" x14ac:dyDescent="0.25">
      <c r="B80" s="16">
        <f t="shared" si="6"/>
        <v>1.1378527437414114</v>
      </c>
      <c r="C80" s="17">
        <f t="shared" si="7"/>
        <v>4</v>
      </c>
      <c r="D80" s="17">
        <f t="shared" si="8"/>
        <v>227.80577140018337</v>
      </c>
      <c r="E80" s="18">
        <f t="shared" si="9"/>
        <v>3.98248460309494E-2</v>
      </c>
      <c r="F80" s="19" t="str">
        <f t="shared" si="10"/>
        <v/>
      </c>
      <c r="G80" s="19" t="str">
        <f t="shared" si="11"/>
        <v/>
      </c>
      <c r="H80" s="19" t="str">
        <f t="shared" si="12"/>
        <v/>
      </c>
    </row>
    <row r="81" spans="2:8" x14ac:dyDescent="0.25">
      <c r="B81" s="16">
        <f t="shared" si="6"/>
        <v>1.194745380928482</v>
      </c>
      <c r="C81" s="17">
        <f t="shared" si="7"/>
        <v>4</v>
      </c>
      <c r="D81" s="17">
        <f t="shared" si="8"/>
        <v>229.95057329254638</v>
      </c>
      <c r="E81" s="18">
        <f t="shared" si="9"/>
        <v>4.1816088332496865E-2</v>
      </c>
      <c r="F81" s="19">
        <f t="shared" si="10"/>
        <v>94.584405628349998</v>
      </c>
      <c r="G81" s="19">
        <f t="shared" si="11"/>
        <v>94.584405628349998</v>
      </c>
      <c r="H81" s="19">
        <f t="shared" si="12"/>
        <v>94.584405628349998</v>
      </c>
    </row>
    <row r="82" spans="2:8" x14ac:dyDescent="0.25">
      <c r="B82" s="16">
        <f t="shared" si="6"/>
        <v>1.2544826499749062</v>
      </c>
      <c r="C82" s="17">
        <f t="shared" si="7"/>
        <v>3</v>
      </c>
      <c r="D82" s="17">
        <f t="shared" si="8"/>
        <v>161.38626323191764</v>
      </c>
      <c r="E82" s="18">
        <f t="shared" si="9"/>
        <v>4.3906892749121719E-2</v>
      </c>
      <c r="F82" s="19" t="str">
        <f t="shared" si="10"/>
        <v/>
      </c>
      <c r="G82" s="19" t="str">
        <f t="shared" si="11"/>
        <v/>
      </c>
      <c r="H82" s="19" t="str">
        <f t="shared" si="12"/>
        <v/>
      </c>
    </row>
    <row r="83" spans="2:8" x14ac:dyDescent="0.25">
      <c r="B83" s="16">
        <f t="shared" si="6"/>
        <v>1.3172067824736515</v>
      </c>
      <c r="C83" s="17">
        <f t="shared" si="7"/>
        <v>3</v>
      </c>
      <c r="D83" s="17">
        <f t="shared" si="8"/>
        <v>162.56858527508277</v>
      </c>
      <c r="E83" s="18">
        <f t="shared" si="9"/>
        <v>4.6102237386577802E-2</v>
      </c>
      <c r="F83" s="19" t="str">
        <f t="shared" si="10"/>
        <v/>
      </c>
      <c r="G83" s="19" t="str">
        <f t="shared" si="11"/>
        <v/>
      </c>
      <c r="H83" s="19" t="str">
        <f t="shared" si="12"/>
        <v/>
      </c>
    </row>
    <row r="84" spans="2:8" x14ac:dyDescent="0.25">
      <c r="B84" s="16">
        <f t="shared" si="6"/>
        <v>1.3830671215973342</v>
      </c>
      <c r="C84" s="17">
        <f t="shared" si="7"/>
        <v>3</v>
      </c>
      <c r="D84" s="17">
        <f t="shared" si="8"/>
        <v>163.81002342040611</v>
      </c>
      <c r="E84" s="18">
        <f t="shared" si="9"/>
        <v>4.8407349255906701E-2</v>
      </c>
      <c r="F84" s="19" t="str">
        <f t="shared" si="10"/>
        <v/>
      </c>
      <c r="G84" s="19" t="str">
        <f t="shared" si="11"/>
        <v/>
      </c>
      <c r="H84" s="19" t="str">
        <f t="shared" si="12"/>
        <v/>
      </c>
    </row>
    <row r="85" spans="2:8" x14ac:dyDescent="0.25">
      <c r="B85" s="16">
        <f t="shared" si="6"/>
        <v>1.452220477677201</v>
      </c>
      <c r="C85" s="17">
        <f t="shared" si="7"/>
        <v>3</v>
      </c>
      <c r="D85" s="17">
        <f t="shared" si="8"/>
        <v>165.11353347299564</v>
      </c>
      <c r="E85" s="18">
        <f t="shared" si="9"/>
        <v>5.0827716718702037E-2</v>
      </c>
      <c r="F85" s="19" t="str">
        <f t="shared" si="10"/>
        <v/>
      </c>
      <c r="G85" s="19" t="str">
        <f t="shared" si="11"/>
        <v/>
      </c>
      <c r="H85" s="19" t="str">
        <f t="shared" si="12"/>
        <v/>
      </c>
    </row>
    <row r="86" spans="2:8" x14ac:dyDescent="0.25">
      <c r="B86" s="16">
        <f t="shared" si="6"/>
        <v>1.5248315015610612</v>
      </c>
      <c r="C86" s="17">
        <f t="shared" si="7"/>
        <v>3</v>
      </c>
      <c r="D86" s="17">
        <f t="shared" si="8"/>
        <v>166.48221902821467</v>
      </c>
      <c r="E86" s="18">
        <f t="shared" si="9"/>
        <v>5.3369102554637136E-2</v>
      </c>
      <c r="F86" s="19" t="str">
        <f t="shared" si="10"/>
        <v/>
      </c>
      <c r="G86" s="19" t="str">
        <f t="shared" si="11"/>
        <v/>
      </c>
      <c r="H86" s="19" t="str">
        <f t="shared" si="12"/>
        <v/>
      </c>
    </row>
    <row r="87" spans="2:8" x14ac:dyDescent="0.25">
      <c r="B87" s="16">
        <f t="shared" si="6"/>
        <v>1.6010730766391144</v>
      </c>
      <c r="C87" s="17">
        <f t="shared" si="7"/>
        <v>3</v>
      </c>
      <c r="D87" s="17">
        <f t="shared" si="8"/>
        <v>167.91933886119463</v>
      </c>
      <c r="E87" s="18">
        <f t="shared" si="9"/>
        <v>5.6037557682369003E-2</v>
      </c>
      <c r="F87" s="19" t="str">
        <f t="shared" si="10"/>
        <v/>
      </c>
      <c r="G87" s="19" t="str">
        <f t="shared" si="11"/>
        <v/>
      </c>
      <c r="H87" s="19" t="str">
        <f t="shared" si="12"/>
        <v/>
      </c>
    </row>
    <row r="88" spans="2:8" x14ac:dyDescent="0.25">
      <c r="B88" s="16">
        <f t="shared" si="6"/>
        <v>1.6811267304710702</v>
      </c>
      <c r="C88" s="17">
        <f t="shared" si="7"/>
        <v>3</v>
      </c>
      <c r="D88" s="17">
        <f t="shared" si="8"/>
        <v>169.42831468582358</v>
      </c>
      <c r="E88" s="18">
        <f t="shared" si="9"/>
        <v>5.8839435566487457E-2</v>
      </c>
      <c r="F88" s="19">
        <f t="shared" si="10"/>
        <v>49.527446763203756</v>
      </c>
      <c r="G88" s="19">
        <f t="shared" si="11"/>
        <v>49.527446763203756</v>
      </c>
      <c r="H88" s="19">
        <f t="shared" si="12"/>
        <v>49.527446763203756</v>
      </c>
    </row>
    <row r="89" spans="2:8" x14ac:dyDescent="0.25">
      <c r="B89" s="16">
        <f t="shared" si="6"/>
        <v>1.7651830669946238</v>
      </c>
      <c r="C89" s="17">
        <f t="shared" si="7"/>
        <v>2</v>
      </c>
      <c r="D89" s="17">
        <f t="shared" si="8"/>
        <v>102.28920202604854</v>
      </c>
      <c r="E89" s="18">
        <f t="shared" si="9"/>
        <v>6.1781407344811835E-2</v>
      </c>
      <c r="F89" s="19" t="str">
        <f t="shared" si="10"/>
        <v/>
      </c>
      <c r="G89" s="19" t="str">
        <f t="shared" si="11"/>
        <v/>
      </c>
      <c r="H89" s="19" t="str">
        <f t="shared" si="12"/>
        <v/>
      </c>
    </row>
    <row r="90" spans="2:8" x14ac:dyDescent="0.25">
      <c r="B90" s="16">
        <f t="shared" si="6"/>
        <v>1.853442220344355</v>
      </c>
      <c r="C90" s="17">
        <f t="shared" si="7"/>
        <v>2</v>
      </c>
      <c r="D90" s="17">
        <f t="shared" si="8"/>
        <v>102.84375064159968</v>
      </c>
      <c r="E90" s="18">
        <f t="shared" si="9"/>
        <v>6.4870477712052427E-2</v>
      </c>
      <c r="F90" s="19" t="str">
        <f t="shared" si="10"/>
        <v/>
      </c>
      <c r="G90" s="19" t="str">
        <f t="shared" si="11"/>
        <v/>
      </c>
      <c r="H90" s="19" t="str">
        <f t="shared" si="12"/>
        <v/>
      </c>
    </row>
    <row r="91" spans="2:8" x14ac:dyDescent="0.25">
      <c r="B91" s="16">
        <f t="shared" si="6"/>
        <v>1.9461143313615727</v>
      </c>
      <c r="C91" s="17">
        <f t="shared" si="7"/>
        <v>2</v>
      </c>
      <c r="D91" s="17">
        <f t="shared" si="8"/>
        <v>103.42602668792838</v>
      </c>
      <c r="E91" s="18">
        <f t="shared" si="9"/>
        <v>6.8114001597655044E-2</v>
      </c>
      <c r="F91" s="19" t="str">
        <f t="shared" si="10"/>
        <v/>
      </c>
      <c r="G91" s="19" t="str">
        <f t="shared" si="11"/>
        <v/>
      </c>
      <c r="H91" s="19" t="str">
        <f t="shared" si="12"/>
        <v/>
      </c>
    </row>
    <row r="92" spans="2:8" x14ac:dyDescent="0.25">
      <c r="B92" s="16">
        <f t="shared" si="6"/>
        <v>2.0434200479296516</v>
      </c>
      <c r="C92" s="17">
        <f t="shared" si="7"/>
        <v>2</v>
      </c>
      <c r="D92" s="17">
        <f t="shared" si="8"/>
        <v>104.03741653657352</v>
      </c>
      <c r="E92" s="18">
        <f t="shared" si="9"/>
        <v>7.1519701677537809E-2</v>
      </c>
      <c r="F92" s="19" t="str">
        <f t="shared" si="10"/>
        <v/>
      </c>
      <c r="G92" s="19" t="str">
        <f t="shared" si="11"/>
        <v/>
      </c>
      <c r="H92" s="19" t="str">
        <f t="shared" si="12"/>
        <v/>
      </c>
    </row>
    <row r="93" spans="2:8" x14ac:dyDescent="0.25">
      <c r="B93" s="16">
        <f t="shared" si="6"/>
        <v>2.1455910503261344</v>
      </c>
      <c r="C93" s="17">
        <f t="shared" si="7"/>
        <v>2</v>
      </c>
      <c r="D93" s="17">
        <f t="shared" si="8"/>
        <v>104.6793758776509</v>
      </c>
      <c r="E93" s="18">
        <f t="shared" si="9"/>
        <v>7.5095686761414704E-2</v>
      </c>
      <c r="F93" s="19" t="str">
        <f t="shared" si="10"/>
        <v/>
      </c>
      <c r="G93" s="19" t="str">
        <f t="shared" si="11"/>
        <v/>
      </c>
      <c r="H93" s="19" t="str">
        <f t="shared" si="12"/>
        <v/>
      </c>
    </row>
    <row r="94" spans="2:8" x14ac:dyDescent="0.25">
      <c r="B94" s="16">
        <f t="shared" si="6"/>
        <v>2.252870602842441</v>
      </c>
      <c r="C94" s="17">
        <f t="shared" si="7"/>
        <v>2</v>
      </c>
      <c r="D94" s="17">
        <f t="shared" si="8"/>
        <v>105.35343318578217</v>
      </c>
      <c r="E94" s="18">
        <f t="shared" si="9"/>
        <v>7.8850471099485425E-2</v>
      </c>
      <c r="F94" s="19" t="str">
        <f t="shared" si="10"/>
        <v/>
      </c>
      <c r="G94" s="19" t="str">
        <f t="shared" si="11"/>
        <v/>
      </c>
      <c r="H94" s="19" t="str">
        <f t="shared" si="12"/>
        <v/>
      </c>
    </row>
    <row r="95" spans="2:8" x14ac:dyDescent="0.25">
      <c r="B95" s="16">
        <f t="shared" ref="B95:B158" si="13">B94*(1+$B$26)</f>
        <v>2.365514132984563</v>
      </c>
      <c r="C95" s="17">
        <f t="shared" ref="C95:C130" si="14">FLOOR(($C$8-2*$C$12+$C$13)/(B95+$C$13),1)</f>
        <v>2</v>
      </c>
      <c r="D95" s="17">
        <f t="shared" ref="D95:D130" si="15">C95*(2*$C$5+2*$C$8+2*PI()*($C$12+(C95-1)*B95/2+(C95-1)*$C$13/2))</f>
        <v>106.06119335931999</v>
      </c>
      <c r="E95" s="18">
        <f t="shared" ref="E95:E130" si="16">B95*$C$14/1000</f>
        <v>8.2792994654459703E-2</v>
      </c>
      <c r="F95" s="19" t="str">
        <f t="shared" ref="F95:F130" si="17">IF(C95=C96,"",$C$24*D95/E95*1000000)</f>
        <v/>
      </c>
      <c r="G95" s="19" t="str">
        <f t="shared" ref="G95:G130" si="18">IF(C95=C96,"",F95*$C$14/$C$15)</f>
        <v/>
      </c>
      <c r="H95" s="19" t="str">
        <f t="shared" ref="H95:H130" si="19">IF(C95=C96,"",F95*$C$14/$C$16)</f>
        <v/>
      </c>
    </row>
    <row r="96" spans="2:8" x14ac:dyDescent="0.25">
      <c r="B96" s="16">
        <f t="shared" si="13"/>
        <v>2.4837898396337912</v>
      </c>
      <c r="C96" s="17">
        <f t="shared" si="14"/>
        <v>2</v>
      </c>
      <c r="D96" s="17">
        <f t="shared" si="15"/>
        <v>106.8043415415347</v>
      </c>
      <c r="E96" s="18">
        <f t="shared" si="16"/>
        <v>8.6932644387182692E-2</v>
      </c>
      <c r="F96" s="19">
        <f t="shared" si="17"/>
        <v>21.131701301211635</v>
      </c>
      <c r="G96" s="19">
        <f t="shared" si="18"/>
        <v>21.131701301211635</v>
      </c>
      <c r="H96" s="19">
        <f t="shared" si="19"/>
        <v>21.131701301211635</v>
      </c>
    </row>
    <row r="97" spans="2:8" x14ac:dyDescent="0.25">
      <c r="B97" s="16">
        <f t="shared" si="13"/>
        <v>2.6079793316154807</v>
      </c>
      <c r="C97" s="17">
        <f t="shared" si="14"/>
        <v>1</v>
      </c>
      <c r="D97" s="17">
        <f t="shared" si="15"/>
        <v>45.284955592153878</v>
      </c>
      <c r="E97" s="18">
        <f t="shared" si="16"/>
        <v>9.1279276606541823E-2</v>
      </c>
      <c r="F97" s="19" t="str">
        <f t="shared" si="17"/>
        <v/>
      </c>
      <c r="G97" s="19" t="str">
        <f t="shared" si="18"/>
        <v/>
      </c>
      <c r="H97" s="19" t="str">
        <f t="shared" si="19"/>
        <v/>
      </c>
    </row>
    <row r="98" spans="2:8" x14ac:dyDescent="0.25">
      <c r="B98" s="16">
        <f t="shared" si="13"/>
        <v>2.7383782981962548</v>
      </c>
      <c r="C98" s="17">
        <f t="shared" si="14"/>
        <v>1</v>
      </c>
      <c r="D98" s="17">
        <f t="shared" si="15"/>
        <v>45.284955592153878</v>
      </c>
      <c r="E98" s="18">
        <f t="shared" si="16"/>
        <v>9.5843240436868912E-2</v>
      </c>
      <c r="F98" s="19" t="str">
        <f t="shared" si="17"/>
        <v/>
      </c>
      <c r="G98" s="19" t="str">
        <f t="shared" si="18"/>
        <v/>
      </c>
      <c r="H98" s="19" t="str">
        <f t="shared" si="19"/>
        <v/>
      </c>
    </row>
    <row r="99" spans="2:8" x14ac:dyDescent="0.25">
      <c r="B99" s="16">
        <f t="shared" si="13"/>
        <v>2.8752972131060677</v>
      </c>
      <c r="C99" s="17">
        <f t="shared" si="14"/>
        <v>1</v>
      </c>
      <c r="D99" s="17">
        <f t="shared" si="15"/>
        <v>45.284955592153878</v>
      </c>
      <c r="E99" s="18">
        <f t="shared" si="16"/>
        <v>0.10063540245871236</v>
      </c>
      <c r="F99" s="19" t="str">
        <f t="shared" si="17"/>
        <v/>
      </c>
      <c r="G99" s="19" t="str">
        <f t="shared" si="18"/>
        <v/>
      </c>
      <c r="H99" s="19" t="str">
        <f t="shared" si="19"/>
        <v/>
      </c>
    </row>
    <row r="100" spans="2:8" x14ac:dyDescent="0.25">
      <c r="B100" s="16">
        <f t="shared" si="13"/>
        <v>3.0190620737613711</v>
      </c>
      <c r="C100" s="17">
        <f t="shared" si="14"/>
        <v>1</v>
      </c>
      <c r="D100" s="17">
        <f t="shared" si="15"/>
        <v>45.284955592153878</v>
      </c>
      <c r="E100" s="18">
        <f t="shared" si="16"/>
        <v>0.10566717258164798</v>
      </c>
      <c r="F100" s="19" t="str">
        <f t="shared" si="17"/>
        <v/>
      </c>
      <c r="G100" s="19" t="str">
        <f t="shared" si="18"/>
        <v/>
      </c>
      <c r="H100" s="19" t="str">
        <f t="shared" si="19"/>
        <v/>
      </c>
    </row>
    <row r="101" spans="2:8" x14ac:dyDescent="0.25">
      <c r="B101" s="16">
        <f t="shared" si="13"/>
        <v>3.1700151774494398</v>
      </c>
      <c r="C101" s="17">
        <f t="shared" si="14"/>
        <v>1</v>
      </c>
      <c r="D101" s="17">
        <f t="shared" si="15"/>
        <v>45.284955592153878</v>
      </c>
      <c r="E101" s="18">
        <f t="shared" si="16"/>
        <v>0.11095053121073038</v>
      </c>
      <c r="F101" s="19" t="str">
        <f t="shared" si="17"/>
        <v/>
      </c>
      <c r="G101" s="19" t="str">
        <f t="shared" si="18"/>
        <v/>
      </c>
      <c r="H101" s="19" t="str">
        <f t="shared" si="19"/>
        <v/>
      </c>
    </row>
    <row r="102" spans="2:8" x14ac:dyDescent="0.25">
      <c r="B102" s="16">
        <f t="shared" si="13"/>
        <v>3.3285159363219119</v>
      </c>
      <c r="C102" s="17">
        <f t="shared" si="14"/>
        <v>1</v>
      </c>
      <c r="D102" s="17">
        <f t="shared" si="15"/>
        <v>45.284955592153878</v>
      </c>
      <c r="E102" s="18">
        <f t="shared" si="16"/>
        <v>0.11649805777126691</v>
      </c>
      <c r="F102" s="19" t="str">
        <f t="shared" si="17"/>
        <v/>
      </c>
      <c r="G102" s="19" t="str">
        <f t="shared" si="18"/>
        <v/>
      </c>
      <c r="H102" s="19" t="str">
        <f t="shared" si="19"/>
        <v/>
      </c>
    </row>
    <row r="103" spans="2:8" x14ac:dyDescent="0.25">
      <c r="B103" s="16">
        <f t="shared" si="13"/>
        <v>3.4949417331380075</v>
      </c>
      <c r="C103" s="17">
        <f t="shared" si="14"/>
        <v>1</v>
      </c>
      <c r="D103" s="17">
        <f t="shared" si="15"/>
        <v>45.284955592153878</v>
      </c>
      <c r="E103" s="18">
        <f t="shared" si="16"/>
        <v>0.12232296065983025</v>
      </c>
      <c r="F103" s="19" t="str">
        <f t="shared" si="17"/>
        <v/>
      </c>
      <c r="G103" s="19" t="str">
        <f t="shared" si="18"/>
        <v/>
      </c>
      <c r="H103" s="19" t="str">
        <f t="shared" si="19"/>
        <v/>
      </c>
    </row>
    <row r="104" spans="2:8" x14ac:dyDescent="0.25">
      <c r="B104" s="16">
        <f t="shared" si="13"/>
        <v>3.6696888197949078</v>
      </c>
      <c r="C104" s="17">
        <f t="shared" si="14"/>
        <v>1</v>
      </c>
      <c r="D104" s="17">
        <f t="shared" si="15"/>
        <v>45.284955592153878</v>
      </c>
      <c r="E104" s="18">
        <f t="shared" si="16"/>
        <v>0.12843910869282177</v>
      </c>
      <c r="F104" s="19" t="str">
        <f t="shared" si="17"/>
        <v/>
      </c>
      <c r="G104" s="19" t="str">
        <f t="shared" si="18"/>
        <v/>
      </c>
      <c r="H104" s="19" t="str">
        <f t="shared" si="19"/>
        <v/>
      </c>
    </row>
    <row r="105" spans="2:8" x14ac:dyDescent="0.25">
      <c r="B105" s="16">
        <f t="shared" si="13"/>
        <v>3.8531732607846534</v>
      </c>
      <c r="C105" s="17">
        <f t="shared" si="14"/>
        <v>1</v>
      </c>
      <c r="D105" s="17">
        <f t="shared" si="15"/>
        <v>45.284955592153878</v>
      </c>
      <c r="E105" s="18">
        <f t="shared" si="16"/>
        <v>0.13486106412746288</v>
      </c>
      <c r="F105" s="19" t="str">
        <f t="shared" si="17"/>
        <v/>
      </c>
      <c r="G105" s="19" t="str">
        <f t="shared" si="18"/>
        <v/>
      </c>
      <c r="H105" s="19" t="str">
        <f t="shared" si="19"/>
        <v/>
      </c>
    </row>
    <row r="106" spans="2:8" x14ac:dyDescent="0.25">
      <c r="B106" s="16">
        <f t="shared" si="13"/>
        <v>4.0458319238238865</v>
      </c>
      <c r="C106" s="17">
        <f t="shared" si="14"/>
        <v>1</v>
      </c>
      <c r="D106" s="17">
        <f t="shared" si="15"/>
        <v>45.284955592153878</v>
      </c>
      <c r="E106" s="18">
        <f t="shared" si="16"/>
        <v>0.14160411733383602</v>
      </c>
      <c r="F106" s="19" t="str">
        <f t="shared" si="17"/>
        <v/>
      </c>
      <c r="G106" s="19" t="str">
        <f t="shared" si="18"/>
        <v/>
      </c>
      <c r="H106" s="19" t="str">
        <f t="shared" si="19"/>
        <v/>
      </c>
    </row>
    <row r="107" spans="2:8" x14ac:dyDescent="0.25">
      <c r="B107" s="16">
        <f t="shared" si="13"/>
        <v>4.2481235200150813</v>
      </c>
      <c r="C107" s="17">
        <f t="shared" si="14"/>
        <v>1</v>
      </c>
      <c r="D107" s="17">
        <f t="shared" si="15"/>
        <v>45.284955592153878</v>
      </c>
      <c r="E107" s="18">
        <f t="shared" si="16"/>
        <v>0.14868432320052785</v>
      </c>
      <c r="F107" s="19" t="str">
        <f t="shared" si="17"/>
        <v/>
      </c>
      <c r="G107" s="19" t="str">
        <f t="shared" si="18"/>
        <v/>
      </c>
      <c r="H107" s="19" t="str">
        <f t="shared" si="19"/>
        <v/>
      </c>
    </row>
    <row r="108" spans="2:8" x14ac:dyDescent="0.25">
      <c r="B108" s="16">
        <f t="shared" si="13"/>
        <v>4.4605296960158354</v>
      </c>
      <c r="C108" s="17">
        <f t="shared" si="14"/>
        <v>1</v>
      </c>
      <c r="D108" s="17">
        <f t="shared" si="15"/>
        <v>45.284955592153878</v>
      </c>
      <c r="E108" s="18">
        <f t="shared" si="16"/>
        <v>0.15611853936055425</v>
      </c>
      <c r="F108" s="19" t="str">
        <f t="shared" si="17"/>
        <v/>
      </c>
      <c r="G108" s="19" t="str">
        <f t="shared" si="18"/>
        <v/>
      </c>
      <c r="H108" s="19" t="str">
        <f t="shared" si="19"/>
        <v/>
      </c>
    </row>
    <row r="109" spans="2:8" x14ac:dyDescent="0.25">
      <c r="B109" s="16">
        <f t="shared" si="13"/>
        <v>4.6835561808166277</v>
      </c>
      <c r="C109" s="17">
        <f t="shared" si="14"/>
        <v>1</v>
      </c>
      <c r="D109" s="17">
        <f t="shared" si="15"/>
        <v>45.284955592153878</v>
      </c>
      <c r="E109" s="18">
        <f t="shared" si="16"/>
        <v>0.16392446632858196</v>
      </c>
      <c r="F109" s="19" t="str">
        <f t="shared" si="17"/>
        <v/>
      </c>
      <c r="G109" s="19" t="str">
        <f t="shared" si="18"/>
        <v/>
      </c>
      <c r="H109" s="19" t="str">
        <f t="shared" si="19"/>
        <v/>
      </c>
    </row>
    <row r="110" spans="2:8" x14ac:dyDescent="0.25">
      <c r="B110" s="16">
        <f t="shared" si="13"/>
        <v>4.9177339898574592</v>
      </c>
      <c r="C110" s="17">
        <f t="shared" si="14"/>
        <v>1</v>
      </c>
      <c r="D110" s="17">
        <f t="shared" si="15"/>
        <v>45.284955592153878</v>
      </c>
      <c r="E110" s="18">
        <f t="shared" si="16"/>
        <v>0.17212068964501109</v>
      </c>
      <c r="F110" s="19" t="str">
        <f t="shared" si="17"/>
        <v/>
      </c>
      <c r="G110" s="19" t="str">
        <f t="shared" si="18"/>
        <v/>
      </c>
      <c r="H110" s="19" t="str">
        <f t="shared" si="19"/>
        <v/>
      </c>
    </row>
    <row r="111" spans="2:8" x14ac:dyDescent="0.25">
      <c r="B111" s="16">
        <f t="shared" si="13"/>
        <v>5.1636206893503322</v>
      </c>
      <c r="C111" s="17">
        <f t="shared" si="14"/>
        <v>1</v>
      </c>
      <c r="D111" s="17">
        <f t="shared" si="15"/>
        <v>45.284955592153878</v>
      </c>
      <c r="E111" s="18">
        <f t="shared" si="16"/>
        <v>0.18072672412726162</v>
      </c>
      <c r="F111" s="19">
        <f t="shared" si="17"/>
        <v>4.3098287757186968</v>
      </c>
      <c r="G111" s="19">
        <f t="shared" si="18"/>
        <v>4.3098287757186968</v>
      </c>
      <c r="H111" s="19">
        <f t="shared" si="19"/>
        <v>4.3098287757186968</v>
      </c>
    </row>
    <row r="112" spans="2:8" x14ac:dyDescent="0.25">
      <c r="B112" s="16">
        <f t="shared" si="13"/>
        <v>5.4218017238178495</v>
      </c>
      <c r="C112" s="17">
        <f t="shared" si="14"/>
        <v>0</v>
      </c>
      <c r="D112" s="17">
        <f t="shared" si="15"/>
        <v>0</v>
      </c>
      <c r="E112" s="18">
        <f t="shared" si="16"/>
        <v>0.18976306033362472</v>
      </c>
      <c r="F112" s="19" t="str">
        <f t="shared" si="17"/>
        <v/>
      </c>
      <c r="G112" s="19" t="str">
        <f t="shared" si="18"/>
        <v/>
      </c>
      <c r="H112" s="19" t="str">
        <f t="shared" si="19"/>
        <v/>
      </c>
    </row>
    <row r="113" spans="2:8" x14ac:dyDescent="0.25">
      <c r="B113" s="16">
        <f t="shared" si="13"/>
        <v>5.6928918100087422</v>
      </c>
      <c r="C113" s="17">
        <f t="shared" si="14"/>
        <v>0</v>
      </c>
      <c r="D113" s="17">
        <f t="shared" si="15"/>
        <v>0</v>
      </c>
      <c r="E113" s="18">
        <f t="shared" si="16"/>
        <v>0.19925121335030599</v>
      </c>
      <c r="F113" s="19" t="str">
        <f t="shared" si="17"/>
        <v/>
      </c>
      <c r="G113" s="19" t="str">
        <f t="shared" si="18"/>
        <v/>
      </c>
      <c r="H113" s="19" t="str">
        <f t="shared" si="19"/>
        <v/>
      </c>
    </row>
    <row r="114" spans="2:8" x14ac:dyDescent="0.25">
      <c r="B114" s="16">
        <f t="shared" si="13"/>
        <v>5.9775364005091793</v>
      </c>
      <c r="C114" s="17">
        <f t="shared" si="14"/>
        <v>0</v>
      </c>
      <c r="D114" s="17">
        <f t="shared" si="15"/>
        <v>0</v>
      </c>
      <c r="E114" s="18">
        <f t="shared" si="16"/>
        <v>0.20921377401782126</v>
      </c>
      <c r="F114" s="19" t="str">
        <f t="shared" si="17"/>
        <v/>
      </c>
      <c r="G114" s="19" t="str">
        <f t="shared" si="18"/>
        <v/>
      </c>
      <c r="H114" s="19" t="str">
        <f t="shared" si="19"/>
        <v/>
      </c>
    </row>
    <row r="115" spans="2:8" x14ac:dyDescent="0.25">
      <c r="B115" s="16">
        <f t="shared" si="13"/>
        <v>6.2764132205346383</v>
      </c>
      <c r="C115" s="17">
        <f t="shared" si="14"/>
        <v>0</v>
      </c>
      <c r="D115" s="17">
        <f t="shared" si="15"/>
        <v>0</v>
      </c>
      <c r="E115" s="18">
        <f t="shared" si="16"/>
        <v>0.21967446271871233</v>
      </c>
      <c r="F115" s="19" t="str">
        <f t="shared" si="17"/>
        <v/>
      </c>
      <c r="G115" s="19" t="str">
        <f t="shared" si="18"/>
        <v/>
      </c>
      <c r="H115" s="19" t="str">
        <f t="shared" si="19"/>
        <v/>
      </c>
    </row>
    <row r="116" spans="2:8" x14ac:dyDescent="0.25">
      <c r="B116" s="16">
        <f t="shared" si="13"/>
        <v>6.5902338815613701</v>
      </c>
      <c r="C116" s="17">
        <f t="shared" si="14"/>
        <v>0</v>
      </c>
      <c r="D116" s="17">
        <f t="shared" si="15"/>
        <v>0</v>
      </c>
      <c r="E116" s="18">
        <f t="shared" si="16"/>
        <v>0.23065818585464798</v>
      </c>
      <c r="F116" s="19" t="str">
        <f t="shared" si="17"/>
        <v/>
      </c>
      <c r="G116" s="19" t="str">
        <f t="shared" si="18"/>
        <v/>
      </c>
      <c r="H116" s="19" t="str">
        <f t="shared" si="19"/>
        <v/>
      </c>
    </row>
    <row r="117" spans="2:8" x14ac:dyDescent="0.25">
      <c r="B117" s="16">
        <f t="shared" si="13"/>
        <v>6.919745575639439</v>
      </c>
      <c r="C117" s="17">
        <f t="shared" si="14"/>
        <v>0</v>
      </c>
      <c r="D117" s="17">
        <f t="shared" si="15"/>
        <v>0</v>
      </c>
      <c r="E117" s="18">
        <f t="shared" si="16"/>
        <v>0.24219109514738035</v>
      </c>
      <c r="F117" s="19" t="str">
        <f t="shared" si="17"/>
        <v/>
      </c>
      <c r="G117" s="19" t="str">
        <f t="shared" si="18"/>
        <v/>
      </c>
      <c r="H117" s="19" t="str">
        <f t="shared" si="19"/>
        <v/>
      </c>
    </row>
    <row r="118" spans="2:8" x14ac:dyDescent="0.25">
      <c r="B118" s="16">
        <f t="shared" si="13"/>
        <v>7.2657328544214117</v>
      </c>
      <c r="C118" s="17">
        <f t="shared" si="14"/>
        <v>0</v>
      </c>
      <c r="D118" s="17">
        <f t="shared" si="15"/>
        <v>0</v>
      </c>
      <c r="E118" s="18">
        <f t="shared" si="16"/>
        <v>0.25430064990474943</v>
      </c>
      <c r="F118" s="19" t="str">
        <f t="shared" si="17"/>
        <v/>
      </c>
      <c r="G118" s="19" t="str">
        <f t="shared" si="18"/>
        <v/>
      </c>
      <c r="H118" s="19" t="str">
        <f t="shared" si="19"/>
        <v/>
      </c>
    </row>
    <row r="119" spans="2:8" x14ac:dyDescent="0.25">
      <c r="B119" s="16">
        <f t="shared" si="13"/>
        <v>7.6290194971424823</v>
      </c>
      <c r="C119" s="17">
        <f t="shared" si="14"/>
        <v>0</v>
      </c>
      <c r="D119" s="17">
        <f t="shared" si="15"/>
        <v>0</v>
      </c>
      <c r="E119" s="18">
        <f t="shared" si="16"/>
        <v>0.26701568239998685</v>
      </c>
      <c r="F119" s="19" t="str">
        <f t="shared" si="17"/>
        <v/>
      </c>
      <c r="G119" s="19" t="str">
        <f t="shared" si="18"/>
        <v/>
      </c>
      <c r="H119" s="19" t="str">
        <f t="shared" si="19"/>
        <v/>
      </c>
    </row>
    <row r="120" spans="2:8" x14ac:dyDescent="0.25">
      <c r="B120" s="16">
        <f t="shared" si="13"/>
        <v>8.0104704719996072</v>
      </c>
      <c r="C120" s="17">
        <f t="shared" si="14"/>
        <v>0</v>
      </c>
      <c r="D120" s="17">
        <f t="shared" si="15"/>
        <v>0</v>
      </c>
      <c r="E120" s="18">
        <f t="shared" si="16"/>
        <v>0.28036646651998626</v>
      </c>
      <c r="F120" s="19" t="str">
        <f t="shared" si="17"/>
        <v/>
      </c>
      <c r="G120" s="19" t="str">
        <f t="shared" si="18"/>
        <v/>
      </c>
      <c r="H120" s="19" t="str">
        <f t="shared" si="19"/>
        <v/>
      </c>
    </row>
    <row r="121" spans="2:8" x14ac:dyDescent="0.25">
      <c r="B121" s="16">
        <f t="shared" si="13"/>
        <v>8.410993995599588</v>
      </c>
      <c r="C121" s="17">
        <f t="shared" si="14"/>
        <v>0</v>
      </c>
      <c r="D121" s="17">
        <f t="shared" si="15"/>
        <v>0</v>
      </c>
      <c r="E121" s="18">
        <f t="shared" si="16"/>
        <v>0.29438478984598559</v>
      </c>
      <c r="F121" s="19" t="str">
        <f t="shared" si="17"/>
        <v/>
      </c>
      <c r="G121" s="19" t="str">
        <f t="shared" si="18"/>
        <v/>
      </c>
      <c r="H121" s="19" t="str">
        <f t="shared" si="19"/>
        <v/>
      </c>
    </row>
    <row r="122" spans="2:8" x14ac:dyDescent="0.25">
      <c r="B122" s="16">
        <f t="shared" si="13"/>
        <v>8.8315436953795672</v>
      </c>
      <c r="C122" s="17">
        <f t="shared" si="14"/>
        <v>0</v>
      </c>
      <c r="D122" s="17">
        <f t="shared" si="15"/>
        <v>0</v>
      </c>
      <c r="E122" s="18">
        <f t="shared" si="16"/>
        <v>0.30910402933828485</v>
      </c>
      <c r="F122" s="19" t="str">
        <f t="shared" si="17"/>
        <v/>
      </c>
      <c r="G122" s="19" t="str">
        <f t="shared" si="18"/>
        <v/>
      </c>
      <c r="H122" s="19" t="str">
        <f t="shared" si="19"/>
        <v/>
      </c>
    </row>
    <row r="123" spans="2:8" x14ac:dyDescent="0.25">
      <c r="B123" s="16">
        <f t="shared" si="13"/>
        <v>9.2731208801485465</v>
      </c>
      <c r="C123" s="17">
        <f t="shared" si="14"/>
        <v>0</v>
      </c>
      <c r="D123" s="17">
        <f t="shared" si="15"/>
        <v>0</v>
      </c>
      <c r="E123" s="18">
        <f t="shared" si="16"/>
        <v>0.32455923080519916</v>
      </c>
      <c r="F123" s="19" t="str">
        <f t="shared" si="17"/>
        <v/>
      </c>
      <c r="G123" s="19" t="str">
        <f t="shared" si="18"/>
        <v/>
      </c>
      <c r="H123" s="19" t="str">
        <f t="shared" si="19"/>
        <v/>
      </c>
    </row>
    <row r="124" spans="2:8" x14ac:dyDescent="0.25">
      <c r="B124" s="16">
        <f t="shared" si="13"/>
        <v>9.7367769241559738</v>
      </c>
      <c r="C124" s="17">
        <f t="shared" si="14"/>
        <v>0</v>
      </c>
      <c r="D124" s="17">
        <f t="shared" si="15"/>
        <v>0</v>
      </c>
      <c r="E124" s="18">
        <f t="shared" si="16"/>
        <v>0.34078719234545907</v>
      </c>
      <c r="F124" s="19" t="str">
        <f t="shared" si="17"/>
        <v/>
      </c>
      <c r="G124" s="19" t="str">
        <f t="shared" si="18"/>
        <v/>
      </c>
      <c r="H124" s="19" t="str">
        <f t="shared" si="19"/>
        <v/>
      </c>
    </row>
    <row r="125" spans="2:8" x14ac:dyDescent="0.25">
      <c r="B125" s="16">
        <f t="shared" si="13"/>
        <v>10.223615770363773</v>
      </c>
      <c r="C125" s="17">
        <f t="shared" si="14"/>
        <v>0</v>
      </c>
      <c r="D125" s="17">
        <f t="shared" si="15"/>
        <v>0</v>
      </c>
      <c r="E125" s="18">
        <f t="shared" si="16"/>
        <v>0.35782655196273211</v>
      </c>
      <c r="F125" s="19" t="str">
        <f t="shared" si="17"/>
        <v/>
      </c>
      <c r="G125" s="19" t="str">
        <f t="shared" si="18"/>
        <v/>
      </c>
      <c r="H125" s="19" t="str">
        <f t="shared" si="19"/>
        <v/>
      </c>
    </row>
    <row r="126" spans="2:8" x14ac:dyDescent="0.25">
      <c r="B126" s="16">
        <f t="shared" si="13"/>
        <v>10.734796558881962</v>
      </c>
      <c r="C126" s="17">
        <f t="shared" si="14"/>
        <v>0</v>
      </c>
      <c r="D126" s="17">
        <f t="shared" si="15"/>
        <v>0</v>
      </c>
      <c r="E126" s="18">
        <f t="shared" si="16"/>
        <v>0.37571787956086866</v>
      </c>
      <c r="F126" s="19" t="str">
        <f t="shared" si="17"/>
        <v/>
      </c>
      <c r="G126" s="19" t="str">
        <f t="shared" si="18"/>
        <v/>
      </c>
      <c r="H126" s="19" t="str">
        <f t="shared" si="19"/>
        <v/>
      </c>
    </row>
    <row r="127" spans="2:8" x14ac:dyDescent="0.25">
      <c r="B127" s="16">
        <f t="shared" si="13"/>
        <v>11.27153638682606</v>
      </c>
      <c r="C127" s="17">
        <f t="shared" si="14"/>
        <v>0</v>
      </c>
      <c r="D127" s="17">
        <f t="shared" si="15"/>
        <v>0</v>
      </c>
      <c r="E127" s="18">
        <f t="shared" si="16"/>
        <v>0.39450377353891214</v>
      </c>
      <c r="F127" s="19" t="str">
        <f t="shared" si="17"/>
        <v/>
      </c>
      <c r="G127" s="19" t="str">
        <f t="shared" si="18"/>
        <v/>
      </c>
      <c r="H127" s="19" t="str">
        <f t="shared" si="19"/>
        <v/>
      </c>
    </row>
    <row r="128" spans="2:8" x14ac:dyDescent="0.25">
      <c r="B128" s="16">
        <f t="shared" si="13"/>
        <v>11.835113206167364</v>
      </c>
      <c r="C128" s="17">
        <f t="shared" si="14"/>
        <v>0</v>
      </c>
      <c r="D128" s="17">
        <f t="shared" si="15"/>
        <v>0</v>
      </c>
      <c r="E128" s="18">
        <f t="shared" si="16"/>
        <v>0.41422896221585775</v>
      </c>
      <c r="F128" s="19" t="str">
        <f t="shared" si="17"/>
        <v/>
      </c>
      <c r="G128" s="19" t="str">
        <f t="shared" si="18"/>
        <v/>
      </c>
      <c r="H128" s="19" t="str">
        <f t="shared" si="19"/>
        <v/>
      </c>
    </row>
    <row r="129" spans="2:8" x14ac:dyDescent="0.25">
      <c r="B129" s="16">
        <f t="shared" si="13"/>
        <v>12.426868866475733</v>
      </c>
      <c r="C129" s="17">
        <f t="shared" si="14"/>
        <v>0</v>
      </c>
      <c r="D129" s="17">
        <f t="shared" si="15"/>
        <v>0</v>
      </c>
      <c r="E129" s="18">
        <f t="shared" si="16"/>
        <v>0.43494041032665065</v>
      </c>
      <c r="F129" s="19" t="str">
        <f t="shared" si="17"/>
        <v/>
      </c>
      <c r="G129" s="19" t="str">
        <f t="shared" si="18"/>
        <v/>
      </c>
      <c r="H129" s="19" t="str">
        <f t="shared" si="19"/>
        <v/>
      </c>
    </row>
    <row r="130" spans="2:8" x14ac:dyDescent="0.25">
      <c r="B130" s="16">
        <f t="shared" si="13"/>
        <v>13.048212309799521</v>
      </c>
      <c r="C130" s="17">
        <f t="shared" si="14"/>
        <v>0</v>
      </c>
      <c r="D130" s="17">
        <f t="shared" si="15"/>
        <v>0</v>
      </c>
      <c r="E130" s="18">
        <f t="shared" si="16"/>
        <v>0.45668743084298324</v>
      </c>
      <c r="F130" s="19" t="str">
        <f t="shared" si="17"/>
        <v/>
      </c>
      <c r="G130" s="19" t="str">
        <f t="shared" si="18"/>
        <v/>
      </c>
      <c r="H130" s="19" t="str">
        <f t="shared" si="19"/>
        <v/>
      </c>
    </row>
    <row r="131" spans="2:8" x14ac:dyDescent="0.25">
      <c r="B131" s="16">
        <f t="shared" si="13"/>
        <v>13.700622925289498</v>
      </c>
      <c r="C131" s="17">
        <f t="shared" ref="C131:C194" si="20">FLOOR(($C$8-2*$C$12+$C$13)/(B131+$C$13),1)</f>
        <v>0</v>
      </c>
      <c r="D131" s="17">
        <f t="shared" ref="D131:D194" si="21">C131*(2*$C$5+2*$C$8+2*PI()*($C$12+(C131-1)*B131/2+(C131-1)*$C$13/2))</f>
        <v>0</v>
      </c>
      <c r="E131" s="18">
        <f t="shared" ref="E131:E194" si="22">B131*$C$14/1000</f>
        <v>0.47952180238513237</v>
      </c>
      <c r="F131" s="19" t="str">
        <f t="shared" ref="F131:F194" si="23">IF(C131=C132,"",$C$24*D131/E131*1000000)</f>
        <v/>
      </c>
      <c r="G131" s="19" t="str">
        <f t="shared" ref="G131:G194" si="24">IF(C131=C132,"",F131*$C$14/$C$15)</f>
        <v/>
      </c>
      <c r="H131" s="19" t="str">
        <f t="shared" ref="H131:H194" si="25">IF(C131=C132,"",F131*$C$14/$C$16)</f>
        <v/>
      </c>
    </row>
    <row r="132" spans="2:8" x14ac:dyDescent="0.25">
      <c r="B132" s="16">
        <f t="shared" si="13"/>
        <v>14.385654071553972</v>
      </c>
      <c r="C132" s="17">
        <f t="shared" si="20"/>
        <v>0</v>
      </c>
      <c r="D132" s="17">
        <f t="shared" si="21"/>
        <v>0</v>
      </c>
      <c r="E132" s="18">
        <f t="shared" si="22"/>
        <v>0.50349789250438903</v>
      </c>
      <c r="F132" s="19" t="str">
        <f t="shared" si="23"/>
        <v/>
      </c>
      <c r="G132" s="19" t="str">
        <f t="shared" si="24"/>
        <v/>
      </c>
      <c r="H132" s="19" t="str">
        <f t="shared" si="25"/>
        <v/>
      </c>
    </row>
    <row r="133" spans="2:8" x14ac:dyDescent="0.25">
      <c r="B133" s="16">
        <f t="shared" si="13"/>
        <v>15.104936775131671</v>
      </c>
      <c r="C133" s="17">
        <f t="shared" si="20"/>
        <v>0</v>
      </c>
      <c r="D133" s="17">
        <f t="shared" si="21"/>
        <v>0</v>
      </c>
      <c r="E133" s="18">
        <f t="shared" si="22"/>
        <v>0.52867278712960852</v>
      </c>
      <c r="F133" s="19" t="str">
        <f t="shared" si="23"/>
        <v/>
      </c>
      <c r="G133" s="19" t="str">
        <f t="shared" si="24"/>
        <v/>
      </c>
      <c r="H133" s="19" t="str">
        <f t="shared" si="25"/>
        <v/>
      </c>
    </row>
    <row r="134" spans="2:8" x14ac:dyDescent="0.25">
      <c r="B134" s="16">
        <f t="shared" si="13"/>
        <v>15.860183613888255</v>
      </c>
      <c r="C134" s="17">
        <f t="shared" si="20"/>
        <v>0</v>
      </c>
      <c r="D134" s="17">
        <f t="shared" si="21"/>
        <v>0</v>
      </c>
      <c r="E134" s="18">
        <f t="shared" si="22"/>
        <v>0.55510642648608899</v>
      </c>
      <c r="F134" s="19" t="str">
        <f t="shared" si="23"/>
        <v/>
      </c>
      <c r="G134" s="19" t="str">
        <f t="shared" si="24"/>
        <v/>
      </c>
      <c r="H134" s="19" t="str">
        <f t="shared" si="25"/>
        <v/>
      </c>
    </row>
    <row r="135" spans="2:8" x14ac:dyDescent="0.25">
      <c r="B135" s="16">
        <f t="shared" si="13"/>
        <v>16.653192794582669</v>
      </c>
      <c r="C135" s="17">
        <f t="shared" si="20"/>
        <v>0</v>
      </c>
      <c r="D135" s="17">
        <f t="shared" si="21"/>
        <v>0</v>
      </c>
      <c r="E135" s="18">
        <f t="shared" si="22"/>
        <v>0.58286174781039335</v>
      </c>
      <c r="F135" s="19" t="str">
        <f t="shared" si="23"/>
        <v/>
      </c>
      <c r="G135" s="19" t="str">
        <f t="shared" si="24"/>
        <v/>
      </c>
      <c r="H135" s="19" t="str">
        <f t="shared" si="25"/>
        <v/>
      </c>
    </row>
    <row r="136" spans="2:8" x14ac:dyDescent="0.25">
      <c r="B136" s="16">
        <f t="shared" si="13"/>
        <v>17.485852434311802</v>
      </c>
      <c r="C136" s="17">
        <f t="shared" si="20"/>
        <v>0</v>
      </c>
      <c r="D136" s="17">
        <f t="shared" si="21"/>
        <v>0</v>
      </c>
      <c r="E136" s="18">
        <f t="shared" si="22"/>
        <v>0.61200483520091298</v>
      </c>
      <c r="F136" s="19" t="str">
        <f t="shared" si="23"/>
        <v/>
      </c>
      <c r="G136" s="19" t="str">
        <f t="shared" si="24"/>
        <v/>
      </c>
      <c r="H136" s="19" t="str">
        <f t="shared" si="25"/>
        <v/>
      </c>
    </row>
    <row r="137" spans="2:8" x14ac:dyDescent="0.25">
      <c r="B137" s="16">
        <f t="shared" si="13"/>
        <v>18.360145056027392</v>
      </c>
      <c r="C137" s="17">
        <f t="shared" si="20"/>
        <v>0</v>
      </c>
      <c r="D137" s="17">
        <f t="shared" si="21"/>
        <v>0</v>
      </c>
      <c r="E137" s="18">
        <f t="shared" si="22"/>
        <v>0.6426050769609587</v>
      </c>
      <c r="F137" s="19" t="str">
        <f t="shared" si="23"/>
        <v/>
      </c>
      <c r="G137" s="19" t="str">
        <f t="shared" si="24"/>
        <v/>
      </c>
      <c r="H137" s="19" t="str">
        <f t="shared" si="25"/>
        <v/>
      </c>
    </row>
    <row r="138" spans="2:8" x14ac:dyDescent="0.25">
      <c r="B138" s="16">
        <f t="shared" si="13"/>
        <v>19.278152308828762</v>
      </c>
      <c r="C138" s="17">
        <f t="shared" si="20"/>
        <v>0</v>
      </c>
      <c r="D138" s="17">
        <f t="shared" si="21"/>
        <v>0</v>
      </c>
      <c r="E138" s="18">
        <f t="shared" si="22"/>
        <v>0.67473533080900661</v>
      </c>
      <c r="F138" s="19" t="str">
        <f t="shared" si="23"/>
        <v/>
      </c>
      <c r="G138" s="19" t="str">
        <f t="shared" si="24"/>
        <v/>
      </c>
      <c r="H138" s="19" t="str">
        <f t="shared" si="25"/>
        <v/>
      </c>
    </row>
    <row r="139" spans="2:8" x14ac:dyDescent="0.25">
      <c r="B139" s="16">
        <f t="shared" si="13"/>
        <v>20.242059924270201</v>
      </c>
      <c r="C139" s="17">
        <f t="shared" si="20"/>
        <v>0</v>
      </c>
      <c r="D139" s="17">
        <f t="shared" si="21"/>
        <v>0</v>
      </c>
      <c r="E139" s="18">
        <f t="shared" si="22"/>
        <v>0.70847209734945704</v>
      </c>
      <c r="F139" s="19" t="str">
        <f t="shared" si="23"/>
        <v/>
      </c>
      <c r="G139" s="19" t="str">
        <f t="shared" si="24"/>
        <v/>
      </c>
      <c r="H139" s="19" t="str">
        <f t="shared" si="25"/>
        <v/>
      </c>
    </row>
    <row r="140" spans="2:8" x14ac:dyDescent="0.25">
      <c r="B140" s="16">
        <f t="shared" si="13"/>
        <v>21.254162920483711</v>
      </c>
      <c r="C140" s="17">
        <f t="shared" si="20"/>
        <v>0</v>
      </c>
      <c r="D140" s="17">
        <f t="shared" si="21"/>
        <v>0</v>
      </c>
      <c r="E140" s="18">
        <f t="shared" si="22"/>
        <v>0.74389570221692991</v>
      </c>
      <c r="F140" s="19" t="str">
        <f t="shared" si="23"/>
        <v/>
      </c>
      <c r="G140" s="19" t="str">
        <f t="shared" si="24"/>
        <v/>
      </c>
      <c r="H140" s="19" t="str">
        <f t="shared" si="25"/>
        <v/>
      </c>
    </row>
    <row r="141" spans="2:8" x14ac:dyDescent="0.25">
      <c r="B141" s="16">
        <f t="shared" si="13"/>
        <v>22.316871066507897</v>
      </c>
      <c r="C141" s="17">
        <f t="shared" si="20"/>
        <v>0</v>
      </c>
      <c r="D141" s="17">
        <f t="shared" si="21"/>
        <v>0</v>
      </c>
      <c r="E141" s="18">
        <f t="shared" si="22"/>
        <v>0.78109048732777642</v>
      </c>
      <c r="F141" s="19" t="str">
        <f t="shared" si="23"/>
        <v/>
      </c>
      <c r="G141" s="19" t="str">
        <f t="shared" si="24"/>
        <v/>
      </c>
      <c r="H141" s="19" t="str">
        <f t="shared" si="25"/>
        <v/>
      </c>
    </row>
    <row r="142" spans="2:8" x14ac:dyDescent="0.25">
      <c r="B142" s="16">
        <f t="shared" si="13"/>
        <v>23.432714619833291</v>
      </c>
      <c r="C142" s="17">
        <f t="shared" si="20"/>
        <v>0</v>
      </c>
      <c r="D142" s="17">
        <f t="shared" si="21"/>
        <v>0</v>
      </c>
      <c r="E142" s="18">
        <f t="shared" si="22"/>
        <v>0.8201450116941652</v>
      </c>
      <c r="F142" s="19" t="str">
        <f t="shared" si="23"/>
        <v/>
      </c>
      <c r="G142" s="19" t="str">
        <f t="shared" si="24"/>
        <v/>
      </c>
      <c r="H142" s="19" t="str">
        <f t="shared" si="25"/>
        <v/>
      </c>
    </row>
    <row r="143" spans="2:8" x14ac:dyDescent="0.25">
      <c r="B143" s="16">
        <f t="shared" si="13"/>
        <v>24.604350350824955</v>
      </c>
      <c r="C143" s="17">
        <f t="shared" si="20"/>
        <v>0</v>
      </c>
      <c r="D143" s="17">
        <f t="shared" si="21"/>
        <v>0</v>
      </c>
      <c r="E143" s="18">
        <f t="shared" si="22"/>
        <v>0.86115226227887343</v>
      </c>
      <c r="F143" s="19" t="str">
        <f t="shared" si="23"/>
        <v/>
      </c>
      <c r="G143" s="19" t="str">
        <f t="shared" si="24"/>
        <v/>
      </c>
      <c r="H143" s="19" t="str">
        <f t="shared" si="25"/>
        <v/>
      </c>
    </row>
    <row r="144" spans="2:8" x14ac:dyDescent="0.25">
      <c r="B144" s="16">
        <f t="shared" si="13"/>
        <v>25.834567868366204</v>
      </c>
      <c r="C144" s="17">
        <f t="shared" si="20"/>
        <v>0</v>
      </c>
      <c r="D144" s="17">
        <f t="shared" si="21"/>
        <v>0</v>
      </c>
      <c r="E144" s="18">
        <f t="shared" si="22"/>
        <v>0.90420987539281716</v>
      </c>
      <c r="F144" s="19" t="str">
        <f t="shared" si="23"/>
        <v/>
      </c>
      <c r="G144" s="19" t="str">
        <f t="shared" si="24"/>
        <v/>
      </c>
      <c r="H144" s="19" t="str">
        <f t="shared" si="25"/>
        <v/>
      </c>
    </row>
    <row r="145" spans="2:8" x14ac:dyDescent="0.25">
      <c r="B145" s="16">
        <f t="shared" si="13"/>
        <v>27.126296261784514</v>
      </c>
      <c r="C145" s="17">
        <f t="shared" si="20"/>
        <v>0</v>
      </c>
      <c r="D145" s="17">
        <f t="shared" si="21"/>
        <v>0</v>
      </c>
      <c r="E145" s="18">
        <f t="shared" si="22"/>
        <v>0.94942036916245798</v>
      </c>
      <c r="F145" s="19" t="str">
        <f t="shared" si="23"/>
        <v/>
      </c>
      <c r="G145" s="19" t="str">
        <f t="shared" si="24"/>
        <v/>
      </c>
      <c r="H145" s="19" t="str">
        <f t="shared" si="25"/>
        <v/>
      </c>
    </row>
    <row r="146" spans="2:8" x14ac:dyDescent="0.25">
      <c r="B146" s="16">
        <f t="shared" si="13"/>
        <v>28.482611074873741</v>
      </c>
      <c r="C146" s="17">
        <f t="shared" si="20"/>
        <v>0</v>
      </c>
      <c r="D146" s="17">
        <f t="shared" si="21"/>
        <v>0</v>
      </c>
      <c r="E146" s="18">
        <f t="shared" si="22"/>
        <v>0.99689138762058094</v>
      </c>
      <c r="F146" s="19" t="str">
        <f t="shared" si="23"/>
        <v/>
      </c>
      <c r="G146" s="19" t="str">
        <f t="shared" si="24"/>
        <v/>
      </c>
      <c r="H146" s="19" t="str">
        <f t="shared" si="25"/>
        <v/>
      </c>
    </row>
    <row r="147" spans="2:8" x14ac:dyDescent="0.25">
      <c r="B147" s="16">
        <f t="shared" si="13"/>
        <v>29.906741628617429</v>
      </c>
      <c r="C147" s="17">
        <f t="shared" si="20"/>
        <v>0</v>
      </c>
      <c r="D147" s="17">
        <f t="shared" si="21"/>
        <v>0</v>
      </c>
      <c r="E147" s="18">
        <f t="shared" si="22"/>
        <v>1.0467359570016099</v>
      </c>
      <c r="F147" s="19" t="str">
        <f t="shared" si="23"/>
        <v/>
      </c>
      <c r="G147" s="19" t="str">
        <f t="shared" si="24"/>
        <v/>
      </c>
      <c r="H147" s="19" t="str">
        <f t="shared" si="25"/>
        <v/>
      </c>
    </row>
    <row r="148" spans="2:8" x14ac:dyDescent="0.25">
      <c r="B148" s="16">
        <f t="shared" si="13"/>
        <v>31.402078710048301</v>
      </c>
      <c r="C148" s="17">
        <f t="shared" si="20"/>
        <v>0</v>
      </c>
      <c r="D148" s="17">
        <f t="shared" si="21"/>
        <v>0</v>
      </c>
      <c r="E148" s="18">
        <f t="shared" si="22"/>
        <v>1.0990727548516905</v>
      </c>
      <c r="F148" s="19" t="str">
        <f t="shared" si="23"/>
        <v/>
      </c>
      <c r="G148" s="19" t="str">
        <f t="shared" si="24"/>
        <v/>
      </c>
      <c r="H148" s="19" t="str">
        <f t="shared" si="25"/>
        <v/>
      </c>
    </row>
    <row r="149" spans="2:8" x14ac:dyDescent="0.25">
      <c r="B149" s="16">
        <f t="shared" si="13"/>
        <v>32.972182645550717</v>
      </c>
      <c r="C149" s="17">
        <f t="shared" si="20"/>
        <v>0</v>
      </c>
      <c r="D149" s="17">
        <f t="shared" si="21"/>
        <v>0</v>
      </c>
      <c r="E149" s="18">
        <f t="shared" si="22"/>
        <v>1.1540263925942751</v>
      </c>
      <c r="F149" s="19" t="str">
        <f t="shared" si="23"/>
        <v/>
      </c>
      <c r="G149" s="19" t="str">
        <f t="shared" si="24"/>
        <v/>
      </c>
      <c r="H149" s="19" t="str">
        <f t="shared" si="25"/>
        <v/>
      </c>
    </row>
    <row r="150" spans="2:8" x14ac:dyDescent="0.25">
      <c r="B150" s="16">
        <f t="shared" si="13"/>
        <v>34.620791777828252</v>
      </c>
      <c r="C150" s="17">
        <f t="shared" si="20"/>
        <v>0</v>
      </c>
      <c r="D150" s="17">
        <f t="shared" si="21"/>
        <v>0</v>
      </c>
      <c r="E150" s="18">
        <f t="shared" si="22"/>
        <v>1.2117277122239889</v>
      </c>
      <c r="F150" s="19" t="str">
        <f t="shared" si="23"/>
        <v/>
      </c>
      <c r="G150" s="19" t="str">
        <f t="shared" si="24"/>
        <v/>
      </c>
      <c r="H150" s="19" t="str">
        <f t="shared" si="25"/>
        <v/>
      </c>
    </row>
    <row r="151" spans="2:8" x14ac:dyDescent="0.25">
      <c r="B151" s="16">
        <f t="shared" si="13"/>
        <v>36.351831366719665</v>
      </c>
      <c r="C151" s="17">
        <f t="shared" si="20"/>
        <v>0</v>
      </c>
      <c r="D151" s="17">
        <f t="shared" si="21"/>
        <v>0</v>
      </c>
      <c r="E151" s="18">
        <f t="shared" si="22"/>
        <v>1.2723140978351883</v>
      </c>
      <c r="F151" s="19" t="str">
        <f t="shared" si="23"/>
        <v/>
      </c>
      <c r="G151" s="19" t="str">
        <f t="shared" si="24"/>
        <v/>
      </c>
      <c r="H151" s="19" t="str">
        <f t="shared" si="25"/>
        <v/>
      </c>
    </row>
    <row r="152" spans="2:8" x14ac:dyDescent="0.25">
      <c r="B152" s="16">
        <f t="shared" si="13"/>
        <v>38.16942293505565</v>
      </c>
      <c r="C152" s="17">
        <f t="shared" si="20"/>
        <v>0</v>
      </c>
      <c r="D152" s="17">
        <f t="shared" si="21"/>
        <v>0</v>
      </c>
      <c r="E152" s="18">
        <f t="shared" si="22"/>
        <v>1.3359298027269479</v>
      </c>
      <c r="F152" s="19" t="str">
        <f t="shared" si="23"/>
        <v/>
      </c>
      <c r="G152" s="19" t="str">
        <f t="shared" si="24"/>
        <v/>
      </c>
      <c r="H152" s="19" t="str">
        <f t="shared" si="25"/>
        <v/>
      </c>
    </row>
    <row r="153" spans="2:8" x14ac:dyDescent="0.25">
      <c r="B153" s="16">
        <f t="shared" si="13"/>
        <v>40.077894081808431</v>
      </c>
      <c r="C153" s="17">
        <f t="shared" si="20"/>
        <v>0</v>
      </c>
      <c r="D153" s="17">
        <f t="shared" si="21"/>
        <v>0</v>
      </c>
      <c r="E153" s="18">
        <f t="shared" si="22"/>
        <v>1.4027262928632951</v>
      </c>
      <c r="F153" s="19" t="str">
        <f t="shared" si="23"/>
        <v/>
      </c>
      <c r="G153" s="19" t="str">
        <f t="shared" si="24"/>
        <v/>
      </c>
      <c r="H153" s="19" t="str">
        <f t="shared" si="25"/>
        <v/>
      </c>
    </row>
    <row r="154" spans="2:8" x14ac:dyDescent="0.25">
      <c r="B154" s="16">
        <f t="shared" si="13"/>
        <v>42.081788785898851</v>
      </c>
      <c r="C154" s="17">
        <f t="shared" si="20"/>
        <v>0</v>
      </c>
      <c r="D154" s="17">
        <f t="shared" si="21"/>
        <v>0</v>
      </c>
      <c r="E154" s="18">
        <f t="shared" si="22"/>
        <v>1.4728626075064599</v>
      </c>
      <c r="F154" s="19" t="str">
        <f t="shared" si="23"/>
        <v/>
      </c>
      <c r="G154" s="19" t="str">
        <f t="shared" si="24"/>
        <v/>
      </c>
      <c r="H154" s="19" t="str">
        <f t="shared" si="25"/>
        <v/>
      </c>
    </row>
    <row r="155" spans="2:8" x14ac:dyDescent="0.25">
      <c r="B155" s="16">
        <f t="shared" si="13"/>
        <v>44.185878225193797</v>
      </c>
      <c r="C155" s="17">
        <f t="shared" si="20"/>
        <v>0</v>
      </c>
      <c r="D155" s="17">
        <f t="shared" si="21"/>
        <v>0</v>
      </c>
      <c r="E155" s="18">
        <f t="shared" si="22"/>
        <v>1.5465057378817828</v>
      </c>
      <c r="F155" s="19" t="str">
        <f t="shared" si="23"/>
        <v/>
      </c>
      <c r="G155" s="19" t="str">
        <f t="shared" si="24"/>
        <v/>
      </c>
      <c r="H155" s="19" t="str">
        <f t="shared" si="25"/>
        <v/>
      </c>
    </row>
    <row r="156" spans="2:8" x14ac:dyDescent="0.25">
      <c r="B156" s="16">
        <f t="shared" si="13"/>
        <v>46.395172136453489</v>
      </c>
      <c r="C156" s="17">
        <f t="shared" si="20"/>
        <v>0</v>
      </c>
      <c r="D156" s="17">
        <f t="shared" si="21"/>
        <v>0</v>
      </c>
      <c r="E156" s="18">
        <f t="shared" si="22"/>
        <v>1.623831024775872</v>
      </c>
      <c r="F156" s="19" t="str">
        <f t="shared" si="23"/>
        <v/>
      </c>
      <c r="G156" s="19" t="str">
        <f t="shared" si="24"/>
        <v/>
      </c>
      <c r="H156" s="19" t="str">
        <f t="shared" si="25"/>
        <v/>
      </c>
    </row>
    <row r="157" spans="2:8" x14ac:dyDescent="0.25">
      <c r="B157" s="16">
        <f t="shared" si="13"/>
        <v>48.714930743276163</v>
      </c>
      <c r="C157" s="17">
        <f t="shared" si="20"/>
        <v>0</v>
      </c>
      <c r="D157" s="17">
        <f t="shared" si="21"/>
        <v>0</v>
      </c>
      <c r="E157" s="18">
        <f t="shared" si="22"/>
        <v>1.7050225760146658</v>
      </c>
      <c r="F157" s="19" t="str">
        <f t="shared" si="23"/>
        <v/>
      </c>
      <c r="G157" s="19" t="str">
        <f t="shared" si="24"/>
        <v/>
      </c>
      <c r="H157" s="19" t="str">
        <f t="shared" si="25"/>
        <v/>
      </c>
    </row>
    <row r="158" spans="2:8" x14ac:dyDescent="0.25">
      <c r="B158" s="16">
        <f t="shared" si="13"/>
        <v>51.150677280439972</v>
      </c>
      <c r="C158" s="17">
        <f t="shared" si="20"/>
        <v>0</v>
      </c>
      <c r="D158" s="17">
        <f t="shared" si="21"/>
        <v>0</v>
      </c>
      <c r="E158" s="18">
        <f t="shared" si="22"/>
        <v>1.7902737048153989</v>
      </c>
      <c r="F158" s="19" t="str">
        <f t="shared" si="23"/>
        <v/>
      </c>
      <c r="G158" s="19" t="str">
        <f t="shared" si="24"/>
        <v/>
      </c>
      <c r="H158" s="19" t="str">
        <f t="shared" si="25"/>
        <v/>
      </c>
    </row>
    <row r="159" spans="2:8" x14ac:dyDescent="0.25">
      <c r="B159" s="16">
        <f t="shared" ref="B159:B214" si="26">B158*(1+$B$26)</f>
        <v>53.70821114446197</v>
      </c>
      <c r="C159" s="17">
        <f t="shared" si="20"/>
        <v>0</v>
      </c>
      <c r="D159" s="17">
        <f t="shared" si="21"/>
        <v>0</v>
      </c>
      <c r="E159" s="18">
        <f t="shared" si="22"/>
        <v>1.879787390056169</v>
      </c>
      <c r="F159" s="19" t="str">
        <f t="shared" si="23"/>
        <v/>
      </c>
      <c r="G159" s="19" t="str">
        <f t="shared" si="24"/>
        <v/>
      </c>
      <c r="H159" s="19" t="str">
        <f t="shared" si="25"/>
        <v/>
      </c>
    </row>
    <row r="160" spans="2:8" x14ac:dyDescent="0.25">
      <c r="B160" s="16">
        <f t="shared" si="26"/>
        <v>56.39362170168507</v>
      </c>
      <c r="C160" s="17">
        <f t="shared" si="20"/>
        <v>0</v>
      </c>
      <c r="D160" s="17">
        <f t="shared" si="21"/>
        <v>0</v>
      </c>
      <c r="E160" s="18">
        <f t="shared" si="22"/>
        <v>1.9737767595589775</v>
      </c>
      <c r="F160" s="19" t="str">
        <f t="shared" si="23"/>
        <v/>
      </c>
      <c r="G160" s="19" t="str">
        <f t="shared" si="24"/>
        <v/>
      </c>
      <c r="H160" s="19" t="str">
        <f t="shared" si="25"/>
        <v/>
      </c>
    </row>
    <row r="161" spans="2:8" x14ac:dyDescent="0.25">
      <c r="B161" s="16">
        <f t="shared" si="26"/>
        <v>59.213302786769326</v>
      </c>
      <c r="C161" s="17">
        <f t="shared" si="20"/>
        <v>0</v>
      </c>
      <c r="D161" s="17">
        <f t="shared" si="21"/>
        <v>0</v>
      </c>
      <c r="E161" s="18">
        <f t="shared" si="22"/>
        <v>2.0724655975369264</v>
      </c>
      <c r="F161" s="19" t="str">
        <f t="shared" si="23"/>
        <v/>
      </c>
      <c r="G161" s="19" t="str">
        <f t="shared" si="24"/>
        <v/>
      </c>
      <c r="H161" s="19" t="str">
        <f t="shared" si="25"/>
        <v/>
      </c>
    </row>
    <row r="162" spans="2:8" x14ac:dyDescent="0.25">
      <c r="B162" s="16">
        <f t="shared" si="26"/>
        <v>62.173967926107792</v>
      </c>
      <c r="C162" s="17">
        <f t="shared" si="20"/>
        <v>0</v>
      </c>
      <c r="D162" s="17">
        <f t="shared" si="21"/>
        <v>0</v>
      </c>
      <c r="E162" s="18">
        <f t="shared" si="22"/>
        <v>2.1760888774137728</v>
      </c>
      <c r="F162" s="19" t="str">
        <f t="shared" si="23"/>
        <v/>
      </c>
      <c r="G162" s="19" t="str">
        <f t="shared" si="24"/>
        <v/>
      </c>
      <c r="H162" s="19" t="str">
        <f t="shared" si="25"/>
        <v/>
      </c>
    </row>
    <row r="163" spans="2:8" x14ac:dyDescent="0.25">
      <c r="B163" s="16">
        <f t="shared" si="26"/>
        <v>65.282666322413178</v>
      </c>
      <c r="C163" s="17">
        <f t="shared" si="20"/>
        <v>0</v>
      </c>
      <c r="D163" s="17">
        <f t="shared" si="21"/>
        <v>0</v>
      </c>
      <c r="E163" s="18">
        <f t="shared" si="22"/>
        <v>2.2848933212844611</v>
      </c>
      <c r="F163" s="19" t="str">
        <f t="shared" si="23"/>
        <v/>
      </c>
      <c r="G163" s="19" t="str">
        <f t="shared" si="24"/>
        <v/>
      </c>
      <c r="H163" s="19" t="str">
        <f t="shared" si="25"/>
        <v/>
      </c>
    </row>
    <row r="164" spans="2:8" x14ac:dyDescent="0.25">
      <c r="B164" s="16">
        <f t="shared" si="26"/>
        <v>68.546799638533841</v>
      </c>
      <c r="C164" s="17">
        <f t="shared" si="20"/>
        <v>0</v>
      </c>
      <c r="D164" s="17">
        <f t="shared" si="21"/>
        <v>0</v>
      </c>
      <c r="E164" s="18">
        <f t="shared" si="22"/>
        <v>2.3991379873486842</v>
      </c>
      <c r="F164" s="19" t="str">
        <f t="shared" si="23"/>
        <v/>
      </c>
      <c r="G164" s="19" t="str">
        <f t="shared" si="24"/>
        <v/>
      </c>
      <c r="H164" s="19" t="str">
        <f t="shared" si="25"/>
        <v/>
      </c>
    </row>
    <row r="165" spans="2:8" x14ac:dyDescent="0.25">
      <c r="B165" s="16">
        <f t="shared" si="26"/>
        <v>71.974139620460534</v>
      </c>
      <c r="C165" s="17">
        <f t="shared" si="20"/>
        <v>0</v>
      </c>
      <c r="D165" s="17">
        <f t="shared" si="21"/>
        <v>0</v>
      </c>
      <c r="E165" s="18">
        <f t="shared" si="22"/>
        <v>2.5190948867161187</v>
      </c>
      <c r="F165" s="19" t="str">
        <f t="shared" si="23"/>
        <v/>
      </c>
      <c r="G165" s="19" t="str">
        <f t="shared" si="24"/>
        <v/>
      </c>
      <c r="H165" s="19" t="str">
        <f t="shared" si="25"/>
        <v/>
      </c>
    </row>
    <row r="166" spans="2:8" x14ac:dyDescent="0.25">
      <c r="B166" s="16">
        <f t="shared" si="26"/>
        <v>75.572846601483562</v>
      </c>
      <c r="C166" s="17">
        <f t="shared" si="20"/>
        <v>0</v>
      </c>
      <c r="D166" s="17">
        <f t="shared" si="21"/>
        <v>0</v>
      </c>
      <c r="E166" s="18">
        <f t="shared" si="22"/>
        <v>2.6450496310519247</v>
      </c>
      <c r="F166" s="19" t="str">
        <f t="shared" si="23"/>
        <v/>
      </c>
      <c r="G166" s="19" t="str">
        <f t="shared" si="24"/>
        <v/>
      </c>
      <c r="H166" s="19" t="str">
        <f t="shared" si="25"/>
        <v/>
      </c>
    </row>
    <row r="167" spans="2:8" x14ac:dyDescent="0.25">
      <c r="B167" s="16">
        <f t="shared" si="26"/>
        <v>79.351488931557739</v>
      </c>
      <c r="C167" s="17">
        <f t="shared" si="20"/>
        <v>0</v>
      </c>
      <c r="D167" s="17">
        <f t="shared" si="21"/>
        <v>0</v>
      </c>
      <c r="E167" s="18">
        <f t="shared" si="22"/>
        <v>2.777302112604521</v>
      </c>
      <c r="F167" s="19" t="str">
        <f t="shared" si="23"/>
        <v/>
      </c>
      <c r="G167" s="19" t="str">
        <f t="shared" si="24"/>
        <v/>
      </c>
      <c r="H167" s="19" t="str">
        <f t="shared" si="25"/>
        <v/>
      </c>
    </row>
    <row r="168" spans="2:8" x14ac:dyDescent="0.25">
      <c r="B168" s="16">
        <f t="shared" si="26"/>
        <v>83.319063378135624</v>
      </c>
      <c r="C168" s="17">
        <f t="shared" si="20"/>
        <v>0</v>
      </c>
      <c r="D168" s="17">
        <f t="shared" si="21"/>
        <v>0</v>
      </c>
      <c r="E168" s="18">
        <f t="shared" si="22"/>
        <v>2.9161672182347469</v>
      </c>
      <c r="F168" s="19" t="str">
        <f t="shared" si="23"/>
        <v/>
      </c>
      <c r="G168" s="19" t="str">
        <f t="shared" si="24"/>
        <v/>
      </c>
      <c r="H168" s="19" t="str">
        <f t="shared" si="25"/>
        <v/>
      </c>
    </row>
    <row r="169" spans="2:8" x14ac:dyDescent="0.25">
      <c r="B169" s="16">
        <f t="shared" si="26"/>
        <v>87.485016547042406</v>
      </c>
      <c r="C169" s="17">
        <f t="shared" si="20"/>
        <v>0</v>
      </c>
      <c r="D169" s="17">
        <f t="shared" si="21"/>
        <v>0</v>
      </c>
      <c r="E169" s="18">
        <f t="shared" si="22"/>
        <v>3.061975579146484</v>
      </c>
      <c r="F169" s="19" t="str">
        <f t="shared" si="23"/>
        <v/>
      </c>
      <c r="G169" s="19" t="str">
        <f t="shared" si="24"/>
        <v/>
      </c>
      <c r="H169" s="19" t="str">
        <f t="shared" si="25"/>
        <v/>
      </c>
    </row>
    <row r="170" spans="2:8" x14ac:dyDescent="0.25">
      <c r="B170" s="16">
        <f t="shared" si="26"/>
        <v>91.859267374394534</v>
      </c>
      <c r="C170" s="17">
        <f t="shared" si="20"/>
        <v>0</v>
      </c>
      <c r="D170" s="17">
        <f t="shared" si="21"/>
        <v>0</v>
      </c>
      <c r="E170" s="18">
        <f t="shared" si="22"/>
        <v>3.2150743581038088</v>
      </c>
      <c r="F170" s="19" t="str">
        <f t="shared" si="23"/>
        <v/>
      </c>
      <c r="G170" s="19" t="str">
        <f t="shared" si="24"/>
        <v/>
      </c>
      <c r="H170" s="19" t="str">
        <f t="shared" si="25"/>
        <v/>
      </c>
    </row>
    <row r="171" spans="2:8" x14ac:dyDescent="0.25">
      <c r="B171" s="16">
        <f t="shared" si="26"/>
        <v>96.452230743114271</v>
      </c>
      <c r="C171" s="17">
        <f t="shared" si="20"/>
        <v>0</v>
      </c>
      <c r="D171" s="17">
        <f t="shared" si="21"/>
        <v>0</v>
      </c>
      <c r="E171" s="18">
        <f t="shared" si="22"/>
        <v>3.3758280760089998</v>
      </c>
      <c r="F171" s="19" t="str">
        <f t="shared" si="23"/>
        <v/>
      </c>
      <c r="G171" s="19" t="str">
        <f t="shared" si="24"/>
        <v/>
      </c>
      <c r="H171" s="19" t="str">
        <f t="shared" si="25"/>
        <v/>
      </c>
    </row>
    <row r="172" spans="2:8" x14ac:dyDescent="0.25">
      <c r="B172" s="16">
        <f t="shared" si="26"/>
        <v>101.27484228026999</v>
      </c>
      <c r="C172" s="17">
        <f t="shared" si="20"/>
        <v>0</v>
      </c>
      <c r="D172" s="17">
        <f t="shared" si="21"/>
        <v>0</v>
      </c>
      <c r="E172" s="18">
        <f t="shared" si="22"/>
        <v>3.5446194798094499</v>
      </c>
      <c r="F172" s="19" t="str">
        <f t="shared" si="23"/>
        <v/>
      </c>
      <c r="G172" s="19" t="str">
        <f t="shared" si="24"/>
        <v/>
      </c>
      <c r="H172" s="19" t="str">
        <f t="shared" si="25"/>
        <v/>
      </c>
    </row>
    <row r="173" spans="2:8" x14ac:dyDescent="0.25">
      <c r="B173" s="16">
        <f t="shared" si="26"/>
        <v>106.3385843942835</v>
      </c>
      <c r="C173" s="17">
        <f t="shared" si="20"/>
        <v>0</v>
      </c>
      <c r="D173" s="17">
        <f t="shared" si="21"/>
        <v>0</v>
      </c>
      <c r="E173" s="18">
        <f t="shared" si="22"/>
        <v>3.7218504537999224</v>
      </c>
      <c r="F173" s="19" t="str">
        <f t="shared" si="23"/>
        <v/>
      </c>
      <c r="G173" s="19" t="str">
        <f t="shared" si="24"/>
        <v/>
      </c>
      <c r="H173" s="19" t="str">
        <f t="shared" si="25"/>
        <v/>
      </c>
    </row>
    <row r="174" spans="2:8" x14ac:dyDescent="0.25">
      <c r="B174" s="16">
        <f t="shared" si="26"/>
        <v>111.65551361399768</v>
      </c>
      <c r="C174" s="17">
        <f t="shared" si="20"/>
        <v>0</v>
      </c>
      <c r="D174" s="17">
        <f t="shared" si="21"/>
        <v>0</v>
      </c>
      <c r="E174" s="18">
        <f t="shared" si="22"/>
        <v>3.907942976489919</v>
      </c>
      <c r="F174" s="19" t="str">
        <f t="shared" si="23"/>
        <v/>
      </c>
      <c r="G174" s="19" t="str">
        <f t="shared" si="24"/>
        <v/>
      </c>
      <c r="H174" s="19" t="str">
        <f t="shared" si="25"/>
        <v/>
      </c>
    </row>
    <row r="175" spans="2:8" x14ac:dyDescent="0.25">
      <c r="B175" s="16">
        <f t="shared" si="26"/>
        <v>117.23828929469757</v>
      </c>
      <c r="C175" s="17">
        <f t="shared" si="20"/>
        <v>0</v>
      </c>
      <c r="D175" s="17">
        <f t="shared" si="21"/>
        <v>0</v>
      </c>
      <c r="E175" s="18">
        <f t="shared" si="22"/>
        <v>4.1033401253144151</v>
      </c>
      <c r="F175" s="19" t="str">
        <f t="shared" si="23"/>
        <v/>
      </c>
      <c r="G175" s="19" t="str">
        <f t="shared" si="24"/>
        <v/>
      </c>
      <c r="H175" s="19" t="str">
        <f t="shared" si="25"/>
        <v/>
      </c>
    </row>
    <row r="176" spans="2:8" x14ac:dyDescent="0.25">
      <c r="B176" s="16">
        <f t="shared" si="26"/>
        <v>123.10020375943245</v>
      </c>
      <c r="C176" s="17">
        <f t="shared" si="20"/>
        <v>0</v>
      </c>
      <c r="D176" s="17">
        <f t="shared" si="21"/>
        <v>0</v>
      </c>
      <c r="E176" s="18">
        <f t="shared" si="22"/>
        <v>4.3085071315801358</v>
      </c>
      <c r="F176" s="19" t="str">
        <f t="shared" si="23"/>
        <v/>
      </c>
      <c r="G176" s="19" t="str">
        <f t="shared" si="24"/>
        <v/>
      </c>
      <c r="H176" s="19" t="str">
        <f t="shared" si="25"/>
        <v/>
      </c>
    </row>
    <row r="177" spans="2:8" x14ac:dyDescent="0.25">
      <c r="B177" s="16">
        <f t="shared" si="26"/>
        <v>129.25521394740409</v>
      </c>
      <c r="C177" s="17">
        <f t="shared" si="20"/>
        <v>0</v>
      </c>
      <c r="D177" s="17">
        <f t="shared" si="21"/>
        <v>0</v>
      </c>
      <c r="E177" s="18">
        <f t="shared" si="22"/>
        <v>4.5239324881591427</v>
      </c>
      <c r="F177" s="19" t="str">
        <f t="shared" si="23"/>
        <v/>
      </c>
      <c r="G177" s="19" t="str">
        <f t="shared" si="24"/>
        <v/>
      </c>
      <c r="H177" s="19" t="str">
        <f t="shared" si="25"/>
        <v/>
      </c>
    </row>
    <row r="178" spans="2:8" x14ac:dyDescent="0.25">
      <c r="B178" s="16">
        <f t="shared" si="26"/>
        <v>135.7179746447743</v>
      </c>
      <c r="C178" s="17">
        <f t="shared" si="20"/>
        <v>0</v>
      </c>
      <c r="D178" s="17">
        <f t="shared" si="21"/>
        <v>0</v>
      </c>
      <c r="E178" s="18">
        <f t="shared" si="22"/>
        <v>4.7501291125671008</v>
      </c>
      <c r="F178" s="19" t="str">
        <f t="shared" si="23"/>
        <v/>
      </c>
      <c r="G178" s="19" t="str">
        <f t="shared" si="24"/>
        <v/>
      </c>
      <c r="H178" s="19" t="str">
        <f t="shared" si="25"/>
        <v/>
      </c>
    </row>
    <row r="179" spans="2:8" x14ac:dyDescent="0.25">
      <c r="B179" s="16">
        <f t="shared" si="26"/>
        <v>142.50387337701304</v>
      </c>
      <c r="C179" s="17">
        <f t="shared" si="20"/>
        <v>0</v>
      </c>
      <c r="D179" s="17">
        <f t="shared" si="21"/>
        <v>0</v>
      </c>
      <c r="E179" s="18">
        <f t="shared" si="22"/>
        <v>4.9876355681954561</v>
      </c>
      <c r="F179" s="19" t="str">
        <f t="shared" si="23"/>
        <v/>
      </c>
      <c r="G179" s="19" t="str">
        <f t="shared" si="24"/>
        <v/>
      </c>
      <c r="H179" s="19" t="str">
        <f t="shared" si="25"/>
        <v/>
      </c>
    </row>
    <row r="180" spans="2:8" x14ac:dyDescent="0.25">
      <c r="B180" s="16">
        <f t="shared" si="26"/>
        <v>149.62906704586371</v>
      </c>
      <c r="C180" s="17">
        <f t="shared" si="20"/>
        <v>0</v>
      </c>
      <c r="D180" s="17">
        <f t="shared" si="21"/>
        <v>0</v>
      </c>
      <c r="E180" s="18">
        <f t="shared" si="22"/>
        <v>5.2370173466052305</v>
      </c>
      <c r="F180" s="19" t="str">
        <f t="shared" si="23"/>
        <v/>
      </c>
      <c r="G180" s="19" t="str">
        <f t="shared" si="24"/>
        <v/>
      </c>
      <c r="H180" s="19" t="str">
        <f t="shared" si="25"/>
        <v/>
      </c>
    </row>
    <row r="181" spans="2:8" x14ac:dyDescent="0.25">
      <c r="B181" s="16">
        <f t="shared" si="26"/>
        <v>157.11052039815689</v>
      </c>
      <c r="C181" s="17">
        <f t="shared" si="20"/>
        <v>0</v>
      </c>
      <c r="D181" s="17">
        <f t="shared" si="21"/>
        <v>0</v>
      </c>
      <c r="E181" s="18">
        <f t="shared" si="22"/>
        <v>5.4988682139354914</v>
      </c>
      <c r="F181" s="19" t="str">
        <f t="shared" si="23"/>
        <v/>
      </c>
      <c r="G181" s="19" t="str">
        <f t="shared" si="24"/>
        <v/>
      </c>
      <c r="H181" s="19" t="str">
        <f t="shared" si="25"/>
        <v/>
      </c>
    </row>
    <row r="182" spans="2:8" x14ac:dyDescent="0.25">
      <c r="B182" s="16">
        <f t="shared" si="26"/>
        <v>164.96604641806474</v>
      </c>
      <c r="C182" s="17">
        <f t="shared" si="20"/>
        <v>0</v>
      </c>
      <c r="D182" s="17">
        <f t="shared" si="21"/>
        <v>0</v>
      </c>
      <c r="E182" s="18">
        <f t="shared" si="22"/>
        <v>5.7738116246322662</v>
      </c>
      <c r="F182" s="19" t="str">
        <f t="shared" si="23"/>
        <v/>
      </c>
      <c r="G182" s="19" t="str">
        <f t="shared" si="24"/>
        <v/>
      </c>
      <c r="H182" s="19" t="str">
        <f t="shared" si="25"/>
        <v/>
      </c>
    </row>
    <row r="183" spans="2:8" x14ac:dyDescent="0.25">
      <c r="B183" s="16">
        <f t="shared" si="26"/>
        <v>173.21434873896797</v>
      </c>
      <c r="C183" s="17">
        <f t="shared" si="20"/>
        <v>0</v>
      </c>
      <c r="D183" s="17">
        <f t="shared" si="21"/>
        <v>0</v>
      </c>
      <c r="E183" s="18">
        <f t="shared" si="22"/>
        <v>6.0625022058638791</v>
      </c>
      <c r="F183" s="19" t="str">
        <f t="shared" si="23"/>
        <v/>
      </c>
      <c r="G183" s="19" t="str">
        <f t="shared" si="24"/>
        <v/>
      </c>
      <c r="H183" s="19" t="str">
        <f t="shared" si="25"/>
        <v/>
      </c>
    </row>
    <row r="184" spans="2:8" x14ac:dyDescent="0.25">
      <c r="B184" s="16">
        <f t="shared" si="26"/>
        <v>181.87506617591637</v>
      </c>
      <c r="C184" s="17">
        <f t="shared" si="20"/>
        <v>0</v>
      </c>
      <c r="D184" s="17">
        <f t="shared" si="21"/>
        <v>0</v>
      </c>
      <c r="E184" s="18">
        <f t="shared" si="22"/>
        <v>6.3656273161570738</v>
      </c>
      <c r="F184" s="19" t="str">
        <f t="shared" si="23"/>
        <v/>
      </c>
      <c r="G184" s="19" t="str">
        <f t="shared" si="24"/>
        <v/>
      </c>
      <c r="H184" s="19" t="str">
        <f t="shared" si="25"/>
        <v/>
      </c>
    </row>
    <row r="185" spans="2:8" x14ac:dyDescent="0.25">
      <c r="B185" s="16">
        <f t="shared" si="26"/>
        <v>190.96881948471221</v>
      </c>
      <c r="C185" s="17">
        <f t="shared" si="20"/>
        <v>0</v>
      </c>
      <c r="D185" s="17">
        <f t="shared" si="21"/>
        <v>0</v>
      </c>
      <c r="E185" s="18">
        <f t="shared" si="22"/>
        <v>6.6839086819649278</v>
      </c>
      <c r="F185" s="19" t="str">
        <f t="shared" si="23"/>
        <v/>
      </c>
      <c r="G185" s="19" t="str">
        <f t="shared" si="24"/>
        <v/>
      </c>
      <c r="H185" s="19" t="str">
        <f t="shared" si="25"/>
        <v/>
      </c>
    </row>
    <row r="186" spans="2:8" x14ac:dyDescent="0.25">
      <c r="B186" s="16">
        <f t="shared" si="26"/>
        <v>200.51726045894785</v>
      </c>
      <c r="C186" s="17">
        <f t="shared" si="20"/>
        <v>0</v>
      </c>
      <c r="D186" s="17">
        <f t="shared" si="21"/>
        <v>0</v>
      </c>
      <c r="E186" s="18">
        <f t="shared" si="22"/>
        <v>7.0181041160631752</v>
      </c>
      <c r="F186" s="19" t="str">
        <f t="shared" si="23"/>
        <v/>
      </c>
      <c r="G186" s="19" t="str">
        <f t="shared" si="24"/>
        <v/>
      </c>
      <c r="H186" s="19" t="str">
        <f t="shared" si="25"/>
        <v/>
      </c>
    </row>
    <row r="187" spans="2:8" x14ac:dyDescent="0.25">
      <c r="B187" s="16">
        <f t="shared" si="26"/>
        <v>210.54312348189524</v>
      </c>
      <c r="C187" s="17">
        <f t="shared" si="20"/>
        <v>0</v>
      </c>
      <c r="D187" s="17">
        <f t="shared" si="21"/>
        <v>0</v>
      </c>
      <c r="E187" s="18">
        <f t="shared" si="22"/>
        <v>7.3690093218663328</v>
      </c>
      <c r="F187" s="19" t="str">
        <f t="shared" si="23"/>
        <v/>
      </c>
      <c r="G187" s="19" t="str">
        <f t="shared" si="24"/>
        <v/>
      </c>
      <c r="H187" s="19" t="str">
        <f t="shared" si="25"/>
        <v/>
      </c>
    </row>
    <row r="188" spans="2:8" x14ac:dyDescent="0.25">
      <c r="B188" s="16">
        <f t="shared" si="26"/>
        <v>221.07027965599002</v>
      </c>
      <c r="C188" s="17">
        <f t="shared" si="20"/>
        <v>0</v>
      </c>
      <c r="D188" s="17">
        <f t="shared" si="21"/>
        <v>0</v>
      </c>
      <c r="E188" s="18">
        <f t="shared" si="22"/>
        <v>7.7374597879596507</v>
      </c>
      <c r="F188" s="19" t="str">
        <f t="shared" si="23"/>
        <v/>
      </c>
      <c r="G188" s="19" t="str">
        <f t="shared" si="24"/>
        <v/>
      </c>
      <c r="H188" s="19" t="str">
        <f t="shared" si="25"/>
        <v/>
      </c>
    </row>
    <row r="189" spans="2:8" x14ac:dyDescent="0.25">
      <c r="B189" s="16">
        <f t="shared" si="26"/>
        <v>232.12379363878952</v>
      </c>
      <c r="C189" s="17">
        <f t="shared" si="20"/>
        <v>0</v>
      </c>
      <c r="D189" s="17">
        <f t="shared" si="21"/>
        <v>0</v>
      </c>
      <c r="E189" s="18">
        <f t="shared" si="22"/>
        <v>8.1243327773576333</v>
      </c>
      <c r="F189" s="19" t="str">
        <f t="shared" si="23"/>
        <v/>
      </c>
      <c r="G189" s="19" t="str">
        <f t="shared" si="24"/>
        <v/>
      </c>
      <c r="H189" s="19" t="str">
        <f t="shared" si="25"/>
        <v/>
      </c>
    </row>
    <row r="190" spans="2:8" x14ac:dyDescent="0.25">
      <c r="B190" s="16">
        <f t="shared" si="26"/>
        <v>243.72998332072902</v>
      </c>
      <c r="C190" s="17">
        <f t="shared" si="20"/>
        <v>0</v>
      </c>
      <c r="D190" s="17">
        <f t="shared" si="21"/>
        <v>0</v>
      </c>
      <c r="E190" s="18">
        <f t="shared" si="22"/>
        <v>8.5305494162255169</v>
      </c>
      <c r="F190" s="19" t="str">
        <f t="shared" si="23"/>
        <v/>
      </c>
      <c r="G190" s="19" t="str">
        <f t="shared" si="24"/>
        <v/>
      </c>
      <c r="H190" s="19" t="str">
        <f t="shared" si="25"/>
        <v/>
      </c>
    </row>
    <row r="191" spans="2:8" x14ac:dyDescent="0.25">
      <c r="B191" s="16">
        <f t="shared" si="26"/>
        <v>255.91648248676549</v>
      </c>
      <c r="C191" s="17">
        <f t="shared" si="20"/>
        <v>0</v>
      </c>
      <c r="D191" s="17">
        <f t="shared" si="21"/>
        <v>0</v>
      </c>
      <c r="E191" s="18">
        <f t="shared" si="22"/>
        <v>8.9570768870367914</v>
      </c>
      <c r="F191" s="19" t="str">
        <f t="shared" si="23"/>
        <v/>
      </c>
      <c r="G191" s="19" t="str">
        <f t="shared" si="24"/>
        <v/>
      </c>
      <c r="H191" s="19" t="str">
        <f t="shared" si="25"/>
        <v/>
      </c>
    </row>
    <row r="192" spans="2:8" x14ac:dyDescent="0.25">
      <c r="B192" s="16">
        <f t="shared" si="26"/>
        <v>268.71230661110377</v>
      </c>
      <c r="C192" s="17">
        <f t="shared" si="20"/>
        <v>0</v>
      </c>
      <c r="D192" s="17">
        <f t="shared" si="21"/>
        <v>0</v>
      </c>
      <c r="E192" s="18">
        <f t="shared" si="22"/>
        <v>9.4049307313886317</v>
      </c>
      <c r="F192" s="19" t="str">
        <f t="shared" si="23"/>
        <v/>
      </c>
      <c r="G192" s="19" t="str">
        <f t="shared" si="24"/>
        <v/>
      </c>
      <c r="H192" s="19" t="str">
        <f t="shared" si="25"/>
        <v/>
      </c>
    </row>
    <row r="193" spans="2:8" x14ac:dyDescent="0.25">
      <c r="B193" s="16">
        <f t="shared" si="26"/>
        <v>282.14792194165898</v>
      </c>
      <c r="C193" s="17">
        <f t="shared" si="20"/>
        <v>0</v>
      </c>
      <c r="D193" s="17">
        <f t="shared" si="21"/>
        <v>0</v>
      </c>
      <c r="E193" s="18">
        <f t="shared" si="22"/>
        <v>9.8751772679580636</v>
      </c>
      <c r="F193" s="19" t="str">
        <f t="shared" si="23"/>
        <v/>
      </c>
      <c r="G193" s="19" t="str">
        <f t="shared" si="24"/>
        <v/>
      </c>
      <c r="H193" s="19" t="str">
        <f t="shared" si="25"/>
        <v/>
      </c>
    </row>
    <row r="194" spans="2:8" x14ac:dyDescent="0.25">
      <c r="B194" s="16">
        <f t="shared" si="26"/>
        <v>296.25531803874196</v>
      </c>
      <c r="C194" s="17">
        <f t="shared" si="20"/>
        <v>0</v>
      </c>
      <c r="D194" s="17">
        <f t="shared" si="21"/>
        <v>0</v>
      </c>
      <c r="E194" s="18">
        <f t="shared" si="22"/>
        <v>10.368936131355969</v>
      </c>
      <c r="F194" s="19" t="str">
        <f t="shared" si="23"/>
        <v/>
      </c>
      <c r="G194" s="19" t="str">
        <f t="shared" si="24"/>
        <v/>
      </c>
      <c r="H194" s="19" t="str">
        <f t="shared" si="25"/>
        <v/>
      </c>
    </row>
    <row r="195" spans="2:8" x14ac:dyDescent="0.25">
      <c r="B195" s="16">
        <f t="shared" si="26"/>
        <v>311.06808394067906</v>
      </c>
      <c r="C195" s="17">
        <f t="shared" ref="C195:C214" si="27">FLOOR(($C$8-2*$C$12+$C$13)/(B195+$C$13),1)</f>
        <v>0</v>
      </c>
      <c r="D195" s="17">
        <f t="shared" ref="D195:D214" si="28">C195*(2*$C$5+2*$C$8+2*PI()*($C$12+(C195-1)*B195/2+(C195-1)*$C$13/2))</f>
        <v>0</v>
      </c>
      <c r="E195" s="18">
        <f t="shared" ref="E195:E214" si="29">B195*$C$14/1000</f>
        <v>10.887382937923768</v>
      </c>
      <c r="F195" s="19" t="str">
        <f t="shared" ref="F195:F214" si="30">IF(C195=C196,"",$C$24*D195/E195*1000000)</f>
        <v/>
      </c>
      <c r="G195" s="19" t="str">
        <f t="shared" ref="G195:G214" si="31">IF(C195=C196,"",F195*$C$14/$C$15)</f>
        <v/>
      </c>
      <c r="H195" s="19" t="str">
        <f t="shared" ref="H195:H214" si="32">IF(C195=C196,"",F195*$C$14/$C$16)</f>
        <v/>
      </c>
    </row>
    <row r="196" spans="2:8" x14ac:dyDescent="0.25">
      <c r="B196" s="16">
        <f t="shared" si="26"/>
        <v>326.62148813771302</v>
      </c>
      <c r="C196" s="17">
        <f t="shared" si="27"/>
        <v>0</v>
      </c>
      <c r="D196" s="17">
        <f t="shared" si="28"/>
        <v>0</v>
      </c>
      <c r="E196" s="18">
        <f t="shared" si="29"/>
        <v>11.431752084819955</v>
      </c>
      <c r="F196" s="19" t="str">
        <f t="shared" si="30"/>
        <v/>
      </c>
      <c r="G196" s="19" t="str">
        <f t="shared" si="31"/>
        <v/>
      </c>
      <c r="H196" s="19" t="str">
        <f t="shared" si="32"/>
        <v/>
      </c>
    </row>
    <row r="197" spans="2:8" x14ac:dyDescent="0.25">
      <c r="B197" s="16">
        <f t="shared" si="26"/>
        <v>342.95256254459866</v>
      </c>
      <c r="C197" s="17">
        <f t="shared" si="27"/>
        <v>0</v>
      </c>
      <c r="D197" s="17">
        <f t="shared" si="28"/>
        <v>0</v>
      </c>
      <c r="E197" s="18">
        <f t="shared" si="29"/>
        <v>12.003339689060953</v>
      </c>
      <c r="F197" s="19" t="str">
        <f t="shared" si="30"/>
        <v/>
      </c>
      <c r="G197" s="19" t="str">
        <f t="shared" si="31"/>
        <v/>
      </c>
      <c r="H197" s="19" t="str">
        <f t="shared" si="32"/>
        <v/>
      </c>
    </row>
    <row r="198" spans="2:8" x14ac:dyDescent="0.25">
      <c r="B198" s="16">
        <f t="shared" si="26"/>
        <v>360.10019067182861</v>
      </c>
      <c r="C198" s="17">
        <f t="shared" si="27"/>
        <v>0</v>
      </c>
      <c r="D198" s="17">
        <f t="shared" si="28"/>
        <v>0</v>
      </c>
      <c r="E198" s="18">
        <f t="shared" si="29"/>
        <v>12.603506673514001</v>
      </c>
      <c r="F198" s="19" t="str">
        <f t="shared" si="30"/>
        <v/>
      </c>
      <c r="G198" s="19" t="str">
        <f t="shared" si="31"/>
        <v/>
      </c>
      <c r="H198" s="19" t="str">
        <f t="shared" si="32"/>
        <v/>
      </c>
    </row>
    <row r="199" spans="2:8" x14ac:dyDescent="0.25">
      <c r="B199" s="16">
        <f t="shared" si="26"/>
        <v>378.10520020542003</v>
      </c>
      <c r="C199" s="17">
        <f t="shared" si="27"/>
        <v>0</v>
      </c>
      <c r="D199" s="17">
        <f t="shared" si="28"/>
        <v>0</v>
      </c>
      <c r="E199" s="18">
        <f t="shared" si="29"/>
        <v>13.233682007189701</v>
      </c>
      <c r="F199" s="19" t="str">
        <f t="shared" si="30"/>
        <v/>
      </c>
      <c r="G199" s="19" t="str">
        <f t="shared" si="31"/>
        <v/>
      </c>
      <c r="H199" s="19" t="str">
        <f t="shared" si="32"/>
        <v/>
      </c>
    </row>
    <row r="200" spans="2:8" x14ac:dyDescent="0.25">
      <c r="B200" s="16">
        <f t="shared" si="26"/>
        <v>397.01046021569107</v>
      </c>
      <c r="C200" s="17">
        <f t="shared" si="27"/>
        <v>0</v>
      </c>
      <c r="D200" s="17">
        <f t="shared" si="28"/>
        <v>0</v>
      </c>
      <c r="E200" s="18">
        <f t="shared" si="29"/>
        <v>13.895366107549187</v>
      </c>
      <c r="F200" s="19" t="str">
        <f t="shared" si="30"/>
        <v/>
      </c>
      <c r="G200" s="19" t="str">
        <f t="shared" si="31"/>
        <v/>
      </c>
      <c r="H200" s="19" t="str">
        <f t="shared" si="32"/>
        <v/>
      </c>
    </row>
    <row r="201" spans="2:8" x14ac:dyDescent="0.25">
      <c r="B201" s="16">
        <f t="shared" si="26"/>
        <v>416.86098322647564</v>
      </c>
      <c r="C201" s="17">
        <f t="shared" si="27"/>
        <v>0</v>
      </c>
      <c r="D201" s="17">
        <f t="shared" si="28"/>
        <v>0</v>
      </c>
      <c r="E201" s="18">
        <f t="shared" si="29"/>
        <v>14.590134412926647</v>
      </c>
      <c r="F201" s="19" t="str">
        <f t="shared" si="30"/>
        <v/>
      </c>
      <c r="G201" s="19" t="str">
        <f t="shared" si="31"/>
        <v/>
      </c>
      <c r="H201" s="19" t="str">
        <f t="shared" si="32"/>
        <v/>
      </c>
    </row>
    <row r="202" spans="2:8" x14ac:dyDescent="0.25">
      <c r="B202" s="16">
        <f t="shared" si="26"/>
        <v>437.70403238779943</v>
      </c>
      <c r="C202" s="17">
        <f t="shared" si="27"/>
        <v>0</v>
      </c>
      <c r="D202" s="17">
        <f t="shared" si="28"/>
        <v>0</v>
      </c>
      <c r="E202" s="18">
        <f t="shared" si="29"/>
        <v>15.319641133572981</v>
      </c>
      <c r="F202" s="19" t="str">
        <f t="shared" si="30"/>
        <v/>
      </c>
      <c r="G202" s="19" t="str">
        <f t="shared" si="31"/>
        <v/>
      </c>
      <c r="H202" s="19" t="str">
        <f t="shared" si="32"/>
        <v/>
      </c>
    </row>
    <row r="203" spans="2:8" x14ac:dyDescent="0.25">
      <c r="B203" s="16">
        <f t="shared" si="26"/>
        <v>459.58923400718942</v>
      </c>
      <c r="C203" s="17">
        <f t="shared" si="27"/>
        <v>0</v>
      </c>
      <c r="D203" s="17">
        <f t="shared" si="28"/>
        <v>0</v>
      </c>
      <c r="E203" s="18">
        <f t="shared" si="29"/>
        <v>16.085623190251631</v>
      </c>
      <c r="F203" s="19" t="str">
        <f t="shared" si="30"/>
        <v/>
      </c>
      <c r="G203" s="19" t="str">
        <f t="shared" si="31"/>
        <v/>
      </c>
      <c r="H203" s="19" t="str">
        <f t="shared" si="32"/>
        <v/>
      </c>
    </row>
    <row r="204" spans="2:8" x14ac:dyDescent="0.25">
      <c r="B204" s="16">
        <f t="shared" si="26"/>
        <v>482.5686957075489</v>
      </c>
      <c r="C204" s="17">
        <f t="shared" si="27"/>
        <v>0</v>
      </c>
      <c r="D204" s="17">
        <f t="shared" si="28"/>
        <v>0</v>
      </c>
      <c r="E204" s="18">
        <f t="shared" si="29"/>
        <v>16.889904349764212</v>
      </c>
      <c r="F204" s="19" t="str">
        <f t="shared" si="30"/>
        <v/>
      </c>
      <c r="G204" s="19" t="str">
        <f t="shared" si="31"/>
        <v/>
      </c>
      <c r="H204" s="19" t="str">
        <f t="shared" si="32"/>
        <v/>
      </c>
    </row>
    <row r="205" spans="2:8" x14ac:dyDescent="0.25">
      <c r="B205" s="16">
        <f t="shared" si="26"/>
        <v>506.69713049292636</v>
      </c>
      <c r="C205" s="17">
        <f t="shared" si="27"/>
        <v>0</v>
      </c>
      <c r="D205" s="17">
        <f t="shared" si="28"/>
        <v>0</v>
      </c>
      <c r="E205" s="18">
        <f t="shared" si="29"/>
        <v>17.734399567252421</v>
      </c>
      <c r="F205" s="19" t="str">
        <f t="shared" si="30"/>
        <v/>
      </c>
      <c r="G205" s="19" t="str">
        <f t="shared" si="31"/>
        <v/>
      </c>
      <c r="H205" s="19" t="str">
        <f t="shared" si="32"/>
        <v/>
      </c>
    </row>
    <row r="206" spans="2:8" x14ac:dyDescent="0.25">
      <c r="B206" s="16">
        <f t="shared" si="26"/>
        <v>532.03198701757265</v>
      </c>
      <c r="C206" s="17">
        <f t="shared" si="27"/>
        <v>0</v>
      </c>
      <c r="D206" s="17">
        <f t="shared" si="28"/>
        <v>0</v>
      </c>
      <c r="E206" s="18">
        <f t="shared" si="29"/>
        <v>18.621119545615041</v>
      </c>
      <c r="F206" s="19" t="str">
        <f t="shared" si="30"/>
        <v/>
      </c>
      <c r="G206" s="19" t="str">
        <f t="shared" si="31"/>
        <v/>
      </c>
      <c r="H206" s="19" t="str">
        <f t="shared" si="32"/>
        <v/>
      </c>
    </row>
    <row r="207" spans="2:8" x14ac:dyDescent="0.25">
      <c r="B207" s="16">
        <f t="shared" si="26"/>
        <v>558.63358636845135</v>
      </c>
      <c r="C207" s="17">
        <f t="shared" si="27"/>
        <v>0</v>
      </c>
      <c r="D207" s="17">
        <f t="shared" si="28"/>
        <v>0</v>
      </c>
      <c r="E207" s="18">
        <f t="shared" si="29"/>
        <v>19.552175522895794</v>
      </c>
      <c r="F207" s="19" t="str">
        <f t="shared" si="30"/>
        <v/>
      </c>
      <c r="G207" s="19" t="str">
        <f t="shared" si="31"/>
        <v/>
      </c>
      <c r="H207" s="19" t="str">
        <f t="shared" si="32"/>
        <v/>
      </c>
    </row>
    <row r="208" spans="2:8" x14ac:dyDescent="0.25">
      <c r="B208" s="16">
        <f t="shared" si="26"/>
        <v>586.56526568687389</v>
      </c>
      <c r="C208" s="17">
        <f t="shared" si="27"/>
        <v>0</v>
      </c>
      <c r="D208" s="17">
        <f t="shared" si="28"/>
        <v>0</v>
      </c>
      <c r="E208" s="18">
        <f t="shared" si="29"/>
        <v>20.529784299040585</v>
      </c>
      <c r="F208" s="19" t="str">
        <f t="shared" si="30"/>
        <v/>
      </c>
      <c r="G208" s="19" t="str">
        <f t="shared" si="31"/>
        <v/>
      </c>
      <c r="H208" s="19" t="str">
        <f t="shared" si="32"/>
        <v/>
      </c>
    </row>
    <row r="209" spans="2:8" x14ac:dyDescent="0.25">
      <c r="B209" s="16">
        <f t="shared" si="26"/>
        <v>615.89352897121762</v>
      </c>
      <c r="C209" s="17">
        <f t="shared" si="27"/>
        <v>0</v>
      </c>
      <c r="D209" s="17">
        <f t="shared" si="28"/>
        <v>0</v>
      </c>
      <c r="E209" s="18">
        <f t="shared" si="29"/>
        <v>21.556273513992615</v>
      </c>
      <c r="F209" s="19" t="str">
        <f t="shared" si="30"/>
        <v/>
      </c>
      <c r="G209" s="19" t="str">
        <f t="shared" si="31"/>
        <v/>
      </c>
      <c r="H209" s="19" t="str">
        <f t="shared" si="32"/>
        <v/>
      </c>
    </row>
    <row r="210" spans="2:8" x14ac:dyDescent="0.25">
      <c r="B210" s="16">
        <f t="shared" si="26"/>
        <v>646.68820541977857</v>
      </c>
      <c r="C210" s="17">
        <f t="shared" si="27"/>
        <v>0</v>
      </c>
      <c r="D210" s="17">
        <f t="shared" si="28"/>
        <v>0</v>
      </c>
      <c r="E210" s="18">
        <f t="shared" si="29"/>
        <v>22.634087189692252</v>
      </c>
      <c r="F210" s="19" t="str">
        <f t="shared" si="30"/>
        <v/>
      </c>
      <c r="G210" s="19" t="str">
        <f t="shared" si="31"/>
        <v/>
      </c>
      <c r="H210" s="19" t="str">
        <f t="shared" si="32"/>
        <v/>
      </c>
    </row>
    <row r="211" spans="2:8" x14ac:dyDescent="0.25">
      <c r="B211" s="16">
        <f t="shared" si="26"/>
        <v>679.02261569076757</v>
      </c>
      <c r="C211" s="17">
        <f t="shared" si="27"/>
        <v>0</v>
      </c>
      <c r="D211" s="17">
        <f t="shared" si="28"/>
        <v>0</v>
      </c>
      <c r="E211" s="18">
        <f t="shared" si="29"/>
        <v>23.765791549176864</v>
      </c>
      <c r="F211" s="19" t="str">
        <f t="shared" si="30"/>
        <v/>
      </c>
      <c r="G211" s="19" t="str">
        <f t="shared" si="31"/>
        <v/>
      </c>
      <c r="H211" s="19" t="str">
        <f t="shared" si="32"/>
        <v/>
      </c>
    </row>
    <row r="212" spans="2:8" x14ac:dyDescent="0.25">
      <c r="B212" s="16">
        <f t="shared" si="26"/>
        <v>712.97374647530603</v>
      </c>
      <c r="C212" s="17">
        <f t="shared" si="27"/>
        <v>0</v>
      </c>
      <c r="D212" s="17">
        <f t="shared" si="28"/>
        <v>0</v>
      </c>
      <c r="E212" s="18">
        <f t="shared" si="29"/>
        <v>24.954081126635714</v>
      </c>
      <c r="F212" s="19" t="str">
        <f t="shared" si="30"/>
        <v/>
      </c>
      <c r="G212" s="19" t="str">
        <f t="shared" si="31"/>
        <v/>
      </c>
      <c r="H212" s="19" t="str">
        <f t="shared" si="32"/>
        <v/>
      </c>
    </row>
    <row r="213" spans="2:8" x14ac:dyDescent="0.25">
      <c r="B213" s="16">
        <f t="shared" si="26"/>
        <v>748.62243379907136</v>
      </c>
      <c r="C213" s="17">
        <f t="shared" si="27"/>
        <v>0</v>
      </c>
      <c r="D213" s="17">
        <f t="shared" si="28"/>
        <v>0</v>
      </c>
      <c r="E213" s="18">
        <f t="shared" si="29"/>
        <v>26.201785182967498</v>
      </c>
      <c r="F213" s="19" t="str">
        <f t="shared" si="30"/>
        <v/>
      </c>
      <c r="G213" s="19" t="str">
        <f t="shared" si="31"/>
        <v/>
      </c>
      <c r="H213" s="19" t="str">
        <f t="shared" si="32"/>
        <v/>
      </c>
    </row>
    <row r="214" spans="2:8" x14ac:dyDescent="0.25">
      <c r="B214" s="16">
        <f t="shared" si="26"/>
        <v>786.05355548902492</v>
      </c>
      <c r="C214" s="17">
        <f t="shared" si="27"/>
        <v>0</v>
      </c>
      <c r="D214" s="17">
        <f t="shared" si="28"/>
        <v>0</v>
      </c>
      <c r="E214" s="18">
        <f t="shared" si="29"/>
        <v>27.511874442115875</v>
      </c>
      <c r="F214" s="19" t="str">
        <f t="shared" si="30"/>
        <v/>
      </c>
      <c r="G214" s="19" t="str">
        <f t="shared" si="31"/>
        <v/>
      </c>
      <c r="H214" s="19" t="str">
        <f t="shared" si="32"/>
        <v/>
      </c>
    </row>
  </sheetData>
  <mergeCells count="24">
    <mergeCell ref="E24:I24"/>
    <mergeCell ref="A19:A23"/>
    <mergeCell ref="E19:I19"/>
    <mergeCell ref="E20:I20"/>
    <mergeCell ref="E21:I21"/>
    <mergeCell ref="E22:I22"/>
    <mergeCell ref="E23:I23"/>
    <mergeCell ref="E10:I10"/>
    <mergeCell ref="E11:I11"/>
    <mergeCell ref="A12:A17"/>
    <mergeCell ref="E12:I12"/>
    <mergeCell ref="E13:I13"/>
    <mergeCell ref="E14:I14"/>
    <mergeCell ref="E15:I15"/>
    <mergeCell ref="E16:I16"/>
    <mergeCell ref="E17:I17"/>
    <mergeCell ref="A3:A9"/>
    <mergeCell ref="E3:I3"/>
    <mergeCell ref="E4:I4"/>
    <mergeCell ref="E5:I5"/>
    <mergeCell ref="E6:I6"/>
    <mergeCell ref="E7:I7"/>
    <mergeCell ref="E8:I8"/>
    <mergeCell ref="E9:I9"/>
  </mergeCells>
  <conditionalFormatting sqref="L15:L1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{8CCB5FF1-03A1-4A2C-B300-BAF3AFAE7D75}</x14:id>
        </ext>
      </extLst>
    </cfRule>
  </conditionalFormatting>
  <conditionalFormatting sqref="L23 L21 L2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{257AE739-1E31-4455-BCD2-27703E3ED7B1}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CB5FF1-03A1-4A2C-B300-BAF3AFAE7D7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L15:L17</xm:sqref>
        </x14:conditionalFormatting>
        <x14:conditionalFormatting xmlns:xm="http://schemas.microsoft.com/office/excel/2006/main">
          <x14:cfRule type="dataBar" id="{257AE739-1E31-4455-BCD2-27703E3ED7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L23 L21 L25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CB57-2272-4DED-A779-F191F701A3DD}">
  <dimension ref="A1:Z84"/>
  <sheetViews>
    <sheetView zoomScaleNormal="100" workbookViewId="0">
      <selection activeCell="J30" sqref="J30"/>
    </sheetView>
  </sheetViews>
  <sheetFormatPr defaultRowHeight="15" x14ac:dyDescent="0.25"/>
  <cols>
    <col min="1" max="1" width="9.28515625" customWidth="1"/>
    <col min="2" max="2" width="12.28515625" bestFit="1" customWidth="1"/>
    <col min="3" max="3" width="9.7109375" bestFit="1" customWidth="1"/>
    <col min="4" max="4" width="16.28515625" bestFit="1" customWidth="1"/>
    <col min="5" max="5" width="18.28515625" bestFit="1" customWidth="1"/>
    <col min="6" max="8" width="17.42578125" bestFit="1" customWidth="1"/>
    <col min="9" max="10" width="16.140625" customWidth="1"/>
    <col min="11" max="11" width="9.42578125" bestFit="1" customWidth="1"/>
    <col min="12" max="12" width="11.28515625" customWidth="1"/>
    <col min="13" max="13" width="5.28515625" bestFit="1" customWidth="1"/>
    <col min="14" max="14" width="30.42578125" bestFit="1" customWidth="1"/>
    <col min="23" max="23" width="13.7109375" customWidth="1"/>
    <col min="24" max="24" width="11" bestFit="1" customWidth="1"/>
  </cols>
  <sheetData>
    <row r="1" spans="1:26" x14ac:dyDescent="0.25">
      <c r="D1" s="65" t="s">
        <v>191</v>
      </c>
    </row>
    <row r="2" spans="1:26" ht="15.75" thickBot="1" x14ac:dyDescent="0.3">
      <c r="D2" s="65" t="s">
        <v>190</v>
      </c>
      <c r="K2" t="s">
        <v>51</v>
      </c>
      <c r="L2">
        <v>0.1</v>
      </c>
      <c r="M2" t="s">
        <v>52</v>
      </c>
      <c r="N2" t="s">
        <v>65</v>
      </c>
      <c r="P2" t="s">
        <v>104</v>
      </c>
      <c r="Q2">
        <v>21</v>
      </c>
      <c r="R2" t="s">
        <v>83</v>
      </c>
      <c r="W2" s="43" t="s">
        <v>119</v>
      </c>
      <c r="X2" s="43">
        <v>8.81</v>
      </c>
      <c r="Y2" s="43" t="s">
        <v>120</v>
      </c>
    </row>
    <row r="3" spans="1:26" ht="14.45" customHeight="1" x14ac:dyDescent="0.25">
      <c r="A3" s="79" t="s">
        <v>19</v>
      </c>
      <c r="B3" s="12" t="s">
        <v>2</v>
      </c>
      <c r="C3" s="12">
        <v>11</v>
      </c>
      <c r="D3" s="12" t="s">
        <v>5</v>
      </c>
      <c r="E3" s="82" t="s">
        <v>6</v>
      </c>
      <c r="F3" s="82"/>
      <c r="G3" s="82"/>
      <c r="H3" s="82"/>
      <c r="I3" s="83"/>
      <c r="J3" s="5"/>
      <c r="K3" s="5"/>
      <c r="L3" s="5"/>
      <c r="M3" s="5"/>
      <c r="N3" s="5"/>
      <c r="P3" t="s">
        <v>105</v>
      </c>
      <c r="Q3">
        <v>0.1</v>
      </c>
      <c r="R3" t="s">
        <v>52</v>
      </c>
      <c r="W3" s="43" t="s">
        <v>47</v>
      </c>
      <c r="X3" s="43">
        <v>80</v>
      </c>
      <c r="Y3" s="43" t="s">
        <v>48</v>
      </c>
    </row>
    <row r="4" spans="1:26" x14ac:dyDescent="0.25">
      <c r="A4" s="80"/>
      <c r="B4" s="13" t="s">
        <v>3</v>
      </c>
      <c r="C4" s="13">
        <v>4.25</v>
      </c>
      <c r="D4" s="13" t="s">
        <v>5</v>
      </c>
      <c r="E4" s="84" t="s">
        <v>7</v>
      </c>
      <c r="F4" s="84"/>
      <c r="G4" s="84"/>
      <c r="H4" s="84"/>
      <c r="I4" s="85"/>
      <c r="J4" s="5"/>
      <c r="K4" s="5"/>
      <c r="L4" s="11"/>
      <c r="M4" s="5"/>
      <c r="N4" s="5"/>
      <c r="P4" t="s">
        <v>86</v>
      </c>
      <c r="Q4">
        <f>Q3*Q2</f>
        <v>2.1</v>
      </c>
      <c r="R4" t="s">
        <v>4</v>
      </c>
      <c r="W4" s="43" t="s">
        <v>111</v>
      </c>
      <c r="X4" s="43">
        <v>14</v>
      </c>
      <c r="Y4" s="43" t="s">
        <v>76</v>
      </c>
    </row>
    <row r="5" spans="1:26" x14ac:dyDescent="0.25">
      <c r="A5" s="80"/>
      <c r="B5" s="13" t="s">
        <v>1</v>
      </c>
      <c r="C5" s="13">
        <v>4.25</v>
      </c>
      <c r="D5" s="13" t="s">
        <v>5</v>
      </c>
      <c r="E5" s="84" t="s">
        <v>8</v>
      </c>
      <c r="F5" s="84"/>
      <c r="G5" s="84"/>
      <c r="H5" s="84"/>
      <c r="I5" s="85"/>
      <c r="J5" s="5"/>
      <c r="K5" s="8"/>
      <c r="L5" s="5"/>
      <c r="M5" s="5"/>
      <c r="N5" s="5"/>
      <c r="P5" t="s">
        <v>101</v>
      </c>
      <c r="Q5" s="9">
        <v>0.7</v>
      </c>
      <c r="W5" s="43" t="s">
        <v>122</v>
      </c>
      <c r="X5" s="43">
        <v>100</v>
      </c>
      <c r="Y5" s="43" t="s">
        <v>124</v>
      </c>
    </row>
    <row r="6" spans="1:26" x14ac:dyDescent="0.25">
      <c r="A6" s="80"/>
      <c r="B6" s="13" t="s">
        <v>0</v>
      </c>
      <c r="C6" s="13">
        <v>1.1499999999999999</v>
      </c>
      <c r="D6" s="13" t="s">
        <v>5</v>
      </c>
      <c r="E6" s="84" t="s">
        <v>9</v>
      </c>
      <c r="F6" s="84"/>
      <c r="G6" s="84"/>
      <c r="H6" s="84"/>
      <c r="I6" s="85"/>
      <c r="J6" s="5"/>
      <c r="K6" s="8"/>
      <c r="L6" s="5"/>
      <c r="M6" s="5"/>
      <c r="N6" s="5"/>
      <c r="P6" t="s">
        <v>102</v>
      </c>
      <c r="Q6">
        <f>Q4/Q5</f>
        <v>3.0000000000000004</v>
      </c>
      <c r="R6" t="s">
        <v>4</v>
      </c>
      <c r="W6" t="s">
        <v>121</v>
      </c>
      <c r="X6" s="42">
        <f>2*X5/T10</f>
        <v>476.1904761904762</v>
      </c>
      <c r="Y6" t="s">
        <v>124</v>
      </c>
    </row>
    <row r="7" spans="1:26" ht="15.75" thickBot="1" x14ac:dyDescent="0.3">
      <c r="A7" s="80"/>
      <c r="B7" s="13" t="s">
        <v>34</v>
      </c>
      <c r="C7" s="13">
        <v>160</v>
      </c>
      <c r="D7" s="13" t="s">
        <v>35</v>
      </c>
      <c r="E7" s="86" t="s">
        <v>36</v>
      </c>
      <c r="F7" s="86"/>
      <c r="G7" s="86"/>
      <c r="H7" s="86"/>
      <c r="I7" s="87"/>
      <c r="J7" s="7"/>
      <c r="K7" s="7"/>
      <c r="L7" s="7"/>
      <c r="M7" s="7"/>
      <c r="N7" s="7"/>
      <c r="P7" t="s">
        <v>103</v>
      </c>
      <c r="Q7">
        <v>24</v>
      </c>
      <c r="R7" t="s">
        <v>83</v>
      </c>
      <c r="W7" t="s">
        <v>123</v>
      </c>
      <c r="X7" s="42">
        <f>X3*X6/(X4*X2)</f>
        <v>308.86361354984678</v>
      </c>
      <c r="Y7" t="s">
        <v>125</v>
      </c>
      <c r="Z7" t="s">
        <v>135</v>
      </c>
    </row>
    <row r="8" spans="1:26" x14ac:dyDescent="0.25">
      <c r="A8" s="80"/>
      <c r="B8" s="13" t="s">
        <v>4</v>
      </c>
      <c r="C8" s="13">
        <f>(C3-C4)/2-C6</f>
        <v>2.2250000000000001</v>
      </c>
      <c r="D8" s="13" t="s">
        <v>5</v>
      </c>
      <c r="E8" s="84" t="s">
        <v>31</v>
      </c>
      <c r="F8" s="84"/>
      <c r="G8" s="84"/>
      <c r="H8" s="84"/>
      <c r="I8" s="85"/>
      <c r="J8" s="5"/>
      <c r="K8" s="20" t="s">
        <v>43</v>
      </c>
      <c r="L8" s="12">
        <v>3</v>
      </c>
      <c r="M8" s="22"/>
      <c r="N8" s="23" t="s">
        <v>66</v>
      </c>
      <c r="P8" t="s">
        <v>106</v>
      </c>
      <c r="Q8">
        <f>Q6/Q7</f>
        <v>0.12500000000000003</v>
      </c>
      <c r="R8" t="s">
        <v>52</v>
      </c>
    </row>
    <row r="9" spans="1:26" ht="15.75" thickBot="1" x14ac:dyDescent="0.3">
      <c r="A9" s="81"/>
      <c r="B9" s="14" t="s">
        <v>20</v>
      </c>
      <c r="C9" s="14">
        <f>FLOOR((C8-(2*C12)+C13)/(C20+C19),1)</f>
        <v>9</v>
      </c>
      <c r="D9" s="14"/>
      <c r="E9" s="88" t="s">
        <v>32</v>
      </c>
      <c r="F9" s="88"/>
      <c r="G9" s="88"/>
      <c r="H9" s="88"/>
      <c r="I9" s="89"/>
      <c r="J9" s="5"/>
      <c r="K9" s="24" t="s">
        <v>44</v>
      </c>
      <c r="L9" s="26">
        <v>3</v>
      </c>
      <c r="M9" s="26"/>
      <c r="N9" s="27" t="s">
        <v>69</v>
      </c>
      <c r="P9" t="s">
        <v>107</v>
      </c>
      <c r="Q9" s="9">
        <v>0.45</v>
      </c>
      <c r="S9" t="s">
        <v>80</v>
      </c>
      <c r="T9">
        <v>250</v>
      </c>
      <c r="U9" t="s">
        <v>81</v>
      </c>
      <c r="W9" s="43" t="s">
        <v>126</v>
      </c>
      <c r="X9" s="43">
        <v>120</v>
      </c>
      <c r="Y9" s="43" t="s">
        <v>127</v>
      </c>
    </row>
    <row r="10" spans="1:26" x14ac:dyDescent="0.25">
      <c r="E10" s="90"/>
      <c r="F10" s="90"/>
      <c r="G10" s="90"/>
      <c r="H10" s="90"/>
      <c r="I10" s="90"/>
      <c r="J10" s="5"/>
      <c r="K10" s="39" t="s">
        <v>60</v>
      </c>
      <c r="L10" s="13">
        <v>2</v>
      </c>
      <c r="M10" s="26"/>
      <c r="N10" s="27" t="s">
        <v>70</v>
      </c>
      <c r="P10" t="s">
        <v>108</v>
      </c>
      <c r="Q10">
        <f>Q2/Q7*(1-Q9)/Q9</f>
        <v>1.0694444444444446</v>
      </c>
      <c r="S10" t="s">
        <v>107</v>
      </c>
      <c r="T10" s="9">
        <v>0.42</v>
      </c>
      <c r="W10" t="s">
        <v>128</v>
      </c>
      <c r="X10">
        <v>390</v>
      </c>
      <c r="Y10" t="s">
        <v>129</v>
      </c>
    </row>
    <row r="11" spans="1:26" ht="15.75" thickBot="1" x14ac:dyDescent="0.3">
      <c r="E11" s="90"/>
      <c r="F11" s="90"/>
      <c r="G11" s="90"/>
      <c r="H11" s="90"/>
      <c r="I11" s="90"/>
      <c r="J11" s="5"/>
      <c r="K11" s="24" t="s">
        <v>46</v>
      </c>
      <c r="L11" s="26">
        <f>IF(C17&gt;1,IF(C17&gt;2,L8+L9+L10,L8+L9),L8)</f>
        <v>6</v>
      </c>
      <c r="M11" s="26"/>
      <c r="N11" s="27" t="s">
        <v>67</v>
      </c>
      <c r="S11" t="s">
        <v>114</v>
      </c>
      <c r="T11" s="41">
        <f>Q5*T10*T10*Q7*Q7/(2*T9*Q4)*1000</f>
        <v>67.737600000000015</v>
      </c>
      <c r="U11" t="s">
        <v>48</v>
      </c>
      <c r="W11" t="s">
        <v>130</v>
      </c>
      <c r="X11">
        <v>215</v>
      </c>
      <c r="Y11" s="4" t="s">
        <v>129</v>
      </c>
    </row>
    <row r="12" spans="1:26" ht="15.75" thickBot="1" x14ac:dyDescent="0.3">
      <c r="A12" s="79" t="s">
        <v>112</v>
      </c>
      <c r="B12" s="12" t="s">
        <v>10</v>
      </c>
      <c r="C12" s="12">
        <v>0.3</v>
      </c>
      <c r="D12" s="12" t="s">
        <v>5</v>
      </c>
      <c r="E12" s="82" t="s">
        <v>11</v>
      </c>
      <c r="F12" s="82"/>
      <c r="G12" s="82"/>
      <c r="H12" s="82"/>
      <c r="I12" s="83"/>
      <c r="J12" s="5"/>
      <c r="K12" s="28" t="s">
        <v>47</v>
      </c>
      <c r="L12" s="40">
        <f>L11*L11*C7/1000</f>
        <v>5.76</v>
      </c>
      <c r="M12" s="30" t="s">
        <v>48</v>
      </c>
      <c r="N12" s="31" t="s">
        <v>68</v>
      </c>
      <c r="S12" t="s">
        <v>115</v>
      </c>
      <c r="T12">
        <v>60</v>
      </c>
      <c r="U12" t="s">
        <v>48</v>
      </c>
      <c r="W12" t="s">
        <v>131</v>
      </c>
      <c r="X12">
        <f>X9*X10/1000</f>
        <v>46.8</v>
      </c>
      <c r="Y12" t="s">
        <v>133</v>
      </c>
      <c r="Z12" t="s">
        <v>134</v>
      </c>
    </row>
    <row r="13" spans="1:26" x14ac:dyDescent="0.25">
      <c r="A13" s="91"/>
      <c r="B13" s="13" t="s">
        <v>21</v>
      </c>
      <c r="C13" s="13">
        <v>0.1</v>
      </c>
      <c r="D13" s="13" t="s">
        <v>5</v>
      </c>
      <c r="E13" s="84"/>
      <c r="F13" s="84"/>
      <c r="G13" s="84"/>
      <c r="H13" s="84"/>
      <c r="I13" s="85"/>
      <c r="J13" s="5"/>
      <c r="L13" s="5"/>
      <c r="M13" s="5"/>
      <c r="N13" s="5"/>
      <c r="S13" t="s">
        <v>116</v>
      </c>
      <c r="T13" s="41">
        <f>T12*Q10*Q10</f>
        <v>68.622685185185219</v>
      </c>
      <c r="U13" s="4" t="s">
        <v>48</v>
      </c>
      <c r="W13" t="s">
        <v>132</v>
      </c>
      <c r="X13">
        <f>X11*X9/1000</f>
        <v>25.8</v>
      </c>
      <c r="Y13" t="s">
        <v>133</v>
      </c>
    </row>
    <row r="14" spans="1:26" ht="15.75" thickBot="1" x14ac:dyDescent="0.3">
      <c r="A14" s="91"/>
      <c r="B14" s="13" t="s">
        <v>37</v>
      </c>
      <c r="C14" s="13">
        <v>35</v>
      </c>
      <c r="D14" s="13" t="s">
        <v>24</v>
      </c>
      <c r="E14" s="84"/>
      <c r="F14" s="84"/>
      <c r="G14" s="84"/>
      <c r="H14" s="84"/>
      <c r="I14" s="85"/>
      <c r="J14" s="5"/>
      <c r="K14" s="5"/>
      <c r="L14" s="5"/>
      <c r="M14" s="5"/>
      <c r="N14" s="5"/>
      <c r="S14" t="s">
        <v>117</v>
      </c>
      <c r="T14" s="1">
        <f>SQRT(T12/(C7/1000))</f>
        <v>19.364916731037084</v>
      </c>
      <c r="U14" t="s">
        <v>76</v>
      </c>
    </row>
    <row r="15" spans="1:26" x14ac:dyDescent="0.25">
      <c r="A15" s="91"/>
      <c r="B15" s="13" t="s">
        <v>38</v>
      </c>
      <c r="C15" s="13">
        <v>35</v>
      </c>
      <c r="D15" s="13" t="s">
        <v>24</v>
      </c>
      <c r="E15" s="94"/>
      <c r="F15" s="94"/>
      <c r="G15" s="94"/>
      <c r="H15" s="94"/>
      <c r="I15" s="95"/>
      <c r="K15" s="20" t="s">
        <v>42</v>
      </c>
      <c r="L15" s="21">
        <f>_xlfn.XLOOKUP(L8,C28:C66,F28:F66,FALSE,0,-1)</f>
        <v>59.201071575397059</v>
      </c>
      <c r="M15" s="22" t="s">
        <v>50</v>
      </c>
      <c r="N15" s="23" t="s">
        <v>71</v>
      </c>
      <c r="S15" t="s">
        <v>118</v>
      </c>
      <c r="T15" s="1">
        <f>SQRT(T13/C7*1000)</f>
        <v>20.709702615136887</v>
      </c>
      <c r="U15" s="4" t="s">
        <v>76</v>
      </c>
    </row>
    <row r="16" spans="1:26" x14ac:dyDescent="0.25">
      <c r="A16" s="91"/>
      <c r="B16" s="13" t="s">
        <v>58</v>
      </c>
      <c r="C16" s="13">
        <v>35</v>
      </c>
      <c r="D16" s="13" t="s">
        <v>24</v>
      </c>
      <c r="E16" s="94"/>
      <c r="F16" s="94"/>
      <c r="G16" s="94"/>
      <c r="H16" s="94"/>
      <c r="I16" s="95"/>
      <c r="K16" s="24" t="s">
        <v>45</v>
      </c>
      <c r="L16" s="25">
        <f>IF(C17&gt;1,_xlfn.XLOOKUP(L9,C28:C66,G28:G66,FALSE,0,-1),0)</f>
        <v>59.201071575397052</v>
      </c>
      <c r="M16" s="26" t="s">
        <v>50</v>
      </c>
      <c r="N16" s="27" t="s">
        <v>73</v>
      </c>
    </row>
    <row r="17" spans="1:25" ht="15.75" thickBot="1" x14ac:dyDescent="0.3">
      <c r="A17" s="92"/>
      <c r="B17" s="14" t="s">
        <v>39</v>
      </c>
      <c r="C17" s="14">
        <v>2</v>
      </c>
      <c r="D17" s="14"/>
      <c r="E17" s="88"/>
      <c r="F17" s="88"/>
      <c r="G17" s="88"/>
      <c r="H17" s="88"/>
      <c r="I17" s="89"/>
      <c r="J17" s="5"/>
      <c r="K17" s="24" t="s">
        <v>61</v>
      </c>
      <c r="L17" s="25">
        <f>IF(C17&gt;2,_xlfn.XLOOKUP(L10,C28:C54,H28:H54,FALSE,0,-1),0)</f>
        <v>0</v>
      </c>
      <c r="M17" s="26" t="s">
        <v>50</v>
      </c>
      <c r="N17" s="27" t="s">
        <v>74</v>
      </c>
    </row>
    <row r="18" spans="1:25" ht="15.75" thickBot="1" x14ac:dyDescent="0.3">
      <c r="E18" s="5"/>
      <c r="F18" s="5"/>
      <c r="G18" s="5"/>
      <c r="H18" s="5"/>
      <c r="I18" s="5"/>
      <c r="J18" s="5"/>
      <c r="K18" s="28" t="s">
        <v>49</v>
      </c>
      <c r="L18" s="29">
        <f>L16+L15+L17</f>
        <v>118.4021431507941</v>
      </c>
      <c r="M18" s="30" t="s">
        <v>50</v>
      </c>
      <c r="N18" s="31" t="s">
        <v>72</v>
      </c>
      <c r="W18" t="s">
        <v>158</v>
      </c>
    </row>
    <row r="19" spans="1:25" ht="14.45" customHeight="1" thickBot="1" x14ac:dyDescent="0.3">
      <c r="A19" s="79" t="s">
        <v>18</v>
      </c>
      <c r="B19" s="12" t="s">
        <v>16</v>
      </c>
      <c r="C19" s="12">
        <v>0.09</v>
      </c>
      <c r="D19" s="12" t="s">
        <v>5</v>
      </c>
      <c r="E19" s="82" t="s">
        <v>17</v>
      </c>
      <c r="F19" s="82"/>
      <c r="G19" s="82"/>
      <c r="H19" s="82"/>
      <c r="I19" s="83"/>
      <c r="J19" s="5"/>
      <c r="K19" s="5"/>
      <c r="L19" s="5"/>
      <c r="M19" s="5"/>
      <c r="N19" s="5"/>
      <c r="W19" t="s">
        <v>159</v>
      </c>
      <c r="X19">
        <v>60</v>
      </c>
      <c r="Y19" t="s">
        <v>48</v>
      </c>
    </row>
    <row r="20" spans="1:25" x14ac:dyDescent="0.25">
      <c r="A20" s="80"/>
      <c r="B20" s="13" t="s">
        <v>12</v>
      </c>
      <c r="C20" s="13">
        <v>0.09</v>
      </c>
      <c r="D20" s="13" t="s">
        <v>5</v>
      </c>
      <c r="E20" s="84" t="s">
        <v>13</v>
      </c>
      <c r="F20" s="84"/>
      <c r="G20" s="84"/>
      <c r="H20" s="84"/>
      <c r="I20" s="85"/>
      <c r="J20" s="5"/>
      <c r="K20" s="20" t="s">
        <v>55</v>
      </c>
      <c r="L20" s="32">
        <f>_xlfn.XLOOKUP(L8,C28:C80,E28:E80,,0,-1)*1550</f>
        <v>24.765831649906588</v>
      </c>
      <c r="M20" s="22" t="s">
        <v>53</v>
      </c>
      <c r="N20" s="23"/>
      <c r="W20" t="s">
        <v>160</v>
      </c>
      <c r="X20">
        <v>1.1000000000000001</v>
      </c>
      <c r="Y20" t="s">
        <v>52</v>
      </c>
    </row>
    <row r="21" spans="1:25" x14ac:dyDescent="0.25">
      <c r="A21" s="80"/>
      <c r="B21" s="13" t="s">
        <v>14</v>
      </c>
      <c r="C21" s="13">
        <v>0.3</v>
      </c>
      <c r="D21" s="13" t="s">
        <v>5</v>
      </c>
      <c r="E21" s="84" t="s">
        <v>15</v>
      </c>
      <c r="F21" s="84"/>
      <c r="G21" s="84"/>
      <c r="H21" s="84"/>
      <c r="I21" s="85"/>
      <c r="J21" s="5"/>
      <c r="K21" s="33" t="s">
        <v>56</v>
      </c>
      <c r="L21" s="34">
        <f>(L2/((IF(C14=35,0.048,0.024))*(L20)^0.725))^(1/0.44)</f>
        <v>2.677702158691404E-2</v>
      </c>
      <c r="M21" s="35" t="s">
        <v>54</v>
      </c>
      <c r="N21" s="27"/>
      <c r="W21" t="s">
        <v>161</v>
      </c>
      <c r="X21">
        <f>0.5*X19*X20*X20</f>
        <v>36.300000000000004</v>
      </c>
      <c r="Y21" t="s">
        <v>88</v>
      </c>
    </row>
    <row r="22" spans="1:25" x14ac:dyDescent="0.25">
      <c r="A22" s="80"/>
      <c r="B22" s="13" t="s">
        <v>23</v>
      </c>
      <c r="C22" s="13">
        <v>17.5</v>
      </c>
      <c r="D22" s="13" t="s">
        <v>24</v>
      </c>
      <c r="E22" s="93"/>
      <c r="F22" s="93"/>
      <c r="G22" s="93"/>
      <c r="H22" s="93"/>
      <c r="I22" s="96"/>
      <c r="J22" s="6"/>
      <c r="K22" s="24" t="s">
        <v>62</v>
      </c>
      <c r="L22" s="36">
        <f>_xlfn.XLOOKUP(L9,C28:C85,E28:E85,,0,-1)*1550*C15/C14</f>
        <v>24.765831649906588</v>
      </c>
      <c r="M22" s="26" t="s">
        <v>53</v>
      </c>
      <c r="N22" s="37"/>
      <c r="W22" t="s">
        <v>80</v>
      </c>
      <c r="X22">
        <v>100</v>
      </c>
      <c r="Y22" t="s">
        <v>81</v>
      </c>
    </row>
    <row r="23" spans="1:25" ht="15.75" thickBot="1" x14ac:dyDescent="0.3">
      <c r="A23" s="81"/>
      <c r="B23" s="14" t="s">
        <v>25</v>
      </c>
      <c r="C23" s="14">
        <v>35</v>
      </c>
      <c r="D23" s="14" t="s">
        <v>24</v>
      </c>
      <c r="E23" s="88"/>
      <c r="F23" s="88"/>
      <c r="G23" s="88"/>
      <c r="H23" s="88"/>
      <c r="I23" s="89"/>
      <c r="J23" s="5"/>
      <c r="K23" s="33" t="s">
        <v>57</v>
      </c>
      <c r="L23" s="34">
        <f>IF(C17&gt;1,(L2/((IF(C15=35,0.048,0.024))*(L22)^0.725))^(1/0.44),0)</f>
        <v>2.677702158691404E-2</v>
      </c>
      <c r="M23" s="35" t="s">
        <v>54</v>
      </c>
      <c r="N23" s="27"/>
      <c r="P23" t="s">
        <v>78</v>
      </c>
      <c r="Q23" t="s">
        <v>109</v>
      </c>
      <c r="W23" t="s">
        <v>162</v>
      </c>
      <c r="X23">
        <f>X22*X21/1000</f>
        <v>3.6300000000000003</v>
      </c>
      <c r="Y23" t="s">
        <v>4</v>
      </c>
    </row>
    <row r="24" spans="1:25" x14ac:dyDescent="0.25">
      <c r="B24" t="s">
        <v>22</v>
      </c>
      <c r="C24" s="3">
        <v>1.7199999999999999E-8</v>
      </c>
      <c r="D24" t="s">
        <v>26</v>
      </c>
      <c r="E24" s="93" t="s">
        <v>33</v>
      </c>
      <c r="F24" s="93"/>
      <c r="G24" s="93"/>
      <c r="H24" s="93"/>
      <c r="I24" s="93"/>
      <c r="J24" s="6"/>
      <c r="K24" s="24" t="s">
        <v>63</v>
      </c>
      <c r="L24" s="36">
        <f>_xlfn.XLOOKUP(L10,C28:C54,E28:E54,,0,-1)*1550*C16/C14</f>
        <v>28.354400655978058</v>
      </c>
      <c r="M24" s="26" t="s">
        <v>53</v>
      </c>
      <c r="N24" s="37"/>
      <c r="P24">
        <v>16</v>
      </c>
      <c r="Q24" t="s">
        <v>76</v>
      </c>
      <c r="R24" t="s">
        <v>111</v>
      </c>
      <c r="S24">
        <f>P24/P29</f>
        <v>2.6666666666666665</v>
      </c>
    </row>
    <row r="25" spans="1:25" ht="15.75" thickBot="1" x14ac:dyDescent="0.3">
      <c r="C25" s="3"/>
      <c r="K25" s="28" t="s">
        <v>64</v>
      </c>
      <c r="L25" s="29">
        <f>IF(C17&gt;2,(L2/((IF(C16=35,0.048,0.024))*(L24)^0.725))^(1/0.44),0)</f>
        <v>0</v>
      </c>
      <c r="M25" s="30" t="s">
        <v>54</v>
      </c>
      <c r="N25" s="38"/>
      <c r="P25">
        <v>41</v>
      </c>
      <c r="Q25" t="s">
        <v>48</v>
      </c>
    </row>
    <row r="26" spans="1:25" x14ac:dyDescent="0.25">
      <c r="A26" t="s">
        <v>113</v>
      </c>
      <c r="B26" s="9">
        <v>7.0000000000000007E-2</v>
      </c>
      <c r="P26">
        <v>2775</v>
      </c>
      <c r="Q26" t="s">
        <v>75</v>
      </c>
      <c r="R26" t="s">
        <v>164</v>
      </c>
    </row>
    <row r="27" spans="1:25" x14ac:dyDescent="0.25">
      <c r="B27" s="15" t="s">
        <v>30</v>
      </c>
      <c r="C27" s="15" t="s">
        <v>29</v>
      </c>
      <c r="D27" s="15" t="s">
        <v>28</v>
      </c>
      <c r="E27" s="15" t="s">
        <v>27</v>
      </c>
      <c r="F27" s="15" t="s">
        <v>40</v>
      </c>
      <c r="G27" s="15" t="s">
        <v>41</v>
      </c>
      <c r="H27" s="15" t="s">
        <v>59</v>
      </c>
      <c r="P27" s="54" t="s">
        <v>165</v>
      </c>
    </row>
    <row r="28" spans="1:25" x14ac:dyDescent="0.25">
      <c r="B28" s="16">
        <f>C20</f>
        <v>0.09</v>
      </c>
      <c r="C28" s="17">
        <f>FLOOR(($C$8-2*$C$12+$C$13)/(B28+$C$13),1)</f>
        <v>9</v>
      </c>
      <c r="D28" s="17">
        <f>C28*(2*$C$5+2*$C$8+2*PI()*($C$12+(C28-1)*B28/2+(C28-1)*$C$13/2))</f>
        <v>176.49158783049324</v>
      </c>
      <c r="E28" s="18">
        <f>B28*$C$14/1000</f>
        <v>3.15E-3</v>
      </c>
      <c r="F28" s="19">
        <f>IF(C28=C29,"",$C$24*D28/E28*1000000)</f>
        <v>963.70009862999473</v>
      </c>
      <c r="G28" s="19">
        <f>IF(C28=C29,"",F28*$C$14/$C$15)</f>
        <v>963.70009862999473</v>
      </c>
      <c r="H28" s="19">
        <f>IF(C28=C29,"",F28*$C$14/$C$16)</f>
        <v>963.70009862999473</v>
      </c>
      <c r="P28" s="4" t="s">
        <v>77</v>
      </c>
      <c r="Q28" t="s">
        <v>110</v>
      </c>
    </row>
    <row r="29" spans="1:25" x14ac:dyDescent="0.25">
      <c r="B29" s="16">
        <f>B28*(1+$B$26)</f>
        <v>9.6299999999999997E-2</v>
      </c>
      <c r="C29" s="17">
        <f t="shared" ref="C29:C54" si="0">FLOOR(($C$8-2*$C$12+$C$13)/(B29+$C$13),1)</f>
        <v>8</v>
      </c>
      <c r="D29" s="17">
        <f t="shared" ref="D29:D37" si="1">C29*(2*$C$5+2*$C$8+2*PI()*($C$12+(C29-1)*B29/2+(C29-1)*$C$13/2))</f>
        <v>153.21454445961288</v>
      </c>
      <c r="E29" s="18">
        <f t="shared" ref="E29:E37" si="2">B29*$C$14/1000</f>
        <v>3.3704999999999998E-3</v>
      </c>
      <c r="F29" s="19" t="str">
        <f t="shared" ref="F29:F46" si="3">IF(C29=C30,"",$C$24*D29/E29*1000000)</f>
        <v/>
      </c>
      <c r="G29" s="19" t="str">
        <f t="shared" ref="G29:G54" si="4">IF(C29=C30,"",F29*$C$14/$C$15)</f>
        <v/>
      </c>
      <c r="H29" s="19" t="str">
        <f t="shared" ref="H29:H54" si="5">IF(C29=C30,"",F29*$C$14/$C$16)</f>
        <v/>
      </c>
      <c r="P29" s="4">
        <v>6</v>
      </c>
      <c r="Q29" t="s">
        <v>76</v>
      </c>
    </row>
    <row r="30" spans="1:25" x14ac:dyDescent="0.25">
      <c r="B30" s="16">
        <f t="shared" ref="B30:B76" si="6">B29*(1+$B$26)</f>
        <v>0.10304100000000001</v>
      </c>
      <c r="C30" s="17">
        <f t="shared" si="0"/>
        <v>8</v>
      </c>
      <c r="D30" s="17">
        <f t="shared" si="1"/>
        <v>154.40048311997242</v>
      </c>
      <c r="E30" s="18">
        <f t="shared" si="2"/>
        <v>3.6064350000000003E-3</v>
      </c>
      <c r="F30" s="19" t="str">
        <f t="shared" si="3"/>
        <v/>
      </c>
      <c r="G30" s="19" t="str">
        <f t="shared" si="4"/>
        <v/>
      </c>
      <c r="H30" s="19" t="str">
        <f t="shared" si="5"/>
        <v/>
      </c>
      <c r="P30" s="4">
        <v>5.8</v>
      </c>
      <c r="Q30" t="s">
        <v>48</v>
      </c>
    </row>
    <row r="31" spans="1:25" x14ac:dyDescent="0.25">
      <c r="B31" s="16">
        <f t="shared" si="6"/>
        <v>0.11025387000000002</v>
      </c>
      <c r="C31" s="17">
        <f t="shared" si="0"/>
        <v>8</v>
      </c>
      <c r="D31" s="17">
        <f t="shared" si="1"/>
        <v>155.66943748655711</v>
      </c>
      <c r="E31" s="18">
        <f t="shared" si="2"/>
        <v>3.8588854500000006E-3</v>
      </c>
      <c r="F31" s="19">
        <f t="shared" si="3"/>
        <v>693.85690750907929</v>
      </c>
      <c r="G31" s="19">
        <f t="shared" si="4"/>
        <v>693.85690750907929</v>
      </c>
      <c r="H31" s="19">
        <f t="shared" si="5"/>
        <v>693.85690750907929</v>
      </c>
      <c r="P31" s="4">
        <v>118</v>
      </c>
      <c r="Q31" t="s">
        <v>75</v>
      </c>
      <c r="R31" t="s">
        <v>163</v>
      </c>
    </row>
    <row r="32" spans="1:25" x14ac:dyDescent="0.25">
      <c r="B32" s="16">
        <f t="shared" si="6"/>
        <v>0.11797164090000002</v>
      </c>
      <c r="C32" s="17">
        <f t="shared" si="0"/>
        <v>7</v>
      </c>
      <c r="D32" s="17">
        <f t="shared" si="1"/>
        <v>132.60536958625593</v>
      </c>
      <c r="E32" s="18">
        <f t="shared" si="2"/>
        <v>4.1290074315000003E-3</v>
      </c>
      <c r="F32" s="19" t="str">
        <f t="shared" si="3"/>
        <v/>
      </c>
      <c r="G32" s="19" t="str">
        <f t="shared" si="4"/>
        <v/>
      </c>
      <c r="H32" s="19" t="str">
        <f t="shared" si="5"/>
        <v/>
      </c>
    </row>
    <row r="33" spans="2:8" x14ac:dyDescent="0.25">
      <c r="B33" s="16">
        <f t="shared" si="6"/>
        <v>0.12622965576300002</v>
      </c>
      <c r="C33" s="17">
        <f t="shared" si="0"/>
        <v>7</v>
      </c>
      <c r="D33" s="17">
        <f t="shared" si="1"/>
        <v>133.69498897698304</v>
      </c>
      <c r="E33" s="18">
        <f t="shared" si="2"/>
        <v>4.4180379517050009E-3</v>
      </c>
      <c r="F33" s="19" t="str">
        <f t="shared" si="3"/>
        <v/>
      </c>
      <c r="G33" s="19" t="str">
        <f t="shared" si="4"/>
        <v/>
      </c>
      <c r="H33" s="19" t="str">
        <f t="shared" si="5"/>
        <v/>
      </c>
    </row>
    <row r="34" spans="2:8" x14ac:dyDescent="0.25">
      <c r="B34" s="16">
        <f t="shared" si="6"/>
        <v>0.13506573166641003</v>
      </c>
      <c r="C34" s="17">
        <f t="shared" si="0"/>
        <v>7</v>
      </c>
      <c r="D34" s="17">
        <f t="shared" si="1"/>
        <v>134.86088172506106</v>
      </c>
      <c r="E34" s="18">
        <f t="shared" si="2"/>
        <v>4.7273006083243512E-3</v>
      </c>
      <c r="F34" s="19" t="str">
        <f t="shared" si="3"/>
        <v/>
      </c>
      <c r="G34" s="19" t="str">
        <f t="shared" si="4"/>
        <v/>
      </c>
      <c r="H34" s="19" t="str">
        <f t="shared" si="5"/>
        <v/>
      </c>
    </row>
    <row r="35" spans="2:8" x14ac:dyDescent="0.25">
      <c r="B35" s="16">
        <f t="shared" si="6"/>
        <v>0.14452033288305874</v>
      </c>
      <c r="C35" s="17">
        <f t="shared" si="0"/>
        <v>7</v>
      </c>
      <c r="D35" s="17">
        <f t="shared" si="1"/>
        <v>136.10838696550456</v>
      </c>
      <c r="E35" s="18">
        <f t="shared" si="2"/>
        <v>5.0582116509070565E-3</v>
      </c>
      <c r="F35" s="19">
        <f t="shared" si="3"/>
        <v>462.82449556788913</v>
      </c>
      <c r="G35" s="19">
        <f t="shared" si="4"/>
        <v>462.82449556788913</v>
      </c>
      <c r="H35" s="19">
        <f t="shared" si="5"/>
        <v>462.82449556788913</v>
      </c>
    </row>
    <row r="36" spans="2:8" x14ac:dyDescent="0.25">
      <c r="B36" s="16">
        <f t="shared" si="6"/>
        <v>0.15463675618487285</v>
      </c>
      <c r="C36" s="17">
        <f t="shared" si="0"/>
        <v>6</v>
      </c>
      <c r="D36" s="17">
        <f t="shared" si="1"/>
        <v>113.0086824298532</v>
      </c>
      <c r="E36" s="18">
        <f t="shared" si="2"/>
        <v>5.4122864664705502E-3</v>
      </c>
      <c r="F36" s="19" t="str">
        <f t="shared" si="3"/>
        <v/>
      </c>
      <c r="G36" s="19" t="str">
        <f t="shared" si="4"/>
        <v/>
      </c>
      <c r="H36" s="19" t="str">
        <f t="shared" si="5"/>
        <v/>
      </c>
    </row>
    <row r="37" spans="2:8" x14ac:dyDescent="0.25">
      <c r="B37" s="16">
        <f t="shared" si="6"/>
        <v>0.16546132911781397</v>
      </c>
      <c r="C37" s="17">
        <f t="shared" si="0"/>
        <v>6</v>
      </c>
      <c r="D37" s="17">
        <f t="shared" si="1"/>
        <v>114.02887439398445</v>
      </c>
      <c r="E37" s="18">
        <f t="shared" si="2"/>
        <v>5.7911465191234886E-3</v>
      </c>
      <c r="F37" s="19" t="str">
        <f t="shared" si="3"/>
        <v/>
      </c>
      <c r="G37" s="19" t="str">
        <f t="shared" si="4"/>
        <v/>
      </c>
      <c r="H37" s="19" t="str">
        <f t="shared" si="5"/>
        <v/>
      </c>
    </row>
    <row r="38" spans="2:8" x14ac:dyDescent="0.25">
      <c r="B38" s="16">
        <f t="shared" si="6"/>
        <v>0.17704362215606095</v>
      </c>
      <c r="C38" s="17">
        <f t="shared" si="0"/>
        <v>6</v>
      </c>
      <c r="D38" s="17">
        <f t="shared" ref="D38:D46" si="7">C38*(2*$C$5+2*$C$8+2*PI()*($C$12+(C38-1)*B38/2+(C38-1)*$C$13/2))</f>
        <v>115.12047979560487</v>
      </c>
      <c r="E38" s="18">
        <f t="shared" ref="E38:E46" si="8">B38*$C$14/1000</f>
        <v>6.1965267754621328E-3</v>
      </c>
      <c r="F38" s="19">
        <f t="shared" si="3"/>
        <v>319.54550092890236</v>
      </c>
      <c r="G38" s="19">
        <f t="shared" si="4"/>
        <v>319.54550092890236</v>
      </c>
      <c r="H38" s="19">
        <f t="shared" si="5"/>
        <v>319.54550092890236</v>
      </c>
    </row>
    <row r="39" spans="2:8" x14ac:dyDescent="0.25">
      <c r="B39" s="16">
        <f t="shared" si="6"/>
        <v>0.18943667570698522</v>
      </c>
      <c r="C39" s="17">
        <f t="shared" si="0"/>
        <v>5</v>
      </c>
      <c r="D39" s="17">
        <f t="shared" si="7"/>
        <v>92.3606206423797</v>
      </c>
      <c r="E39" s="18">
        <f t="shared" si="8"/>
        <v>6.6302836497444829E-3</v>
      </c>
      <c r="F39" s="19" t="str">
        <f t="shared" si="3"/>
        <v/>
      </c>
      <c r="G39" s="19" t="str">
        <f t="shared" si="4"/>
        <v/>
      </c>
      <c r="H39" s="19" t="str">
        <f t="shared" si="5"/>
        <v/>
      </c>
    </row>
    <row r="40" spans="2:8" x14ac:dyDescent="0.25">
      <c r="B40" s="16">
        <f t="shared" si="6"/>
        <v>0.20269724300647421</v>
      </c>
      <c r="C40" s="17">
        <f t="shared" si="0"/>
        <v>5</v>
      </c>
      <c r="D40" s="17">
        <f t="shared" si="7"/>
        <v>93.19380665858985</v>
      </c>
      <c r="E40" s="18">
        <f t="shared" si="8"/>
        <v>7.0944035052265975E-3</v>
      </c>
      <c r="F40" s="19" t="str">
        <f t="shared" si="3"/>
        <v/>
      </c>
      <c r="G40" s="19" t="str">
        <f t="shared" si="4"/>
        <v/>
      </c>
      <c r="H40" s="19" t="str">
        <f t="shared" si="5"/>
        <v/>
      </c>
    </row>
    <row r="41" spans="2:8" x14ac:dyDescent="0.25">
      <c r="B41" s="16">
        <f t="shared" si="6"/>
        <v>0.21688605001692743</v>
      </c>
      <c r="C41" s="17">
        <f t="shared" si="0"/>
        <v>5</v>
      </c>
      <c r="D41" s="17">
        <f t="shared" si="7"/>
        <v>94.08531569593471</v>
      </c>
      <c r="E41" s="18">
        <f t="shared" si="8"/>
        <v>7.5910117505924605E-3</v>
      </c>
      <c r="F41" s="19" t="str">
        <f t="shared" si="3"/>
        <v/>
      </c>
      <c r="G41" s="19" t="str">
        <f t="shared" si="4"/>
        <v/>
      </c>
      <c r="H41" s="19" t="str">
        <f t="shared" si="5"/>
        <v/>
      </c>
    </row>
    <row r="42" spans="2:8" x14ac:dyDescent="0.25">
      <c r="B42" s="16">
        <f t="shared" si="6"/>
        <v>0.23206807351811237</v>
      </c>
      <c r="C42" s="17">
        <f t="shared" si="0"/>
        <v>5</v>
      </c>
      <c r="D42" s="17">
        <f t="shared" si="7"/>
        <v>95.039230365893715</v>
      </c>
      <c r="E42" s="18">
        <f t="shared" si="8"/>
        <v>8.1223825731339336E-3</v>
      </c>
      <c r="F42" s="19">
        <f t="shared" si="3"/>
        <v>201.25557342008457</v>
      </c>
      <c r="G42" s="19">
        <f t="shared" si="4"/>
        <v>201.25557342008457</v>
      </c>
      <c r="H42" s="19">
        <f t="shared" si="5"/>
        <v>201.25557342008457</v>
      </c>
    </row>
    <row r="43" spans="2:8" x14ac:dyDescent="0.25">
      <c r="B43" s="16">
        <f t="shared" si="6"/>
        <v>0.24831283866438025</v>
      </c>
      <c r="C43" s="17">
        <f t="shared" si="0"/>
        <v>4</v>
      </c>
      <c r="D43" s="17">
        <f t="shared" si="7"/>
        <v>72.470907029803783</v>
      </c>
      <c r="E43" s="18">
        <f t="shared" si="8"/>
        <v>8.6909493532533084E-3</v>
      </c>
      <c r="F43" s="19" t="str">
        <f t="shared" si="3"/>
        <v/>
      </c>
      <c r="G43" s="19" t="str">
        <f t="shared" si="4"/>
        <v/>
      </c>
      <c r="H43" s="19" t="str">
        <f t="shared" si="5"/>
        <v/>
      </c>
    </row>
    <row r="44" spans="2:8" x14ac:dyDescent="0.25">
      <c r="B44" s="16">
        <f t="shared" si="6"/>
        <v>0.26569473737088689</v>
      </c>
      <c r="C44" s="17">
        <f t="shared" si="0"/>
        <v>4</v>
      </c>
      <c r="D44" s="17">
        <f t="shared" si="7"/>
        <v>73.126189173185423</v>
      </c>
      <c r="E44" s="18">
        <f t="shared" si="8"/>
        <v>9.2993158079810422E-3</v>
      </c>
      <c r="F44" s="19" t="str">
        <f t="shared" si="3"/>
        <v/>
      </c>
      <c r="G44" s="19" t="str">
        <f t="shared" si="4"/>
        <v/>
      </c>
      <c r="H44" s="19" t="str">
        <f t="shared" si="5"/>
        <v/>
      </c>
    </row>
    <row r="45" spans="2:8" x14ac:dyDescent="0.25">
      <c r="B45" s="16">
        <f t="shared" si="6"/>
        <v>0.28429336898684898</v>
      </c>
      <c r="C45" s="17">
        <f t="shared" si="0"/>
        <v>4</v>
      </c>
      <c r="D45" s="17">
        <f t="shared" si="7"/>
        <v>73.827341066603779</v>
      </c>
      <c r="E45" s="18">
        <f t="shared" si="8"/>
        <v>9.9502679145397153E-3</v>
      </c>
      <c r="F45" s="19" t="str">
        <f t="shared" si="3"/>
        <v/>
      </c>
      <c r="G45" s="19" t="str">
        <f t="shared" si="4"/>
        <v/>
      </c>
      <c r="H45" s="19" t="str">
        <f t="shared" si="5"/>
        <v/>
      </c>
    </row>
    <row r="46" spans="2:8" x14ac:dyDescent="0.25">
      <c r="B46" s="16">
        <f t="shared" si="6"/>
        <v>0.30419390481592845</v>
      </c>
      <c r="C46" s="17">
        <f t="shared" si="0"/>
        <v>4</v>
      </c>
      <c r="D46" s="17">
        <f t="shared" si="7"/>
        <v>74.577573592561407</v>
      </c>
      <c r="E46" s="18">
        <f t="shared" si="8"/>
        <v>1.0646786668557496E-2</v>
      </c>
      <c r="F46" s="19" t="str">
        <f t="shared" si="3"/>
        <v/>
      </c>
      <c r="G46" s="19" t="str">
        <f t="shared" si="4"/>
        <v/>
      </c>
      <c r="H46" s="19" t="str">
        <f t="shared" si="5"/>
        <v/>
      </c>
    </row>
    <row r="47" spans="2:8" x14ac:dyDescent="0.25">
      <c r="B47" s="16">
        <f t="shared" si="6"/>
        <v>0.32548747815304346</v>
      </c>
      <c r="C47" s="17">
        <f t="shared" si="0"/>
        <v>4</v>
      </c>
      <c r="D47" s="17">
        <f t="shared" ref="D47:D54" si="9">C47*(2*$C$5+2*$C$8+2*PI()*($C$12+(C47-1)*B47/2+(C47-1)*$C$13/2))</f>
        <v>75.380322395336094</v>
      </c>
      <c r="E47" s="18">
        <f t="shared" ref="E47:E54" si="10">B47*$C$14/1000</f>
        <v>1.1392061735356521E-2</v>
      </c>
      <c r="F47" s="19">
        <f t="shared" ref="F47:F54" si="11">IF(C47=C48,"",$C$24*D47/E47*1000000)</f>
        <v>113.81096550555209</v>
      </c>
      <c r="G47" s="19">
        <f t="shared" si="4"/>
        <v>113.81096550555209</v>
      </c>
      <c r="H47" s="19">
        <f t="shared" si="5"/>
        <v>113.81096550555209</v>
      </c>
    </row>
    <row r="48" spans="2:8" x14ac:dyDescent="0.25">
      <c r="B48" s="16">
        <f t="shared" si="6"/>
        <v>0.34827160162375653</v>
      </c>
      <c r="C48" s="17">
        <f t="shared" si="0"/>
        <v>3</v>
      </c>
      <c r="D48" s="17">
        <f t="shared" si="9"/>
        <v>52.954587399306369</v>
      </c>
      <c r="E48" s="18">
        <f t="shared" si="10"/>
        <v>1.2189506056831478E-2</v>
      </c>
      <c r="F48" s="19" t="str">
        <f t="shared" si="11"/>
        <v/>
      </c>
      <c r="G48" s="19" t="str">
        <f t="shared" si="4"/>
        <v/>
      </c>
      <c r="H48" s="19" t="str">
        <f t="shared" si="5"/>
        <v/>
      </c>
    </row>
    <row r="49" spans="2:8" x14ac:dyDescent="0.25">
      <c r="B49" s="16">
        <f t="shared" si="6"/>
        <v>0.37265061373741953</v>
      </c>
      <c r="C49" s="17">
        <f t="shared" si="0"/>
        <v>3</v>
      </c>
      <c r="D49" s="17">
        <f t="shared" si="9"/>
        <v>53.414120951454727</v>
      </c>
      <c r="E49" s="18">
        <f t="shared" si="10"/>
        <v>1.3042771480809684E-2</v>
      </c>
      <c r="F49" s="19" t="str">
        <f t="shared" si="11"/>
        <v/>
      </c>
      <c r="G49" s="19" t="str">
        <f t="shared" si="4"/>
        <v/>
      </c>
      <c r="H49" s="19" t="str">
        <f t="shared" si="5"/>
        <v/>
      </c>
    </row>
    <row r="50" spans="2:8" x14ac:dyDescent="0.25">
      <c r="B50" s="16">
        <f t="shared" si="6"/>
        <v>0.39873615669903895</v>
      </c>
      <c r="C50" s="17">
        <f t="shared" si="0"/>
        <v>3</v>
      </c>
      <c r="D50" s="17">
        <f t="shared" si="9"/>
        <v>53.905821852253474</v>
      </c>
      <c r="E50" s="18">
        <f t="shared" si="10"/>
        <v>1.3955765484466363E-2</v>
      </c>
      <c r="F50" s="19" t="str">
        <f t="shared" si="11"/>
        <v/>
      </c>
      <c r="G50" s="19" t="str">
        <f t="shared" si="4"/>
        <v/>
      </c>
      <c r="H50" s="19" t="str">
        <f t="shared" si="5"/>
        <v/>
      </c>
    </row>
    <row r="51" spans="2:8" x14ac:dyDescent="0.25">
      <c r="B51" s="16">
        <f t="shared" si="6"/>
        <v>0.42664768766797168</v>
      </c>
      <c r="C51" s="17">
        <f t="shared" si="0"/>
        <v>3</v>
      </c>
      <c r="D51" s="17">
        <f t="shared" si="9"/>
        <v>54.431941816108136</v>
      </c>
      <c r="E51" s="18">
        <f t="shared" si="10"/>
        <v>1.4932669068379008E-2</v>
      </c>
      <c r="F51" s="19" t="str">
        <f t="shared" si="11"/>
        <v/>
      </c>
      <c r="G51" s="19" t="str">
        <f t="shared" si="4"/>
        <v/>
      </c>
      <c r="H51" s="19" t="str">
        <f t="shared" si="5"/>
        <v/>
      </c>
    </row>
    <row r="52" spans="2:8" x14ac:dyDescent="0.25">
      <c r="B52" s="16">
        <f t="shared" si="6"/>
        <v>0.45651302580472974</v>
      </c>
      <c r="C52" s="17">
        <f t="shared" si="0"/>
        <v>3</v>
      </c>
      <c r="D52" s="17">
        <f t="shared" si="9"/>
        <v>54.994890177432623</v>
      </c>
      <c r="E52" s="18">
        <f t="shared" si="10"/>
        <v>1.5977955903165541E-2</v>
      </c>
      <c r="F52" s="19">
        <f t="shared" si="11"/>
        <v>59.201071575397059</v>
      </c>
      <c r="G52" s="19">
        <f t="shared" si="4"/>
        <v>59.201071575397052</v>
      </c>
      <c r="H52" s="19">
        <f t="shared" si="5"/>
        <v>59.201071575397052</v>
      </c>
    </row>
    <row r="53" spans="2:8" x14ac:dyDescent="0.25">
      <c r="B53" s="16">
        <f t="shared" si="6"/>
        <v>0.48846893761106086</v>
      </c>
      <c r="C53" s="17">
        <f t="shared" si="0"/>
        <v>2</v>
      </c>
      <c r="D53" s="17">
        <f t="shared" si="9"/>
        <v>33.367370566837153</v>
      </c>
      <c r="E53" s="18">
        <f t="shared" si="10"/>
        <v>1.709641281638713E-2</v>
      </c>
      <c r="F53" s="19" t="str">
        <f t="shared" si="11"/>
        <v/>
      </c>
      <c r="G53" s="19" t="str">
        <f t="shared" si="4"/>
        <v/>
      </c>
      <c r="H53" s="19" t="str">
        <f t="shared" si="5"/>
        <v/>
      </c>
    </row>
    <row r="54" spans="2:8" x14ac:dyDescent="0.25">
      <c r="B54" s="16">
        <f t="shared" si="6"/>
        <v>0.52266176324383518</v>
      </c>
      <c r="C54" s="17">
        <f t="shared" si="0"/>
        <v>2</v>
      </c>
      <c r="D54" s="17">
        <f t="shared" si="9"/>
        <v>33.582210426463952</v>
      </c>
      <c r="E54" s="18">
        <f t="shared" si="10"/>
        <v>1.829316171353423E-2</v>
      </c>
      <c r="F54" s="19" t="str">
        <f t="shared" si="11"/>
        <v/>
      </c>
      <c r="G54" s="19" t="str">
        <f t="shared" si="4"/>
        <v/>
      </c>
      <c r="H54" s="19" t="str">
        <f t="shared" si="5"/>
        <v/>
      </c>
    </row>
    <row r="55" spans="2:8" x14ac:dyDescent="0.25">
      <c r="B55" s="16">
        <f t="shared" si="6"/>
        <v>0.55924808667090364</v>
      </c>
      <c r="C55" s="17">
        <f t="shared" ref="C55:C66" si="12">FLOOR(($C$8-2*$C$12+$C$13)/(B55+$C$13),1)</f>
        <v>2</v>
      </c>
      <c r="D55" s="17">
        <f t="shared" ref="D55:D66" si="13">C55*(2*$C$5+2*$C$8+2*PI()*($C$12+(C55-1)*B55/2+(C55-1)*$C$13/2))</f>
        <v>33.812089076264627</v>
      </c>
      <c r="E55" s="18">
        <f t="shared" ref="E55:E66" si="14">B55*$C$14/1000</f>
        <v>1.9573683033481629E-2</v>
      </c>
      <c r="F55" s="19" t="str">
        <f t="shared" ref="F55:F66" si="15">IF(C55=C56,"",$C$24*D55/E55*1000000)</f>
        <v/>
      </c>
      <c r="G55" s="19" t="str">
        <f t="shared" ref="G55:G66" si="16">IF(C55=C56,"",F55*$C$14/$C$15)</f>
        <v/>
      </c>
      <c r="H55" s="19" t="str">
        <f t="shared" ref="H55:H66" si="17">IF(C55=C56,"",F55*$C$14/$C$16)</f>
        <v/>
      </c>
    </row>
    <row r="56" spans="2:8" x14ac:dyDescent="0.25">
      <c r="B56" s="16">
        <f t="shared" si="6"/>
        <v>0.59839545273786698</v>
      </c>
      <c r="C56" s="17">
        <f t="shared" si="12"/>
        <v>2</v>
      </c>
      <c r="D56" s="17">
        <f t="shared" si="13"/>
        <v>34.058059231551354</v>
      </c>
      <c r="E56" s="18">
        <f t="shared" si="14"/>
        <v>2.0943840845825346E-2</v>
      </c>
      <c r="F56" s="19" t="str">
        <f t="shared" si="15"/>
        <v/>
      </c>
      <c r="G56" s="19" t="str">
        <f t="shared" si="16"/>
        <v/>
      </c>
      <c r="H56" s="19" t="str">
        <f t="shared" si="17"/>
        <v/>
      </c>
    </row>
    <row r="57" spans="2:8" x14ac:dyDescent="0.25">
      <c r="B57" s="16">
        <f t="shared" si="6"/>
        <v>0.64028313442951768</v>
      </c>
      <c r="C57" s="17">
        <f t="shared" si="12"/>
        <v>2</v>
      </c>
      <c r="D57" s="17">
        <f t="shared" si="13"/>
        <v>34.321247297708148</v>
      </c>
      <c r="E57" s="18">
        <f t="shared" si="14"/>
        <v>2.2409909705033117E-2</v>
      </c>
      <c r="F57" s="19" t="str">
        <f t="shared" si="15"/>
        <v/>
      </c>
      <c r="G57" s="19" t="str">
        <f t="shared" si="16"/>
        <v/>
      </c>
      <c r="H57" s="19" t="str">
        <f t="shared" si="17"/>
        <v/>
      </c>
    </row>
    <row r="58" spans="2:8" x14ac:dyDescent="0.25">
      <c r="B58" s="16">
        <f t="shared" si="6"/>
        <v>0.68510295383958397</v>
      </c>
      <c r="C58" s="17">
        <f t="shared" si="12"/>
        <v>2</v>
      </c>
      <c r="D58" s="17">
        <f t="shared" si="13"/>
        <v>34.602858528495915</v>
      </c>
      <c r="E58" s="18">
        <f t="shared" si="14"/>
        <v>2.3978603384385441E-2</v>
      </c>
      <c r="F58" s="19" t="str">
        <f t="shared" si="15"/>
        <v/>
      </c>
      <c r="G58" s="19" t="str">
        <f t="shared" si="16"/>
        <v/>
      </c>
      <c r="H58" s="19" t="str">
        <f t="shared" si="17"/>
        <v/>
      </c>
    </row>
    <row r="59" spans="2:8" x14ac:dyDescent="0.25">
      <c r="B59" s="16">
        <f t="shared" si="6"/>
        <v>0.73306016060835488</v>
      </c>
      <c r="C59" s="17">
        <f t="shared" si="12"/>
        <v>2</v>
      </c>
      <c r="D59" s="17">
        <f t="shared" si="13"/>
        <v>34.904182545438829</v>
      </c>
      <c r="E59" s="18">
        <f t="shared" si="14"/>
        <v>2.565710562129242E-2</v>
      </c>
      <c r="F59" s="19">
        <f t="shared" si="15"/>
        <v>23.399051656213526</v>
      </c>
      <c r="G59" s="19">
        <f t="shared" si="16"/>
        <v>23.399051656213526</v>
      </c>
      <c r="H59" s="19">
        <f t="shared" si="17"/>
        <v>23.399051656213526</v>
      </c>
    </row>
    <row r="60" spans="2:8" x14ac:dyDescent="0.25">
      <c r="B60" s="16">
        <f t="shared" si="6"/>
        <v>0.78437437185093972</v>
      </c>
      <c r="C60" s="17">
        <f t="shared" si="12"/>
        <v>1</v>
      </c>
      <c r="D60" s="17">
        <f t="shared" si="13"/>
        <v>14.834955592153875</v>
      </c>
      <c r="E60" s="18">
        <f t="shared" si="14"/>
        <v>2.745310301478289E-2</v>
      </c>
      <c r="F60" s="19" t="str">
        <f t="shared" si="15"/>
        <v/>
      </c>
      <c r="G60" s="19" t="str">
        <f t="shared" si="16"/>
        <v/>
      </c>
      <c r="H60" s="19" t="str">
        <f t="shared" si="17"/>
        <v/>
      </c>
    </row>
    <row r="61" spans="2:8" x14ac:dyDescent="0.25">
      <c r="B61" s="16">
        <f t="shared" si="6"/>
        <v>0.83928057788050558</v>
      </c>
      <c r="C61" s="17">
        <f t="shared" si="12"/>
        <v>1</v>
      </c>
      <c r="D61" s="17">
        <f t="shared" si="13"/>
        <v>14.834955592153875</v>
      </c>
      <c r="E61" s="18">
        <f t="shared" si="14"/>
        <v>2.9374820225817697E-2</v>
      </c>
      <c r="F61" s="19" t="str">
        <f t="shared" si="15"/>
        <v/>
      </c>
      <c r="G61" s="19" t="str">
        <f t="shared" si="16"/>
        <v/>
      </c>
      <c r="H61" s="19" t="str">
        <f t="shared" si="17"/>
        <v/>
      </c>
    </row>
    <row r="62" spans="2:8" x14ac:dyDescent="0.25">
      <c r="B62" s="16">
        <f t="shared" si="6"/>
        <v>0.89803021833214103</v>
      </c>
      <c r="C62" s="17">
        <f t="shared" si="12"/>
        <v>1</v>
      </c>
      <c r="D62" s="17">
        <f t="shared" si="13"/>
        <v>14.834955592153875</v>
      </c>
      <c r="E62" s="18">
        <f t="shared" si="14"/>
        <v>3.1431057641624932E-2</v>
      </c>
      <c r="F62" s="19" t="str">
        <f t="shared" si="15"/>
        <v/>
      </c>
      <c r="G62" s="19" t="str">
        <f t="shared" si="16"/>
        <v/>
      </c>
      <c r="H62" s="19" t="str">
        <f t="shared" si="17"/>
        <v/>
      </c>
    </row>
    <row r="63" spans="2:8" x14ac:dyDescent="0.25">
      <c r="B63" s="16">
        <f t="shared" si="6"/>
        <v>0.96089233361539095</v>
      </c>
      <c r="C63" s="17">
        <f t="shared" si="12"/>
        <v>1</v>
      </c>
      <c r="D63" s="17">
        <f t="shared" si="13"/>
        <v>14.834955592153875</v>
      </c>
      <c r="E63" s="18">
        <f t="shared" si="14"/>
        <v>3.3631231676538684E-2</v>
      </c>
      <c r="F63" s="19" t="str">
        <f t="shared" si="15"/>
        <v/>
      </c>
      <c r="G63" s="19" t="str">
        <f t="shared" si="16"/>
        <v/>
      </c>
      <c r="H63" s="19" t="str">
        <f t="shared" si="17"/>
        <v/>
      </c>
    </row>
    <row r="64" spans="2:8" x14ac:dyDescent="0.25">
      <c r="B64" s="16">
        <f t="shared" si="6"/>
        <v>1.0281547969684683</v>
      </c>
      <c r="C64" s="17">
        <f t="shared" si="12"/>
        <v>1</v>
      </c>
      <c r="D64" s="17">
        <f t="shared" si="13"/>
        <v>14.834955592153875</v>
      </c>
      <c r="E64" s="18">
        <f t="shared" si="14"/>
        <v>3.5985417893896393E-2</v>
      </c>
      <c r="F64" s="19" t="str">
        <f t="shared" si="15"/>
        <v/>
      </c>
      <c r="G64" s="19" t="str">
        <f t="shared" si="16"/>
        <v/>
      </c>
      <c r="H64" s="19" t="str">
        <f t="shared" si="17"/>
        <v/>
      </c>
    </row>
    <row r="65" spans="2:8" x14ac:dyDescent="0.25">
      <c r="B65" s="16">
        <f t="shared" si="6"/>
        <v>1.1001256327562612</v>
      </c>
      <c r="C65" s="17">
        <f t="shared" si="12"/>
        <v>1</v>
      </c>
      <c r="D65" s="17">
        <f t="shared" si="13"/>
        <v>14.834955592153875</v>
      </c>
      <c r="E65" s="18">
        <f t="shared" si="14"/>
        <v>3.8504397146469138E-2</v>
      </c>
      <c r="F65" s="19" t="str">
        <f t="shared" si="15"/>
        <v/>
      </c>
      <c r="G65" s="19" t="str">
        <f t="shared" si="16"/>
        <v/>
      </c>
      <c r="H65" s="19" t="str">
        <f t="shared" si="17"/>
        <v/>
      </c>
    </row>
    <row r="66" spans="2:8" x14ac:dyDescent="0.25">
      <c r="B66" s="16">
        <f t="shared" si="6"/>
        <v>1.1771344270491995</v>
      </c>
      <c r="C66" s="17">
        <f t="shared" si="12"/>
        <v>1</v>
      </c>
      <c r="D66" s="17">
        <f t="shared" si="13"/>
        <v>14.834955592153875</v>
      </c>
      <c r="E66" s="18">
        <f t="shared" si="14"/>
        <v>4.1199704946721982E-2</v>
      </c>
      <c r="F66" s="19" t="str">
        <f t="shared" si="15"/>
        <v/>
      </c>
      <c r="G66" s="19" t="str">
        <f t="shared" si="16"/>
        <v/>
      </c>
      <c r="H66" s="19" t="str">
        <f t="shared" si="17"/>
        <v/>
      </c>
    </row>
    <row r="67" spans="2:8" x14ac:dyDescent="0.25">
      <c r="B67" s="16">
        <f t="shared" si="6"/>
        <v>1.2595338369426434</v>
      </c>
      <c r="C67" s="17">
        <f t="shared" ref="C67:C76" si="18">FLOOR(($C$8-2*$C$12+$C$13)/(B67+$C$13),1)</f>
        <v>1</v>
      </c>
      <c r="D67" s="17">
        <f t="shared" ref="D67:D76" si="19">C67*(2*$C$5+2*$C$8+2*PI()*($C$12+(C67-1)*B67/2+(C67-1)*$C$13/2))</f>
        <v>14.834955592153875</v>
      </c>
      <c r="E67" s="18">
        <f t="shared" ref="E67:E76" si="20">B67*$C$14/1000</f>
        <v>4.4083684292992524E-2</v>
      </c>
      <c r="F67" s="19" t="str">
        <f t="shared" ref="F67:F76" si="21">IF(C67=C68,"",$C$24*D67/E67*1000000)</f>
        <v/>
      </c>
      <c r="G67" s="19" t="str">
        <f t="shared" ref="G67:G76" si="22">IF(C67=C68,"",F67*$C$14/$C$15)</f>
        <v/>
      </c>
      <c r="H67" s="19" t="str">
        <f t="shared" ref="H67:H76" si="23">IF(C67=C68,"",F67*$C$14/$C$16)</f>
        <v/>
      </c>
    </row>
    <row r="68" spans="2:8" x14ac:dyDescent="0.25">
      <c r="B68" s="16">
        <f t="shared" si="6"/>
        <v>1.3477012055286286</v>
      </c>
      <c r="C68" s="17">
        <f t="shared" si="18"/>
        <v>1</v>
      </c>
      <c r="D68" s="17">
        <f t="shared" si="19"/>
        <v>14.834955592153875</v>
      </c>
      <c r="E68" s="18">
        <f t="shared" si="20"/>
        <v>4.7169542193502001E-2</v>
      </c>
      <c r="F68" s="19" t="str">
        <f t="shared" si="21"/>
        <v/>
      </c>
      <c r="G68" s="19" t="str">
        <f t="shared" si="22"/>
        <v/>
      </c>
      <c r="H68" s="19" t="str">
        <f t="shared" si="23"/>
        <v/>
      </c>
    </row>
    <row r="69" spans="2:8" x14ac:dyDescent="0.25">
      <c r="B69" s="16">
        <f t="shared" si="6"/>
        <v>1.4420402899156326</v>
      </c>
      <c r="C69" s="17">
        <f t="shared" si="18"/>
        <v>1</v>
      </c>
      <c r="D69" s="17">
        <f t="shared" si="19"/>
        <v>14.834955592153875</v>
      </c>
      <c r="E69" s="18">
        <f t="shared" si="20"/>
        <v>5.047141014704714E-2</v>
      </c>
      <c r="F69" s="19" t="str">
        <f t="shared" si="21"/>
        <v/>
      </c>
      <c r="G69" s="19" t="str">
        <f t="shared" si="22"/>
        <v/>
      </c>
      <c r="H69" s="19" t="str">
        <f t="shared" si="23"/>
        <v/>
      </c>
    </row>
    <row r="70" spans="2:8" x14ac:dyDescent="0.25">
      <c r="B70" s="16">
        <f t="shared" si="6"/>
        <v>1.5429831102097269</v>
      </c>
      <c r="C70" s="17">
        <f t="shared" si="18"/>
        <v>1</v>
      </c>
      <c r="D70" s="17">
        <f t="shared" si="19"/>
        <v>14.834955592153875</v>
      </c>
      <c r="E70" s="18">
        <f t="shared" si="20"/>
        <v>5.4004408857340445E-2</v>
      </c>
      <c r="F70" s="19">
        <f t="shared" si="21"/>
        <v>4.7248223169905943</v>
      </c>
      <c r="G70" s="19">
        <f t="shared" si="22"/>
        <v>4.7248223169905943</v>
      </c>
      <c r="H70" s="19">
        <f t="shared" si="23"/>
        <v>4.7248223169905943</v>
      </c>
    </row>
    <row r="71" spans="2:8" x14ac:dyDescent="0.25">
      <c r="B71" s="16">
        <f t="shared" si="6"/>
        <v>1.6509919279244079</v>
      </c>
      <c r="C71" s="17">
        <f t="shared" si="18"/>
        <v>0</v>
      </c>
      <c r="D71" s="17">
        <f t="shared" si="19"/>
        <v>0</v>
      </c>
      <c r="E71" s="18">
        <f t="shared" si="20"/>
        <v>5.778471747735428E-2</v>
      </c>
      <c r="F71" s="19" t="str">
        <f t="shared" si="21"/>
        <v/>
      </c>
      <c r="G71" s="19" t="str">
        <f t="shared" si="22"/>
        <v/>
      </c>
      <c r="H71" s="19" t="str">
        <f t="shared" si="23"/>
        <v/>
      </c>
    </row>
    <row r="72" spans="2:8" x14ac:dyDescent="0.25">
      <c r="B72" s="16">
        <f t="shared" si="6"/>
        <v>1.7665613628791166</v>
      </c>
      <c r="C72" s="17">
        <f t="shared" si="18"/>
        <v>0</v>
      </c>
      <c r="D72" s="17">
        <f t="shared" si="19"/>
        <v>0</v>
      </c>
      <c r="E72" s="18">
        <f t="shared" si="20"/>
        <v>6.1829647700769083E-2</v>
      </c>
      <c r="F72" s="19" t="str">
        <f t="shared" si="21"/>
        <v/>
      </c>
      <c r="G72" s="19" t="str">
        <f t="shared" si="22"/>
        <v/>
      </c>
      <c r="H72" s="19" t="str">
        <f t="shared" si="23"/>
        <v/>
      </c>
    </row>
    <row r="73" spans="2:8" x14ac:dyDescent="0.25">
      <c r="B73" s="16">
        <f t="shared" si="6"/>
        <v>1.8902206582806549</v>
      </c>
      <c r="C73" s="17">
        <f t="shared" si="18"/>
        <v>0</v>
      </c>
      <c r="D73" s="17">
        <f t="shared" si="19"/>
        <v>0</v>
      </c>
      <c r="E73" s="18">
        <f t="shared" si="20"/>
        <v>6.6157723039822924E-2</v>
      </c>
      <c r="F73" s="19" t="str">
        <f t="shared" si="21"/>
        <v/>
      </c>
      <c r="G73" s="19" t="str">
        <f t="shared" si="22"/>
        <v/>
      </c>
      <c r="H73" s="19" t="str">
        <f t="shared" si="23"/>
        <v/>
      </c>
    </row>
    <row r="74" spans="2:8" x14ac:dyDescent="0.25">
      <c r="B74" s="16">
        <f t="shared" si="6"/>
        <v>2.022536104360301</v>
      </c>
      <c r="C74" s="17">
        <f t="shared" si="18"/>
        <v>0</v>
      </c>
      <c r="D74" s="17">
        <f t="shared" si="19"/>
        <v>0</v>
      </c>
      <c r="E74" s="18">
        <f t="shared" si="20"/>
        <v>7.0788763652610526E-2</v>
      </c>
      <c r="F74" s="19" t="str">
        <f t="shared" si="21"/>
        <v/>
      </c>
      <c r="G74" s="19" t="str">
        <f t="shared" si="22"/>
        <v/>
      </c>
      <c r="H74" s="19" t="str">
        <f t="shared" si="23"/>
        <v/>
      </c>
    </row>
    <row r="75" spans="2:8" x14ac:dyDescent="0.25">
      <c r="B75" s="16">
        <f t="shared" si="6"/>
        <v>2.1641136316655221</v>
      </c>
      <c r="C75" s="17">
        <f t="shared" si="18"/>
        <v>0</v>
      </c>
      <c r="D75" s="17">
        <f t="shared" si="19"/>
        <v>0</v>
      </c>
      <c r="E75" s="18">
        <f t="shared" si="20"/>
        <v>7.5743977108293281E-2</v>
      </c>
      <c r="F75" s="19" t="str">
        <f t="shared" si="21"/>
        <v/>
      </c>
      <c r="G75" s="19" t="str">
        <f t="shared" si="22"/>
        <v/>
      </c>
      <c r="H75" s="19" t="str">
        <f t="shared" si="23"/>
        <v/>
      </c>
    </row>
    <row r="76" spans="2:8" x14ac:dyDescent="0.25">
      <c r="B76" s="16">
        <f t="shared" si="6"/>
        <v>2.3156015858821086</v>
      </c>
      <c r="C76" s="17">
        <f t="shared" si="18"/>
        <v>0</v>
      </c>
      <c r="D76" s="17">
        <f t="shared" si="19"/>
        <v>0</v>
      </c>
      <c r="E76" s="18">
        <f t="shared" si="20"/>
        <v>8.1046055505873793E-2</v>
      </c>
      <c r="F76" s="19" t="str">
        <f t="shared" si="21"/>
        <v/>
      </c>
      <c r="G76" s="19" t="str">
        <f t="shared" si="22"/>
        <v/>
      </c>
      <c r="H76" s="19" t="str">
        <f t="shared" si="23"/>
        <v/>
      </c>
    </row>
    <row r="77" spans="2:8" x14ac:dyDescent="0.25">
      <c r="B77" s="2"/>
      <c r="C77" s="1"/>
      <c r="D77" s="2"/>
      <c r="F77" s="1"/>
    </row>
    <row r="78" spans="2:8" x14ac:dyDescent="0.25">
      <c r="B78" s="2"/>
      <c r="C78" s="1"/>
      <c r="D78" s="2"/>
      <c r="F78" s="1"/>
    </row>
    <row r="79" spans="2:8" x14ac:dyDescent="0.25">
      <c r="B79" s="2"/>
      <c r="C79" s="1"/>
      <c r="D79" s="2"/>
      <c r="F79" s="1"/>
    </row>
    <row r="80" spans="2:8" x14ac:dyDescent="0.25">
      <c r="B80" s="2"/>
      <c r="C80" s="1"/>
      <c r="D80" s="2"/>
      <c r="F80" s="1"/>
    </row>
    <row r="81" spans="2:6" x14ac:dyDescent="0.25">
      <c r="B81" s="2"/>
      <c r="C81" s="1"/>
      <c r="D81" s="2"/>
      <c r="F81" s="1"/>
    </row>
    <row r="82" spans="2:6" x14ac:dyDescent="0.25">
      <c r="B82" s="2"/>
      <c r="C82" s="1"/>
      <c r="D82" s="2"/>
      <c r="F82" s="1"/>
    </row>
    <row r="83" spans="2:6" x14ac:dyDescent="0.25">
      <c r="B83" s="2"/>
      <c r="C83" s="1"/>
      <c r="D83" s="2"/>
      <c r="F83" s="1"/>
    </row>
    <row r="84" spans="2:6" x14ac:dyDescent="0.25">
      <c r="B84" s="2"/>
      <c r="C84" s="1"/>
      <c r="D84" s="2"/>
      <c r="F84" s="1"/>
    </row>
  </sheetData>
  <mergeCells count="24">
    <mergeCell ref="A19:A23"/>
    <mergeCell ref="E3:I3"/>
    <mergeCell ref="E4:I4"/>
    <mergeCell ref="E5:I5"/>
    <mergeCell ref="E6:I6"/>
    <mergeCell ref="E7:I7"/>
    <mergeCell ref="E23:I23"/>
    <mergeCell ref="A3:A9"/>
    <mergeCell ref="A12:A17"/>
    <mergeCell ref="E24:I24"/>
    <mergeCell ref="E8:I8"/>
    <mergeCell ref="E9:I9"/>
    <mergeCell ref="E10:I10"/>
    <mergeCell ref="E11:I11"/>
    <mergeCell ref="E12:I12"/>
    <mergeCell ref="E13:I13"/>
    <mergeCell ref="E19:I19"/>
    <mergeCell ref="E20:I20"/>
    <mergeCell ref="E21:I21"/>
    <mergeCell ref="E22:I22"/>
    <mergeCell ref="E14:I14"/>
    <mergeCell ref="E15:I15"/>
    <mergeCell ref="E16:I16"/>
    <mergeCell ref="E17:I17"/>
  </mergeCells>
  <conditionalFormatting sqref="L15:L1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{CE8172FF-2FC0-48A9-A502-62CA8AFA77B6}</x14:id>
        </ext>
      </extLst>
    </cfRule>
  </conditionalFormatting>
  <conditionalFormatting sqref="L23 L21 L2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{AAE1FC71-E2FD-400A-BDF1-D0150903926B}</x14:id>
        </ext>
      </extLst>
    </cfRule>
  </conditionalFormatting>
  <dataValidations count="2">
    <dataValidation type="list" allowBlank="1" showInputMessage="1" showErrorMessage="1" sqref="C14 C15 C16" xr:uid="{3A21EAD5-C7BA-4B8F-A999-978E42F64A50}">
      <formula1>"17.5,35"</formula1>
    </dataValidation>
    <dataValidation type="list" allowBlank="1" showInputMessage="1" showErrorMessage="1" sqref="C17" xr:uid="{1E2F7F73-B107-4F94-9958-A065034E7FC1}">
      <formula1>"1,2,3"</formula1>
    </dataValidation>
  </dataValidations>
  <hyperlinks>
    <hyperlink ref="D2" r:id="rId1" xr:uid="{1AC96FB4-422E-42F1-BC7F-0E88B4F9ED88}"/>
    <hyperlink ref="D1" r:id="rId2" xr:uid="{38E07304-78CF-43DA-87DE-F1C7A65EC968}"/>
  </hyperlinks>
  <pageMargins left="0.7" right="0.7" top="0.75" bottom="0.75" header="0.3" footer="0.3"/>
  <pageSetup paperSize="9" orientation="portrait" r:id="rId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8172FF-2FC0-48A9-A502-62CA8AFA77B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L15:L17</xm:sqref>
        </x14:conditionalFormatting>
        <x14:conditionalFormatting xmlns:xm="http://schemas.microsoft.com/office/excel/2006/main">
          <x14:cfRule type="dataBar" id="{AAE1FC71-E2FD-400A-BDF1-D0150903926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L23 L21 L25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03EE8-29D7-4019-8083-16EB681C1971}">
  <dimension ref="A2:Z84"/>
  <sheetViews>
    <sheetView zoomScale="85" zoomScaleNormal="85" workbookViewId="0">
      <selection activeCell="X2" sqref="X2"/>
    </sheetView>
  </sheetViews>
  <sheetFormatPr defaultColWidth="8.85546875" defaultRowHeight="15" x14ac:dyDescent="0.25"/>
  <cols>
    <col min="1" max="1" width="9.28515625" style="4" customWidth="1"/>
    <col min="2" max="2" width="12.28515625" style="4" bestFit="1" customWidth="1"/>
    <col min="3" max="3" width="9.7109375" style="4" bestFit="1" customWidth="1"/>
    <col min="4" max="4" width="16.28515625" style="4" bestFit="1" customWidth="1"/>
    <col min="5" max="5" width="18.28515625" style="4" bestFit="1" customWidth="1"/>
    <col min="6" max="8" width="17.42578125" style="4" bestFit="1" customWidth="1"/>
    <col min="9" max="10" width="16.140625" style="4" customWidth="1"/>
    <col min="11" max="11" width="9.42578125" style="4" bestFit="1" customWidth="1"/>
    <col min="12" max="12" width="11.28515625" style="4" customWidth="1"/>
    <col min="13" max="13" width="5.28515625" style="4" bestFit="1" customWidth="1"/>
    <col min="14" max="14" width="30.42578125" style="4" bestFit="1" customWidth="1"/>
    <col min="15" max="22" width="8.85546875" style="4"/>
    <col min="23" max="23" width="13.7109375" style="4" customWidth="1"/>
    <col min="24" max="24" width="11" style="4" bestFit="1" customWidth="1"/>
    <col min="25" max="16384" width="8.85546875" style="4"/>
  </cols>
  <sheetData>
    <row r="2" spans="1:26" ht="15.75" thickBot="1" x14ac:dyDescent="0.3">
      <c r="K2" s="4" t="s">
        <v>51</v>
      </c>
      <c r="L2" s="4">
        <v>0.1</v>
      </c>
      <c r="M2" s="4" t="s">
        <v>52</v>
      </c>
      <c r="N2" s="4" t="s">
        <v>65</v>
      </c>
      <c r="P2" s="4" t="s">
        <v>104</v>
      </c>
      <c r="Q2" s="4">
        <v>24</v>
      </c>
      <c r="R2" s="4" t="s">
        <v>83</v>
      </c>
      <c r="W2" s="43" t="s">
        <v>119</v>
      </c>
      <c r="X2" s="43">
        <v>8.81</v>
      </c>
      <c r="Y2" s="43" t="s">
        <v>120</v>
      </c>
    </row>
    <row r="3" spans="1:26" ht="14.45" customHeight="1" x14ac:dyDescent="0.25">
      <c r="A3" s="79" t="s">
        <v>19</v>
      </c>
      <c r="B3" s="12" t="s">
        <v>2</v>
      </c>
      <c r="C3" s="12">
        <v>9.5</v>
      </c>
      <c r="D3" s="12" t="s">
        <v>5</v>
      </c>
      <c r="E3" s="82" t="s">
        <v>6</v>
      </c>
      <c r="F3" s="82"/>
      <c r="G3" s="82"/>
      <c r="H3" s="82"/>
      <c r="I3" s="83"/>
      <c r="J3" s="48"/>
      <c r="K3" s="48"/>
      <c r="L3" s="48"/>
      <c r="M3" s="48"/>
      <c r="N3" s="48"/>
      <c r="P3" s="4" t="s">
        <v>105</v>
      </c>
      <c r="Q3" s="4">
        <v>0.1</v>
      </c>
      <c r="R3" s="4" t="s">
        <v>52</v>
      </c>
      <c r="W3" s="43" t="s">
        <v>47</v>
      </c>
      <c r="X3" s="43">
        <v>78</v>
      </c>
      <c r="Y3" s="43" t="s">
        <v>48</v>
      </c>
    </row>
    <row r="4" spans="1:26" x14ac:dyDescent="0.25">
      <c r="A4" s="80"/>
      <c r="B4" s="52" t="s">
        <v>3</v>
      </c>
      <c r="C4" s="52">
        <v>3.5</v>
      </c>
      <c r="D4" s="52" t="s">
        <v>5</v>
      </c>
      <c r="E4" s="84" t="s">
        <v>7</v>
      </c>
      <c r="F4" s="84"/>
      <c r="G4" s="84"/>
      <c r="H4" s="84"/>
      <c r="I4" s="85"/>
      <c r="J4" s="48"/>
      <c r="K4" s="48"/>
      <c r="L4" s="11"/>
      <c r="M4" s="48"/>
      <c r="N4" s="48"/>
      <c r="P4" s="4" t="s">
        <v>86</v>
      </c>
      <c r="Q4" s="4">
        <f>Q3*Q2</f>
        <v>2.4000000000000004</v>
      </c>
      <c r="R4" s="4" t="s">
        <v>4</v>
      </c>
      <c r="W4" s="43" t="s">
        <v>111</v>
      </c>
      <c r="X4" s="43">
        <v>14</v>
      </c>
      <c r="Y4" s="43" t="s">
        <v>76</v>
      </c>
    </row>
    <row r="5" spans="1:26" x14ac:dyDescent="0.25">
      <c r="A5" s="80"/>
      <c r="B5" s="52" t="s">
        <v>1</v>
      </c>
      <c r="C5" s="52">
        <v>3.5</v>
      </c>
      <c r="D5" s="52" t="s">
        <v>5</v>
      </c>
      <c r="E5" s="84" t="s">
        <v>8</v>
      </c>
      <c r="F5" s="84"/>
      <c r="G5" s="84"/>
      <c r="H5" s="84"/>
      <c r="I5" s="85"/>
      <c r="J5" s="48"/>
      <c r="K5" s="48"/>
      <c r="L5" s="48"/>
      <c r="M5" s="48"/>
      <c r="N5" s="48"/>
      <c r="P5" s="4" t="s">
        <v>101</v>
      </c>
      <c r="Q5" s="9">
        <v>0.7</v>
      </c>
      <c r="W5" s="43" t="s">
        <v>122</v>
      </c>
      <c r="X5" s="43">
        <v>100</v>
      </c>
      <c r="Y5" s="43" t="s">
        <v>124</v>
      </c>
    </row>
    <row r="6" spans="1:26" x14ac:dyDescent="0.25">
      <c r="A6" s="80"/>
      <c r="B6" s="52" t="s">
        <v>0</v>
      </c>
      <c r="C6" s="52">
        <v>1</v>
      </c>
      <c r="D6" s="52" t="s">
        <v>5</v>
      </c>
      <c r="E6" s="84" t="s">
        <v>9</v>
      </c>
      <c r="F6" s="84"/>
      <c r="G6" s="84"/>
      <c r="H6" s="84"/>
      <c r="I6" s="85"/>
      <c r="J6" s="48"/>
      <c r="K6" s="48"/>
      <c r="L6" s="48"/>
      <c r="M6" s="48"/>
      <c r="N6" s="48"/>
      <c r="P6" s="4" t="s">
        <v>102</v>
      </c>
      <c r="Q6" s="4">
        <f>Q4/Q5</f>
        <v>3.4285714285714293</v>
      </c>
      <c r="R6" s="4" t="s">
        <v>4</v>
      </c>
      <c r="W6" s="4" t="s">
        <v>121</v>
      </c>
      <c r="X6" s="42">
        <v>0.5</v>
      </c>
      <c r="Y6" s="4" t="s">
        <v>52</v>
      </c>
    </row>
    <row r="7" spans="1:26" ht="15.75" thickBot="1" x14ac:dyDescent="0.3">
      <c r="A7" s="80"/>
      <c r="B7" s="52" t="s">
        <v>34</v>
      </c>
      <c r="C7" s="52">
        <v>400</v>
      </c>
      <c r="D7" s="52" t="s">
        <v>35</v>
      </c>
      <c r="E7" s="86" t="s">
        <v>36</v>
      </c>
      <c r="F7" s="86"/>
      <c r="G7" s="86"/>
      <c r="H7" s="86"/>
      <c r="I7" s="87"/>
      <c r="J7" s="53"/>
      <c r="K7" s="53"/>
      <c r="L7" s="53"/>
      <c r="M7" s="53"/>
      <c r="N7" s="53"/>
      <c r="P7" s="4" t="s">
        <v>103</v>
      </c>
      <c r="Q7" s="4">
        <v>30</v>
      </c>
      <c r="R7" s="4" t="s">
        <v>83</v>
      </c>
      <c r="W7" s="4" t="s">
        <v>123</v>
      </c>
      <c r="X7" s="42">
        <f>X3*X6/(X4*X2)*1000</f>
        <v>316.19912437165561</v>
      </c>
      <c r="Y7" s="4" t="s">
        <v>125</v>
      </c>
      <c r="Z7" s="4" t="s">
        <v>135</v>
      </c>
    </row>
    <row r="8" spans="1:26" x14ac:dyDescent="0.25">
      <c r="A8" s="80"/>
      <c r="B8" s="52" t="s">
        <v>4</v>
      </c>
      <c r="C8" s="52">
        <f>(C3-C4)/2-C6</f>
        <v>2</v>
      </c>
      <c r="D8" s="52" t="s">
        <v>5</v>
      </c>
      <c r="E8" s="84" t="s">
        <v>31</v>
      </c>
      <c r="F8" s="84"/>
      <c r="G8" s="84"/>
      <c r="H8" s="84"/>
      <c r="I8" s="85"/>
      <c r="J8" s="48"/>
      <c r="K8" s="20" t="s">
        <v>43</v>
      </c>
      <c r="L8" s="12">
        <v>5</v>
      </c>
      <c r="M8" s="49"/>
      <c r="N8" s="50" t="s">
        <v>66</v>
      </c>
      <c r="P8" s="4" t="s">
        <v>106</v>
      </c>
      <c r="Q8" s="4">
        <f>Q6/Q7</f>
        <v>0.11428571428571431</v>
      </c>
      <c r="R8" s="4" t="s">
        <v>52</v>
      </c>
    </row>
    <row r="9" spans="1:26" ht="15.75" thickBot="1" x14ac:dyDescent="0.3">
      <c r="A9" s="81"/>
      <c r="B9" s="14" t="s">
        <v>20</v>
      </c>
      <c r="C9" s="14">
        <f>FLOOR((C8-(2*C12)+C13)/(C20+C19),1)</f>
        <v>8</v>
      </c>
      <c r="D9" s="14"/>
      <c r="E9" s="88" t="s">
        <v>32</v>
      </c>
      <c r="F9" s="88"/>
      <c r="G9" s="88"/>
      <c r="H9" s="88"/>
      <c r="I9" s="89"/>
      <c r="J9" s="48"/>
      <c r="K9" s="24" t="s">
        <v>44</v>
      </c>
      <c r="L9" s="45">
        <v>5</v>
      </c>
      <c r="M9" s="45"/>
      <c r="N9" s="46" t="s">
        <v>69</v>
      </c>
      <c r="P9" s="4" t="s">
        <v>107</v>
      </c>
      <c r="Q9" s="9">
        <v>0.45</v>
      </c>
      <c r="S9" s="4" t="s">
        <v>80</v>
      </c>
      <c r="T9" s="4">
        <v>500</v>
      </c>
      <c r="U9" s="4" t="s">
        <v>81</v>
      </c>
      <c r="W9" s="43" t="s">
        <v>126</v>
      </c>
      <c r="X9" s="43">
        <v>120</v>
      </c>
      <c r="Y9" s="43" t="s">
        <v>127</v>
      </c>
    </row>
    <row r="10" spans="1:26" x14ac:dyDescent="0.25">
      <c r="E10" s="90"/>
      <c r="F10" s="90"/>
      <c r="G10" s="90"/>
      <c r="H10" s="90"/>
      <c r="I10" s="90"/>
      <c r="J10" s="48"/>
      <c r="K10" s="39" t="s">
        <v>60</v>
      </c>
      <c r="L10" s="52">
        <v>2</v>
      </c>
      <c r="M10" s="45"/>
      <c r="N10" s="46" t="s">
        <v>70</v>
      </c>
      <c r="P10" s="4" t="s">
        <v>108</v>
      </c>
      <c r="Q10" s="4">
        <f>Q2/Q7*(1-Q9)/Q9</f>
        <v>0.97777777777777786</v>
      </c>
      <c r="S10" s="4" t="s">
        <v>107</v>
      </c>
      <c r="T10" s="9">
        <v>0.42</v>
      </c>
      <c r="W10" s="4" t="s">
        <v>128</v>
      </c>
      <c r="X10" s="4">
        <v>390</v>
      </c>
      <c r="Y10" s="4" t="s">
        <v>129</v>
      </c>
    </row>
    <row r="11" spans="1:26" ht="15.75" thickBot="1" x14ac:dyDescent="0.3">
      <c r="E11" s="90"/>
      <c r="F11" s="90"/>
      <c r="G11" s="90"/>
      <c r="H11" s="90"/>
      <c r="I11" s="90"/>
      <c r="J11" s="48"/>
      <c r="K11" s="24" t="s">
        <v>46</v>
      </c>
      <c r="L11" s="45">
        <f>IF(C17&gt;1,IF(C17&gt;2,L8+L9+L10,L8+L9),L8)</f>
        <v>10</v>
      </c>
      <c r="M11" s="45"/>
      <c r="N11" s="46" t="s">
        <v>67</v>
      </c>
      <c r="S11" s="4" t="s">
        <v>114</v>
      </c>
      <c r="T11" s="41">
        <f>Q5*T10*T10*Q7*Q7/(2*T9*Q4)*1000</f>
        <v>46.304999999999986</v>
      </c>
      <c r="U11" s="4" t="s">
        <v>48</v>
      </c>
      <c r="W11" s="4" t="s">
        <v>130</v>
      </c>
      <c r="X11" s="4">
        <v>215</v>
      </c>
      <c r="Y11" s="4" t="s">
        <v>129</v>
      </c>
    </row>
    <row r="12" spans="1:26" ht="15.75" thickBot="1" x14ac:dyDescent="0.3">
      <c r="A12" s="79" t="s">
        <v>112</v>
      </c>
      <c r="B12" s="12" t="s">
        <v>10</v>
      </c>
      <c r="C12" s="12">
        <v>0.3</v>
      </c>
      <c r="D12" s="12" t="s">
        <v>5</v>
      </c>
      <c r="E12" s="82" t="s">
        <v>11</v>
      </c>
      <c r="F12" s="82"/>
      <c r="G12" s="82"/>
      <c r="H12" s="82"/>
      <c r="I12" s="83"/>
      <c r="J12" s="48"/>
      <c r="K12" s="28" t="s">
        <v>47</v>
      </c>
      <c r="L12" s="40">
        <f>L11*L11*C7/1000</f>
        <v>40</v>
      </c>
      <c r="M12" s="30" t="s">
        <v>48</v>
      </c>
      <c r="N12" s="47" t="s">
        <v>68</v>
      </c>
      <c r="S12" s="4" t="s">
        <v>115</v>
      </c>
      <c r="T12" s="4">
        <v>40</v>
      </c>
      <c r="U12" s="4" t="s">
        <v>48</v>
      </c>
      <c r="W12" s="4" t="s">
        <v>131</v>
      </c>
      <c r="X12" s="4">
        <f>X9*X10/1000</f>
        <v>46.8</v>
      </c>
      <c r="Y12" s="4" t="s">
        <v>133</v>
      </c>
      <c r="Z12" s="4" t="s">
        <v>134</v>
      </c>
    </row>
    <row r="13" spans="1:26" x14ac:dyDescent="0.25">
      <c r="A13" s="91"/>
      <c r="B13" s="52" t="s">
        <v>21</v>
      </c>
      <c r="C13" s="52">
        <v>0.1</v>
      </c>
      <c r="D13" s="52" t="s">
        <v>5</v>
      </c>
      <c r="E13" s="84"/>
      <c r="F13" s="84"/>
      <c r="G13" s="84"/>
      <c r="H13" s="84"/>
      <c r="I13" s="85"/>
      <c r="J13" s="48"/>
      <c r="L13" s="48"/>
      <c r="M13" s="48"/>
      <c r="N13" s="48"/>
      <c r="S13" s="4" t="s">
        <v>116</v>
      </c>
      <c r="T13" s="41">
        <f>T12*Q10*Q10</f>
        <v>38.241975308641983</v>
      </c>
      <c r="U13" s="4" t="s">
        <v>48</v>
      </c>
      <c r="W13" s="4" t="s">
        <v>132</v>
      </c>
      <c r="X13" s="4">
        <f>X11*X9/1000</f>
        <v>25.8</v>
      </c>
      <c r="Y13" s="4" t="s">
        <v>133</v>
      </c>
    </row>
    <row r="14" spans="1:26" ht="15.75" thickBot="1" x14ac:dyDescent="0.3">
      <c r="A14" s="91"/>
      <c r="B14" s="52" t="s">
        <v>37</v>
      </c>
      <c r="C14" s="52">
        <v>35</v>
      </c>
      <c r="D14" s="52" t="s">
        <v>24</v>
      </c>
      <c r="E14" s="84"/>
      <c r="F14" s="84"/>
      <c r="G14" s="84"/>
      <c r="H14" s="84"/>
      <c r="I14" s="85"/>
      <c r="J14" s="48"/>
      <c r="K14" s="48"/>
      <c r="L14" s="48"/>
      <c r="M14" s="48"/>
      <c r="N14" s="48"/>
      <c r="S14" s="4" t="s">
        <v>117</v>
      </c>
      <c r="T14" s="1">
        <f>SQRT(T12/(C7/1000))</f>
        <v>10</v>
      </c>
      <c r="U14" s="4" t="s">
        <v>76</v>
      </c>
    </row>
    <row r="15" spans="1:26" x14ac:dyDescent="0.25">
      <c r="A15" s="91"/>
      <c r="B15" s="52" t="s">
        <v>38</v>
      </c>
      <c r="C15" s="52">
        <v>35</v>
      </c>
      <c r="D15" s="52" t="s">
        <v>24</v>
      </c>
      <c r="E15" s="94"/>
      <c r="F15" s="94"/>
      <c r="G15" s="94"/>
      <c r="H15" s="94"/>
      <c r="I15" s="95"/>
      <c r="K15" s="20" t="s">
        <v>42</v>
      </c>
      <c r="L15" s="21">
        <f>_xlfn.XLOOKUP(L8,C28:C76,F28:F76,FALSE,0,-1)</f>
        <v>214.30496040749165</v>
      </c>
      <c r="M15" s="49" t="s">
        <v>50</v>
      </c>
      <c r="N15" s="50" t="s">
        <v>71</v>
      </c>
      <c r="S15" s="4" t="s">
        <v>118</v>
      </c>
      <c r="T15" s="1">
        <f>SQRT(T13/C7*1000)</f>
        <v>9.7777777777777786</v>
      </c>
      <c r="U15" s="4" t="s">
        <v>76</v>
      </c>
    </row>
    <row r="16" spans="1:26" x14ac:dyDescent="0.25">
      <c r="A16" s="91"/>
      <c r="B16" s="52" t="s">
        <v>58</v>
      </c>
      <c r="C16" s="52">
        <v>35</v>
      </c>
      <c r="D16" s="52" t="s">
        <v>24</v>
      </c>
      <c r="E16" s="94"/>
      <c r="F16" s="94"/>
      <c r="G16" s="94"/>
      <c r="H16" s="94"/>
      <c r="I16" s="95"/>
      <c r="K16" s="24" t="s">
        <v>45</v>
      </c>
      <c r="L16" s="25">
        <f>IF(C17&gt;1,_xlfn.XLOOKUP(L9,C28:C76,G28:G76,FALSE,0,-1),0)</f>
        <v>214.30496040749165</v>
      </c>
      <c r="M16" s="45" t="s">
        <v>50</v>
      </c>
      <c r="N16" s="46" t="s">
        <v>73</v>
      </c>
    </row>
    <row r="17" spans="1:25" ht="15.75" thickBot="1" x14ac:dyDescent="0.3">
      <c r="A17" s="92"/>
      <c r="B17" s="14" t="s">
        <v>39</v>
      </c>
      <c r="C17" s="14">
        <v>2</v>
      </c>
      <c r="D17" s="14"/>
      <c r="E17" s="88"/>
      <c r="F17" s="88"/>
      <c r="G17" s="88"/>
      <c r="H17" s="88"/>
      <c r="I17" s="89"/>
      <c r="J17" s="48"/>
      <c r="K17" s="24" t="s">
        <v>61</v>
      </c>
      <c r="L17" s="25">
        <f>IF(C17&gt;2,_xlfn.XLOOKUP(L10,C28:C76,H28:H76,FALSE,0,-1),0)</f>
        <v>0</v>
      </c>
      <c r="M17" s="45" t="s">
        <v>50</v>
      </c>
      <c r="N17" s="46" t="s">
        <v>74</v>
      </c>
    </row>
    <row r="18" spans="1:25" ht="15.75" thickBot="1" x14ac:dyDescent="0.3">
      <c r="E18" s="48"/>
      <c r="F18" s="48"/>
      <c r="G18" s="48"/>
      <c r="H18" s="48"/>
      <c r="I18" s="48"/>
      <c r="J18" s="48"/>
      <c r="K18" s="28" t="s">
        <v>49</v>
      </c>
      <c r="L18" s="29">
        <f>L16+L15+L17</f>
        <v>428.6099208149833</v>
      </c>
      <c r="M18" s="30" t="s">
        <v>50</v>
      </c>
      <c r="N18" s="47" t="s">
        <v>72</v>
      </c>
      <c r="W18" s="4" t="s">
        <v>158</v>
      </c>
    </row>
    <row r="19" spans="1:25" ht="14.45" customHeight="1" thickBot="1" x14ac:dyDescent="0.3">
      <c r="A19" s="79" t="s">
        <v>18</v>
      </c>
      <c r="B19" s="12" t="s">
        <v>16</v>
      </c>
      <c r="C19" s="12">
        <v>0.09</v>
      </c>
      <c r="D19" s="12" t="s">
        <v>5</v>
      </c>
      <c r="E19" s="82" t="s">
        <v>17</v>
      </c>
      <c r="F19" s="82"/>
      <c r="G19" s="82"/>
      <c r="H19" s="82"/>
      <c r="I19" s="83"/>
      <c r="J19" s="48"/>
      <c r="K19" s="48"/>
      <c r="L19" s="48"/>
      <c r="M19" s="48"/>
      <c r="N19" s="48"/>
      <c r="W19" s="4" t="s">
        <v>159</v>
      </c>
      <c r="X19" s="4">
        <v>60</v>
      </c>
      <c r="Y19" s="4" t="s">
        <v>48</v>
      </c>
    </row>
    <row r="20" spans="1:25" x14ac:dyDescent="0.25">
      <c r="A20" s="80"/>
      <c r="B20" s="52" t="s">
        <v>12</v>
      </c>
      <c r="C20" s="52">
        <v>0.09</v>
      </c>
      <c r="D20" s="52" t="s">
        <v>5</v>
      </c>
      <c r="E20" s="84" t="s">
        <v>13</v>
      </c>
      <c r="F20" s="84"/>
      <c r="G20" s="84"/>
      <c r="H20" s="84"/>
      <c r="I20" s="85"/>
      <c r="J20" s="48"/>
      <c r="K20" s="20" t="s">
        <v>55</v>
      </c>
      <c r="L20" s="32">
        <f>_xlfn.XLOOKUP(L8,C28:C80,E28:E80,,0,-1)*1550</f>
        <v>10.276939657103949</v>
      </c>
      <c r="M20" s="49" t="s">
        <v>53</v>
      </c>
      <c r="N20" s="50"/>
      <c r="W20" s="4" t="s">
        <v>160</v>
      </c>
      <c r="X20" s="4">
        <v>1.1000000000000001</v>
      </c>
      <c r="Y20" s="4" t="s">
        <v>52</v>
      </c>
    </row>
    <row r="21" spans="1:25" x14ac:dyDescent="0.25">
      <c r="A21" s="80"/>
      <c r="B21" s="52" t="s">
        <v>14</v>
      </c>
      <c r="C21" s="52">
        <v>0.3</v>
      </c>
      <c r="D21" s="52" t="s">
        <v>5</v>
      </c>
      <c r="E21" s="84" t="s">
        <v>15</v>
      </c>
      <c r="F21" s="84"/>
      <c r="G21" s="84"/>
      <c r="H21" s="84"/>
      <c r="I21" s="85"/>
      <c r="J21" s="48"/>
      <c r="K21" s="33" t="s">
        <v>56</v>
      </c>
      <c r="L21" s="34">
        <f>(L2/((IF(C14=35,0.048,0.024))*(L20)^0.725))^(1/0.44)</f>
        <v>0.11407123486728137</v>
      </c>
      <c r="M21" s="35" t="s">
        <v>54</v>
      </c>
      <c r="N21" s="46"/>
      <c r="W21" s="4" t="s">
        <v>161</v>
      </c>
      <c r="X21" s="4">
        <f>0.5*X19*X20*X20</f>
        <v>36.300000000000004</v>
      </c>
      <c r="Y21" s="4" t="s">
        <v>88</v>
      </c>
    </row>
    <row r="22" spans="1:25" x14ac:dyDescent="0.25">
      <c r="A22" s="80"/>
      <c r="B22" s="52" t="s">
        <v>23</v>
      </c>
      <c r="C22" s="52">
        <v>17.5</v>
      </c>
      <c r="D22" s="52" t="s">
        <v>24</v>
      </c>
      <c r="E22" s="93"/>
      <c r="F22" s="93"/>
      <c r="G22" s="93"/>
      <c r="H22" s="93"/>
      <c r="I22" s="96"/>
      <c r="J22" s="44"/>
      <c r="K22" s="24" t="s">
        <v>62</v>
      </c>
      <c r="L22" s="36">
        <f>_xlfn.XLOOKUP(L9,C28:C85,E28:E85,,0,-1)*1550*C15/C14</f>
        <v>10.276939657103949</v>
      </c>
      <c r="M22" s="45" t="s">
        <v>53</v>
      </c>
      <c r="N22" s="51"/>
      <c r="W22" s="4" t="s">
        <v>80</v>
      </c>
      <c r="X22" s="4">
        <v>100</v>
      </c>
      <c r="Y22" s="4" t="s">
        <v>81</v>
      </c>
    </row>
    <row r="23" spans="1:25" ht="15.75" thickBot="1" x14ac:dyDescent="0.3">
      <c r="A23" s="81"/>
      <c r="B23" s="14" t="s">
        <v>25</v>
      </c>
      <c r="C23" s="14">
        <v>35</v>
      </c>
      <c r="D23" s="14" t="s">
        <v>24</v>
      </c>
      <c r="E23" s="88"/>
      <c r="F23" s="88"/>
      <c r="G23" s="88"/>
      <c r="H23" s="88"/>
      <c r="I23" s="89"/>
      <c r="J23" s="48"/>
      <c r="K23" s="33" t="s">
        <v>57</v>
      </c>
      <c r="L23" s="34">
        <f>IF(C17&gt;1,(L2/((IF(C15=35,0.048,0.024))*(L22)^0.725))^(1/0.44),0)</f>
        <v>0.11407123486728137</v>
      </c>
      <c r="M23" s="35" t="s">
        <v>54</v>
      </c>
      <c r="N23" s="46"/>
      <c r="P23" s="4" t="s">
        <v>78</v>
      </c>
      <c r="Q23" s="4" t="s">
        <v>109</v>
      </c>
      <c r="W23" s="4" t="s">
        <v>162</v>
      </c>
      <c r="X23" s="4">
        <f>X22*X21/1000</f>
        <v>3.6300000000000003</v>
      </c>
      <c r="Y23" s="4" t="s">
        <v>4</v>
      </c>
    </row>
    <row r="24" spans="1:25" x14ac:dyDescent="0.25">
      <c r="B24" s="4" t="s">
        <v>22</v>
      </c>
      <c r="C24" s="3">
        <v>1.7199999999999999E-8</v>
      </c>
      <c r="D24" s="4" t="s">
        <v>26</v>
      </c>
      <c r="E24" s="93" t="s">
        <v>33</v>
      </c>
      <c r="F24" s="93"/>
      <c r="G24" s="93"/>
      <c r="H24" s="93"/>
      <c r="I24" s="93"/>
      <c r="J24" s="44"/>
      <c r="K24" s="24" t="s">
        <v>63</v>
      </c>
      <c r="L24" s="36">
        <f>_xlfn.XLOOKUP(L10,C28:C54,E28:E54,,0,-1)*1550*C16/C14</f>
        <v>28.354400655978058</v>
      </c>
      <c r="M24" s="45" t="s">
        <v>53</v>
      </c>
      <c r="N24" s="51"/>
      <c r="P24" s="4">
        <v>10</v>
      </c>
      <c r="Q24" s="4" t="s">
        <v>76</v>
      </c>
      <c r="R24" s="4" t="s">
        <v>111</v>
      </c>
      <c r="S24" s="4">
        <f>P24/P29</f>
        <v>0.7142857142857143</v>
      </c>
    </row>
    <row r="25" spans="1:25" ht="15.75" thickBot="1" x14ac:dyDescent="0.3">
      <c r="C25" s="3"/>
      <c r="K25" s="28" t="s">
        <v>64</v>
      </c>
      <c r="L25" s="29">
        <f>IF(C17&gt;2,(L2/((IF(C16=35,0.048,0.024))*(L24)^0.725))^(1/0.44),0)</f>
        <v>0</v>
      </c>
      <c r="M25" s="30" t="s">
        <v>54</v>
      </c>
      <c r="N25" s="38"/>
      <c r="P25" s="4">
        <v>40</v>
      </c>
      <c r="Q25" s="4" t="s">
        <v>48</v>
      </c>
    </row>
    <row r="26" spans="1:25" x14ac:dyDescent="0.25">
      <c r="A26" s="4" t="s">
        <v>113</v>
      </c>
      <c r="B26" s="9">
        <v>7.0000000000000007E-2</v>
      </c>
      <c r="P26" s="4">
        <v>429</v>
      </c>
      <c r="Q26" s="4" t="s">
        <v>75</v>
      </c>
    </row>
    <row r="27" spans="1:25" x14ac:dyDescent="0.25">
      <c r="B27" s="15" t="s">
        <v>30</v>
      </c>
      <c r="C27" s="15" t="s">
        <v>29</v>
      </c>
      <c r="D27" s="15" t="s">
        <v>28</v>
      </c>
      <c r="E27" s="15" t="s">
        <v>27</v>
      </c>
      <c r="F27" s="15" t="s">
        <v>40</v>
      </c>
      <c r="G27" s="15" t="s">
        <v>41</v>
      </c>
      <c r="H27" s="15" t="s">
        <v>59</v>
      </c>
    </row>
    <row r="28" spans="1:25" x14ac:dyDescent="0.25">
      <c r="B28" s="16">
        <f>C20</f>
        <v>0.09</v>
      </c>
      <c r="C28" s="17">
        <f>FLOOR(($C$8-2*$C$12+$C$13)/(B28+$C$13),1)</f>
        <v>7</v>
      </c>
      <c r="D28" s="17">
        <f>C28*(2*$C$5+2*$C$8+2*PI()*($C$12+(C28-1)*B28/2+(C28-1)*$C$13/2))</f>
        <v>115.26459852072369</v>
      </c>
      <c r="E28" s="18">
        <f>B28*$C$14/1000</f>
        <v>3.15E-3</v>
      </c>
      <c r="F28" s="19" t="str">
        <f>IF(C28=C29,"",$C$24*D28/E28*1000000)</f>
        <v/>
      </c>
      <c r="G28" s="19" t="str">
        <f>IF(C28=C29,"",F28*$C$14/$C$15)</f>
        <v/>
      </c>
      <c r="H28" s="19" t="str">
        <f>IF(C28=C29,"",F28*$C$14/$C$16)</f>
        <v/>
      </c>
      <c r="P28" s="4" t="s">
        <v>77</v>
      </c>
      <c r="Q28" s="4" t="s">
        <v>110</v>
      </c>
    </row>
    <row r="29" spans="1:25" x14ac:dyDescent="0.25">
      <c r="B29" s="16">
        <f>B28*(1+$B$26)</f>
        <v>9.6299999999999997E-2</v>
      </c>
      <c r="C29" s="17">
        <f t="shared" ref="C29:C76" si="0">FLOOR(($C$8-2*$C$12+$C$13)/(B29+$C$13),1)</f>
        <v>7</v>
      </c>
      <c r="D29" s="17">
        <f t="shared" ref="D29:D76" si="1">C29*(2*$C$5+2*$C$8+2*PI()*($C$12+(C29-1)*B29/2+(C29-1)*$C$13/2))</f>
        <v>116.09586393686354</v>
      </c>
      <c r="E29" s="18">
        <f t="shared" ref="E29:E76" si="2">B29*$C$14/1000</f>
        <v>3.3704999999999998E-3</v>
      </c>
      <c r="F29" s="19" t="str">
        <f t="shared" ref="F29:F76" si="3">IF(C29=C30,"",$C$24*D29/E29*1000000)</f>
        <v/>
      </c>
      <c r="G29" s="19" t="str">
        <f t="shared" ref="G29:G76" si="4">IF(C29=C30,"",F29*$C$14/$C$15)</f>
        <v/>
      </c>
      <c r="H29" s="19" t="str">
        <f t="shared" ref="H29:H76" si="5">IF(C29=C30,"",F29*$C$14/$C$16)</f>
        <v/>
      </c>
      <c r="P29" s="4">
        <v>14</v>
      </c>
      <c r="Q29" s="4" t="s">
        <v>76</v>
      </c>
    </row>
    <row r="30" spans="1:25" x14ac:dyDescent="0.25">
      <c r="B30" s="16">
        <f t="shared" ref="B30:B76" si="6">B29*(1+$B$26)</f>
        <v>0.10304100000000001</v>
      </c>
      <c r="C30" s="17">
        <f t="shared" si="0"/>
        <v>7</v>
      </c>
      <c r="D30" s="17">
        <f t="shared" si="1"/>
        <v>116.9853179321332</v>
      </c>
      <c r="E30" s="18">
        <f t="shared" si="2"/>
        <v>3.6064350000000003E-3</v>
      </c>
      <c r="F30" s="19" t="str">
        <f t="shared" si="3"/>
        <v/>
      </c>
      <c r="G30" s="19" t="str">
        <f t="shared" si="4"/>
        <v/>
      </c>
      <c r="H30" s="19" t="str">
        <f t="shared" si="5"/>
        <v/>
      </c>
      <c r="P30" s="4">
        <v>78.400000000000006</v>
      </c>
      <c r="Q30" s="4" t="s">
        <v>48</v>
      </c>
    </row>
    <row r="31" spans="1:25" x14ac:dyDescent="0.25">
      <c r="B31" s="16">
        <f t="shared" si="6"/>
        <v>0.11025387000000002</v>
      </c>
      <c r="C31" s="17">
        <f t="shared" si="0"/>
        <v>7</v>
      </c>
      <c r="D31" s="17">
        <f t="shared" si="1"/>
        <v>117.93703370707172</v>
      </c>
      <c r="E31" s="18">
        <f t="shared" si="2"/>
        <v>3.8588854500000006E-3</v>
      </c>
      <c r="F31" s="19">
        <f t="shared" si="3"/>
        <v>525.6743186718935</v>
      </c>
      <c r="G31" s="19">
        <f t="shared" si="4"/>
        <v>525.6743186718935</v>
      </c>
      <c r="H31" s="19">
        <f t="shared" si="5"/>
        <v>525.6743186718935</v>
      </c>
      <c r="P31" s="4">
        <v>1934</v>
      </c>
      <c r="Q31" s="4" t="s">
        <v>75</v>
      </c>
    </row>
    <row r="32" spans="1:25" x14ac:dyDescent="0.25">
      <c r="B32" s="16">
        <f t="shared" si="6"/>
        <v>0.11797164090000002</v>
      </c>
      <c r="C32" s="17">
        <f t="shared" si="0"/>
        <v>6</v>
      </c>
      <c r="D32" s="17">
        <f t="shared" si="1"/>
        <v>97.85307672519383</v>
      </c>
      <c r="E32" s="18">
        <f t="shared" si="2"/>
        <v>4.1290074315000003E-3</v>
      </c>
      <c r="F32" s="19" t="str">
        <f t="shared" si="3"/>
        <v/>
      </c>
      <c r="G32" s="19" t="str">
        <f t="shared" si="4"/>
        <v/>
      </c>
      <c r="H32" s="19" t="str">
        <f t="shared" si="5"/>
        <v/>
      </c>
    </row>
    <row r="33" spans="2:25" x14ac:dyDescent="0.25">
      <c r="B33" s="16">
        <f t="shared" si="6"/>
        <v>0.12622965576300002</v>
      </c>
      <c r="C33" s="17">
        <f t="shared" si="0"/>
        <v>6</v>
      </c>
      <c r="D33" s="17">
        <f t="shared" si="1"/>
        <v>98.631376289998911</v>
      </c>
      <c r="E33" s="18">
        <f t="shared" si="2"/>
        <v>4.4180379517050009E-3</v>
      </c>
      <c r="F33" s="19" t="str">
        <f t="shared" si="3"/>
        <v/>
      </c>
      <c r="G33" s="19" t="str">
        <f t="shared" si="4"/>
        <v/>
      </c>
      <c r="H33" s="19" t="str">
        <f t="shared" si="5"/>
        <v/>
      </c>
    </row>
    <row r="34" spans="2:25" x14ac:dyDescent="0.25">
      <c r="B34" s="16">
        <f t="shared" si="6"/>
        <v>0.13506573166641003</v>
      </c>
      <c r="C34" s="17">
        <f t="shared" si="0"/>
        <v>6</v>
      </c>
      <c r="D34" s="17">
        <f t="shared" si="1"/>
        <v>99.464156824340364</v>
      </c>
      <c r="E34" s="18">
        <f t="shared" si="2"/>
        <v>4.7273006083243512E-3</v>
      </c>
      <c r="F34" s="19" t="str">
        <f t="shared" si="3"/>
        <v/>
      </c>
      <c r="G34" s="19" t="str">
        <f t="shared" si="4"/>
        <v/>
      </c>
      <c r="H34" s="19" t="str">
        <f t="shared" si="5"/>
        <v/>
      </c>
    </row>
    <row r="35" spans="2:25" x14ac:dyDescent="0.25">
      <c r="B35" s="16">
        <f t="shared" si="6"/>
        <v>0.14452033288305874</v>
      </c>
      <c r="C35" s="17">
        <f t="shared" si="0"/>
        <v>6</v>
      </c>
      <c r="D35" s="17">
        <f t="shared" si="1"/>
        <v>100.35523199608571</v>
      </c>
      <c r="E35" s="18">
        <f t="shared" si="2"/>
        <v>5.0582116509070565E-3</v>
      </c>
      <c r="F35" s="19">
        <f t="shared" si="3"/>
        <v>341.24906379177349</v>
      </c>
      <c r="G35" s="19">
        <f t="shared" si="4"/>
        <v>341.24906379177349</v>
      </c>
      <c r="H35" s="19">
        <f t="shared" si="5"/>
        <v>341.24906379177349</v>
      </c>
    </row>
    <row r="36" spans="2:25" x14ac:dyDescent="0.25">
      <c r="B36" s="16">
        <f t="shared" si="6"/>
        <v>0.15463675618487285</v>
      </c>
      <c r="C36" s="17">
        <f t="shared" si="0"/>
        <v>5</v>
      </c>
      <c r="D36" s="17">
        <f t="shared" si="1"/>
        <v>80.424077212056005</v>
      </c>
      <c r="E36" s="18">
        <f t="shared" si="2"/>
        <v>5.4122864664705502E-3</v>
      </c>
      <c r="F36" s="19" t="str">
        <f t="shared" si="3"/>
        <v/>
      </c>
      <c r="G36" s="19" t="str">
        <f t="shared" si="4"/>
        <v/>
      </c>
      <c r="H36" s="19" t="str">
        <f t="shared" si="5"/>
        <v/>
      </c>
      <c r="X36" s="4" t="s">
        <v>166</v>
      </c>
    </row>
    <row r="37" spans="2:25" x14ac:dyDescent="0.25">
      <c r="B37" s="16">
        <f t="shared" si="6"/>
        <v>0.16546132911781397</v>
      </c>
      <c r="C37" s="17">
        <f t="shared" si="0"/>
        <v>5</v>
      </c>
      <c r="D37" s="17">
        <f t="shared" si="1"/>
        <v>81.10420518814351</v>
      </c>
      <c r="E37" s="18">
        <f t="shared" si="2"/>
        <v>5.7911465191234886E-3</v>
      </c>
      <c r="F37" s="19" t="str">
        <f t="shared" si="3"/>
        <v/>
      </c>
      <c r="G37" s="19" t="str">
        <f t="shared" si="4"/>
        <v/>
      </c>
      <c r="H37" s="19" t="str">
        <f t="shared" si="5"/>
        <v/>
      </c>
    </row>
    <row r="38" spans="2:25" x14ac:dyDescent="0.25">
      <c r="B38" s="16">
        <f t="shared" si="6"/>
        <v>0.17704362215606095</v>
      </c>
      <c r="C38" s="17">
        <f t="shared" si="0"/>
        <v>5</v>
      </c>
      <c r="D38" s="17">
        <f t="shared" si="1"/>
        <v>81.831942122557138</v>
      </c>
      <c r="E38" s="18">
        <f t="shared" si="2"/>
        <v>6.1965267754621328E-3</v>
      </c>
      <c r="F38" s="19" t="str">
        <f t="shared" si="3"/>
        <v/>
      </c>
      <c r="G38" s="19" t="str">
        <f t="shared" si="4"/>
        <v/>
      </c>
      <c r="H38" s="19" t="str">
        <f t="shared" si="5"/>
        <v/>
      </c>
      <c r="W38" s="4" t="s">
        <v>182</v>
      </c>
      <c r="X38" s="4" t="s">
        <v>181</v>
      </c>
    </row>
    <row r="39" spans="2:25" x14ac:dyDescent="0.25">
      <c r="B39" s="16">
        <f t="shared" si="6"/>
        <v>0.18943667570698522</v>
      </c>
      <c r="C39" s="17">
        <f t="shared" si="0"/>
        <v>5</v>
      </c>
      <c r="D39" s="17">
        <f t="shared" si="1"/>
        <v>82.6106206423797</v>
      </c>
      <c r="E39" s="18">
        <f t="shared" si="2"/>
        <v>6.6302836497444829E-3</v>
      </c>
      <c r="F39" s="19">
        <f t="shared" si="3"/>
        <v>214.30496040749165</v>
      </c>
      <c r="G39" s="19">
        <f t="shared" si="4"/>
        <v>214.30496040749165</v>
      </c>
      <c r="H39" s="19">
        <f t="shared" si="5"/>
        <v>214.30496040749165</v>
      </c>
      <c r="X39" s="4" t="s">
        <v>183</v>
      </c>
    </row>
    <row r="40" spans="2:25" x14ac:dyDescent="0.25">
      <c r="B40" s="16">
        <f t="shared" si="6"/>
        <v>0.20269724300647421</v>
      </c>
      <c r="C40" s="17">
        <f t="shared" si="0"/>
        <v>4</v>
      </c>
      <c r="D40" s="17">
        <f t="shared" si="1"/>
        <v>62.951239587307789</v>
      </c>
      <c r="E40" s="18">
        <f t="shared" si="2"/>
        <v>7.0944035052265975E-3</v>
      </c>
      <c r="F40" s="19" t="str">
        <f t="shared" si="3"/>
        <v/>
      </c>
      <c r="G40" s="19" t="str">
        <f t="shared" si="4"/>
        <v/>
      </c>
      <c r="H40" s="19" t="str">
        <f t="shared" si="5"/>
        <v/>
      </c>
      <c r="W40" s="4" t="s">
        <v>185</v>
      </c>
      <c r="X40" s="4" t="s">
        <v>184</v>
      </c>
    </row>
    <row r="41" spans="2:25" x14ac:dyDescent="0.25">
      <c r="B41" s="16">
        <f t="shared" si="6"/>
        <v>0.21688605001692743</v>
      </c>
      <c r="C41" s="17">
        <f t="shared" si="0"/>
        <v>4</v>
      </c>
      <c r="D41" s="17">
        <f t="shared" si="1"/>
        <v>63.486145009714704</v>
      </c>
      <c r="E41" s="18">
        <f t="shared" si="2"/>
        <v>7.5910117505924605E-3</v>
      </c>
      <c r="F41" s="19" t="str">
        <f t="shared" si="3"/>
        <v/>
      </c>
      <c r="G41" s="19" t="str">
        <f t="shared" si="4"/>
        <v/>
      </c>
      <c r="H41" s="19" t="str">
        <f t="shared" si="5"/>
        <v/>
      </c>
      <c r="W41" s="4" t="s">
        <v>175</v>
      </c>
      <c r="X41" s="4" t="s">
        <v>167</v>
      </c>
    </row>
    <row r="42" spans="2:25" x14ac:dyDescent="0.25">
      <c r="B42" s="16">
        <f t="shared" si="6"/>
        <v>0.23206807351811237</v>
      </c>
      <c r="C42" s="17">
        <f t="shared" si="0"/>
        <v>4</v>
      </c>
      <c r="D42" s="17">
        <f t="shared" si="1"/>
        <v>64.058493811690113</v>
      </c>
      <c r="E42" s="18">
        <f t="shared" si="2"/>
        <v>8.1223825731339336E-3</v>
      </c>
      <c r="F42" s="19" t="str">
        <f t="shared" si="3"/>
        <v/>
      </c>
      <c r="G42" s="19" t="str">
        <f t="shared" si="4"/>
        <v/>
      </c>
      <c r="H42" s="19" t="str">
        <f t="shared" si="5"/>
        <v/>
      </c>
      <c r="W42" s="4" t="s">
        <v>176</v>
      </c>
      <c r="X42" s="4" t="s">
        <v>168</v>
      </c>
    </row>
    <row r="43" spans="2:25" x14ac:dyDescent="0.25">
      <c r="B43" s="16">
        <f t="shared" si="6"/>
        <v>0.24831283866438025</v>
      </c>
      <c r="C43" s="17">
        <f t="shared" si="0"/>
        <v>4</v>
      </c>
      <c r="D43" s="17">
        <f t="shared" si="1"/>
        <v>64.670907029803786</v>
      </c>
      <c r="E43" s="18">
        <f t="shared" si="2"/>
        <v>8.6909493532533084E-3</v>
      </c>
      <c r="F43" s="19" t="str">
        <f t="shared" si="3"/>
        <v/>
      </c>
      <c r="G43" s="19" t="str">
        <f t="shared" si="4"/>
        <v/>
      </c>
      <c r="H43" s="19" t="str">
        <f t="shared" si="5"/>
        <v/>
      </c>
      <c r="W43" s="4" t="s">
        <v>177</v>
      </c>
      <c r="X43" s="4" t="s">
        <v>169</v>
      </c>
    </row>
    <row r="44" spans="2:25" x14ac:dyDescent="0.25">
      <c r="B44" s="16">
        <f t="shared" si="6"/>
        <v>0.26569473737088689</v>
      </c>
      <c r="C44" s="17">
        <f t="shared" si="0"/>
        <v>4</v>
      </c>
      <c r="D44" s="17">
        <f t="shared" si="1"/>
        <v>65.326189173185426</v>
      </c>
      <c r="E44" s="18">
        <f t="shared" si="2"/>
        <v>9.2993158079810422E-3</v>
      </c>
      <c r="F44" s="19">
        <f t="shared" si="3"/>
        <v>120.82721750501926</v>
      </c>
      <c r="G44" s="19">
        <f t="shared" si="4"/>
        <v>120.82721750501928</v>
      </c>
      <c r="H44" s="19">
        <f t="shared" si="5"/>
        <v>120.82721750501928</v>
      </c>
      <c r="W44" s="4" t="s">
        <v>176</v>
      </c>
      <c r="X44" s="4" t="s">
        <v>170</v>
      </c>
    </row>
    <row r="45" spans="2:25" x14ac:dyDescent="0.25">
      <c r="B45" s="16">
        <f t="shared" si="6"/>
        <v>0.28429336898684898</v>
      </c>
      <c r="C45" s="17">
        <f t="shared" si="0"/>
        <v>3</v>
      </c>
      <c r="D45" s="17">
        <f t="shared" si="1"/>
        <v>45.89862612545577</v>
      </c>
      <c r="E45" s="18">
        <f t="shared" si="2"/>
        <v>9.9502679145397153E-3</v>
      </c>
      <c r="F45" s="19" t="str">
        <f t="shared" si="3"/>
        <v/>
      </c>
      <c r="G45" s="19" t="str">
        <f t="shared" si="4"/>
        <v/>
      </c>
      <c r="H45" s="19" t="str">
        <f t="shared" si="5"/>
        <v/>
      </c>
      <c r="W45" s="4" t="s">
        <v>176</v>
      </c>
      <c r="X45" s="4" t="s">
        <v>171</v>
      </c>
    </row>
    <row r="46" spans="2:25" x14ac:dyDescent="0.25">
      <c r="B46" s="16">
        <f t="shared" si="6"/>
        <v>0.30419390481592845</v>
      </c>
      <c r="C46" s="17">
        <f t="shared" si="0"/>
        <v>3</v>
      </c>
      <c r="D46" s="17">
        <f t="shared" si="1"/>
        <v>46.273742388434584</v>
      </c>
      <c r="E46" s="18">
        <f t="shared" si="2"/>
        <v>1.0646786668557496E-2</v>
      </c>
      <c r="F46" s="19" t="str">
        <f t="shared" si="3"/>
        <v/>
      </c>
      <c r="G46" s="19" t="str">
        <f t="shared" si="4"/>
        <v/>
      </c>
      <c r="H46" s="19" t="str">
        <f t="shared" si="5"/>
        <v/>
      </c>
      <c r="Y46" s="4" t="s">
        <v>172</v>
      </c>
    </row>
    <row r="47" spans="2:25" x14ac:dyDescent="0.25">
      <c r="B47" s="16">
        <f t="shared" si="6"/>
        <v>0.32548747815304346</v>
      </c>
      <c r="C47" s="17">
        <f t="shared" si="0"/>
        <v>3</v>
      </c>
      <c r="D47" s="17">
        <f t="shared" si="1"/>
        <v>46.675116789821921</v>
      </c>
      <c r="E47" s="18">
        <f t="shared" si="2"/>
        <v>1.1392061735356521E-2</v>
      </c>
      <c r="F47" s="19" t="str">
        <f t="shared" si="3"/>
        <v/>
      </c>
      <c r="G47" s="19" t="str">
        <f t="shared" si="4"/>
        <v/>
      </c>
      <c r="H47" s="19" t="str">
        <f t="shared" si="5"/>
        <v/>
      </c>
      <c r="W47" s="4" t="s">
        <v>180</v>
      </c>
      <c r="X47" s="4" t="s">
        <v>179</v>
      </c>
    </row>
    <row r="48" spans="2:25" x14ac:dyDescent="0.25">
      <c r="B48" s="16">
        <f t="shared" si="6"/>
        <v>0.34827160162375653</v>
      </c>
      <c r="C48" s="17">
        <f t="shared" si="0"/>
        <v>3</v>
      </c>
      <c r="D48" s="17">
        <f t="shared" si="1"/>
        <v>47.104587399306368</v>
      </c>
      <c r="E48" s="18">
        <f t="shared" si="2"/>
        <v>1.2189506056831478E-2</v>
      </c>
      <c r="F48" s="19" t="str">
        <f t="shared" si="3"/>
        <v/>
      </c>
      <c r="G48" s="19" t="str">
        <f t="shared" si="4"/>
        <v/>
      </c>
      <c r="H48" s="19" t="str">
        <f t="shared" si="5"/>
        <v/>
      </c>
      <c r="W48" s="4" t="s">
        <v>178</v>
      </c>
      <c r="X48" s="4" t="s">
        <v>173</v>
      </c>
    </row>
    <row r="49" spans="2:24" x14ac:dyDescent="0.25">
      <c r="B49" s="16">
        <f t="shared" si="6"/>
        <v>0.37265061373741953</v>
      </c>
      <c r="C49" s="17">
        <f t="shared" si="0"/>
        <v>3</v>
      </c>
      <c r="D49" s="17">
        <f t="shared" si="1"/>
        <v>47.564120951454726</v>
      </c>
      <c r="E49" s="18">
        <f t="shared" si="2"/>
        <v>1.3042771480809684E-2</v>
      </c>
      <c r="F49" s="19" t="str">
        <f t="shared" si="3"/>
        <v/>
      </c>
      <c r="G49" s="19" t="str">
        <f t="shared" si="4"/>
        <v/>
      </c>
      <c r="H49" s="19" t="str">
        <f t="shared" si="5"/>
        <v/>
      </c>
      <c r="W49" s="4" t="s">
        <v>176</v>
      </c>
      <c r="X49" s="4" t="s">
        <v>174</v>
      </c>
    </row>
    <row r="50" spans="2:24" x14ac:dyDescent="0.25">
      <c r="B50" s="16">
        <f t="shared" si="6"/>
        <v>0.39873615669903895</v>
      </c>
      <c r="C50" s="17">
        <f t="shared" si="0"/>
        <v>3</v>
      </c>
      <c r="D50" s="17">
        <f t="shared" si="1"/>
        <v>48.055821852253473</v>
      </c>
      <c r="E50" s="18">
        <f t="shared" si="2"/>
        <v>1.3955765484466363E-2</v>
      </c>
      <c r="F50" s="19">
        <f t="shared" si="3"/>
        <v>59.227144278024205</v>
      </c>
      <c r="G50" s="19">
        <f t="shared" si="4"/>
        <v>59.227144278024205</v>
      </c>
      <c r="H50" s="19">
        <f t="shared" si="5"/>
        <v>59.227144278024205</v>
      </c>
    </row>
    <row r="51" spans="2:24" x14ac:dyDescent="0.25">
      <c r="B51" s="16">
        <f t="shared" si="6"/>
        <v>0.42664768766797168</v>
      </c>
      <c r="C51" s="17">
        <f t="shared" si="0"/>
        <v>2</v>
      </c>
      <c r="D51" s="17">
        <f t="shared" si="1"/>
        <v>29.078936197523255</v>
      </c>
      <c r="E51" s="18">
        <f t="shared" si="2"/>
        <v>1.4932669068379008E-2</v>
      </c>
      <c r="F51" s="19" t="str">
        <f t="shared" si="3"/>
        <v/>
      </c>
      <c r="G51" s="19" t="str">
        <f t="shared" si="4"/>
        <v/>
      </c>
      <c r="H51" s="19" t="str">
        <f t="shared" si="5"/>
        <v/>
      </c>
    </row>
    <row r="52" spans="2:24" x14ac:dyDescent="0.25">
      <c r="B52" s="16">
        <f t="shared" si="6"/>
        <v>0.45651302580472974</v>
      </c>
      <c r="C52" s="17">
        <f t="shared" si="0"/>
        <v>2</v>
      </c>
      <c r="D52" s="17">
        <f t="shared" si="1"/>
        <v>29.266585651298083</v>
      </c>
      <c r="E52" s="18">
        <f t="shared" si="2"/>
        <v>1.5977955903165541E-2</v>
      </c>
      <c r="F52" s="19" t="str">
        <f t="shared" si="3"/>
        <v/>
      </c>
      <c r="G52" s="19" t="str">
        <f t="shared" si="4"/>
        <v/>
      </c>
      <c r="H52" s="19" t="str">
        <f t="shared" si="5"/>
        <v/>
      </c>
    </row>
    <row r="53" spans="2:24" x14ac:dyDescent="0.25">
      <c r="B53" s="16">
        <f t="shared" si="6"/>
        <v>0.48846893761106086</v>
      </c>
      <c r="C53" s="17">
        <f t="shared" si="0"/>
        <v>2</v>
      </c>
      <c r="D53" s="17">
        <f t="shared" si="1"/>
        <v>29.46737056683715</v>
      </c>
      <c r="E53" s="18">
        <f t="shared" si="2"/>
        <v>1.709641281638713E-2</v>
      </c>
      <c r="F53" s="19" t="str">
        <f t="shared" si="3"/>
        <v/>
      </c>
      <c r="G53" s="19" t="str">
        <f t="shared" si="4"/>
        <v/>
      </c>
      <c r="H53" s="19" t="str">
        <f t="shared" si="5"/>
        <v/>
      </c>
      <c r="W53" s="4" t="s">
        <v>186</v>
      </c>
      <c r="X53" s="4" t="s">
        <v>177</v>
      </c>
    </row>
    <row r="54" spans="2:24" x14ac:dyDescent="0.25">
      <c r="B54" s="16">
        <f t="shared" si="6"/>
        <v>0.52266176324383518</v>
      </c>
      <c r="C54" s="17">
        <f t="shared" si="0"/>
        <v>2</v>
      </c>
      <c r="D54" s="17">
        <f t="shared" si="1"/>
        <v>29.682210426463953</v>
      </c>
      <c r="E54" s="18">
        <f t="shared" si="2"/>
        <v>1.829316171353423E-2</v>
      </c>
      <c r="F54" s="19" t="str">
        <f t="shared" si="3"/>
        <v/>
      </c>
      <c r="G54" s="19" t="str">
        <f t="shared" si="4"/>
        <v/>
      </c>
      <c r="H54" s="19" t="str">
        <f t="shared" si="5"/>
        <v/>
      </c>
      <c r="W54" s="4" t="s">
        <v>188</v>
      </c>
      <c r="X54" s="4" t="s">
        <v>187</v>
      </c>
    </row>
    <row r="55" spans="2:24" x14ac:dyDescent="0.25">
      <c r="B55" s="16">
        <f t="shared" si="6"/>
        <v>0.55924808667090364</v>
      </c>
      <c r="C55" s="17">
        <f t="shared" si="0"/>
        <v>2</v>
      </c>
      <c r="D55" s="17">
        <f t="shared" si="1"/>
        <v>29.912089076264628</v>
      </c>
      <c r="E55" s="18">
        <f t="shared" si="2"/>
        <v>1.9573683033481629E-2</v>
      </c>
      <c r="F55" s="19" t="str">
        <f t="shared" si="3"/>
        <v/>
      </c>
      <c r="G55" s="19" t="str">
        <f t="shared" si="4"/>
        <v/>
      </c>
      <c r="H55" s="19" t="str">
        <f t="shared" si="5"/>
        <v/>
      </c>
    </row>
    <row r="56" spans="2:24" x14ac:dyDescent="0.25">
      <c r="B56" s="16">
        <f t="shared" si="6"/>
        <v>0.59839545273786698</v>
      </c>
      <c r="C56" s="17">
        <f t="shared" si="0"/>
        <v>2</v>
      </c>
      <c r="D56" s="17">
        <f t="shared" si="1"/>
        <v>30.158059231551352</v>
      </c>
      <c r="E56" s="18">
        <f t="shared" si="2"/>
        <v>2.0943840845825346E-2</v>
      </c>
      <c r="F56" s="19" t="str">
        <f t="shared" si="3"/>
        <v/>
      </c>
      <c r="G56" s="19" t="str">
        <f t="shared" si="4"/>
        <v/>
      </c>
      <c r="H56" s="19" t="str">
        <f t="shared" si="5"/>
        <v/>
      </c>
    </row>
    <row r="57" spans="2:24" x14ac:dyDescent="0.25">
      <c r="B57" s="16">
        <f t="shared" si="6"/>
        <v>0.64028313442951768</v>
      </c>
      <c r="C57" s="17">
        <f t="shared" si="0"/>
        <v>2</v>
      </c>
      <c r="D57" s="17">
        <f t="shared" si="1"/>
        <v>30.421247297708149</v>
      </c>
      <c r="E57" s="18">
        <f t="shared" si="2"/>
        <v>2.2409909705033117E-2</v>
      </c>
      <c r="F57" s="19">
        <f t="shared" si="3"/>
        <v>23.348842561514772</v>
      </c>
      <c r="G57" s="19">
        <f t="shared" si="4"/>
        <v>23.348842561514772</v>
      </c>
      <c r="H57" s="19">
        <f t="shared" si="5"/>
        <v>23.348842561514772</v>
      </c>
    </row>
    <row r="58" spans="2:24" x14ac:dyDescent="0.25">
      <c r="B58" s="16">
        <f t="shared" si="6"/>
        <v>0.68510295383958397</v>
      </c>
      <c r="C58" s="17">
        <f t="shared" si="0"/>
        <v>1</v>
      </c>
      <c r="D58" s="17">
        <f t="shared" si="1"/>
        <v>12.884955592153876</v>
      </c>
      <c r="E58" s="18">
        <f t="shared" si="2"/>
        <v>2.3978603384385441E-2</v>
      </c>
      <c r="F58" s="19" t="str">
        <f t="shared" si="3"/>
        <v/>
      </c>
      <c r="G58" s="19" t="str">
        <f t="shared" si="4"/>
        <v/>
      </c>
      <c r="H58" s="19" t="str">
        <f t="shared" si="5"/>
        <v/>
      </c>
    </row>
    <row r="59" spans="2:24" x14ac:dyDescent="0.25">
      <c r="B59" s="16">
        <f t="shared" si="6"/>
        <v>0.73306016060835488</v>
      </c>
      <c r="C59" s="17">
        <f t="shared" si="0"/>
        <v>1</v>
      </c>
      <c r="D59" s="17">
        <f t="shared" si="1"/>
        <v>12.884955592153876</v>
      </c>
      <c r="E59" s="18">
        <f t="shared" si="2"/>
        <v>2.565710562129242E-2</v>
      </c>
      <c r="F59" s="19" t="str">
        <f t="shared" si="3"/>
        <v/>
      </c>
      <c r="G59" s="19" t="str">
        <f t="shared" si="4"/>
        <v/>
      </c>
      <c r="H59" s="19" t="str">
        <f t="shared" si="5"/>
        <v/>
      </c>
    </row>
    <row r="60" spans="2:24" x14ac:dyDescent="0.25">
      <c r="B60" s="16">
        <f t="shared" si="6"/>
        <v>0.78437437185093972</v>
      </c>
      <c r="C60" s="17">
        <f t="shared" si="0"/>
        <v>1</v>
      </c>
      <c r="D60" s="17">
        <f t="shared" si="1"/>
        <v>12.884955592153876</v>
      </c>
      <c r="E60" s="18">
        <f t="shared" si="2"/>
        <v>2.745310301478289E-2</v>
      </c>
      <c r="F60" s="19" t="str">
        <f t="shared" si="3"/>
        <v/>
      </c>
      <c r="G60" s="19" t="str">
        <f t="shared" si="4"/>
        <v/>
      </c>
      <c r="H60" s="19" t="str">
        <f t="shared" si="5"/>
        <v/>
      </c>
    </row>
    <row r="61" spans="2:24" x14ac:dyDescent="0.25">
      <c r="B61" s="16">
        <f t="shared" si="6"/>
        <v>0.83928057788050558</v>
      </c>
      <c r="C61" s="17">
        <f t="shared" si="0"/>
        <v>1</v>
      </c>
      <c r="D61" s="17">
        <f t="shared" si="1"/>
        <v>12.884955592153876</v>
      </c>
      <c r="E61" s="18">
        <f t="shared" si="2"/>
        <v>2.9374820225817697E-2</v>
      </c>
      <c r="F61" s="19" t="str">
        <f t="shared" si="3"/>
        <v/>
      </c>
      <c r="G61" s="19" t="str">
        <f t="shared" si="4"/>
        <v/>
      </c>
      <c r="H61" s="19" t="str">
        <f t="shared" si="5"/>
        <v/>
      </c>
    </row>
    <row r="62" spans="2:24" x14ac:dyDescent="0.25">
      <c r="B62" s="16">
        <f t="shared" si="6"/>
        <v>0.89803021833214103</v>
      </c>
      <c r="C62" s="17">
        <f t="shared" si="0"/>
        <v>1</v>
      </c>
      <c r="D62" s="17">
        <f t="shared" si="1"/>
        <v>12.884955592153876</v>
      </c>
      <c r="E62" s="18">
        <f t="shared" si="2"/>
        <v>3.1431057641624932E-2</v>
      </c>
      <c r="F62" s="19" t="str">
        <f t="shared" si="3"/>
        <v/>
      </c>
      <c r="G62" s="19" t="str">
        <f t="shared" si="4"/>
        <v/>
      </c>
      <c r="H62" s="19" t="str">
        <f t="shared" si="5"/>
        <v/>
      </c>
    </row>
    <row r="63" spans="2:24" x14ac:dyDescent="0.25">
      <c r="B63" s="16">
        <f t="shared" si="6"/>
        <v>0.96089233361539095</v>
      </c>
      <c r="C63" s="17">
        <f t="shared" si="0"/>
        <v>1</v>
      </c>
      <c r="D63" s="17">
        <f t="shared" si="1"/>
        <v>12.884955592153876</v>
      </c>
      <c r="E63" s="18">
        <f t="shared" si="2"/>
        <v>3.3631231676538684E-2</v>
      </c>
      <c r="F63" s="19" t="str">
        <f t="shared" si="3"/>
        <v/>
      </c>
      <c r="G63" s="19" t="str">
        <f t="shared" si="4"/>
        <v/>
      </c>
      <c r="H63" s="19" t="str">
        <f t="shared" si="5"/>
        <v/>
      </c>
    </row>
    <row r="64" spans="2:24" x14ac:dyDescent="0.25">
      <c r="B64" s="16">
        <f t="shared" si="6"/>
        <v>1.0281547969684683</v>
      </c>
      <c r="C64" s="17">
        <f t="shared" si="0"/>
        <v>1</v>
      </c>
      <c r="D64" s="17">
        <f t="shared" si="1"/>
        <v>12.884955592153876</v>
      </c>
      <c r="E64" s="18">
        <f t="shared" si="2"/>
        <v>3.5985417893896393E-2</v>
      </c>
      <c r="F64" s="19" t="str">
        <f t="shared" si="3"/>
        <v/>
      </c>
      <c r="G64" s="19" t="str">
        <f t="shared" si="4"/>
        <v/>
      </c>
      <c r="H64" s="19" t="str">
        <f t="shared" si="5"/>
        <v/>
      </c>
    </row>
    <row r="65" spans="2:8" x14ac:dyDescent="0.25">
      <c r="B65" s="16">
        <f t="shared" si="6"/>
        <v>1.1001256327562612</v>
      </c>
      <c r="C65" s="17">
        <f t="shared" si="0"/>
        <v>1</v>
      </c>
      <c r="D65" s="17">
        <f t="shared" si="1"/>
        <v>12.884955592153876</v>
      </c>
      <c r="E65" s="18">
        <f t="shared" si="2"/>
        <v>3.8504397146469138E-2</v>
      </c>
      <c r="F65" s="19" t="str">
        <f t="shared" si="3"/>
        <v/>
      </c>
      <c r="G65" s="19" t="str">
        <f t="shared" si="4"/>
        <v/>
      </c>
      <c r="H65" s="19" t="str">
        <f t="shared" si="5"/>
        <v/>
      </c>
    </row>
    <row r="66" spans="2:8" x14ac:dyDescent="0.25">
      <c r="B66" s="16">
        <f t="shared" si="6"/>
        <v>1.1771344270491995</v>
      </c>
      <c r="C66" s="17">
        <f t="shared" si="0"/>
        <v>1</v>
      </c>
      <c r="D66" s="17">
        <f t="shared" si="1"/>
        <v>12.884955592153876</v>
      </c>
      <c r="E66" s="18">
        <f t="shared" si="2"/>
        <v>4.1199704946721982E-2</v>
      </c>
      <c r="F66" s="19" t="str">
        <f t="shared" si="3"/>
        <v/>
      </c>
      <c r="G66" s="19" t="str">
        <f t="shared" si="4"/>
        <v/>
      </c>
      <c r="H66" s="19" t="str">
        <f t="shared" si="5"/>
        <v/>
      </c>
    </row>
    <row r="67" spans="2:8" x14ac:dyDescent="0.25">
      <c r="B67" s="16">
        <f t="shared" si="6"/>
        <v>1.2595338369426434</v>
      </c>
      <c r="C67" s="17">
        <f t="shared" si="0"/>
        <v>1</v>
      </c>
      <c r="D67" s="17">
        <f t="shared" si="1"/>
        <v>12.884955592153876</v>
      </c>
      <c r="E67" s="18">
        <f t="shared" si="2"/>
        <v>4.4083684292992524E-2</v>
      </c>
      <c r="F67" s="19" t="str">
        <f t="shared" si="3"/>
        <v/>
      </c>
      <c r="G67" s="19" t="str">
        <f t="shared" si="4"/>
        <v/>
      </c>
      <c r="H67" s="19" t="str">
        <f t="shared" si="5"/>
        <v/>
      </c>
    </row>
    <row r="68" spans="2:8" x14ac:dyDescent="0.25">
      <c r="B68" s="16">
        <f t="shared" si="6"/>
        <v>1.3477012055286286</v>
      </c>
      <c r="C68" s="17">
        <f t="shared" si="0"/>
        <v>1</v>
      </c>
      <c r="D68" s="17">
        <f t="shared" si="1"/>
        <v>12.884955592153876</v>
      </c>
      <c r="E68" s="18">
        <f t="shared" si="2"/>
        <v>4.7169542193502001E-2</v>
      </c>
      <c r="F68" s="19">
        <f t="shared" si="3"/>
        <v>4.6983970138166153</v>
      </c>
      <c r="G68" s="19">
        <f t="shared" si="4"/>
        <v>4.6983970138166153</v>
      </c>
      <c r="H68" s="19">
        <f t="shared" si="5"/>
        <v>4.6983970138166153</v>
      </c>
    </row>
    <row r="69" spans="2:8" x14ac:dyDescent="0.25">
      <c r="B69" s="16">
        <f t="shared" si="6"/>
        <v>1.4420402899156326</v>
      </c>
      <c r="C69" s="17">
        <f t="shared" si="0"/>
        <v>0</v>
      </c>
      <c r="D69" s="17">
        <f t="shared" si="1"/>
        <v>0</v>
      </c>
      <c r="E69" s="18">
        <f t="shared" si="2"/>
        <v>5.047141014704714E-2</v>
      </c>
      <c r="F69" s="19" t="str">
        <f t="shared" si="3"/>
        <v/>
      </c>
      <c r="G69" s="19" t="str">
        <f t="shared" si="4"/>
        <v/>
      </c>
      <c r="H69" s="19" t="str">
        <f t="shared" si="5"/>
        <v/>
      </c>
    </row>
    <row r="70" spans="2:8" x14ac:dyDescent="0.25">
      <c r="B70" s="16">
        <f t="shared" si="6"/>
        <v>1.5429831102097269</v>
      </c>
      <c r="C70" s="17">
        <f t="shared" si="0"/>
        <v>0</v>
      </c>
      <c r="D70" s="17">
        <f t="shared" si="1"/>
        <v>0</v>
      </c>
      <c r="E70" s="18">
        <f t="shared" si="2"/>
        <v>5.4004408857340445E-2</v>
      </c>
      <c r="F70" s="19" t="str">
        <f t="shared" si="3"/>
        <v/>
      </c>
      <c r="G70" s="19" t="str">
        <f t="shared" si="4"/>
        <v/>
      </c>
      <c r="H70" s="19" t="str">
        <f t="shared" si="5"/>
        <v/>
      </c>
    </row>
    <row r="71" spans="2:8" x14ac:dyDescent="0.25">
      <c r="B71" s="16">
        <f t="shared" si="6"/>
        <v>1.6509919279244079</v>
      </c>
      <c r="C71" s="17">
        <f t="shared" si="0"/>
        <v>0</v>
      </c>
      <c r="D71" s="17">
        <f t="shared" si="1"/>
        <v>0</v>
      </c>
      <c r="E71" s="18">
        <f t="shared" si="2"/>
        <v>5.778471747735428E-2</v>
      </c>
      <c r="F71" s="19" t="str">
        <f t="shared" si="3"/>
        <v/>
      </c>
      <c r="G71" s="19" t="str">
        <f t="shared" si="4"/>
        <v/>
      </c>
      <c r="H71" s="19" t="str">
        <f t="shared" si="5"/>
        <v/>
      </c>
    </row>
    <row r="72" spans="2:8" x14ac:dyDescent="0.25">
      <c r="B72" s="16">
        <f t="shared" si="6"/>
        <v>1.7665613628791166</v>
      </c>
      <c r="C72" s="17">
        <f t="shared" si="0"/>
        <v>0</v>
      </c>
      <c r="D72" s="17">
        <f t="shared" si="1"/>
        <v>0</v>
      </c>
      <c r="E72" s="18">
        <f t="shared" si="2"/>
        <v>6.1829647700769083E-2</v>
      </c>
      <c r="F72" s="19" t="str">
        <f t="shared" si="3"/>
        <v/>
      </c>
      <c r="G72" s="19" t="str">
        <f t="shared" si="4"/>
        <v/>
      </c>
      <c r="H72" s="19" t="str">
        <f t="shared" si="5"/>
        <v/>
      </c>
    </row>
    <row r="73" spans="2:8" x14ac:dyDescent="0.25">
      <c r="B73" s="16">
        <f t="shared" si="6"/>
        <v>1.8902206582806549</v>
      </c>
      <c r="C73" s="17">
        <f t="shared" si="0"/>
        <v>0</v>
      </c>
      <c r="D73" s="17">
        <f t="shared" si="1"/>
        <v>0</v>
      </c>
      <c r="E73" s="18">
        <f t="shared" si="2"/>
        <v>6.6157723039822924E-2</v>
      </c>
      <c r="F73" s="19" t="str">
        <f t="shared" si="3"/>
        <v/>
      </c>
      <c r="G73" s="19" t="str">
        <f t="shared" si="4"/>
        <v/>
      </c>
      <c r="H73" s="19" t="str">
        <f t="shared" si="5"/>
        <v/>
      </c>
    </row>
    <row r="74" spans="2:8" x14ac:dyDescent="0.25">
      <c r="B74" s="16">
        <f t="shared" si="6"/>
        <v>2.022536104360301</v>
      </c>
      <c r="C74" s="17">
        <f t="shared" si="0"/>
        <v>0</v>
      </c>
      <c r="D74" s="17">
        <f t="shared" si="1"/>
        <v>0</v>
      </c>
      <c r="E74" s="18">
        <f t="shared" si="2"/>
        <v>7.0788763652610526E-2</v>
      </c>
      <c r="F74" s="19" t="str">
        <f t="shared" si="3"/>
        <v/>
      </c>
      <c r="G74" s="19" t="str">
        <f t="shared" si="4"/>
        <v/>
      </c>
      <c r="H74" s="19" t="str">
        <f t="shared" si="5"/>
        <v/>
      </c>
    </row>
    <row r="75" spans="2:8" x14ac:dyDescent="0.25">
      <c r="B75" s="16">
        <f t="shared" si="6"/>
        <v>2.1641136316655221</v>
      </c>
      <c r="C75" s="17">
        <f t="shared" si="0"/>
        <v>0</v>
      </c>
      <c r="D75" s="17">
        <f t="shared" si="1"/>
        <v>0</v>
      </c>
      <c r="E75" s="18">
        <f t="shared" si="2"/>
        <v>7.5743977108293281E-2</v>
      </c>
      <c r="F75" s="19" t="str">
        <f t="shared" si="3"/>
        <v/>
      </c>
      <c r="G75" s="19" t="str">
        <f t="shared" si="4"/>
        <v/>
      </c>
      <c r="H75" s="19" t="str">
        <f t="shared" si="5"/>
        <v/>
      </c>
    </row>
    <row r="76" spans="2:8" x14ac:dyDescent="0.25">
      <c r="B76" s="16">
        <f t="shared" si="6"/>
        <v>2.3156015858821086</v>
      </c>
      <c r="C76" s="17">
        <f t="shared" si="0"/>
        <v>0</v>
      </c>
      <c r="D76" s="17">
        <f t="shared" si="1"/>
        <v>0</v>
      </c>
      <c r="E76" s="18">
        <f t="shared" si="2"/>
        <v>8.1046055505873793E-2</v>
      </c>
      <c r="F76" s="19" t="str">
        <f t="shared" si="3"/>
        <v/>
      </c>
      <c r="G76" s="19" t="str">
        <f t="shared" si="4"/>
        <v/>
      </c>
      <c r="H76" s="19" t="str">
        <f t="shared" si="5"/>
        <v/>
      </c>
    </row>
    <row r="77" spans="2:8" x14ac:dyDescent="0.25">
      <c r="B77" s="2"/>
      <c r="C77" s="1"/>
      <c r="D77" s="2"/>
      <c r="F77" s="1"/>
    </row>
    <row r="78" spans="2:8" x14ac:dyDescent="0.25">
      <c r="B78" s="2"/>
      <c r="C78" s="1"/>
      <c r="D78" s="2"/>
      <c r="F78" s="1"/>
    </row>
    <row r="79" spans="2:8" x14ac:dyDescent="0.25">
      <c r="B79" s="2"/>
      <c r="C79" s="1"/>
      <c r="D79" s="2"/>
      <c r="F79" s="1"/>
    </row>
    <row r="80" spans="2:8" x14ac:dyDescent="0.25">
      <c r="B80" s="2"/>
      <c r="C80" s="1"/>
      <c r="D80" s="2"/>
      <c r="F80" s="1"/>
    </row>
    <row r="81" spans="2:6" x14ac:dyDescent="0.25">
      <c r="B81" s="2"/>
      <c r="C81" s="1"/>
      <c r="D81" s="2"/>
      <c r="F81" s="1"/>
    </row>
    <row r="82" spans="2:6" x14ac:dyDescent="0.25">
      <c r="B82" s="2"/>
      <c r="C82" s="1"/>
      <c r="D82" s="2"/>
      <c r="F82" s="1"/>
    </row>
    <row r="83" spans="2:6" x14ac:dyDescent="0.25">
      <c r="B83" s="2"/>
      <c r="C83" s="1"/>
      <c r="D83" s="2"/>
      <c r="F83" s="1"/>
    </row>
    <row r="84" spans="2:6" x14ac:dyDescent="0.25">
      <c r="B84" s="2"/>
      <c r="C84" s="1"/>
      <c r="D84" s="2"/>
      <c r="F84" s="1"/>
    </row>
  </sheetData>
  <mergeCells count="24">
    <mergeCell ref="A3:A9"/>
    <mergeCell ref="E3:I3"/>
    <mergeCell ref="E4:I4"/>
    <mergeCell ref="E5:I5"/>
    <mergeCell ref="E6:I6"/>
    <mergeCell ref="E7:I7"/>
    <mergeCell ref="E8:I8"/>
    <mergeCell ref="E9:I9"/>
    <mergeCell ref="E10:I10"/>
    <mergeCell ref="E11:I11"/>
    <mergeCell ref="A12:A17"/>
    <mergeCell ref="E12:I12"/>
    <mergeCell ref="E13:I13"/>
    <mergeCell ref="E14:I14"/>
    <mergeCell ref="E15:I15"/>
    <mergeCell ref="E16:I16"/>
    <mergeCell ref="E17:I17"/>
    <mergeCell ref="E24:I24"/>
    <mergeCell ref="A19:A23"/>
    <mergeCell ref="E19:I19"/>
    <mergeCell ref="E20:I20"/>
    <mergeCell ref="E21:I21"/>
    <mergeCell ref="E22:I22"/>
    <mergeCell ref="E23:I23"/>
  </mergeCells>
  <conditionalFormatting sqref="L15:L1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{60181404-56F7-4476-8142-94B4F862D272}</x14:id>
        </ext>
      </extLst>
    </cfRule>
  </conditionalFormatting>
  <conditionalFormatting sqref="L23 L21 L2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{299F9F8B-5AA0-4C13-9798-C1440D5265A6}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181404-56F7-4476-8142-94B4F862D27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L15:L17</xm:sqref>
        </x14:conditionalFormatting>
        <x14:conditionalFormatting xmlns:xm="http://schemas.microsoft.com/office/excel/2006/main">
          <x14:cfRule type="dataBar" id="{299F9F8B-5AA0-4C13-9798-C1440D5265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L23 L21 L25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45F05-62BB-4D9F-A672-3298C8683E81}">
  <dimension ref="C2:AS32"/>
  <sheetViews>
    <sheetView topLeftCell="P1" zoomScaleNormal="100" workbookViewId="0">
      <selection activeCell="AK18" sqref="AK18"/>
    </sheetView>
  </sheetViews>
  <sheetFormatPr defaultRowHeight="15" x14ac:dyDescent="0.25"/>
  <cols>
    <col min="24" max="25" width="8.85546875" style="4"/>
    <col min="29" max="30" width="8.85546875" style="4"/>
    <col min="32" max="32" width="7.7109375" customWidth="1"/>
    <col min="33" max="33" width="8.28515625" bestFit="1" customWidth="1"/>
  </cols>
  <sheetData>
    <row r="2" spans="3:45" x14ac:dyDescent="0.25">
      <c r="N2" t="s">
        <v>34</v>
      </c>
      <c r="O2">
        <v>155</v>
      </c>
      <c r="P2" t="s">
        <v>98</v>
      </c>
      <c r="R2" t="s">
        <v>152</v>
      </c>
      <c r="U2" t="s">
        <v>154</v>
      </c>
      <c r="Z2" s="4" t="s">
        <v>155</v>
      </c>
      <c r="AA2" s="4"/>
      <c r="AE2" s="4" t="s">
        <v>156</v>
      </c>
      <c r="AF2" s="4"/>
      <c r="AG2" s="4"/>
    </row>
    <row r="3" spans="3:45" x14ac:dyDescent="0.25">
      <c r="L3" t="s">
        <v>97</v>
      </c>
      <c r="M3" t="s">
        <v>157</v>
      </c>
      <c r="N3" t="s">
        <v>99</v>
      </c>
      <c r="O3" t="s">
        <v>100</v>
      </c>
      <c r="R3" s="4" t="s">
        <v>97</v>
      </c>
      <c r="S3" t="s">
        <v>96</v>
      </c>
      <c r="U3" t="s">
        <v>51</v>
      </c>
      <c r="V3" t="s">
        <v>153</v>
      </c>
      <c r="Z3" s="4" t="s">
        <v>51</v>
      </c>
      <c r="AA3" s="4" t="s">
        <v>153</v>
      </c>
      <c r="AE3" s="4" t="s">
        <v>51</v>
      </c>
      <c r="AF3" s="4" t="s">
        <v>153</v>
      </c>
      <c r="AG3" s="4"/>
      <c r="AH3" s="4"/>
      <c r="AN3" t="s">
        <v>137</v>
      </c>
      <c r="AO3" t="s">
        <v>138</v>
      </c>
      <c r="AP3" t="s">
        <v>139</v>
      </c>
      <c r="AQ3" t="s">
        <v>140</v>
      </c>
      <c r="AR3" t="s">
        <v>141</v>
      </c>
    </row>
    <row r="4" spans="3:45" x14ac:dyDescent="0.25">
      <c r="C4" t="s">
        <v>80</v>
      </c>
      <c r="D4">
        <v>500</v>
      </c>
      <c r="E4" t="s">
        <v>81</v>
      </c>
      <c r="G4" t="s">
        <v>93</v>
      </c>
      <c r="H4">
        <v>1</v>
      </c>
      <c r="L4">
        <v>1</v>
      </c>
      <c r="M4">
        <v>159</v>
      </c>
      <c r="N4" s="4">
        <f t="shared" ref="N4:N11" si="0">L4*L4*$O$2</f>
        <v>155</v>
      </c>
      <c r="O4" s="10">
        <f t="shared" ref="O4:O11" si="1">(M4-N4)/M4</f>
        <v>2.5157232704402517E-2</v>
      </c>
      <c r="R4" s="4">
        <v>1</v>
      </c>
      <c r="S4">
        <v>150</v>
      </c>
      <c r="U4">
        <v>0</v>
      </c>
      <c r="V4">
        <v>4.87</v>
      </c>
      <c r="X4" s="4">
        <f>U4*6</f>
        <v>0</v>
      </c>
      <c r="Z4">
        <v>0</v>
      </c>
      <c r="AA4" s="4">
        <v>6.31</v>
      </c>
      <c r="AC4" s="4">
        <f>Z4*7</f>
        <v>0</v>
      </c>
      <c r="AE4" s="4">
        <v>0</v>
      </c>
      <c r="AF4" s="4">
        <v>14.22</v>
      </c>
      <c r="AG4" s="4"/>
      <c r="AH4">
        <f>AE4*10</f>
        <v>0</v>
      </c>
      <c r="AN4">
        <v>0.127</v>
      </c>
      <c r="AO4">
        <v>0.254</v>
      </c>
      <c r="AP4">
        <v>4.5999999999999996</v>
      </c>
      <c r="AQ4">
        <v>2.9</v>
      </c>
      <c r="AR4">
        <v>0.67079999999999995</v>
      </c>
    </row>
    <row r="5" spans="3:45" x14ac:dyDescent="0.25">
      <c r="C5" t="s">
        <v>79</v>
      </c>
      <c r="D5">
        <f>1000/D4</f>
        <v>2</v>
      </c>
      <c r="E5" t="s">
        <v>82</v>
      </c>
      <c r="G5" t="s">
        <v>94</v>
      </c>
      <c r="H5">
        <v>1</v>
      </c>
      <c r="L5">
        <v>2</v>
      </c>
      <c r="M5">
        <v>633</v>
      </c>
      <c r="N5" s="4">
        <f t="shared" si="0"/>
        <v>620</v>
      </c>
      <c r="O5" s="10">
        <f t="shared" si="1"/>
        <v>2.0537124802527645E-2</v>
      </c>
      <c r="R5" s="4">
        <v>2</v>
      </c>
      <c r="S5">
        <v>582</v>
      </c>
      <c r="U5">
        <v>0.1</v>
      </c>
      <c r="V5">
        <v>4.87</v>
      </c>
      <c r="W5" s="10">
        <f t="shared" ref="W5:W7" si="2">(V5-$V$4)/$V$4</f>
        <v>0</v>
      </c>
      <c r="X5" s="4">
        <f t="shared" ref="X5:X14" si="3">U5*6</f>
        <v>0.60000000000000009</v>
      </c>
      <c r="Z5">
        <v>0.1</v>
      </c>
      <c r="AA5">
        <v>6.4</v>
      </c>
      <c r="AB5" s="10">
        <f>(AA5-$AA$4)/$AA$4</f>
        <v>1.4263074484944651E-2</v>
      </c>
      <c r="AC5" s="4">
        <f t="shared" ref="AC5:AC16" si="4">Z5*7</f>
        <v>0.70000000000000007</v>
      </c>
      <c r="AE5" s="4">
        <v>0.2</v>
      </c>
      <c r="AF5" s="4">
        <v>14.29</v>
      </c>
      <c r="AG5" s="10">
        <f t="shared" ref="AG5:AG15" si="5">(AF5-$AF$4)/$AF$4</f>
        <v>4.9226441631503868E-3</v>
      </c>
      <c r="AH5" s="4">
        <f t="shared" ref="AH5:AH16" si="6">AE5*10</f>
        <v>2</v>
      </c>
      <c r="AI5" s="4"/>
      <c r="AJ5" s="4"/>
      <c r="AK5" s="4"/>
      <c r="AN5">
        <v>0.254</v>
      </c>
      <c r="AO5" s="4">
        <v>0.254</v>
      </c>
      <c r="AP5" s="4">
        <v>4.5999999999999996</v>
      </c>
      <c r="AQ5">
        <v>3.1</v>
      </c>
      <c r="AR5">
        <v>0.89559999999999995</v>
      </c>
    </row>
    <row r="6" spans="3:45" x14ac:dyDescent="0.25">
      <c r="G6" t="s">
        <v>95</v>
      </c>
      <c r="H6">
        <v>400</v>
      </c>
      <c r="L6">
        <v>3</v>
      </c>
      <c r="M6">
        <v>1370</v>
      </c>
      <c r="N6" s="4">
        <f t="shared" si="0"/>
        <v>1395</v>
      </c>
      <c r="O6" s="10">
        <f t="shared" si="1"/>
        <v>-1.824817518248175E-2</v>
      </c>
      <c r="R6" s="4">
        <v>3</v>
      </c>
      <c r="S6">
        <v>1000</v>
      </c>
      <c r="U6">
        <v>0.3</v>
      </c>
      <c r="V6">
        <v>4.88</v>
      </c>
      <c r="W6" s="10">
        <f t="shared" si="2"/>
        <v>2.0533880903490323E-3</v>
      </c>
      <c r="X6" s="4">
        <f t="shared" si="3"/>
        <v>1.7999999999999998</v>
      </c>
      <c r="Z6">
        <v>0.2</v>
      </c>
      <c r="AA6">
        <v>6.44</v>
      </c>
      <c r="AB6" s="10">
        <f t="shared" ref="AB6:AB16" si="7">(AA6-$AA$4)/$AA$4</f>
        <v>2.0602218700475562E-2</v>
      </c>
      <c r="AC6" s="4">
        <f t="shared" si="4"/>
        <v>1.4000000000000001</v>
      </c>
      <c r="AE6" s="4">
        <v>0.4</v>
      </c>
      <c r="AF6" s="4">
        <v>14.33</v>
      </c>
      <c r="AG6" s="10">
        <f t="shared" si="5"/>
        <v>7.7355836849507332E-3</v>
      </c>
      <c r="AH6" s="4">
        <f t="shared" si="6"/>
        <v>4</v>
      </c>
      <c r="AI6" s="4"/>
      <c r="AJ6" s="4"/>
      <c r="AK6" s="4"/>
      <c r="AN6">
        <v>0.50800000000000001</v>
      </c>
      <c r="AO6" s="4">
        <v>0.254</v>
      </c>
      <c r="AP6" s="4">
        <v>4.5999999999999996</v>
      </c>
      <c r="AQ6">
        <v>3.3412000000000002</v>
      </c>
      <c r="AR6">
        <v>1.3143</v>
      </c>
    </row>
    <row r="7" spans="3:45" x14ac:dyDescent="0.25">
      <c r="C7" t="s">
        <v>86</v>
      </c>
      <c r="D7">
        <v>2.5</v>
      </c>
      <c r="E7" t="s">
        <v>4</v>
      </c>
      <c r="L7">
        <v>4</v>
      </c>
      <c r="M7">
        <v>2516</v>
      </c>
      <c r="N7" s="4">
        <f t="shared" si="0"/>
        <v>2480</v>
      </c>
      <c r="O7" s="10">
        <f t="shared" si="1"/>
        <v>1.4308426073131956E-2</v>
      </c>
      <c r="R7" s="4">
        <v>4</v>
      </c>
      <c r="S7">
        <v>1818</v>
      </c>
      <c r="U7">
        <v>0.5</v>
      </c>
      <c r="V7">
        <v>4.88</v>
      </c>
      <c r="W7" s="10">
        <f t="shared" si="2"/>
        <v>2.0533880903490323E-3</v>
      </c>
      <c r="X7" s="4">
        <f t="shared" si="3"/>
        <v>3</v>
      </c>
      <c r="Z7">
        <v>0.4</v>
      </c>
      <c r="AA7">
        <v>6.48</v>
      </c>
      <c r="AB7" s="10">
        <f t="shared" si="7"/>
        <v>2.6941362916006472E-2</v>
      </c>
      <c r="AC7" s="4">
        <f t="shared" si="4"/>
        <v>2.8000000000000003</v>
      </c>
      <c r="AE7" s="4">
        <v>0.6</v>
      </c>
      <c r="AF7" s="4">
        <v>14.3</v>
      </c>
      <c r="AG7" s="10">
        <f t="shared" si="5"/>
        <v>5.625879043600567E-3</v>
      </c>
      <c r="AH7" s="4">
        <f t="shared" si="6"/>
        <v>6</v>
      </c>
      <c r="AI7" s="4"/>
      <c r="AJ7" s="4"/>
      <c r="AK7" s="4"/>
      <c r="AN7">
        <v>1</v>
      </c>
      <c r="AO7" s="4">
        <v>0.254</v>
      </c>
      <c r="AP7" s="4">
        <v>4.5999999999999996</v>
      </c>
      <c r="AQ7">
        <v>3.6095000000000002</v>
      </c>
      <c r="AR7">
        <v>2.0973999999999999</v>
      </c>
    </row>
    <row r="8" spans="3:45" x14ac:dyDescent="0.25">
      <c r="C8" t="s">
        <v>84</v>
      </c>
      <c r="D8" s="9">
        <v>0.4</v>
      </c>
      <c r="L8">
        <v>5</v>
      </c>
      <c r="M8">
        <v>3500</v>
      </c>
      <c r="N8" s="4">
        <f t="shared" si="0"/>
        <v>3875</v>
      </c>
      <c r="O8" s="10">
        <f t="shared" si="1"/>
        <v>-0.10714285714285714</v>
      </c>
      <c r="R8" s="4">
        <v>5</v>
      </c>
      <c r="S8">
        <v>2900</v>
      </c>
      <c r="U8">
        <v>0.7</v>
      </c>
      <c r="V8" s="4">
        <v>4.88</v>
      </c>
      <c r="W8" s="10">
        <f t="shared" ref="W8:W13" si="8">(V8-$V$4)/$V$4</f>
        <v>2.0533880903490323E-3</v>
      </c>
      <c r="X8" s="4">
        <f t="shared" si="3"/>
        <v>4.1999999999999993</v>
      </c>
      <c r="Z8">
        <v>0.6</v>
      </c>
      <c r="AA8">
        <v>6.5</v>
      </c>
      <c r="AB8" s="10">
        <f t="shared" si="7"/>
        <v>3.0110935023771854E-2</v>
      </c>
      <c r="AC8" s="4">
        <f t="shared" si="4"/>
        <v>4.2</v>
      </c>
      <c r="AE8" s="4">
        <v>0.9</v>
      </c>
      <c r="AF8" s="4">
        <v>14.2</v>
      </c>
      <c r="AG8" s="10">
        <f t="shared" si="5"/>
        <v>-1.4064697609002354E-3</v>
      </c>
      <c r="AH8" s="4">
        <f t="shared" si="6"/>
        <v>9</v>
      </c>
      <c r="AI8" s="4"/>
      <c r="AJ8" s="4"/>
      <c r="AK8" s="4"/>
      <c r="AN8">
        <v>2</v>
      </c>
      <c r="AO8" s="4">
        <v>0.254</v>
      </c>
      <c r="AP8" s="4">
        <v>4.5999999999999996</v>
      </c>
      <c r="AQ8">
        <v>3.8887999999999998</v>
      </c>
      <c r="AR8">
        <v>3.6715</v>
      </c>
    </row>
    <row r="9" spans="3:45" x14ac:dyDescent="0.25">
      <c r="C9" t="s">
        <v>85</v>
      </c>
      <c r="D9">
        <f>D8*D5</f>
        <v>0.8</v>
      </c>
      <c r="E9" t="s">
        <v>82</v>
      </c>
      <c r="L9">
        <v>6</v>
      </c>
      <c r="M9">
        <v>5420</v>
      </c>
      <c r="N9" s="4">
        <f t="shared" si="0"/>
        <v>5580</v>
      </c>
      <c r="O9" s="10">
        <f t="shared" si="1"/>
        <v>-2.9520295202952029E-2</v>
      </c>
      <c r="R9" s="4">
        <v>6</v>
      </c>
      <c r="S9">
        <v>4630</v>
      </c>
      <c r="U9">
        <v>1.44</v>
      </c>
      <c r="V9">
        <v>4.8499999999999996</v>
      </c>
      <c r="W9" s="10">
        <f t="shared" si="8"/>
        <v>-4.1067761806982466E-3</v>
      </c>
      <c r="X9" s="4">
        <f t="shared" si="3"/>
        <v>8.64</v>
      </c>
      <c r="Z9">
        <v>0.9</v>
      </c>
      <c r="AA9">
        <v>6.51</v>
      </c>
      <c r="AB9" s="10">
        <f t="shared" si="7"/>
        <v>3.1695721077654546E-2</v>
      </c>
      <c r="AC9" s="4">
        <f t="shared" si="4"/>
        <v>6.3</v>
      </c>
      <c r="AE9" s="4">
        <v>1.2</v>
      </c>
      <c r="AF9" s="4">
        <v>14</v>
      </c>
      <c r="AG9" s="10">
        <f t="shared" si="5"/>
        <v>-1.5471167369901591E-2</v>
      </c>
      <c r="AH9" s="4">
        <f t="shared" si="6"/>
        <v>12</v>
      </c>
      <c r="AI9" s="4"/>
      <c r="AJ9" s="4"/>
      <c r="AK9" s="4"/>
      <c r="AN9">
        <v>20</v>
      </c>
      <c r="AO9" s="4">
        <v>0.254</v>
      </c>
      <c r="AP9" s="4">
        <v>4.5999999999999996</v>
      </c>
      <c r="AQ9">
        <v>4.4530000000000003</v>
      </c>
      <c r="AR9">
        <v>32.2164</v>
      </c>
    </row>
    <row r="10" spans="3:45" x14ac:dyDescent="0.25">
      <c r="C10" t="s">
        <v>87</v>
      </c>
      <c r="D10">
        <f>D7*D5</f>
        <v>5</v>
      </c>
      <c r="E10" t="s">
        <v>88</v>
      </c>
      <c r="L10">
        <v>7</v>
      </c>
      <c r="M10">
        <v>7360</v>
      </c>
      <c r="N10" s="4">
        <f t="shared" si="0"/>
        <v>7595</v>
      </c>
      <c r="O10" s="10">
        <f t="shared" si="1"/>
        <v>-3.192934782608696E-2</v>
      </c>
      <c r="R10" s="4">
        <v>7</v>
      </c>
      <c r="S10">
        <v>6310</v>
      </c>
      <c r="U10">
        <v>1.9</v>
      </c>
      <c r="V10">
        <v>4.8</v>
      </c>
      <c r="W10" s="10">
        <f t="shared" si="8"/>
        <v>-1.437371663244359E-2</v>
      </c>
      <c r="X10" s="4">
        <f t="shared" si="3"/>
        <v>11.399999999999999</v>
      </c>
      <c r="Z10">
        <v>1.2</v>
      </c>
      <c r="AA10">
        <v>6.5</v>
      </c>
      <c r="AB10" s="10">
        <f t="shared" si="7"/>
        <v>3.0110935023771854E-2</v>
      </c>
      <c r="AC10" s="4">
        <f t="shared" si="4"/>
        <v>8.4</v>
      </c>
      <c r="AE10" s="4">
        <v>1.5</v>
      </c>
      <c r="AF10" s="4">
        <v>13.6</v>
      </c>
      <c r="AG10" s="10">
        <f t="shared" si="5"/>
        <v>-4.3600562587904429E-2</v>
      </c>
      <c r="AH10" s="4">
        <f t="shared" si="6"/>
        <v>15</v>
      </c>
      <c r="AI10" s="4"/>
      <c r="AJ10" s="4"/>
      <c r="AK10" s="4"/>
    </row>
    <row r="11" spans="3:45" x14ac:dyDescent="0.25">
      <c r="C11" t="s">
        <v>89</v>
      </c>
      <c r="D11" s="9">
        <v>0.7</v>
      </c>
      <c r="L11">
        <v>8</v>
      </c>
      <c r="M11">
        <v>9640</v>
      </c>
      <c r="N11" s="4">
        <f t="shared" si="0"/>
        <v>9920</v>
      </c>
      <c r="O11" s="10">
        <f t="shared" si="1"/>
        <v>-2.9045643153526972E-2</v>
      </c>
      <c r="R11" s="4">
        <v>10</v>
      </c>
      <c r="S11">
        <v>14220</v>
      </c>
      <c r="U11">
        <v>2.2000000000000002</v>
      </c>
      <c r="V11">
        <v>4.78</v>
      </c>
      <c r="W11" s="10">
        <f t="shared" si="8"/>
        <v>-1.8480492813141656E-2</v>
      </c>
      <c r="X11" s="4">
        <f t="shared" si="3"/>
        <v>13.200000000000001</v>
      </c>
      <c r="Z11">
        <v>1.5</v>
      </c>
      <c r="AA11">
        <v>6.5</v>
      </c>
      <c r="AB11" s="10">
        <f t="shared" si="7"/>
        <v>3.0110935023771854E-2</v>
      </c>
      <c r="AC11" s="4">
        <f t="shared" si="4"/>
        <v>10.5</v>
      </c>
      <c r="AE11" s="4">
        <v>1.8</v>
      </c>
      <c r="AF11" s="4">
        <v>12.9</v>
      </c>
      <c r="AG11" s="10">
        <f t="shared" si="5"/>
        <v>-9.2827004219409301E-2</v>
      </c>
      <c r="AH11" s="4">
        <f t="shared" si="6"/>
        <v>18</v>
      </c>
      <c r="AI11" s="4"/>
      <c r="AJ11" s="4"/>
      <c r="AK11" s="4"/>
    </row>
    <row r="12" spans="3:45" x14ac:dyDescent="0.25">
      <c r="C12" t="s">
        <v>90</v>
      </c>
      <c r="D12">
        <f>D10/D11</f>
        <v>7.1428571428571432</v>
      </c>
      <c r="E12" t="s">
        <v>88</v>
      </c>
      <c r="O12" s="10"/>
      <c r="U12">
        <v>2.6</v>
      </c>
      <c r="V12">
        <v>4.67</v>
      </c>
      <c r="W12" s="10">
        <f t="shared" si="8"/>
        <v>-4.1067761806981552E-2</v>
      </c>
      <c r="X12" s="4">
        <f t="shared" si="3"/>
        <v>15.600000000000001</v>
      </c>
      <c r="Z12">
        <v>1.8</v>
      </c>
      <c r="AA12">
        <v>6.43</v>
      </c>
      <c r="AB12" s="10">
        <f t="shared" si="7"/>
        <v>1.9017432646592728E-2</v>
      </c>
      <c r="AC12" s="4">
        <f t="shared" si="4"/>
        <v>12.6</v>
      </c>
      <c r="AE12" s="4">
        <v>2.1</v>
      </c>
      <c r="AF12" s="4">
        <v>11.3</v>
      </c>
      <c r="AG12" s="10">
        <f t="shared" si="5"/>
        <v>-0.20534458509142053</v>
      </c>
      <c r="AH12" s="4">
        <f t="shared" si="6"/>
        <v>21</v>
      </c>
      <c r="AI12" s="4"/>
      <c r="AJ12" s="4"/>
      <c r="AK12" s="4"/>
    </row>
    <row r="13" spans="3:45" x14ac:dyDescent="0.25">
      <c r="C13" t="s">
        <v>91</v>
      </c>
      <c r="D13">
        <f>D12/D9</f>
        <v>8.9285714285714288</v>
      </c>
      <c r="E13" t="s">
        <v>4</v>
      </c>
      <c r="U13">
        <v>2.8</v>
      </c>
      <c r="V13">
        <v>4.62</v>
      </c>
      <c r="W13" s="10">
        <f t="shared" si="8"/>
        <v>-5.1334702258726897E-2</v>
      </c>
      <c r="X13" s="4">
        <f t="shared" si="3"/>
        <v>16.799999999999997</v>
      </c>
      <c r="Z13">
        <v>2.1</v>
      </c>
      <c r="AA13">
        <v>6.36</v>
      </c>
      <c r="AB13" s="10">
        <f t="shared" si="7"/>
        <v>7.9239302694137422E-3</v>
      </c>
      <c r="AC13" s="4">
        <f t="shared" si="4"/>
        <v>14.700000000000001</v>
      </c>
      <c r="AE13">
        <v>2.2000000000000002</v>
      </c>
      <c r="AF13">
        <v>9.9</v>
      </c>
      <c r="AG13" s="10">
        <f t="shared" si="5"/>
        <v>-0.30379746835443039</v>
      </c>
      <c r="AH13" s="4">
        <f t="shared" si="6"/>
        <v>22</v>
      </c>
      <c r="AI13" s="4"/>
      <c r="AJ13" s="4"/>
      <c r="AK13" s="4"/>
      <c r="AN13" t="s">
        <v>146</v>
      </c>
      <c r="AO13" t="s">
        <v>145</v>
      </c>
      <c r="AP13" t="s">
        <v>144</v>
      </c>
      <c r="AQ13" t="s">
        <v>139</v>
      </c>
      <c r="AR13" t="s">
        <v>142</v>
      </c>
      <c r="AS13" t="s">
        <v>143</v>
      </c>
    </row>
    <row r="14" spans="3:45" x14ac:dyDescent="0.25">
      <c r="U14">
        <v>3</v>
      </c>
      <c r="V14">
        <v>4.59</v>
      </c>
      <c r="W14" s="10">
        <f>(V14-$V$4)/$V$4</f>
        <v>-5.7494866529774175E-2</v>
      </c>
      <c r="X14" s="4">
        <f t="shared" si="3"/>
        <v>18</v>
      </c>
      <c r="Z14">
        <v>2.5</v>
      </c>
      <c r="AA14">
        <v>6.19</v>
      </c>
      <c r="AB14" s="10">
        <f t="shared" si="7"/>
        <v>-1.9017432646592586E-2</v>
      </c>
      <c r="AC14" s="4">
        <f t="shared" si="4"/>
        <v>17.5</v>
      </c>
      <c r="AE14">
        <v>2.2999999999999998</v>
      </c>
      <c r="AF14" s="4">
        <v>7.6</v>
      </c>
      <c r="AG14" s="10">
        <f t="shared" si="5"/>
        <v>-0.4655414908579466</v>
      </c>
      <c r="AH14" s="4">
        <f t="shared" si="6"/>
        <v>23</v>
      </c>
      <c r="AI14" s="4"/>
      <c r="AJ14" s="4"/>
      <c r="AK14" s="4"/>
      <c r="AN14">
        <v>0.15</v>
      </c>
      <c r="AO14">
        <v>0.21</v>
      </c>
      <c r="AP14">
        <v>1</v>
      </c>
      <c r="AQ14">
        <v>4.2</v>
      </c>
      <c r="AR14">
        <v>2.6549999999999998</v>
      </c>
      <c r="AS14">
        <v>3.1076999999999999</v>
      </c>
    </row>
    <row r="15" spans="3:45" x14ac:dyDescent="0.25">
      <c r="C15" t="s">
        <v>92</v>
      </c>
      <c r="D15">
        <f>2*D7*H4*H5/(H6*H6*D11*D4*1000)</f>
        <v>8.9285714285714288E-11</v>
      </c>
      <c r="Z15">
        <v>2.9</v>
      </c>
      <c r="AA15">
        <v>5.77</v>
      </c>
      <c r="AB15" s="10">
        <f t="shared" si="7"/>
        <v>-8.5578446909667205E-2</v>
      </c>
      <c r="AC15" s="4">
        <f t="shared" si="4"/>
        <v>20.3</v>
      </c>
      <c r="AE15" s="4">
        <v>2.5</v>
      </c>
      <c r="AF15" s="4">
        <v>5</v>
      </c>
      <c r="AG15" s="10">
        <f t="shared" si="5"/>
        <v>-0.64838255977496484</v>
      </c>
      <c r="AH15" s="4">
        <f t="shared" si="6"/>
        <v>25</v>
      </c>
      <c r="AS15" s="4"/>
    </row>
    <row r="16" spans="3:45" x14ac:dyDescent="0.25">
      <c r="L16">
        <v>0.97</v>
      </c>
      <c r="M16">
        <v>2.5</v>
      </c>
      <c r="N16" s="10">
        <f>L16/M16</f>
        <v>0.38800000000000001</v>
      </c>
      <c r="Z16">
        <v>2.8</v>
      </c>
      <c r="AA16">
        <v>5.95</v>
      </c>
      <c r="AB16" s="10">
        <f t="shared" si="7"/>
        <v>-5.7052297939778042E-2</v>
      </c>
      <c r="AC16" s="4">
        <f t="shared" si="4"/>
        <v>19.599999999999998</v>
      </c>
      <c r="AE16" s="4"/>
      <c r="AF16" s="4"/>
      <c r="AG16" s="10"/>
      <c r="AH16" s="4">
        <f t="shared" si="6"/>
        <v>0</v>
      </c>
    </row>
    <row r="17" spans="12:44" x14ac:dyDescent="0.25">
      <c r="AN17" t="s">
        <v>147</v>
      </c>
      <c r="AO17" t="s">
        <v>148</v>
      </c>
      <c r="AP17" t="s">
        <v>149</v>
      </c>
      <c r="AQ17" t="s">
        <v>150</v>
      </c>
      <c r="AR17" t="s">
        <v>151</v>
      </c>
    </row>
    <row r="18" spans="12:44" x14ac:dyDescent="0.25">
      <c r="AN18">
        <v>10</v>
      </c>
      <c r="AO18">
        <v>2</v>
      </c>
      <c r="AP18">
        <v>0.5</v>
      </c>
      <c r="AQ18">
        <v>3.5</v>
      </c>
      <c r="AR18" s="42">
        <f>0.12*AO18/AN18+0.09*(1+AQ18)*LOG10(1+2*AN18/AP18+AN18*AN18/AP18)</f>
        <v>0.9887169022428216</v>
      </c>
    </row>
    <row r="27" spans="12:44" x14ac:dyDescent="0.25">
      <c r="L27">
        <v>48</v>
      </c>
      <c r="M27" t="s">
        <v>83</v>
      </c>
      <c r="O27">
        <v>950</v>
      </c>
    </row>
    <row r="28" spans="12:44" x14ac:dyDescent="0.25">
      <c r="L28">
        <v>24</v>
      </c>
      <c r="M28" t="s">
        <v>83</v>
      </c>
      <c r="O28">
        <v>10</v>
      </c>
    </row>
    <row r="29" spans="12:44" x14ac:dyDescent="0.25">
      <c r="L29">
        <v>10</v>
      </c>
      <c r="M29" t="s">
        <v>124</v>
      </c>
      <c r="O29">
        <v>2000</v>
      </c>
    </row>
    <row r="30" spans="12:44" x14ac:dyDescent="0.25">
      <c r="L30">
        <f>L27-L28</f>
        <v>24</v>
      </c>
      <c r="M30" t="s">
        <v>83</v>
      </c>
      <c r="O30">
        <f>O27*O28/(O29+O28)</f>
        <v>4.7263681592039797</v>
      </c>
      <c r="P30" t="s">
        <v>83</v>
      </c>
    </row>
    <row r="31" spans="12:44" x14ac:dyDescent="0.25">
      <c r="L31">
        <f>L30/L29</f>
        <v>2.4</v>
      </c>
      <c r="M31" t="s">
        <v>136</v>
      </c>
    </row>
    <row r="32" spans="12:44" x14ac:dyDescent="0.25">
      <c r="L32">
        <f>L30*L29</f>
        <v>240</v>
      </c>
      <c r="M32" t="s">
        <v>133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8DD30-5D78-4B94-A69D-8D9DF7F19F44}">
  <dimension ref="C7:L32"/>
  <sheetViews>
    <sheetView workbookViewId="0">
      <selection activeCell="G26" sqref="G26"/>
    </sheetView>
  </sheetViews>
  <sheetFormatPr defaultRowHeight="15" x14ac:dyDescent="0.25"/>
  <cols>
    <col min="3" max="3" width="13.5703125" bestFit="1" customWidth="1"/>
    <col min="6" max="6" width="13.5703125" bestFit="1" customWidth="1"/>
  </cols>
  <sheetData>
    <row r="7" spans="3:11" x14ac:dyDescent="0.25">
      <c r="C7" t="s">
        <v>192</v>
      </c>
      <c r="D7">
        <v>1.5</v>
      </c>
      <c r="E7" t="s">
        <v>4</v>
      </c>
    </row>
    <row r="8" spans="3:11" x14ac:dyDescent="0.25">
      <c r="C8" t="s">
        <v>193</v>
      </c>
      <c r="D8" s="9">
        <v>0.85</v>
      </c>
    </row>
    <row r="9" spans="3:11" x14ac:dyDescent="0.25">
      <c r="C9" t="s">
        <v>194</v>
      </c>
      <c r="D9" s="42">
        <f>D7/D8</f>
        <v>1.7647058823529411</v>
      </c>
      <c r="E9" t="s">
        <v>4</v>
      </c>
    </row>
    <row r="10" spans="3:11" x14ac:dyDescent="0.25">
      <c r="C10" t="s">
        <v>195</v>
      </c>
      <c r="D10" s="9">
        <v>0.75</v>
      </c>
    </row>
    <row r="11" spans="3:11" x14ac:dyDescent="0.25">
      <c r="C11" t="s">
        <v>196</v>
      </c>
      <c r="D11" s="42">
        <f>D9/D10</f>
        <v>2.3529411764705883</v>
      </c>
      <c r="E11" t="s">
        <v>4</v>
      </c>
      <c r="H11" t="s">
        <v>161</v>
      </c>
      <c r="I11">
        <f>D11/D12*1000</f>
        <v>7.5414781297134237</v>
      </c>
      <c r="J11" t="s">
        <v>88</v>
      </c>
      <c r="K11" t="s">
        <v>197</v>
      </c>
    </row>
    <row r="12" spans="3:11" x14ac:dyDescent="0.25">
      <c r="C12" t="s">
        <v>80</v>
      </c>
      <c r="D12" s="66">
        <v>312</v>
      </c>
      <c r="E12" t="s">
        <v>81</v>
      </c>
      <c r="K12" t="s">
        <v>198</v>
      </c>
    </row>
    <row r="13" spans="3:11" x14ac:dyDescent="0.25">
      <c r="C13" t="s">
        <v>79</v>
      </c>
      <c r="D13">
        <f>1/D12*1000</f>
        <v>3.2051282051282048</v>
      </c>
      <c r="E13" t="s">
        <v>82</v>
      </c>
      <c r="K13" t="s">
        <v>199</v>
      </c>
    </row>
    <row r="15" spans="3:11" x14ac:dyDescent="0.25">
      <c r="C15" t="s">
        <v>103</v>
      </c>
      <c r="D15">
        <v>30</v>
      </c>
      <c r="E15" t="s">
        <v>83</v>
      </c>
    </row>
    <row r="16" spans="3:11" x14ac:dyDescent="0.25">
      <c r="C16" t="s">
        <v>159</v>
      </c>
      <c r="D16">
        <v>79</v>
      </c>
      <c r="E16" t="s">
        <v>48</v>
      </c>
    </row>
    <row r="17" spans="3:12" x14ac:dyDescent="0.25">
      <c r="C17" t="s">
        <v>200</v>
      </c>
      <c r="D17" s="42">
        <f>SQRT(I11*2/D16)</f>
        <v>0.43694793391749803</v>
      </c>
      <c r="E17" t="s">
        <v>52</v>
      </c>
    </row>
    <row r="18" spans="3:12" x14ac:dyDescent="0.25">
      <c r="C18" t="s">
        <v>203</v>
      </c>
      <c r="D18" s="42">
        <f>D16*D17/D15</f>
        <v>1.150629559316078</v>
      </c>
      <c r="E18" t="s">
        <v>82</v>
      </c>
      <c r="K18" t="s">
        <v>201</v>
      </c>
    </row>
    <row r="19" spans="3:12" x14ac:dyDescent="0.25">
      <c r="C19" t="s">
        <v>204</v>
      </c>
      <c r="D19" s="10">
        <f>D18/D13</f>
        <v>0.3589964225066164</v>
      </c>
      <c r="K19" t="s">
        <v>202</v>
      </c>
    </row>
    <row r="20" spans="3:12" x14ac:dyDescent="0.25">
      <c r="C20" s="4" t="s">
        <v>213</v>
      </c>
      <c r="D20" s="42">
        <f>-LN((D15-D17*D32)/D15)*D16/D32</f>
        <v>1.2136043624335409</v>
      </c>
      <c r="E20" t="s">
        <v>82</v>
      </c>
    </row>
    <row r="21" spans="3:12" x14ac:dyDescent="0.25">
      <c r="C21" s="4" t="s">
        <v>214</v>
      </c>
      <c r="D21" s="10">
        <f>D20/D13</f>
        <v>0.37864456107926481</v>
      </c>
    </row>
    <row r="22" spans="3:12" x14ac:dyDescent="0.25">
      <c r="C22" t="s">
        <v>216</v>
      </c>
      <c r="D22" s="41">
        <f>D17/2*D21*1000</f>
        <v>82.723979326341322</v>
      </c>
      <c r="E22" t="s">
        <v>124</v>
      </c>
    </row>
    <row r="23" spans="3:12" x14ac:dyDescent="0.25">
      <c r="C23" t="s">
        <v>217</v>
      </c>
      <c r="D23" s="41">
        <f>SQRT(D21/3)*D17*1000</f>
        <v>155.2333122584167</v>
      </c>
      <c r="E23" t="s">
        <v>124</v>
      </c>
      <c r="K23" t="s">
        <v>210</v>
      </c>
    </row>
    <row r="24" spans="3:12" x14ac:dyDescent="0.25">
      <c r="C24" t="s">
        <v>218</v>
      </c>
      <c r="D24" s="1">
        <f>D23*D23*D30/1000*D8</f>
        <v>81.931096198044955</v>
      </c>
      <c r="E24" t="s">
        <v>133</v>
      </c>
      <c r="K24" t="s">
        <v>215</v>
      </c>
    </row>
    <row r="25" spans="3:12" x14ac:dyDescent="0.25">
      <c r="C25" t="s">
        <v>219</v>
      </c>
      <c r="D25">
        <v>350</v>
      </c>
      <c r="E25" t="s">
        <v>220</v>
      </c>
      <c r="J25" t="s">
        <v>211</v>
      </c>
      <c r="K25">
        <v>2.67</v>
      </c>
      <c r="L25" t="s">
        <v>82</v>
      </c>
    </row>
    <row r="26" spans="3:12" x14ac:dyDescent="0.25">
      <c r="C26" t="s">
        <v>221</v>
      </c>
      <c r="D26">
        <f>D25*D24/1000</f>
        <v>28.675883669315734</v>
      </c>
      <c r="E26" t="s">
        <v>54</v>
      </c>
      <c r="J26" t="s">
        <v>212</v>
      </c>
      <c r="K26">
        <f>(D15-D15*EXP(-D32*K25/D16))/D32</f>
        <v>0.90291027641769062</v>
      </c>
      <c r="L26" t="s">
        <v>52</v>
      </c>
    </row>
    <row r="29" spans="3:12" x14ac:dyDescent="0.25">
      <c r="C29" t="s">
        <v>205</v>
      </c>
      <c r="D29">
        <v>2</v>
      </c>
      <c r="E29" s="67" t="s">
        <v>206</v>
      </c>
    </row>
    <row r="30" spans="3:12" x14ac:dyDescent="0.25">
      <c r="C30" t="s">
        <v>207</v>
      </c>
      <c r="D30">
        <v>4</v>
      </c>
      <c r="E30" s="67" t="s">
        <v>206</v>
      </c>
    </row>
    <row r="31" spans="3:12" x14ac:dyDescent="0.25">
      <c r="C31" t="s">
        <v>208</v>
      </c>
      <c r="D31">
        <v>1</v>
      </c>
      <c r="E31" s="67" t="s">
        <v>206</v>
      </c>
    </row>
    <row r="32" spans="3:12" x14ac:dyDescent="0.25">
      <c r="C32" t="s">
        <v>209</v>
      </c>
      <c r="D32">
        <f>SUM(D29:D31)</f>
        <v>7</v>
      </c>
      <c r="E32" s="67" t="s">
        <v>206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41720-26B8-40C4-BBE9-7FE561B63412}">
  <dimension ref="A1:Z85"/>
  <sheetViews>
    <sheetView topLeftCell="E12" zoomScaleNormal="100" workbookViewId="0">
      <selection activeCell="D57" sqref="D57"/>
    </sheetView>
  </sheetViews>
  <sheetFormatPr defaultRowHeight="15" x14ac:dyDescent="0.25"/>
  <cols>
    <col min="1" max="1" width="9.28515625" style="4" customWidth="1"/>
    <col min="2" max="2" width="12.28515625" style="4" bestFit="1" customWidth="1"/>
    <col min="3" max="3" width="9.7109375" style="4" bestFit="1" customWidth="1"/>
    <col min="4" max="4" width="16.28515625" style="4" bestFit="1" customWidth="1"/>
    <col min="5" max="5" width="18.28515625" style="4" bestFit="1" customWidth="1"/>
    <col min="6" max="8" width="17.42578125" style="4" bestFit="1" customWidth="1"/>
    <col min="9" max="10" width="16.140625" style="4" customWidth="1"/>
    <col min="11" max="11" width="9.42578125" style="4" bestFit="1" customWidth="1"/>
    <col min="12" max="12" width="11.28515625" style="4" customWidth="1"/>
    <col min="13" max="13" width="5.28515625" style="4" bestFit="1" customWidth="1"/>
    <col min="14" max="14" width="30.42578125" style="4" bestFit="1" customWidth="1"/>
    <col min="15" max="22" width="9.140625" style="4"/>
    <col min="23" max="23" width="13.7109375" style="4" customWidth="1"/>
    <col min="24" max="24" width="11" style="4" bestFit="1" customWidth="1"/>
    <col min="25" max="16384" width="9.140625" style="4"/>
  </cols>
  <sheetData>
    <row r="1" spans="1:26" x14ac:dyDescent="0.25">
      <c r="D1" s="65" t="s">
        <v>191</v>
      </c>
    </row>
    <row r="2" spans="1:26" ht="15.75" thickBot="1" x14ac:dyDescent="0.3">
      <c r="D2" s="65" t="s">
        <v>190</v>
      </c>
      <c r="K2" s="4" t="s">
        <v>51</v>
      </c>
      <c r="L2" s="4">
        <v>0.24</v>
      </c>
      <c r="M2" s="4" t="s">
        <v>52</v>
      </c>
      <c r="N2" s="4" t="s">
        <v>65</v>
      </c>
      <c r="P2" s="4" t="s">
        <v>104</v>
      </c>
      <c r="Q2" s="4">
        <v>21</v>
      </c>
      <c r="R2" s="4" t="s">
        <v>83</v>
      </c>
      <c r="W2" s="43" t="s">
        <v>119</v>
      </c>
      <c r="X2" s="43">
        <v>12.4</v>
      </c>
      <c r="Y2" s="43" t="s">
        <v>120</v>
      </c>
    </row>
    <row r="3" spans="1:26" ht="14.45" customHeight="1" x14ac:dyDescent="0.25">
      <c r="A3" s="79" t="s">
        <v>19</v>
      </c>
      <c r="B3" s="12" t="s">
        <v>2</v>
      </c>
      <c r="C3" s="12">
        <v>11</v>
      </c>
      <c r="D3" s="12" t="s">
        <v>5</v>
      </c>
      <c r="E3" s="82" t="s">
        <v>6</v>
      </c>
      <c r="F3" s="82"/>
      <c r="G3" s="82"/>
      <c r="H3" s="82"/>
      <c r="I3" s="83"/>
      <c r="J3" s="74"/>
      <c r="K3" s="74"/>
      <c r="L3" s="74"/>
      <c r="M3" s="74"/>
      <c r="N3" s="74"/>
      <c r="P3" s="4" t="s">
        <v>105</v>
      </c>
      <c r="Q3" s="4">
        <v>0.1</v>
      </c>
      <c r="R3" s="4" t="s">
        <v>52</v>
      </c>
      <c r="W3" s="43" t="s">
        <v>47</v>
      </c>
      <c r="X3" s="78">
        <f>L13</f>
        <v>23.04</v>
      </c>
      <c r="Y3" s="43" t="s">
        <v>48</v>
      </c>
    </row>
    <row r="4" spans="1:26" x14ac:dyDescent="0.25">
      <c r="A4" s="80"/>
      <c r="B4" s="76" t="s">
        <v>3</v>
      </c>
      <c r="C4" s="76">
        <v>4.25</v>
      </c>
      <c r="D4" s="76" t="s">
        <v>5</v>
      </c>
      <c r="E4" s="84" t="s">
        <v>7</v>
      </c>
      <c r="F4" s="84"/>
      <c r="G4" s="84"/>
      <c r="H4" s="84"/>
      <c r="I4" s="85"/>
      <c r="J4" s="74"/>
      <c r="K4" s="74"/>
      <c r="L4" s="11"/>
      <c r="M4" s="74"/>
      <c r="N4" s="74"/>
      <c r="P4" s="4" t="s">
        <v>86</v>
      </c>
      <c r="Q4" s="4">
        <f>Q3*Q2</f>
        <v>2.1</v>
      </c>
      <c r="R4" s="4" t="s">
        <v>4</v>
      </c>
      <c r="W4" s="43" t="s">
        <v>111</v>
      </c>
      <c r="X4" s="43">
        <f>L12</f>
        <v>12</v>
      </c>
      <c r="Y4" s="43" t="s">
        <v>76</v>
      </c>
    </row>
    <row r="5" spans="1:26" x14ac:dyDescent="0.25">
      <c r="A5" s="80"/>
      <c r="B5" s="76" t="s">
        <v>1</v>
      </c>
      <c r="C5" s="76">
        <v>4.25</v>
      </c>
      <c r="D5" s="76" t="s">
        <v>5</v>
      </c>
      <c r="E5" s="84" t="s">
        <v>8</v>
      </c>
      <c r="F5" s="84"/>
      <c r="G5" s="84"/>
      <c r="H5" s="84"/>
      <c r="I5" s="85"/>
      <c r="J5" s="74"/>
      <c r="K5" s="74"/>
      <c r="L5" s="74"/>
      <c r="M5" s="74"/>
      <c r="N5" s="74"/>
      <c r="P5" s="4" t="s">
        <v>101</v>
      </c>
      <c r="Q5" s="9">
        <v>0.7</v>
      </c>
      <c r="W5" s="43" t="s">
        <v>122</v>
      </c>
      <c r="X5" s="43">
        <v>500</v>
      </c>
      <c r="Y5" s="43" t="s">
        <v>124</v>
      </c>
    </row>
    <row r="6" spans="1:26" x14ac:dyDescent="0.25">
      <c r="A6" s="80"/>
      <c r="B6" s="76" t="s">
        <v>0</v>
      </c>
      <c r="C6" s="76">
        <v>1.1499999999999999</v>
      </c>
      <c r="D6" s="76" t="s">
        <v>5</v>
      </c>
      <c r="E6" s="84" t="s">
        <v>9</v>
      </c>
      <c r="F6" s="84"/>
      <c r="G6" s="84"/>
      <c r="H6" s="84"/>
      <c r="I6" s="85"/>
      <c r="J6" s="74"/>
      <c r="K6" s="74"/>
      <c r="L6" s="74"/>
      <c r="M6" s="74"/>
      <c r="N6" s="74"/>
      <c r="P6" s="4" t="s">
        <v>102</v>
      </c>
      <c r="Q6" s="4">
        <f>Q4/Q5</f>
        <v>3.0000000000000004</v>
      </c>
      <c r="R6" s="4" t="s">
        <v>4</v>
      </c>
      <c r="W6" s="4" t="s">
        <v>121</v>
      </c>
      <c r="X6" s="42">
        <f>2*X5/T10</f>
        <v>2380.9523809523812</v>
      </c>
      <c r="Y6" s="4" t="s">
        <v>124</v>
      </c>
    </row>
    <row r="7" spans="1:26" ht="15.75" thickBot="1" x14ac:dyDescent="0.3">
      <c r="A7" s="80"/>
      <c r="B7" s="76" t="s">
        <v>34</v>
      </c>
      <c r="C7" s="76">
        <v>160</v>
      </c>
      <c r="D7" s="76" t="s">
        <v>35</v>
      </c>
      <c r="E7" s="86" t="s">
        <v>36</v>
      </c>
      <c r="F7" s="86"/>
      <c r="G7" s="86"/>
      <c r="H7" s="86"/>
      <c r="I7" s="87"/>
      <c r="J7" s="72"/>
      <c r="K7" s="72"/>
      <c r="L7" s="72"/>
      <c r="M7" s="72"/>
      <c r="N7" s="72"/>
      <c r="P7" s="4" t="s">
        <v>103</v>
      </c>
      <c r="Q7" s="4">
        <v>24</v>
      </c>
      <c r="R7" s="4" t="s">
        <v>83</v>
      </c>
      <c r="W7" s="4" t="s">
        <v>123</v>
      </c>
      <c r="X7" s="42">
        <f>X3*X6/(X4*X2)</f>
        <v>368.66359447004606</v>
      </c>
      <c r="Y7" s="4" t="s">
        <v>125</v>
      </c>
      <c r="Z7" s="4" t="s">
        <v>135</v>
      </c>
    </row>
    <row r="8" spans="1:26" x14ac:dyDescent="0.25">
      <c r="A8" s="80"/>
      <c r="B8" s="76" t="s">
        <v>4</v>
      </c>
      <c r="C8" s="76">
        <f>(C3-C4)/2-C6</f>
        <v>2.2250000000000001</v>
      </c>
      <c r="D8" s="76" t="s">
        <v>5</v>
      </c>
      <c r="E8" s="84" t="s">
        <v>31</v>
      </c>
      <c r="F8" s="84"/>
      <c r="G8" s="84"/>
      <c r="H8" s="84"/>
      <c r="I8" s="85"/>
      <c r="J8" s="74"/>
      <c r="K8" s="20" t="s">
        <v>43</v>
      </c>
      <c r="L8" s="12">
        <v>3</v>
      </c>
      <c r="M8" s="68"/>
      <c r="N8" s="69" t="s">
        <v>66</v>
      </c>
      <c r="P8" s="4" t="s">
        <v>106</v>
      </c>
      <c r="Q8" s="4">
        <f>Q6/Q7</f>
        <v>0.12500000000000003</v>
      </c>
      <c r="R8" s="4" t="s">
        <v>52</v>
      </c>
    </row>
    <row r="9" spans="1:26" ht="15.75" thickBot="1" x14ac:dyDescent="0.3">
      <c r="A9" s="81"/>
      <c r="B9" s="14" t="s">
        <v>20</v>
      </c>
      <c r="C9" s="14">
        <f>FLOOR((C8-(2*C13)+C14)/(C21+C20),1)</f>
        <v>9</v>
      </c>
      <c r="D9" s="14"/>
      <c r="E9" s="88" t="s">
        <v>32</v>
      </c>
      <c r="F9" s="88"/>
      <c r="G9" s="88"/>
      <c r="H9" s="88"/>
      <c r="I9" s="89"/>
      <c r="J9" s="74"/>
      <c r="K9" s="24" t="s">
        <v>44</v>
      </c>
      <c r="L9" s="70">
        <f>L8</f>
        <v>3</v>
      </c>
      <c r="M9" s="70"/>
      <c r="N9" s="71" t="s">
        <v>69</v>
      </c>
      <c r="P9" s="4" t="s">
        <v>107</v>
      </c>
      <c r="Q9" s="9">
        <v>0.45</v>
      </c>
      <c r="S9" s="4" t="s">
        <v>80</v>
      </c>
      <c r="T9" s="4">
        <v>250</v>
      </c>
      <c r="U9" s="4" t="s">
        <v>81</v>
      </c>
      <c r="W9" s="43" t="s">
        <v>126</v>
      </c>
      <c r="X9" s="43">
        <v>120</v>
      </c>
      <c r="Y9" s="43" t="s">
        <v>127</v>
      </c>
    </row>
    <row r="10" spans="1:26" x14ac:dyDescent="0.25">
      <c r="E10" s="90"/>
      <c r="F10" s="90"/>
      <c r="G10" s="90"/>
      <c r="H10" s="90"/>
      <c r="I10" s="90"/>
      <c r="J10" s="74"/>
      <c r="K10" s="39" t="s">
        <v>60</v>
      </c>
      <c r="L10" s="76">
        <f>L8</f>
        <v>3</v>
      </c>
      <c r="M10" s="70"/>
      <c r="N10" s="71" t="s">
        <v>70</v>
      </c>
      <c r="P10" s="4" t="s">
        <v>108</v>
      </c>
      <c r="Q10" s="4">
        <f>Q2/Q7*(1-Q9)/Q9</f>
        <v>1.0694444444444446</v>
      </c>
      <c r="S10" s="4" t="s">
        <v>107</v>
      </c>
      <c r="T10" s="9">
        <v>0.42</v>
      </c>
      <c r="W10" s="4" t="s">
        <v>128</v>
      </c>
      <c r="X10" s="4">
        <v>390</v>
      </c>
      <c r="Y10" s="4" t="s">
        <v>129</v>
      </c>
    </row>
    <row r="11" spans="1:26" x14ac:dyDescent="0.25">
      <c r="E11" s="74"/>
      <c r="F11" s="74"/>
      <c r="G11" s="74"/>
      <c r="H11" s="74"/>
      <c r="I11" s="74"/>
      <c r="J11" s="74"/>
      <c r="K11" s="39" t="s">
        <v>222</v>
      </c>
      <c r="L11" s="76">
        <f>L8</f>
        <v>3</v>
      </c>
      <c r="M11" s="70"/>
      <c r="N11" s="71" t="s">
        <v>223</v>
      </c>
      <c r="T11" s="9"/>
    </row>
    <row r="12" spans="1:26" ht="15.75" thickBot="1" x14ac:dyDescent="0.3">
      <c r="E12" s="90"/>
      <c r="F12" s="90"/>
      <c r="G12" s="90"/>
      <c r="H12" s="90"/>
      <c r="I12" s="90"/>
      <c r="J12" s="74"/>
      <c r="K12" s="24" t="s">
        <v>46</v>
      </c>
      <c r="L12" s="70">
        <f>IF(C18&gt;1,IF(C18&gt;2,IF(C18&gt;3,L8+L9+L10+L11,L8+L9+L10),L8+L9),L8)</f>
        <v>12</v>
      </c>
      <c r="M12" s="70"/>
      <c r="N12" s="71" t="s">
        <v>67</v>
      </c>
      <c r="S12" s="4" t="s">
        <v>114</v>
      </c>
      <c r="T12" s="41">
        <f>Q5*T10*T10*Q7*Q7/(2*T9*Q4)*1000</f>
        <v>67.737600000000015</v>
      </c>
      <c r="U12" s="4" t="s">
        <v>48</v>
      </c>
      <c r="W12" s="4" t="s">
        <v>130</v>
      </c>
      <c r="X12" s="4">
        <v>215</v>
      </c>
      <c r="Y12" s="4" t="s">
        <v>129</v>
      </c>
    </row>
    <row r="13" spans="1:26" ht="15.75" thickBot="1" x14ac:dyDescent="0.3">
      <c r="A13" s="79" t="s">
        <v>112</v>
      </c>
      <c r="B13" s="12" t="s">
        <v>10</v>
      </c>
      <c r="C13" s="12">
        <v>0.3</v>
      </c>
      <c r="D13" s="12" t="s">
        <v>5</v>
      </c>
      <c r="E13" s="82" t="s">
        <v>11</v>
      </c>
      <c r="F13" s="82"/>
      <c r="G13" s="82"/>
      <c r="H13" s="82"/>
      <c r="I13" s="83"/>
      <c r="J13" s="74"/>
      <c r="K13" s="28" t="s">
        <v>47</v>
      </c>
      <c r="L13" s="40">
        <f>L12*L12*C7/1000</f>
        <v>23.04</v>
      </c>
      <c r="M13" s="30" t="s">
        <v>48</v>
      </c>
      <c r="N13" s="73" t="s">
        <v>68</v>
      </c>
      <c r="S13" s="4" t="s">
        <v>115</v>
      </c>
      <c r="T13" s="4">
        <v>60</v>
      </c>
      <c r="U13" s="4" t="s">
        <v>48</v>
      </c>
      <c r="W13" s="4" t="s">
        <v>131</v>
      </c>
      <c r="X13" s="4">
        <f>X9*X10/1000</f>
        <v>46.8</v>
      </c>
      <c r="Y13" s="4" t="s">
        <v>133</v>
      </c>
      <c r="Z13" s="4" t="s">
        <v>134</v>
      </c>
    </row>
    <row r="14" spans="1:26" x14ac:dyDescent="0.25">
      <c r="A14" s="91"/>
      <c r="B14" s="76" t="s">
        <v>21</v>
      </c>
      <c r="C14" s="76">
        <v>0.1</v>
      </c>
      <c r="D14" s="76" t="s">
        <v>5</v>
      </c>
      <c r="E14" s="84"/>
      <c r="F14" s="84"/>
      <c r="G14" s="84"/>
      <c r="H14" s="84"/>
      <c r="I14" s="85"/>
      <c r="J14" s="74"/>
      <c r="L14" s="74"/>
      <c r="M14" s="74"/>
      <c r="N14" s="74"/>
      <c r="S14" s="4" t="s">
        <v>116</v>
      </c>
      <c r="T14" s="41">
        <f>T13*Q10*Q10</f>
        <v>68.622685185185219</v>
      </c>
      <c r="U14" s="4" t="s">
        <v>48</v>
      </c>
      <c r="W14" s="4" t="s">
        <v>132</v>
      </c>
      <c r="X14" s="4">
        <f>X12*X9/1000</f>
        <v>25.8</v>
      </c>
      <c r="Y14" s="4" t="s">
        <v>133</v>
      </c>
    </row>
    <row r="15" spans="1:26" ht="15.75" thickBot="1" x14ac:dyDescent="0.3">
      <c r="A15" s="91"/>
      <c r="B15" s="76" t="s">
        <v>37</v>
      </c>
      <c r="C15" s="76">
        <v>35</v>
      </c>
      <c r="D15" s="76" t="s">
        <v>24</v>
      </c>
      <c r="E15" s="84"/>
      <c r="F15" s="84"/>
      <c r="G15" s="84"/>
      <c r="H15" s="84"/>
      <c r="I15" s="85"/>
      <c r="J15" s="74"/>
      <c r="K15" s="74"/>
      <c r="L15" s="74"/>
      <c r="M15" s="74"/>
      <c r="N15" s="74"/>
      <c r="S15" s="4" t="s">
        <v>117</v>
      </c>
      <c r="T15" s="1">
        <f>SQRT(T13/(C7/1000))</f>
        <v>19.364916731037084</v>
      </c>
      <c r="U15" s="4" t="s">
        <v>76</v>
      </c>
    </row>
    <row r="16" spans="1:26" x14ac:dyDescent="0.25">
      <c r="A16" s="91"/>
      <c r="B16" s="76" t="s">
        <v>38</v>
      </c>
      <c r="C16" s="76">
        <v>35</v>
      </c>
      <c r="D16" s="76" t="s">
        <v>24</v>
      </c>
      <c r="E16" s="94"/>
      <c r="F16" s="94"/>
      <c r="G16" s="94"/>
      <c r="H16" s="94"/>
      <c r="I16" s="95"/>
      <c r="K16" s="20" t="s">
        <v>42</v>
      </c>
      <c r="L16" s="21">
        <f>_xlfn.XLOOKUP(L8,C29:C67,F29:F67,FALSE,0,-1)</f>
        <v>58.816943199756111</v>
      </c>
      <c r="M16" s="68" t="s">
        <v>50</v>
      </c>
      <c r="N16" s="69" t="s">
        <v>71</v>
      </c>
      <c r="S16" s="4" t="s">
        <v>118</v>
      </c>
      <c r="T16" s="1">
        <f>SQRT(T14/C7*1000)</f>
        <v>20.709702615136887</v>
      </c>
      <c r="U16" s="4" t="s">
        <v>76</v>
      </c>
    </row>
    <row r="17" spans="1:25" x14ac:dyDescent="0.25">
      <c r="A17" s="91"/>
      <c r="B17" s="76" t="s">
        <v>58</v>
      </c>
      <c r="C17" s="76">
        <v>35</v>
      </c>
      <c r="D17" s="76" t="s">
        <v>24</v>
      </c>
      <c r="E17" s="94"/>
      <c r="F17" s="94"/>
      <c r="G17" s="94"/>
      <c r="H17" s="94"/>
      <c r="I17" s="95"/>
      <c r="K17" s="24" t="s">
        <v>45</v>
      </c>
      <c r="L17" s="25">
        <f>IF(C18&gt;1,_xlfn.XLOOKUP(L9,C29:C67,G29:G67,FALSE,0,-1),0)</f>
        <v>58.816943199756111</v>
      </c>
      <c r="M17" s="70" t="s">
        <v>50</v>
      </c>
      <c r="N17" s="71" t="s">
        <v>73</v>
      </c>
    </row>
    <row r="18" spans="1:25" ht="15.75" thickBot="1" x14ac:dyDescent="0.3">
      <c r="A18" s="92"/>
      <c r="B18" s="14" t="s">
        <v>39</v>
      </c>
      <c r="C18" s="14">
        <v>4</v>
      </c>
      <c r="D18" s="14"/>
      <c r="E18" s="88"/>
      <c r="F18" s="88"/>
      <c r="G18" s="88"/>
      <c r="H18" s="88"/>
      <c r="I18" s="89"/>
      <c r="J18" s="74"/>
      <c r="K18" s="24" t="s">
        <v>61</v>
      </c>
      <c r="L18" s="25">
        <f>IF(C18&gt;2,_xlfn.XLOOKUP(L10,C29:C77,H29:H77,FALSE,0,-1)*IF(C18=4,2,1),0)</f>
        <v>117.63388639951222</v>
      </c>
      <c r="M18" s="70" t="s">
        <v>50</v>
      </c>
      <c r="N18" s="71" t="s">
        <v>74</v>
      </c>
    </row>
    <row r="19" spans="1:25" ht="15.75" thickBot="1" x14ac:dyDescent="0.3">
      <c r="E19" s="74"/>
      <c r="F19" s="74"/>
      <c r="G19" s="74"/>
      <c r="H19" s="74"/>
      <c r="I19" s="74"/>
      <c r="J19" s="74"/>
      <c r="K19" s="28" t="s">
        <v>49</v>
      </c>
      <c r="L19" s="29">
        <f>L17+L16+L18</f>
        <v>235.26777279902444</v>
      </c>
      <c r="M19" s="30" t="s">
        <v>50</v>
      </c>
      <c r="N19" s="73" t="s">
        <v>72</v>
      </c>
      <c r="W19" s="4" t="s">
        <v>158</v>
      </c>
    </row>
    <row r="20" spans="1:25" ht="14.45" customHeight="1" thickBot="1" x14ac:dyDescent="0.3">
      <c r="A20" s="79" t="s">
        <v>18</v>
      </c>
      <c r="B20" s="12" t="s">
        <v>16</v>
      </c>
      <c r="C20" s="12">
        <v>0.09</v>
      </c>
      <c r="D20" s="12" t="s">
        <v>5</v>
      </c>
      <c r="E20" s="82" t="s">
        <v>17</v>
      </c>
      <c r="F20" s="82"/>
      <c r="G20" s="82"/>
      <c r="H20" s="82"/>
      <c r="I20" s="83"/>
      <c r="J20" s="74"/>
      <c r="K20" s="74"/>
      <c r="L20" s="74"/>
      <c r="M20" s="74"/>
      <c r="N20" s="74"/>
      <c r="W20" s="4" t="s">
        <v>159</v>
      </c>
      <c r="X20" s="4">
        <f>P31</f>
        <v>23</v>
      </c>
      <c r="Y20" s="4" t="s">
        <v>48</v>
      </c>
    </row>
    <row r="21" spans="1:25" x14ac:dyDescent="0.25">
      <c r="A21" s="80"/>
      <c r="B21" s="76" t="s">
        <v>12</v>
      </c>
      <c r="C21" s="76">
        <v>0.09</v>
      </c>
      <c r="D21" s="76" t="s">
        <v>5</v>
      </c>
      <c r="E21" s="84" t="s">
        <v>13</v>
      </c>
      <c r="F21" s="84"/>
      <c r="G21" s="84"/>
      <c r="H21" s="84"/>
      <c r="I21" s="85"/>
      <c r="J21" s="74"/>
      <c r="K21" s="20" t="s">
        <v>55</v>
      </c>
      <c r="L21" s="32">
        <f>_xlfn.XLOOKUP(L8,C29:C81,E29:E81,,0,-1)*1550</f>
        <v>24.957810298815396</v>
      </c>
      <c r="M21" s="68" t="s">
        <v>53</v>
      </c>
      <c r="N21" s="69"/>
      <c r="W21" s="4" t="s">
        <v>160</v>
      </c>
      <c r="X21" s="4">
        <v>0.5</v>
      </c>
      <c r="Y21" s="4" t="s">
        <v>52</v>
      </c>
    </row>
    <row r="22" spans="1:25" x14ac:dyDescent="0.25">
      <c r="A22" s="80"/>
      <c r="B22" s="76" t="s">
        <v>14</v>
      </c>
      <c r="C22" s="76">
        <v>0.3</v>
      </c>
      <c r="D22" s="76" t="s">
        <v>5</v>
      </c>
      <c r="E22" s="84" t="s">
        <v>15</v>
      </c>
      <c r="F22" s="84"/>
      <c r="G22" s="84"/>
      <c r="H22" s="84"/>
      <c r="I22" s="85"/>
      <c r="J22" s="74"/>
      <c r="K22" s="33" t="s">
        <v>56</v>
      </c>
      <c r="L22" s="34">
        <f>(L2/((IF(C15=35,0.048,0.024))*(L21)^0.725))^(1/0.44)</f>
        <v>0.19335391497890944</v>
      </c>
      <c r="M22" s="35" t="s">
        <v>54</v>
      </c>
      <c r="N22" s="71"/>
      <c r="W22" s="4" t="s">
        <v>161</v>
      </c>
      <c r="X22" s="4">
        <f>0.5*X20*X21*X21</f>
        <v>2.875</v>
      </c>
      <c r="Y22" s="4" t="s">
        <v>88</v>
      </c>
    </row>
    <row r="23" spans="1:25" x14ac:dyDescent="0.25">
      <c r="A23" s="80"/>
      <c r="B23" s="76" t="s">
        <v>23</v>
      </c>
      <c r="C23" s="76">
        <v>35</v>
      </c>
      <c r="D23" s="76" t="s">
        <v>24</v>
      </c>
      <c r="E23" s="93"/>
      <c r="F23" s="93"/>
      <c r="G23" s="93"/>
      <c r="H23" s="93"/>
      <c r="I23" s="96"/>
      <c r="J23" s="75"/>
      <c r="K23" s="24" t="s">
        <v>62</v>
      </c>
      <c r="L23" s="36">
        <f>_xlfn.XLOOKUP(L9,C29:C86,E29:E86,,0,-1)*1550*C16/C15</f>
        <v>24.957810298815396</v>
      </c>
      <c r="M23" s="70" t="s">
        <v>53</v>
      </c>
      <c r="N23" s="77"/>
      <c r="W23" s="4" t="s">
        <v>80</v>
      </c>
      <c r="X23" s="4">
        <v>450</v>
      </c>
      <c r="Y23" s="4" t="s">
        <v>81</v>
      </c>
    </row>
    <row r="24" spans="1:25" ht="15.75" thickBot="1" x14ac:dyDescent="0.3">
      <c r="A24" s="81"/>
      <c r="B24" s="14" t="s">
        <v>25</v>
      </c>
      <c r="C24" s="14">
        <v>35</v>
      </c>
      <c r="D24" s="14" t="s">
        <v>24</v>
      </c>
      <c r="E24" s="88"/>
      <c r="F24" s="88"/>
      <c r="G24" s="88"/>
      <c r="H24" s="88"/>
      <c r="I24" s="89"/>
      <c r="J24" s="74"/>
      <c r="K24" s="33" t="s">
        <v>57</v>
      </c>
      <c r="L24" s="34">
        <f>IF(C18&gt;1,(L2/((IF(C16=35,0.048,0.024))*(L23)^0.725))^(1/0.44),0)</f>
        <v>0.19335391497890944</v>
      </c>
      <c r="M24" s="35" t="s">
        <v>54</v>
      </c>
      <c r="N24" s="71"/>
      <c r="P24" s="4" t="s">
        <v>77</v>
      </c>
      <c r="Q24" s="4" t="s">
        <v>109</v>
      </c>
      <c r="W24" s="4" t="s">
        <v>162</v>
      </c>
      <c r="X24" s="4">
        <f>X23*X22/1000</f>
        <v>1.29375</v>
      </c>
      <c r="Y24" s="4" t="s">
        <v>4</v>
      </c>
    </row>
    <row r="25" spans="1:25" x14ac:dyDescent="0.25">
      <c r="B25" s="4" t="s">
        <v>22</v>
      </c>
      <c r="C25" s="3">
        <v>1.7199999999999999E-8</v>
      </c>
      <c r="D25" s="4" t="s">
        <v>26</v>
      </c>
      <c r="E25" s="93" t="s">
        <v>33</v>
      </c>
      <c r="F25" s="93"/>
      <c r="G25" s="93"/>
      <c r="H25" s="93"/>
      <c r="I25" s="93"/>
      <c r="J25" s="75"/>
      <c r="K25" s="24" t="s">
        <v>63</v>
      </c>
      <c r="L25" s="36">
        <f>_xlfn.XLOOKUP(L10,C29:C55,E29:E55,,0,-1)*1550*C17/C15</f>
        <v>22.212362316496431</v>
      </c>
      <c r="M25" s="70" t="s">
        <v>53</v>
      </c>
      <c r="N25" s="77"/>
      <c r="P25" s="4">
        <v>8</v>
      </c>
      <c r="Q25" s="4" t="s">
        <v>76</v>
      </c>
      <c r="R25" s="4" t="s">
        <v>111</v>
      </c>
      <c r="S25" s="4">
        <f>P25/P30</f>
        <v>0.66666666666666663</v>
      </c>
    </row>
    <row r="26" spans="1:25" ht="15.75" thickBot="1" x14ac:dyDescent="0.3">
      <c r="C26" s="3"/>
      <c r="K26" s="28" t="s">
        <v>64</v>
      </c>
      <c r="L26" s="29">
        <f>IF(C18&gt;2,(L2/((IF(C17=35,0.048,0.024))*(L25)^0.725))^(1/0.44),0)</f>
        <v>0.23428651844155354</v>
      </c>
      <c r="M26" s="30" t="s">
        <v>54</v>
      </c>
      <c r="N26" s="38"/>
      <c r="P26" s="4">
        <v>10.199999999999999</v>
      </c>
      <c r="Q26" s="4" t="s">
        <v>48</v>
      </c>
    </row>
    <row r="27" spans="1:25" x14ac:dyDescent="0.25">
      <c r="A27" s="4" t="s">
        <v>113</v>
      </c>
      <c r="B27" s="9">
        <v>0.06</v>
      </c>
      <c r="P27" s="4">
        <v>228</v>
      </c>
      <c r="Q27" s="4" t="s">
        <v>75</v>
      </c>
      <c r="V27" s="4" t="s">
        <v>77</v>
      </c>
      <c r="W27" s="4" t="s">
        <v>109</v>
      </c>
    </row>
    <row r="28" spans="1:25" x14ac:dyDescent="0.25">
      <c r="B28" s="15" t="s">
        <v>30</v>
      </c>
      <c r="C28" s="15" t="s">
        <v>29</v>
      </c>
      <c r="D28" s="15" t="s">
        <v>28</v>
      </c>
      <c r="E28" s="15" t="s">
        <v>27</v>
      </c>
      <c r="F28" s="15" t="s">
        <v>40</v>
      </c>
      <c r="G28" s="15" t="s">
        <v>41</v>
      </c>
      <c r="H28" s="15" t="s">
        <v>59</v>
      </c>
      <c r="P28" s="54"/>
      <c r="V28" s="4">
        <v>8</v>
      </c>
      <c r="W28" s="4" t="s">
        <v>76</v>
      </c>
      <c r="X28" s="4" t="s">
        <v>111</v>
      </c>
      <c r="Y28" s="4">
        <f>V28/V33</f>
        <v>0.66666666666666663</v>
      </c>
    </row>
    <row r="29" spans="1:25" x14ac:dyDescent="0.25">
      <c r="B29" s="16">
        <f>C21</f>
        <v>0.09</v>
      </c>
      <c r="C29" s="17">
        <f t="shared" ref="C29:C60" si="0">FLOOR(($C$8-2*$C$13+$C$14)/(B29+$C$14),1)</f>
        <v>9</v>
      </c>
      <c r="D29" s="17">
        <f t="shared" ref="D29:D60" si="1">C29*(2*$C$5+2*$C$8+2*PI()*($C$13+(C29-1)*B29/2+(C29-1)*$C$14/2))</f>
        <v>176.49158783049324</v>
      </c>
      <c r="E29" s="18">
        <f>B29*$C$15/1000</f>
        <v>3.15E-3</v>
      </c>
      <c r="F29" s="19">
        <f>IF(C29=C30,"",$C$25*D29/E29*1000000)</f>
        <v>963.70009862999473</v>
      </c>
      <c r="G29" s="19">
        <f>IF(C29=C30,"",F29*$C$15/$C$16)</f>
        <v>963.70009862999473</v>
      </c>
      <c r="H29" s="19">
        <f>IF(C29=C30,"",F29*$C$15/$C$17)</f>
        <v>963.70009862999473</v>
      </c>
      <c r="P29" s="4" t="s">
        <v>77</v>
      </c>
      <c r="Q29" s="4" t="s">
        <v>110</v>
      </c>
      <c r="V29" s="4">
        <v>10.199999999999999</v>
      </c>
      <c r="W29" s="4" t="s">
        <v>48</v>
      </c>
    </row>
    <row r="30" spans="1:25" x14ac:dyDescent="0.25">
      <c r="B30" s="16">
        <f>B29*(1+$B$27)</f>
        <v>9.5399999999999999E-2</v>
      </c>
      <c r="C30" s="17">
        <f t="shared" si="0"/>
        <v>8</v>
      </c>
      <c r="D30" s="17">
        <f t="shared" si="1"/>
        <v>153.05620818987194</v>
      </c>
      <c r="E30" s="18">
        <f t="shared" ref="E30:E77" si="2">B30*$C$15/1000</f>
        <v>3.339E-3</v>
      </c>
      <c r="F30" s="19" t="str">
        <f t="shared" ref="F30:F77" si="3">IF(C30=C31,"",$C$25*D30/E30*1000000)</f>
        <v/>
      </c>
      <c r="G30" s="19" t="str">
        <f t="shared" ref="G30:G77" si="4">IF(C30=C31,"",F30*$C$15/$C$16)</f>
        <v/>
      </c>
      <c r="H30" s="19" t="str">
        <f t="shared" ref="H30:H77" si="5">IF(C30=C31,"",F30*$C$15/$C$17)</f>
        <v/>
      </c>
      <c r="P30" s="4">
        <v>12</v>
      </c>
      <c r="Q30" s="4" t="s">
        <v>76</v>
      </c>
      <c r="V30" s="4">
        <v>228</v>
      </c>
      <c r="W30" s="4" t="s">
        <v>75</v>
      </c>
    </row>
    <row r="31" spans="1:25" x14ac:dyDescent="0.25">
      <c r="B31" s="16">
        <f t="shared" ref="B31:B77" si="6">B30*(1+$B$27)</f>
        <v>0.10112400000000001</v>
      </c>
      <c r="C31" s="17">
        <f t="shared" si="0"/>
        <v>8</v>
      </c>
      <c r="D31" s="17">
        <f t="shared" si="1"/>
        <v>154.06322686542424</v>
      </c>
      <c r="E31" s="18">
        <f t="shared" si="2"/>
        <v>3.5393400000000002E-3</v>
      </c>
      <c r="F31" s="19" t="str">
        <f t="shared" si="3"/>
        <v/>
      </c>
      <c r="G31" s="19" t="str">
        <f t="shared" si="4"/>
        <v/>
      </c>
      <c r="H31" s="19" t="str">
        <f t="shared" si="5"/>
        <v/>
      </c>
      <c r="P31" s="4">
        <v>23</v>
      </c>
      <c r="Q31" s="4" t="s">
        <v>48</v>
      </c>
      <c r="V31" s="54"/>
    </row>
    <row r="32" spans="1:25" x14ac:dyDescent="0.25">
      <c r="B32" s="16">
        <f t="shared" si="6"/>
        <v>0.10719144000000001</v>
      </c>
      <c r="C32" s="17">
        <f t="shared" si="0"/>
        <v>8</v>
      </c>
      <c r="D32" s="17">
        <f t="shared" si="1"/>
        <v>155.13066666150968</v>
      </c>
      <c r="E32" s="18">
        <f t="shared" si="2"/>
        <v>3.7517004000000003E-3</v>
      </c>
      <c r="F32" s="19" t="str">
        <f t="shared" si="3"/>
        <v/>
      </c>
      <c r="G32" s="19" t="str">
        <f t="shared" si="4"/>
        <v/>
      </c>
      <c r="H32" s="19" t="str">
        <f t="shared" si="5"/>
        <v/>
      </c>
      <c r="P32" s="4">
        <v>237</v>
      </c>
      <c r="Q32" s="4" t="s">
        <v>75</v>
      </c>
      <c r="V32" s="4" t="s">
        <v>77</v>
      </c>
      <c r="W32" s="4" t="s">
        <v>110</v>
      </c>
    </row>
    <row r="33" spans="2:23" x14ac:dyDescent="0.25">
      <c r="B33" s="16">
        <f t="shared" si="6"/>
        <v>0.11362292640000002</v>
      </c>
      <c r="C33" s="17">
        <f t="shared" si="0"/>
        <v>8</v>
      </c>
      <c r="D33" s="17">
        <f t="shared" si="1"/>
        <v>156.26215284536022</v>
      </c>
      <c r="E33" s="18">
        <f t="shared" si="2"/>
        <v>3.9768024240000007E-3</v>
      </c>
      <c r="F33" s="19">
        <f t="shared" si="3"/>
        <v>675.84675887337846</v>
      </c>
      <c r="G33" s="19">
        <f t="shared" si="4"/>
        <v>675.84675887337846</v>
      </c>
      <c r="H33" s="19">
        <f t="shared" si="5"/>
        <v>675.84675887337846</v>
      </c>
      <c r="V33" s="4">
        <v>12</v>
      </c>
      <c r="W33" s="4" t="s">
        <v>76</v>
      </c>
    </row>
    <row r="34" spans="2:23" x14ac:dyDescent="0.25">
      <c r="B34" s="16">
        <f t="shared" si="6"/>
        <v>0.12044030198400002</v>
      </c>
      <c r="C34" s="17">
        <f t="shared" si="0"/>
        <v>7</v>
      </c>
      <c r="D34" s="17">
        <f t="shared" si="1"/>
        <v>132.93110174233522</v>
      </c>
      <c r="E34" s="18">
        <f t="shared" si="2"/>
        <v>4.2154105694400005E-3</v>
      </c>
      <c r="F34" s="19" t="str">
        <f t="shared" si="3"/>
        <v/>
      </c>
      <c r="G34" s="19" t="str">
        <f t="shared" si="4"/>
        <v/>
      </c>
      <c r="H34" s="19" t="str">
        <f t="shared" si="5"/>
        <v/>
      </c>
      <c r="V34" s="4">
        <v>23</v>
      </c>
      <c r="W34" s="4" t="s">
        <v>48</v>
      </c>
    </row>
    <row r="35" spans="2:23" x14ac:dyDescent="0.25">
      <c r="B35" s="16">
        <f t="shared" si="6"/>
        <v>0.12766672010304003</v>
      </c>
      <c r="C35" s="17">
        <f t="shared" si="0"/>
        <v>7</v>
      </c>
      <c r="D35" s="17">
        <f t="shared" si="1"/>
        <v>133.8846051494661</v>
      </c>
      <c r="E35" s="18">
        <f t="shared" si="2"/>
        <v>4.4683352036064012E-3</v>
      </c>
      <c r="F35" s="19" t="str">
        <f t="shared" si="3"/>
        <v/>
      </c>
      <c r="G35" s="19" t="str">
        <f t="shared" si="4"/>
        <v/>
      </c>
      <c r="H35" s="19" t="str">
        <f t="shared" si="5"/>
        <v/>
      </c>
      <c r="V35" s="4">
        <v>235</v>
      </c>
      <c r="W35" s="4" t="s">
        <v>75</v>
      </c>
    </row>
    <row r="36" spans="2:23" x14ac:dyDescent="0.25">
      <c r="B36" s="16">
        <f t="shared" si="6"/>
        <v>0.13532672330922244</v>
      </c>
      <c r="C36" s="17">
        <f t="shared" si="0"/>
        <v>7</v>
      </c>
      <c r="D36" s="17">
        <f t="shared" si="1"/>
        <v>134.89531876102481</v>
      </c>
      <c r="E36" s="18">
        <f t="shared" si="2"/>
        <v>4.7364353158227852E-3</v>
      </c>
      <c r="F36" s="19" t="str">
        <f t="shared" si="3"/>
        <v/>
      </c>
      <c r="G36" s="19" t="str">
        <f t="shared" si="4"/>
        <v/>
      </c>
      <c r="H36" s="19" t="str">
        <f t="shared" si="5"/>
        <v/>
      </c>
    </row>
    <row r="37" spans="2:23" x14ac:dyDescent="0.25">
      <c r="B37" s="16">
        <f t="shared" si="6"/>
        <v>0.1434463267077758</v>
      </c>
      <c r="C37" s="17">
        <f t="shared" si="0"/>
        <v>7</v>
      </c>
      <c r="D37" s="17">
        <f t="shared" si="1"/>
        <v>135.96667518927703</v>
      </c>
      <c r="E37" s="18">
        <f t="shared" si="2"/>
        <v>5.0206214347721526E-3</v>
      </c>
      <c r="F37" s="19">
        <f t="shared" si="3"/>
        <v>465.80425225023902</v>
      </c>
      <c r="G37" s="19">
        <f t="shared" si="4"/>
        <v>465.80425225023902</v>
      </c>
      <c r="H37" s="19">
        <f t="shared" si="5"/>
        <v>465.80425225023902</v>
      </c>
    </row>
    <row r="38" spans="2:23" x14ac:dyDescent="0.25">
      <c r="B38" s="16">
        <f t="shared" si="6"/>
        <v>0.15205310631024235</v>
      </c>
      <c r="C38" s="17">
        <f t="shared" si="0"/>
        <v>6</v>
      </c>
      <c r="D38" s="17">
        <f t="shared" si="1"/>
        <v>112.7651791658856</v>
      </c>
      <c r="E38" s="18">
        <f t="shared" si="2"/>
        <v>5.3218587208584819E-3</v>
      </c>
      <c r="F38" s="19" t="str">
        <f t="shared" si="3"/>
        <v/>
      </c>
      <c r="G38" s="19" t="str">
        <f t="shared" si="4"/>
        <v/>
      </c>
      <c r="H38" s="19" t="str">
        <f t="shared" si="5"/>
        <v/>
      </c>
    </row>
    <row r="39" spans="2:23" x14ac:dyDescent="0.25">
      <c r="B39" s="16">
        <f t="shared" si="6"/>
        <v>0.16117629268885691</v>
      </c>
      <c r="C39" s="17">
        <f t="shared" si="0"/>
        <v>6</v>
      </c>
      <c r="D39" s="17">
        <f t="shared" si="1"/>
        <v>113.62501922501716</v>
      </c>
      <c r="E39" s="18">
        <f t="shared" si="2"/>
        <v>5.6411702441099918E-3</v>
      </c>
      <c r="F39" s="19" t="str">
        <f t="shared" si="3"/>
        <v/>
      </c>
      <c r="G39" s="19" t="str">
        <f t="shared" si="4"/>
        <v/>
      </c>
      <c r="H39" s="19" t="str">
        <f t="shared" si="5"/>
        <v/>
      </c>
    </row>
    <row r="40" spans="2:23" x14ac:dyDescent="0.25">
      <c r="B40" s="16">
        <f t="shared" si="6"/>
        <v>0.17084687025018833</v>
      </c>
      <c r="C40" s="17">
        <f t="shared" si="0"/>
        <v>6</v>
      </c>
      <c r="D40" s="17">
        <f t="shared" si="1"/>
        <v>114.53644968769663</v>
      </c>
      <c r="E40" s="18">
        <f t="shared" si="2"/>
        <v>5.9796404587565914E-3</v>
      </c>
      <c r="F40" s="19" t="str">
        <f t="shared" si="3"/>
        <v/>
      </c>
      <c r="G40" s="19" t="str">
        <f t="shared" si="4"/>
        <v/>
      </c>
      <c r="H40" s="19" t="str">
        <f t="shared" si="5"/>
        <v/>
      </c>
    </row>
    <row r="41" spans="2:23" x14ac:dyDescent="0.25">
      <c r="B41" s="16">
        <f t="shared" si="6"/>
        <v>0.18109768246519964</v>
      </c>
      <c r="C41" s="17">
        <f t="shared" si="0"/>
        <v>6</v>
      </c>
      <c r="D41" s="17">
        <f t="shared" si="1"/>
        <v>115.50256597813687</v>
      </c>
      <c r="E41" s="18">
        <f t="shared" si="2"/>
        <v>6.3384188862819872E-3</v>
      </c>
      <c r="F41" s="19">
        <f t="shared" si="3"/>
        <v>313.42897502775912</v>
      </c>
      <c r="G41" s="19">
        <f t="shared" si="4"/>
        <v>313.42897502775912</v>
      </c>
      <c r="H41" s="19">
        <f t="shared" si="5"/>
        <v>313.42897502775912</v>
      </c>
    </row>
    <row r="42" spans="2:23" x14ac:dyDescent="0.25">
      <c r="B42" s="16">
        <f t="shared" si="6"/>
        <v>0.19196354341311161</v>
      </c>
      <c r="C42" s="17">
        <f t="shared" si="0"/>
        <v>5</v>
      </c>
      <c r="D42" s="17">
        <f t="shared" si="1"/>
        <v>92.519388422822885</v>
      </c>
      <c r="E42" s="18">
        <f t="shared" si="2"/>
        <v>6.7187240194589064E-3</v>
      </c>
      <c r="F42" s="19" t="str">
        <f t="shared" si="3"/>
        <v/>
      </c>
      <c r="G42" s="19" t="str">
        <f t="shared" si="4"/>
        <v/>
      </c>
      <c r="H42" s="19" t="str">
        <f t="shared" si="5"/>
        <v/>
      </c>
    </row>
    <row r="43" spans="2:23" x14ac:dyDescent="0.25">
      <c r="B43" s="16">
        <f t="shared" si="6"/>
        <v>0.20348135601789832</v>
      </c>
      <c r="C43" s="17">
        <f t="shared" si="0"/>
        <v>5</v>
      </c>
      <c r="D43" s="17">
        <f t="shared" si="1"/>
        <v>93.243073932115337</v>
      </c>
      <c r="E43" s="18">
        <f t="shared" si="2"/>
        <v>7.1218474606264421E-3</v>
      </c>
      <c r="F43" s="19" t="str">
        <f t="shared" si="3"/>
        <v/>
      </c>
      <c r="G43" s="19" t="str">
        <f t="shared" si="4"/>
        <v/>
      </c>
      <c r="H43" s="19" t="str">
        <f t="shared" si="5"/>
        <v/>
      </c>
    </row>
    <row r="44" spans="2:23" x14ac:dyDescent="0.25">
      <c r="B44" s="16">
        <f t="shared" si="6"/>
        <v>0.21569023737897222</v>
      </c>
      <c r="C44" s="17">
        <f t="shared" si="0"/>
        <v>5</v>
      </c>
      <c r="D44" s="17">
        <f t="shared" si="1"/>
        <v>94.010180571965307</v>
      </c>
      <c r="E44" s="18">
        <f t="shared" si="2"/>
        <v>7.5491583082640283E-3</v>
      </c>
      <c r="F44" s="19" t="str">
        <f t="shared" si="3"/>
        <v/>
      </c>
      <c r="G44" s="19" t="str">
        <f t="shared" si="4"/>
        <v/>
      </c>
      <c r="H44" s="19" t="str">
        <f t="shared" si="5"/>
        <v/>
      </c>
    </row>
    <row r="45" spans="2:23" x14ac:dyDescent="0.25">
      <c r="B45" s="16">
        <f t="shared" si="6"/>
        <v>0.22863165162171056</v>
      </c>
      <c r="C45" s="17">
        <f t="shared" si="0"/>
        <v>5</v>
      </c>
      <c r="D45" s="17">
        <f t="shared" si="1"/>
        <v>94.823313610206299</v>
      </c>
      <c r="E45" s="18">
        <f t="shared" si="2"/>
        <v>8.0021078067598703E-3</v>
      </c>
      <c r="F45" s="19" t="str">
        <f t="shared" si="3"/>
        <v/>
      </c>
      <c r="G45" s="19" t="str">
        <f t="shared" si="4"/>
        <v/>
      </c>
      <c r="H45" s="19" t="str">
        <f t="shared" si="5"/>
        <v/>
      </c>
    </row>
    <row r="46" spans="2:23" x14ac:dyDescent="0.25">
      <c r="B46" s="16">
        <f t="shared" si="6"/>
        <v>0.24234955071901321</v>
      </c>
      <c r="C46" s="17">
        <f t="shared" si="0"/>
        <v>5</v>
      </c>
      <c r="D46" s="17">
        <f t="shared" si="1"/>
        <v>95.685234630741732</v>
      </c>
      <c r="E46" s="18">
        <f t="shared" si="2"/>
        <v>8.4822342751654616E-3</v>
      </c>
      <c r="F46" s="19">
        <f t="shared" si="3"/>
        <v>194.02742040117178</v>
      </c>
      <c r="G46" s="19">
        <f t="shared" si="4"/>
        <v>194.02742040117178</v>
      </c>
      <c r="H46" s="19">
        <f t="shared" si="5"/>
        <v>194.02742040117178</v>
      </c>
    </row>
    <row r="47" spans="2:23" x14ac:dyDescent="0.25">
      <c r="B47" s="16">
        <f t="shared" si="6"/>
        <v>0.25689052376215399</v>
      </c>
      <c r="C47" s="17">
        <f t="shared" si="0"/>
        <v>4</v>
      </c>
      <c r="D47" s="17">
        <f t="shared" si="1"/>
        <v>72.794278139659454</v>
      </c>
      <c r="E47" s="18">
        <f t="shared" si="2"/>
        <v>8.9911683316753893E-3</v>
      </c>
      <c r="F47" s="19" t="str">
        <f t="shared" si="3"/>
        <v/>
      </c>
      <c r="G47" s="19" t="str">
        <f t="shared" si="4"/>
        <v/>
      </c>
      <c r="H47" s="19" t="str">
        <f t="shared" si="5"/>
        <v/>
      </c>
    </row>
    <row r="48" spans="2:23" x14ac:dyDescent="0.25">
      <c r="B48" s="16">
        <f t="shared" si="6"/>
        <v>0.27230395518788325</v>
      </c>
      <c r="C48" s="17">
        <f t="shared" si="0"/>
        <v>4</v>
      </c>
      <c r="D48" s="17">
        <f t="shared" si="1"/>
        <v>73.375350814863637</v>
      </c>
      <c r="E48" s="18">
        <f t="shared" si="2"/>
        <v>9.5306384315759149E-3</v>
      </c>
      <c r="F48" s="19" t="str">
        <f t="shared" si="3"/>
        <v/>
      </c>
      <c r="G48" s="19" t="str">
        <f t="shared" si="4"/>
        <v/>
      </c>
      <c r="H48" s="19" t="str">
        <f t="shared" si="5"/>
        <v/>
      </c>
    </row>
    <row r="49" spans="2:8" x14ac:dyDescent="0.25">
      <c r="B49" s="16">
        <f t="shared" si="6"/>
        <v>0.28864219249915624</v>
      </c>
      <c r="C49" s="17">
        <f t="shared" si="0"/>
        <v>4</v>
      </c>
      <c r="D49" s="17">
        <f t="shared" si="1"/>
        <v>73.991287850580051</v>
      </c>
      <c r="E49" s="18">
        <f t="shared" si="2"/>
        <v>1.0102476737470467E-2</v>
      </c>
      <c r="F49" s="19" t="str">
        <f t="shared" si="3"/>
        <v/>
      </c>
      <c r="G49" s="19" t="str">
        <f t="shared" si="4"/>
        <v/>
      </c>
      <c r="H49" s="19" t="str">
        <f t="shared" si="5"/>
        <v/>
      </c>
    </row>
    <row r="50" spans="2:8" x14ac:dyDescent="0.25">
      <c r="B50" s="16">
        <f t="shared" si="6"/>
        <v>0.30596072404910563</v>
      </c>
      <c r="C50" s="17">
        <f t="shared" si="0"/>
        <v>4</v>
      </c>
      <c r="D50" s="17">
        <f t="shared" si="1"/>
        <v>74.644181108439469</v>
      </c>
      <c r="E50" s="18">
        <f t="shared" si="2"/>
        <v>1.0708625341718698E-2</v>
      </c>
      <c r="F50" s="19" t="str">
        <f t="shared" si="3"/>
        <v/>
      </c>
      <c r="G50" s="19" t="str">
        <f t="shared" si="4"/>
        <v/>
      </c>
      <c r="H50" s="19" t="str">
        <f t="shared" si="5"/>
        <v/>
      </c>
    </row>
    <row r="51" spans="2:8" x14ac:dyDescent="0.25">
      <c r="B51" s="16">
        <f t="shared" si="6"/>
        <v>0.32431836749205201</v>
      </c>
      <c r="C51" s="17">
        <f t="shared" si="0"/>
        <v>4</v>
      </c>
      <c r="D51" s="17">
        <f t="shared" si="1"/>
        <v>75.336247961770439</v>
      </c>
      <c r="E51" s="18">
        <f t="shared" si="2"/>
        <v>1.135114286222182E-2</v>
      </c>
      <c r="F51" s="19">
        <f t="shared" si="3"/>
        <v>114.15444952728055</v>
      </c>
      <c r="G51" s="19">
        <f t="shared" si="4"/>
        <v>114.15444952728055</v>
      </c>
      <c r="H51" s="19">
        <f t="shared" si="5"/>
        <v>114.15444952728055</v>
      </c>
    </row>
    <row r="52" spans="2:8" x14ac:dyDescent="0.25">
      <c r="B52" s="16">
        <f t="shared" si="6"/>
        <v>0.34377746954157512</v>
      </c>
      <c r="C52" s="17">
        <f t="shared" si="0"/>
        <v>3</v>
      </c>
      <c r="D52" s="17">
        <f t="shared" si="1"/>
        <v>52.869875005304515</v>
      </c>
      <c r="E52" s="18">
        <f t="shared" si="2"/>
        <v>1.203221143395513E-2</v>
      </c>
      <c r="F52" s="19" t="str">
        <f t="shared" si="3"/>
        <v/>
      </c>
      <c r="G52" s="19" t="str">
        <f t="shared" si="4"/>
        <v/>
      </c>
      <c r="H52" s="19" t="str">
        <f t="shared" si="5"/>
        <v/>
      </c>
    </row>
    <row r="53" spans="2:8" x14ac:dyDescent="0.25">
      <c r="B53" s="16">
        <f t="shared" si="6"/>
        <v>0.36440411771406966</v>
      </c>
      <c r="C53" s="17">
        <f t="shared" si="0"/>
        <v>3</v>
      </c>
      <c r="D53" s="17">
        <f t="shared" si="1"/>
        <v>53.258678163505849</v>
      </c>
      <c r="E53" s="18">
        <f t="shared" si="2"/>
        <v>1.2754144119992438E-2</v>
      </c>
      <c r="F53" s="19" t="str">
        <f t="shared" si="3"/>
        <v/>
      </c>
      <c r="G53" s="19" t="str">
        <f t="shared" si="4"/>
        <v/>
      </c>
      <c r="H53" s="19" t="str">
        <f t="shared" si="5"/>
        <v/>
      </c>
    </row>
    <row r="54" spans="2:8" x14ac:dyDescent="0.25">
      <c r="B54" s="16">
        <f t="shared" si="6"/>
        <v>0.38626836477691384</v>
      </c>
      <c r="C54" s="17">
        <f t="shared" si="0"/>
        <v>3</v>
      </c>
      <c r="D54" s="17">
        <f t="shared" si="1"/>
        <v>53.670809511199266</v>
      </c>
      <c r="E54" s="18">
        <f t="shared" si="2"/>
        <v>1.3519392767191985E-2</v>
      </c>
      <c r="F54" s="19" t="str">
        <f t="shared" si="3"/>
        <v/>
      </c>
      <c r="G54" s="19" t="str">
        <f t="shared" si="4"/>
        <v/>
      </c>
      <c r="H54" s="19" t="str">
        <f t="shared" si="5"/>
        <v/>
      </c>
    </row>
    <row r="55" spans="2:8" x14ac:dyDescent="0.25">
      <c r="B55" s="16">
        <f t="shared" si="6"/>
        <v>0.40944446666352868</v>
      </c>
      <c r="C55" s="17">
        <f t="shared" si="0"/>
        <v>3</v>
      </c>
      <c r="D55" s="17">
        <f t="shared" si="1"/>
        <v>54.107668739754295</v>
      </c>
      <c r="E55" s="18">
        <f t="shared" si="2"/>
        <v>1.4330556333223504E-2</v>
      </c>
      <c r="F55" s="19" t="str">
        <f t="shared" si="3"/>
        <v/>
      </c>
      <c r="G55" s="19" t="str">
        <f t="shared" si="4"/>
        <v/>
      </c>
      <c r="H55" s="19" t="str">
        <f t="shared" si="5"/>
        <v/>
      </c>
    </row>
    <row r="56" spans="2:8" x14ac:dyDescent="0.25">
      <c r="B56" s="16">
        <f t="shared" si="6"/>
        <v>0.4340111346633404</v>
      </c>
      <c r="C56" s="17">
        <f t="shared" si="0"/>
        <v>3</v>
      </c>
      <c r="D56" s="17">
        <f t="shared" si="1"/>
        <v>54.57073952202262</v>
      </c>
      <c r="E56" s="18">
        <f t="shared" si="2"/>
        <v>1.5190389713216915E-2</v>
      </c>
      <c r="F56" s="19" t="str">
        <f t="shared" si="3"/>
        <v/>
      </c>
      <c r="G56" s="19" t="str">
        <f t="shared" si="4"/>
        <v/>
      </c>
      <c r="H56" s="19" t="str">
        <f t="shared" si="5"/>
        <v/>
      </c>
    </row>
    <row r="57" spans="2:8" x14ac:dyDescent="0.25">
      <c r="B57" s="16">
        <f t="shared" si="6"/>
        <v>0.46005180274314084</v>
      </c>
      <c r="C57" s="17">
        <f t="shared" si="0"/>
        <v>3</v>
      </c>
      <c r="D57" s="17">
        <f t="shared" si="1"/>
        <v>55.061594551227053</v>
      </c>
      <c r="E57" s="18">
        <f t="shared" si="2"/>
        <v>1.6101813096009932E-2</v>
      </c>
      <c r="F57" s="19">
        <f t="shared" si="3"/>
        <v>58.816943199756111</v>
      </c>
      <c r="G57" s="19">
        <f t="shared" si="4"/>
        <v>58.816943199756111</v>
      </c>
      <c r="H57" s="19">
        <f t="shared" si="5"/>
        <v>58.816943199756111</v>
      </c>
    </row>
    <row r="58" spans="2:8" x14ac:dyDescent="0.25">
      <c r="B58" s="16">
        <f t="shared" si="6"/>
        <v>0.48765491090772933</v>
      </c>
      <c r="C58" s="17">
        <f t="shared" si="0"/>
        <v>2</v>
      </c>
      <c r="D58" s="17">
        <f t="shared" si="1"/>
        <v>33.362255886215124</v>
      </c>
      <c r="E58" s="18">
        <f t="shared" si="2"/>
        <v>1.7067921881770528E-2</v>
      </c>
      <c r="F58" s="19" t="str">
        <f t="shared" si="3"/>
        <v/>
      </c>
      <c r="G58" s="19" t="str">
        <f t="shared" si="4"/>
        <v/>
      </c>
      <c r="H58" s="19" t="str">
        <f t="shared" si="5"/>
        <v/>
      </c>
    </row>
    <row r="59" spans="2:8" x14ac:dyDescent="0.25">
      <c r="B59" s="16">
        <f t="shared" si="6"/>
        <v>0.51691420556219314</v>
      </c>
      <c r="C59" s="17">
        <f t="shared" si="0"/>
        <v>2</v>
      </c>
      <c r="D59" s="17">
        <f t="shared" si="1"/>
        <v>33.546097456486493</v>
      </c>
      <c r="E59" s="18">
        <f t="shared" si="2"/>
        <v>1.8091997194676759E-2</v>
      </c>
      <c r="F59" s="19" t="str">
        <f t="shared" si="3"/>
        <v/>
      </c>
      <c r="G59" s="19" t="str">
        <f t="shared" si="4"/>
        <v/>
      </c>
      <c r="H59" s="19" t="str">
        <f t="shared" si="5"/>
        <v/>
      </c>
    </row>
    <row r="60" spans="2:8" x14ac:dyDescent="0.25">
      <c r="B60" s="16">
        <f t="shared" si="6"/>
        <v>0.54792905789592472</v>
      </c>
      <c r="C60" s="17">
        <f t="shared" si="0"/>
        <v>2</v>
      </c>
      <c r="D60" s="17">
        <f t="shared" si="1"/>
        <v>33.740969520974133</v>
      </c>
      <c r="E60" s="18">
        <f t="shared" si="2"/>
        <v>1.9177517026357366E-2</v>
      </c>
      <c r="F60" s="19" t="str">
        <f t="shared" si="3"/>
        <v/>
      </c>
      <c r="G60" s="19" t="str">
        <f t="shared" si="4"/>
        <v/>
      </c>
      <c r="H60" s="19" t="str">
        <f t="shared" si="5"/>
        <v/>
      </c>
    </row>
    <row r="61" spans="2:8" x14ac:dyDescent="0.25">
      <c r="B61" s="16">
        <f t="shared" si="6"/>
        <v>0.58080480136968027</v>
      </c>
      <c r="C61" s="17">
        <f t="shared" ref="C61:C77" si="7">FLOOR(($C$8-2*$C$13+$C$14)/(B61+$C$14),1)</f>
        <v>2</v>
      </c>
      <c r="D61" s="17">
        <f t="shared" ref="D61:D77" si="8">C61*(2*$C$5+2*$C$8+2*PI()*($C$13+(C61-1)*B61/2+(C61-1)*$C$14/2))</f>
        <v>33.947533909331042</v>
      </c>
      <c r="E61" s="18">
        <f t="shared" si="2"/>
        <v>2.032816804793881E-2</v>
      </c>
      <c r="F61" s="19" t="str">
        <f t="shared" si="3"/>
        <v/>
      </c>
      <c r="G61" s="19" t="str">
        <f t="shared" si="4"/>
        <v/>
      </c>
      <c r="H61" s="19" t="str">
        <f t="shared" si="5"/>
        <v/>
      </c>
    </row>
    <row r="62" spans="2:8" x14ac:dyDescent="0.25">
      <c r="B62" s="16">
        <f t="shared" si="6"/>
        <v>0.61565308945186115</v>
      </c>
      <c r="C62" s="17">
        <f t="shared" si="7"/>
        <v>2</v>
      </c>
      <c r="D62" s="17">
        <f t="shared" si="8"/>
        <v>34.166492160989364</v>
      </c>
      <c r="E62" s="18">
        <f t="shared" si="2"/>
        <v>2.154785813081514E-2</v>
      </c>
      <c r="F62" s="19" t="str">
        <f t="shared" si="3"/>
        <v/>
      </c>
      <c r="G62" s="19" t="str">
        <f t="shared" si="4"/>
        <v/>
      </c>
      <c r="H62" s="19" t="str">
        <f t="shared" si="5"/>
        <v/>
      </c>
    </row>
    <row r="63" spans="2:8" x14ac:dyDescent="0.25">
      <c r="B63" s="16">
        <f t="shared" si="6"/>
        <v>0.65259227481897286</v>
      </c>
      <c r="C63" s="17">
        <f t="shared" si="7"/>
        <v>2</v>
      </c>
      <c r="D63" s="17">
        <f t="shared" si="8"/>
        <v>34.398587907747185</v>
      </c>
      <c r="E63" s="18">
        <f t="shared" si="2"/>
        <v>2.2840729618664048E-2</v>
      </c>
      <c r="F63" s="19" t="str">
        <f t="shared" si="3"/>
        <v/>
      </c>
      <c r="G63" s="19" t="str">
        <f t="shared" si="4"/>
        <v/>
      </c>
      <c r="H63" s="19" t="str">
        <f t="shared" si="5"/>
        <v/>
      </c>
    </row>
    <row r="64" spans="2:8" x14ac:dyDescent="0.25">
      <c r="B64" s="16">
        <f t="shared" si="6"/>
        <v>0.69174781130811125</v>
      </c>
      <c r="C64" s="17">
        <f t="shared" si="7"/>
        <v>2</v>
      </c>
      <c r="D64" s="17">
        <f t="shared" si="8"/>
        <v>34.644609399310468</v>
      </c>
      <c r="E64" s="18">
        <f t="shared" si="2"/>
        <v>2.4211173395783894E-2</v>
      </c>
      <c r="F64" s="19" t="str">
        <f t="shared" si="3"/>
        <v/>
      </c>
      <c r="G64" s="19" t="str">
        <f t="shared" si="4"/>
        <v/>
      </c>
      <c r="H64" s="19" t="str">
        <f t="shared" si="5"/>
        <v/>
      </c>
    </row>
    <row r="65" spans="2:8" x14ac:dyDescent="0.25">
      <c r="B65" s="16">
        <f t="shared" si="6"/>
        <v>0.73325267998659793</v>
      </c>
      <c r="C65" s="17">
        <f t="shared" si="7"/>
        <v>2</v>
      </c>
      <c r="D65" s="17">
        <f t="shared" si="8"/>
        <v>34.905392180367556</v>
      </c>
      <c r="E65" s="18">
        <f t="shared" si="2"/>
        <v>2.5663843799530926E-2</v>
      </c>
      <c r="F65" s="19">
        <f t="shared" si="3"/>
        <v>23.393718812818495</v>
      </c>
      <c r="G65" s="19">
        <f t="shared" si="4"/>
        <v>23.393718812818495</v>
      </c>
      <c r="H65" s="19">
        <f t="shared" si="5"/>
        <v>23.393718812818495</v>
      </c>
    </row>
    <row r="66" spans="2:8" x14ac:dyDescent="0.25">
      <c r="B66" s="16">
        <f t="shared" si="6"/>
        <v>0.7772478407857939</v>
      </c>
      <c r="C66" s="17">
        <f t="shared" si="7"/>
        <v>1</v>
      </c>
      <c r="D66" s="17">
        <f t="shared" si="8"/>
        <v>14.834955592153875</v>
      </c>
      <c r="E66" s="18">
        <f t="shared" si="2"/>
        <v>2.7203674427502787E-2</v>
      </c>
      <c r="F66" s="19" t="str">
        <f t="shared" si="3"/>
        <v/>
      </c>
      <c r="G66" s="19" t="str">
        <f t="shared" si="4"/>
        <v/>
      </c>
      <c r="H66" s="19" t="str">
        <f t="shared" si="5"/>
        <v/>
      </c>
    </row>
    <row r="67" spans="2:8" x14ac:dyDescent="0.25">
      <c r="B67" s="16">
        <f t="shared" si="6"/>
        <v>0.82388271123294154</v>
      </c>
      <c r="C67" s="17">
        <f t="shared" si="7"/>
        <v>1</v>
      </c>
      <c r="D67" s="17">
        <f t="shared" si="8"/>
        <v>14.834955592153875</v>
      </c>
      <c r="E67" s="18">
        <f t="shared" si="2"/>
        <v>2.8835894893152955E-2</v>
      </c>
      <c r="F67" s="19" t="str">
        <f t="shared" si="3"/>
        <v/>
      </c>
      <c r="G67" s="19" t="str">
        <f t="shared" si="4"/>
        <v/>
      </c>
      <c r="H67" s="19" t="str">
        <f t="shared" si="5"/>
        <v/>
      </c>
    </row>
    <row r="68" spans="2:8" x14ac:dyDescent="0.25">
      <c r="B68" s="16">
        <f t="shared" si="6"/>
        <v>0.87331567390691811</v>
      </c>
      <c r="C68" s="17">
        <f t="shared" si="7"/>
        <v>1</v>
      </c>
      <c r="D68" s="17">
        <f t="shared" si="8"/>
        <v>14.834955592153875</v>
      </c>
      <c r="E68" s="18">
        <f t="shared" si="2"/>
        <v>3.0566048586742136E-2</v>
      </c>
      <c r="F68" s="19" t="str">
        <f t="shared" si="3"/>
        <v/>
      </c>
      <c r="G68" s="19" t="str">
        <f t="shared" si="4"/>
        <v/>
      </c>
      <c r="H68" s="19" t="str">
        <f t="shared" si="5"/>
        <v/>
      </c>
    </row>
    <row r="69" spans="2:8" x14ac:dyDescent="0.25">
      <c r="B69" s="16">
        <f t="shared" si="6"/>
        <v>0.92571461434133329</v>
      </c>
      <c r="C69" s="17">
        <f t="shared" si="7"/>
        <v>1</v>
      </c>
      <c r="D69" s="17">
        <f t="shared" si="8"/>
        <v>14.834955592153875</v>
      </c>
      <c r="E69" s="18">
        <f t="shared" si="2"/>
        <v>3.2400011501946664E-2</v>
      </c>
      <c r="F69" s="19" t="str">
        <f t="shared" si="3"/>
        <v/>
      </c>
      <c r="G69" s="19" t="str">
        <f t="shared" si="4"/>
        <v/>
      </c>
      <c r="H69" s="19" t="str">
        <f t="shared" si="5"/>
        <v/>
      </c>
    </row>
    <row r="70" spans="2:8" x14ac:dyDescent="0.25">
      <c r="B70" s="16">
        <f t="shared" si="6"/>
        <v>0.98125749120181338</v>
      </c>
      <c r="C70" s="17">
        <f t="shared" si="7"/>
        <v>1</v>
      </c>
      <c r="D70" s="17">
        <f t="shared" si="8"/>
        <v>14.834955592153875</v>
      </c>
      <c r="E70" s="18">
        <f t="shared" si="2"/>
        <v>3.4344012192063469E-2</v>
      </c>
      <c r="F70" s="19" t="str">
        <f t="shared" si="3"/>
        <v/>
      </c>
      <c r="G70" s="19" t="str">
        <f t="shared" si="4"/>
        <v/>
      </c>
      <c r="H70" s="19" t="str">
        <f t="shared" si="5"/>
        <v/>
      </c>
    </row>
    <row r="71" spans="2:8" x14ac:dyDescent="0.25">
      <c r="B71" s="16">
        <f t="shared" si="6"/>
        <v>1.0401329406739221</v>
      </c>
      <c r="C71" s="17">
        <f t="shared" si="7"/>
        <v>1</v>
      </c>
      <c r="D71" s="17">
        <f t="shared" si="8"/>
        <v>14.834955592153875</v>
      </c>
      <c r="E71" s="18">
        <f t="shared" si="2"/>
        <v>3.6404652923587279E-2</v>
      </c>
      <c r="F71" s="19" t="str">
        <f t="shared" si="3"/>
        <v/>
      </c>
      <c r="G71" s="19" t="str">
        <f t="shared" si="4"/>
        <v/>
      </c>
      <c r="H71" s="19" t="str">
        <f t="shared" si="5"/>
        <v/>
      </c>
    </row>
    <row r="72" spans="2:8" x14ac:dyDescent="0.25">
      <c r="B72" s="16">
        <f t="shared" si="6"/>
        <v>1.1025409171143574</v>
      </c>
      <c r="C72" s="17">
        <f t="shared" si="7"/>
        <v>1</v>
      </c>
      <c r="D72" s="17">
        <f t="shared" si="8"/>
        <v>14.834955592153875</v>
      </c>
      <c r="E72" s="18">
        <f t="shared" si="2"/>
        <v>3.8588932099002514E-2</v>
      </c>
      <c r="F72" s="19" t="str">
        <f t="shared" si="3"/>
        <v/>
      </c>
      <c r="G72" s="19" t="str">
        <f t="shared" si="4"/>
        <v/>
      </c>
      <c r="H72" s="19" t="str">
        <f t="shared" si="5"/>
        <v/>
      </c>
    </row>
    <row r="73" spans="2:8" x14ac:dyDescent="0.25">
      <c r="B73" s="16">
        <f t="shared" si="6"/>
        <v>1.1686933721412189</v>
      </c>
      <c r="C73" s="17">
        <f t="shared" si="7"/>
        <v>1</v>
      </c>
      <c r="D73" s="17">
        <f t="shared" si="8"/>
        <v>14.834955592153875</v>
      </c>
      <c r="E73" s="18">
        <f t="shared" si="2"/>
        <v>4.090426802494266E-2</v>
      </c>
      <c r="F73" s="19" t="str">
        <f t="shared" si="3"/>
        <v/>
      </c>
      <c r="G73" s="19" t="str">
        <f t="shared" si="4"/>
        <v/>
      </c>
      <c r="H73" s="19" t="str">
        <f t="shared" si="5"/>
        <v/>
      </c>
    </row>
    <row r="74" spans="2:8" x14ac:dyDescent="0.25">
      <c r="B74" s="16">
        <f t="shared" si="6"/>
        <v>1.2388149744696921</v>
      </c>
      <c r="C74" s="17">
        <f t="shared" si="7"/>
        <v>1</v>
      </c>
      <c r="D74" s="17">
        <f t="shared" si="8"/>
        <v>14.834955592153875</v>
      </c>
      <c r="E74" s="18">
        <f t="shared" si="2"/>
        <v>4.3358524106439228E-2</v>
      </c>
      <c r="F74" s="19" t="str">
        <f t="shared" si="3"/>
        <v/>
      </c>
      <c r="G74" s="19" t="str">
        <f t="shared" si="4"/>
        <v/>
      </c>
      <c r="H74" s="19" t="str">
        <f t="shared" si="5"/>
        <v/>
      </c>
    </row>
    <row r="75" spans="2:8" x14ac:dyDescent="0.25">
      <c r="B75" s="16">
        <f t="shared" si="6"/>
        <v>1.3131438729378737</v>
      </c>
      <c r="C75" s="17">
        <f t="shared" si="7"/>
        <v>1</v>
      </c>
      <c r="D75" s="17">
        <f t="shared" si="8"/>
        <v>14.834955592153875</v>
      </c>
      <c r="E75" s="18">
        <f t="shared" si="2"/>
        <v>4.596003555282558E-2</v>
      </c>
      <c r="F75" s="19" t="str">
        <f t="shared" si="3"/>
        <v/>
      </c>
      <c r="G75" s="19" t="str">
        <f t="shared" si="4"/>
        <v/>
      </c>
      <c r="H75" s="19" t="str">
        <f t="shared" si="5"/>
        <v/>
      </c>
    </row>
    <row r="76" spans="2:8" x14ac:dyDescent="0.25">
      <c r="B76" s="16">
        <f t="shared" si="6"/>
        <v>1.3919325053141463</v>
      </c>
      <c r="C76" s="17">
        <f t="shared" si="7"/>
        <v>1</v>
      </c>
      <c r="D76" s="17">
        <f t="shared" si="8"/>
        <v>14.834955592153875</v>
      </c>
      <c r="E76" s="18">
        <f t="shared" si="2"/>
        <v>4.8717637685995123E-2</v>
      </c>
      <c r="F76" s="19" t="str">
        <f t="shared" si="3"/>
        <v/>
      </c>
      <c r="G76" s="19" t="str">
        <f t="shared" si="4"/>
        <v/>
      </c>
      <c r="H76" s="19" t="str">
        <f t="shared" si="5"/>
        <v/>
      </c>
    </row>
    <row r="77" spans="2:8" x14ac:dyDescent="0.25">
      <c r="B77" s="16">
        <f t="shared" si="6"/>
        <v>1.4754484556329952</v>
      </c>
      <c r="C77" s="17">
        <f t="shared" si="7"/>
        <v>1</v>
      </c>
      <c r="D77" s="17">
        <f t="shared" si="8"/>
        <v>14.834955592153875</v>
      </c>
      <c r="E77" s="18">
        <f t="shared" si="2"/>
        <v>5.1640695947154834E-2</v>
      </c>
      <c r="F77" s="19">
        <f t="shared" si="3"/>
        <v>4.9410882542357539</v>
      </c>
      <c r="G77" s="19">
        <f t="shared" si="4"/>
        <v>4.9410882542357539</v>
      </c>
      <c r="H77" s="19">
        <f t="shared" si="5"/>
        <v>4.9410882542357539</v>
      </c>
    </row>
    <row r="78" spans="2:8" x14ac:dyDescent="0.25">
      <c r="B78" s="2"/>
      <c r="C78" s="1"/>
      <c r="D78" s="2"/>
      <c r="F78" s="1"/>
    </row>
    <row r="79" spans="2:8" x14ac:dyDescent="0.25">
      <c r="B79" s="2"/>
      <c r="C79" s="1"/>
      <c r="D79" s="2"/>
      <c r="F79" s="1"/>
    </row>
    <row r="80" spans="2:8" x14ac:dyDescent="0.25">
      <c r="B80" s="2"/>
      <c r="C80" s="1"/>
      <c r="D80" s="2"/>
      <c r="F80" s="1"/>
    </row>
    <row r="81" spans="2:6" x14ac:dyDescent="0.25">
      <c r="B81" s="2"/>
      <c r="C81" s="1"/>
      <c r="D81" s="2"/>
      <c r="F81" s="1"/>
    </row>
    <row r="82" spans="2:6" x14ac:dyDescent="0.25">
      <c r="B82" s="2"/>
      <c r="C82" s="1"/>
      <c r="D82" s="2"/>
      <c r="F82" s="1"/>
    </row>
    <row r="83" spans="2:6" x14ac:dyDescent="0.25">
      <c r="B83" s="2"/>
      <c r="C83" s="1"/>
      <c r="D83" s="2"/>
      <c r="F83" s="1"/>
    </row>
    <row r="84" spans="2:6" x14ac:dyDescent="0.25">
      <c r="B84" s="2"/>
      <c r="C84" s="1"/>
      <c r="D84" s="2"/>
      <c r="F84" s="1"/>
    </row>
    <row r="85" spans="2:6" x14ac:dyDescent="0.25">
      <c r="B85" s="2"/>
      <c r="C85" s="1"/>
      <c r="D85" s="2"/>
      <c r="F85" s="1"/>
    </row>
  </sheetData>
  <mergeCells count="24">
    <mergeCell ref="A3:A9"/>
    <mergeCell ref="E3:I3"/>
    <mergeCell ref="E4:I4"/>
    <mergeCell ref="E5:I5"/>
    <mergeCell ref="E6:I6"/>
    <mergeCell ref="E7:I7"/>
    <mergeCell ref="E8:I8"/>
    <mergeCell ref="E9:I9"/>
    <mergeCell ref="E10:I10"/>
    <mergeCell ref="E12:I12"/>
    <mergeCell ref="A13:A18"/>
    <mergeCell ref="E13:I13"/>
    <mergeCell ref="E14:I14"/>
    <mergeCell ref="E15:I15"/>
    <mergeCell ref="E16:I16"/>
    <mergeCell ref="E17:I17"/>
    <mergeCell ref="E18:I18"/>
    <mergeCell ref="E25:I25"/>
    <mergeCell ref="A20:A24"/>
    <mergeCell ref="E20:I20"/>
    <mergeCell ref="E21:I21"/>
    <mergeCell ref="E22:I22"/>
    <mergeCell ref="E23:I23"/>
    <mergeCell ref="E24:I24"/>
  </mergeCells>
  <conditionalFormatting sqref="L16:L18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{61A78E00-61BC-4EDD-8EF7-D2A8F1F77136}</x14:id>
        </ext>
      </extLst>
    </cfRule>
  </conditionalFormatting>
  <conditionalFormatting sqref="L24 L22 L2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{A6A1AA3C-B572-4E78-9066-CE693C3AACBB}</x14:id>
        </ext>
      </extLst>
    </cfRule>
  </conditionalFormatting>
  <dataValidations count="2">
    <dataValidation type="list" allowBlank="1" showInputMessage="1" showErrorMessage="1" sqref="C18" xr:uid="{DEA684B4-A709-4DEE-854A-F886421C4AE9}">
      <formula1>"1,2,3,4"</formula1>
    </dataValidation>
    <dataValidation type="list" allowBlank="1" showInputMessage="1" showErrorMessage="1" sqref="C15:C17" xr:uid="{EA1A754D-D7F1-400B-8033-8B0DBC2071FB}">
      <formula1>"17.5,35"</formula1>
    </dataValidation>
  </dataValidations>
  <hyperlinks>
    <hyperlink ref="D2" r:id="rId1" xr:uid="{5BEAA912-8E34-4BFE-B27B-FFAA41086E22}"/>
    <hyperlink ref="D1" r:id="rId2" xr:uid="{65FB2287-BBA3-4198-A81C-5F29528C02A6}"/>
  </hyperlinks>
  <pageMargins left="0.7" right="0.7" top="0.75" bottom="0.75" header="0.3" footer="0.3"/>
  <pageSetup paperSize="9" orientation="portrait" r:id="rId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A78E00-61BC-4EDD-8EF7-D2A8F1F7713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L16:L18</xm:sqref>
        </x14:conditionalFormatting>
        <x14:conditionalFormatting xmlns:xm="http://schemas.microsoft.com/office/excel/2006/main">
          <x14:cfRule type="dataBar" id="{A6A1AA3C-B572-4E78-9066-CE693C3AACB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L24 L22 L26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0913B-5A34-4E38-B8CF-B4F0667F46BF}">
  <dimension ref="B2:L59"/>
  <sheetViews>
    <sheetView tabSelected="1" topLeftCell="A7" workbookViewId="0">
      <selection activeCell="E23" sqref="E23"/>
    </sheetView>
  </sheetViews>
  <sheetFormatPr defaultRowHeight="15" x14ac:dyDescent="0.25"/>
  <cols>
    <col min="1" max="3" width="9.140625" style="4"/>
    <col min="4" max="4" width="15.85546875" style="4" bestFit="1" customWidth="1"/>
    <col min="5" max="7" width="9.140625" style="4"/>
    <col min="8" max="8" width="21.85546875" style="4" bestFit="1" customWidth="1"/>
    <col min="9" max="9" width="11.42578125" style="4" bestFit="1" customWidth="1"/>
    <col min="10" max="10" width="12" style="4" bestFit="1" customWidth="1"/>
    <col min="11" max="11" width="9.85546875" style="4" bestFit="1" customWidth="1"/>
    <col min="12" max="12" width="18.140625" style="4" bestFit="1" customWidth="1"/>
    <col min="13" max="16384" width="9.140625" style="4"/>
  </cols>
  <sheetData>
    <row r="2" spans="2:12" s="4" customFormat="1" x14ac:dyDescent="0.25">
      <c r="C2" s="4" t="s">
        <v>269</v>
      </c>
    </row>
    <row r="3" spans="2:12" s="4" customFormat="1" x14ac:dyDescent="0.25">
      <c r="B3" s="4" t="s">
        <v>268</v>
      </c>
      <c r="C3" s="4">
        <v>177.3</v>
      </c>
      <c r="D3" s="54" t="s">
        <v>267</v>
      </c>
    </row>
    <row r="4" spans="2:12" s="4" customFormat="1" x14ac:dyDescent="0.25">
      <c r="B4" s="4" t="s">
        <v>266</v>
      </c>
      <c r="C4" s="4">
        <v>161.9</v>
      </c>
      <c r="D4" s="4" t="s">
        <v>265</v>
      </c>
    </row>
    <row r="5" spans="2:12" s="4" customFormat="1" x14ac:dyDescent="0.25">
      <c r="B5" s="4" t="s">
        <v>264</v>
      </c>
      <c r="C5" s="4" t="s">
        <v>262</v>
      </c>
    </row>
    <row r="6" spans="2:12" s="4" customFormat="1" x14ac:dyDescent="0.25">
      <c r="B6" s="4" t="s">
        <v>263</v>
      </c>
      <c r="C6" s="4" t="s">
        <v>262</v>
      </c>
    </row>
    <row r="7" spans="2:12" s="4" customFormat="1" x14ac:dyDescent="0.25">
      <c r="B7" s="4" t="s">
        <v>261</v>
      </c>
      <c r="C7" s="4">
        <v>204.6</v>
      </c>
      <c r="D7" s="4" t="s">
        <v>260</v>
      </c>
      <c r="F7" s="4" t="s">
        <v>259</v>
      </c>
    </row>
    <row r="8" spans="2:12" s="4" customFormat="1" x14ac:dyDescent="0.25">
      <c r="B8" s="4" t="s">
        <v>258</v>
      </c>
      <c r="C8" s="4">
        <v>170.7</v>
      </c>
      <c r="D8" s="4" t="s">
        <v>257</v>
      </c>
    </row>
    <row r="9" spans="2:12" s="4" customFormat="1" x14ac:dyDescent="0.25">
      <c r="B9" s="4" t="s">
        <v>256</v>
      </c>
      <c r="C9" s="4">
        <v>725.5</v>
      </c>
    </row>
    <row r="12" spans="2:12" s="4" customFormat="1" x14ac:dyDescent="0.25">
      <c r="B12" s="4" t="s">
        <v>241</v>
      </c>
      <c r="C12" s="4" t="s">
        <v>253</v>
      </c>
      <c r="D12" s="4" t="s">
        <v>252</v>
      </c>
      <c r="E12" s="4" t="s">
        <v>251</v>
      </c>
      <c r="F12" s="4" t="s">
        <v>250</v>
      </c>
      <c r="G12" s="4" t="s">
        <v>249</v>
      </c>
      <c r="H12" s="4" t="s">
        <v>248</v>
      </c>
      <c r="I12" s="4" t="s">
        <v>247</v>
      </c>
      <c r="J12" s="4" t="s">
        <v>246</v>
      </c>
      <c r="K12" s="4" t="s">
        <v>245</v>
      </c>
      <c r="L12" s="4" t="s">
        <v>244</v>
      </c>
    </row>
    <row r="13" spans="2:12" s="4" customFormat="1" x14ac:dyDescent="0.25">
      <c r="B13" s="4" t="s">
        <v>255</v>
      </c>
      <c r="C13" s="4">
        <v>3</v>
      </c>
      <c r="D13" s="4">
        <v>3</v>
      </c>
      <c r="E13" s="4">
        <v>3</v>
      </c>
      <c r="F13" s="4">
        <v>3</v>
      </c>
      <c r="G13" s="4">
        <f>SUM(C13:F13)</f>
        <v>12</v>
      </c>
      <c r="H13" s="4" t="s">
        <v>254</v>
      </c>
      <c r="I13" s="4">
        <v>0.45</v>
      </c>
      <c r="J13" s="4">
        <v>250.3</v>
      </c>
      <c r="K13" s="4">
        <v>613</v>
      </c>
      <c r="L13" s="4">
        <v>1.54</v>
      </c>
    </row>
    <row r="16" spans="2:12" s="4" customFormat="1" x14ac:dyDescent="0.25">
      <c r="B16" s="4" t="s">
        <v>240</v>
      </c>
      <c r="C16" s="4" t="s">
        <v>253</v>
      </c>
      <c r="D16" s="4" t="s">
        <v>252</v>
      </c>
      <c r="E16" s="4" t="s">
        <v>251</v>
      </c>
      <c r="F16" s="4" t="s">
        <v>250</v>
      </c>
      <c r="G16" s="4" t="s">
        <v>249</v>
      </c>
      <c r="H16" s="4" t="s">
        <v>248</v>
      </c>
      <c r="I16" s="4" t="s">
        <v>247</v>
      </c>
      <c r="J16" s="4" t="s">
        <v>246</v>
      </c>
      <c r="K16" s="4" t="s">
        <v>245</v>
      </c>
      <c r="L16" s="4" t="s">
        <v>244</v>
      </c>
    </row>
    <row r="17" spans="2:12" s="4" customFormat="1" x14ac:dyDescent="0.25">
      <c r="C17" s="4">
        <v>6</v>
      </c>
      <c r="D17" s="4">
        <v>6</v>
      </c>
      <c r="E17" s="4">
        <v>6</v>
      </c>
      <c r="F17" s="4">
        <v>6</v>
      </c>
      <c r="G17" s="4">
        <v>12</v>
      </c>
      <c r="H17" s="4" t="s">
        <v>243</v>
      </c>
      <c r="I17" s="4">
        <v>0.18</v>
      </c>
      <c r="J17" s="54" t="s">
        <v>242</v>
      </c>
      <c r="K17" s="4">
        <f>2.55/2*1000</f>
        <v>1275</v>
      </c>
      <c r="L17" s="4">
        <v>0.84</v>
      </c>
    </row>
    <row r="26" spans="2:12" s="4" customFormat="1" x14ac:dyDescent="0.25">
      <c r="B26" s="4" t="s">
        <v>241</v>
      </c>
      <c r="E26" s="4" t="s">
        <v>240</v>
      </c>
      <c r="H26" s="4" t="s">
        <v>239</v>
      </c>
    </row>
    <row r="27" spans="2:12" s="4" customFormat="1" x14ac:dyDescent="0.25">
      <c r="B27" s="4" t="s">
        <v>238</v>
      </c>
      <c r="E27" s="4">
        <v>7.6</v>
      </c>
      <c r="F27" s="4" t="s">
        <v>234</v>
      </c>
      <c r="H27" s="4">
        <v>7.85</v>
      </c>
      <c r="I27" s="4" t="s">
        <v>237</v>
      </c>
    </row>
    <row r="28" spans="2:12" s="4" customFormat="1" x14ac:dyDescent="0.25">
      <c r="B28" s="4">
        <v>13.12</v>
      </c>
      <c r="C28" s="4" t="s">
        <v>236</v>
      </c>
      <c r="E28" s="4">
        <f>12*1.67</f>
        <v>20.04</v>
      </c>
    </row>
    <row r="29" spans="2:12" s="4" customFormat="1" x14ac:dyDescent="0.25">
      <c r="B29" s="4">
        <v>21.33</v>
      </c>
      <c r="E29" s="4">
        <v>19.96</v>
      </c>
    </row>
    <row r="30" spans="2:12" s="4" customFormat="1" x14ac:dyDescent="0.25">
      <c r="B30" s="4">
        <v>19.63</v>
      </c>
      <c r="E30" s="4">
        <v>18.8</v>
      </c>
    </row>
    <row r="31" spans="2:12" s="4" customFormat="1" x14ac:dyDescent="0.25">
      <c r="B31" s="4">
        <v>11.57</v>
      </c>
      <c r="E31" s="4">
        <v>17.64</v>
      </c>
    </row>
    <row r="32" spans="2:12" s="4" customFormat="1" x14ac:dyDescent="0.25">
      <c r="B32" s="4">
        <v>7.8</v>
      </c>
      <c r="E32" s="4">
        <v>16.48</v>
      </c>
    </row>
    <row r="33" spans="2:7" s="4" customFormat="1" x14ac:dyDescent="0.25">
      <c r="B33" s="4">
        <v>19.63</v>
      </c>
      <c r="E33" s="4">
        <v>15.32</v>
      </c>
    </row>
    <row r="34" spans="2:7" s="4" customFormat="1" x14ac:dyDescent="0.25">
      <c r="B34" s="4">
        <v>21.33</v>
      </c>
      <c r="E34" s="4">
        <v>30.65</v>
      </c>
    </row>
    <row r="35" spans="2:7" s="4" customFormat="1" x14ac:dyDescent="0.25">
      <c r="B35" s="4">
        <v>25.06</v>
      </c>
      <c r="E35" s="4">
        <f>E28</f>
        <v>20.04</v>
      </c>
      <c r="F35" s="4" t="s">
        <v>235</v>
      </c>
    </row>
    <row r="36" spans="2:7" s="4" customFormat="1" x14ac:dyDescent="0.25">
      <c r="B36" s="4">
        <v>21.33</v>
      </c>
      <c r="E36" s="4">
        <v>7.6</v>
      </c>
    </row>
    <row r="37" spans="2:7" s="4" customFormat="1" x14ac:dyDescent="0.25">
      <c r="B37" s="4">
        <v>19.63</v>
      </c>
      <c r="E37" s="4">
        <f>12*1.67</f>
        <v>20.04</v>
      </c>
    </row>
    <row r="38" spans="2:7" s="4" customFormat="1" x14ac:dyDescent="0.25">
      <c r="B38" s="4">
        <v>9.32</v>
      </c>
      <c r="E38" s="4">
        <v>19.96</v>
      </c>
    </row>
    <row r="39" spans="2:7" s="4" customFormat="1" x14ac:dyDescent="0.25">
      <c r="B39" s="4">
        <v>10.25</v>
      </c>
      <c r="E39" s="4">
        <v>18.8</v>
      </c>
    </row>
    <row r="40" spans="2:7" s="4" customFormat="1" x14ac:dyDescent="0.25">
      <c r="B40" s="4">
        <v>19.63</v>
      </c>
      <c r="E40" s="4">
        <v>17.64</v>
      </c>
    </row>
    <row r="41" spans="2:7" s="4" customFormat="1" x14ac:dyDescent="0.25">
      <c r="B41" s="4">
        <v>21.33</v>
      </c>
      <c r="E41" s="4">
        <v>16.48</v>
      </c>
    </row>
    <row r="42" spans="2:7" s="4" customFormat="1" x14ac:dyDescent="0.25">
      <c r="B42" s="4">
        <v>9.3000000000000007</v>
      </c>
      <c r="C42" s="4" t="s">
        <v>234</v>
      </c>
      <c r="E42" s="4">
        <v>15.32</v>
      </c>
      <c r="F42" s="4" t="s">
        <v>233</v>
      </c>
    </row>
    <row r="43" spans="2:7" s="4" customFormat="1" x14ac:dyDescent="0.25">
      <c r="B43" s="4">
        <f>SUM(B28:B42)</f>
        <v>250.26</v>
      </c>
      <c r="C43" s="4" t="s">
        <v>232</v>
      </c>
      <c r="E43" s="4">
        <f>SUM(E27:E42)</f>
        <v>282.37</v>
      </c>
      <c r="F43" s="4" t="s">
        <v>231</v>
      </c>
    </row>
    <row r="45" spans="2:7" s="4" customFormat="1" x14ac:dyDescent="0.25">
      <c r="B45" s="4" t="s">
        <v>230</v>
      </c>
      <c r="E45" s="4" t="s">
        <v>230</v>
      </c>
    </row>
    <row r="46" spans="2:7" s="4" customFormat="1" x14ac:dyDescent="0.25">
      <c r="B46" s="4" t="s">
        <v>229</v>
      </c>
      <c r="C46" s="4" t="s">
        <v>228</v>
      </c>
      <c r="D46" s="4" t="s">
        <v>227</v>
      </c>
      <c r="E46" s="4" t="s">
        <v>229</v>
      </c>
      <c r="F46" s="4" t="s">
        <v>228</v>
      </c>
      <c r="G46" s="4" t="s">
        <v>227</v>
      </c>
    </row>
    <row r="47" spans="2:7" s="4" customFormat="1" x14ac:dyDescent="0.25">
      <c r="B47" s="4">
        <v>2.71</v>
      </c>
      <c r="C47" s="4">
        <v>242</v>
      </c>
      <c r="D47" s="4">
        <f>2*PI()*B47*C47/360</f>
        <v>11.446218300429212</v>
      </c>
      <c r="E47" s="4">
        <v>2.52</v>
      </c>
      <c r="F47" s="4">
        <v>242</v>
      </c>
      <c r="G47" s="4">
        <f>2*PI()*E47*F47/360</f>
        <v>10.643715910362218</v>
      </c>
    </row>
    <row r="48" spans="2:7" s="4" customFormat="1" x14ac:dyDescent="0.25">
      <c r="B48" s="4">
        <v>3.26</v>
      </c>
      <c r="C48" s="4">
        <v>236</v>
      </c>
      <c r="D48" s="4">
        <f>2*PI()*B48*C48/360</f>
        <v>13.427865133143571</v>
      </c>
      <c r="E48" s="4">
        <v>2.8</v>
      </c>
      <c r="F48" s="4">
        <v>239</v>
      </c>
      <c r="G48" s="4">
        <f>2*PI()*E48*F48/360</f>
        <v>11.679743354346053</v>
      </c>
    </row>
    <row r="49" spans="2:7" s="4" customFormat="1" x14ac:dyDescent="0.25">
      <c r="B49" s="4">
        <v>3.8</v>
      </c>
      <c r="C49" s="4">
        <v>231</v>
      </c>
      <c r="D49" s="4">
        <f>2*PI()*B49*C49/360</f>
        <v>15.320500174006224</v>
      </c>
      <c r="E49" s="4">
        <v>3.08</v>
      </c>
      <c r="F49" s="4">
        <v>236</v>
      </c>
      <c r="G49" s="4">
        <f>2*PI()*E49*F49/360</f>
        <v>12.686449266896382</v>
      </c>
    </row>
    <row r="50" spans="2:7" s="4" customFormat="1" x14ac:dyDescent="0.25">
      <c r="C50" s="4" t="s">
        <v>226</v>
      </c>
      <c r="D50" s="4">
        <f>D49+D48+D47</f>
        <v>40.194583607579006</v>
      </c>
      <c r="E50" s="4">
        <v>3.35</v>
      </c>
      <c r="F50" s="4">
        <v>233</v>
      </c>
      <c r="G50" s="4">
        <f>2*PI()*E50*F50/360</f>
        <v>13.62316747644174</v>
      </c>
    </row>
    <row r="51" spans="2:7" s="4" customFormat="1" x14ac:dyDescent="0.25">
      <c r="C51" s="4" t="s">
        <v>225</v>
      </c>
      <c r="D51" s="4">
        <f>D50*4</f>
        <v>160.77833443031602</v>
      </c>
      <c r="E51" s="4">
        <v>3.64</v>
      </c>
      <c r="F51" s="4">
        <v>231</v>
      </c>
      <c r="G51" s="4">
        <f>2*PI()*E51*F51/360</f>
        <v>14.675426482469122</v>
      </c>
    </row>
    <row r="52" spans="2:7" s="4" customFormat="1" x14ac:dyDescent="0.25">
      <c r="B52" s="4" t="s">
        <v>224</v>
      </c>
      <c r="E52" s="4">
        <v>3.91</v>
      </c>
      <c r="F52" s="4">
        <v>229</v>
      </c>
      <c r="G52" s="4">
        <f>2*PI()*E52*F52/360</f>
        <v>15.627503589432028</v>
      </c>
    </row>
    <row r="53" spans="2:7" s="4" customFormat="1" x14ac:dyDescent="0.25">
      <c r="B53" s="4">
        <f>D51+B43</f>
        <v>411.03833443031601</v>
      </c>
      <c r="C53" s="4" t="s">
        <v>5</v>
      </c>
      <c r="F53" s="4" t="s">
        <v>226</v>
      </c>
      <c r="G53" s="4">
        <f>SUM(G47:G52)</f>
        <v>78.936006079947532</v>
      </c>
    </row>
    <row r="54" spans="2:7" s="4" customFormat="1" x14ac:dyDescent="0.25">
      <c r="F54" s="4" t="s">
        <v>225</v>
      </c>
      <c r="G54" s="4">
        <f>G53*4</f>
        <v>315.74402431979013</v>
      </c>
    </row>
    <row r="55" spans="2:7" s="4" customFormat="1" x14ac:dyDescent="0.25">
      <c r="E55" s="4" t="s">
        <v>224</v>
      </c>
    </row>
    <row r="56" spans="2:7" s="4" customFormat="1" x14ac:dyDescent="0.25">
      <c r="E56" s="4">
        <f>G54+E43</f>
        <v>598.11402431979013</v>
      </c>
      <c r="F56" s="4" t="s">
        <v>5</v>
      </c>
    </row>
    <row r="57" spans="2:7" s="4" customFormat="1" x14ac:dyDescent="0.25"/>
    <row r="58" spans="2:7" s="4" customFormat="1" x14ac:dyDescent="0.25"/>
    <row r="59" spans="2:7" s="4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EELP22</vt:lpstr>
      <vt:lpstr>ER11-12V</vt:lpstr>
      <vt:lpstr>ER9.5-48V</vt:lpstr>
      <vt:lpstr>Sheet2</vt:lpstr>
      <vt:lpstr>Sheet1</vt:lpstr>
      <vt:lpstr>ER11-48V</vt:lpstr>
      <vt:lpstr>48V_design_measurements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Bourlot</dc:creator>
  <cp:lastModifiedBy>Xavier Bourlot</cp:lastModifiedBy>
  <dcterms:created xsi:type="dcterms:W3CDTF">2024-01-25T09:50:51Z</dcterms:created>
  <dcterms:modified xsi:type="dcterms:W3CDTF">2024-10-21T14:11:35Z</dcterms:modified>
</cp:coreProperties>
</file>