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2.bin" ContentType="application/vnd.openxmlformats-officedocument.oleObject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embeddings/oleObject3.bin" ContentType="application/vnd.openxmlformats-officedocument.oleObject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2.xml" ContentType="application/vnd.openxmlformats-officedocument.drawing+xml"/>
  <Override PartName="/xl/embeddings/oleObject4.bin" ContentType="application/vnd.openxmlformats-officedocument.oleObject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embeddings/oleObject5.bin" ContentType="application/vnd.openxmlformats-officedocument.oleObject"/>
  <Override PartName="/xl/drawings/drawing14.xml" ContentType="application/vnd.openxmlformats-officedocument.drawing+xml"/>
  <Override PartName="/xl/embeddings/oleObject6.bin" ContentType="application/vnd.openxmlformats-officedocument.oleObject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drawings/drawing16.xml" ContentType="application/vnd.openxmlformats-officedocument.drawing+xml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drawings/drawing17.xml" ContentType="application/vnd.openxmlformats-officedocument.drawing+xml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drawings/drawing18.xml" ContentType="application/vnd.openxmlformats-officedocument.drawing+xml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A9C8E6CD-D58C-4456-B889-B9EFF4F8E309}" xr6:coauthVersionLast="47" xr6:coauthVersionMax="47" xr10:uidLastSave="{00000000-0000-0000-0000-000000000000}"/>
  <bookViews>
    <workbookView xWindow="0" yWindow="405" windowWidth="22635" windowHeight="15075" xr2:uid="{00000000-000D-0000-FFFF-FFFF00000000}"/>
  </bookViews>
  <sheets>
    <sheet name="本の価格" sheetId="101" r:id="rId1"/>
    <sheet name="色差重回帰" sheetId="102" r:id="rId2"/>
    <sheet name="単回帰ソルバー" sheetId="1" r:id="rId3"/>
    <sheet name="重回帰ソルバー" sheetId="10" r:id="rId4"/>
    <sheet name="重回帰ソルバー2" sheetId="56" r:id="rId5"/>
    <sheet name="重回帰行列計算" sheetId="22" r:id="rId6"/>
    <sheet name="多重共線性" sheetId="103" r:id="rId7"/>
    <sheet name="殺虫剤" sheetId="14" r:id="rId8"/>
    <sheet name="冠動脈疾患2変数" sheetId="15" r:id="rId9"/>
    <sheet name="主成分例題" sheetId="16" r:id="rId10"/>
    <sheet name="運動と機能" sheetId="17" r:id="rId11"/>
    <sheet name="Cannabinoid" sheetId="104" r:id="rId12"/>
    <sheet name="2群判別" sheetId="19" r:id="rId13"/>
    <sheet name="2群判別2" sheetId="105" r:id="rId14"/>
    <sheet name="動脈血ガス" sheetId="49" r:id="rId15"/>
    <sheet name="逆行列" sheetId="84" r:id="rId16"/>
    <sheet name="単回帰2" sheetId="100" r:id="rId17"/>
    <sheet name="単回帰行列計算" sheetId="44" r:id="rId18"/>
    <sheet name="肝障害" sheetId="48" r:id="rId19"/>
    <sheet name="最短距離法" sheetId="106" r:id="rId20"/>
    <sheet name="ウォード法１変数" sheetId="107" r:id="rId21"/>
    <sheet name="ウォード法２変数" sheetId="108" r:id="rId22"/>
    <sheet name="k平均法（ｋ＝３）" sheetId="109" r:id="rId23"/>
    <sheet name="k平均法（ｋ＝2）" sheetId="110" r:id="rId24"/>
    <sheet name="ｋ平均法（k=4）" sheetId="111" r:id="rId25"/>
    <sheet name="自己組織化マップ" sheetId="112" r:id="rId26"/>
    <sheet name="商品購入" sheetId="114" r:id="rId27"/>
    <sheet name="あやめ" sheetId="115" r:id="rId28"/>
    <sheet name="基本統計量" sheetId="116" r:id="rId29"/>
    <sheet name="回帰分析" sheetId="117" r:id="rId30"/>
  </sheets>
  <definedNames>
    <definedName name="solver_adj" localSheetId="10" hidden="1">運動と機能!$B$7:$C$7</definedName>
    <definedName name="solver_adj" localSheetId="8" hidden="1">冠動脈疾患2変数!$D$14:$D$16</definedName>
    <definedName name="solver_adj" localSheetId="18" hidden="1">肝障害!$B$25:$E$25</definedName>
    <definedName name="solver_adj" localSheetId="7" hidden="1">殺虫剤!$F$28:$F$29</definedName>
    <definedName name="solver_adj" localSheetId="3" hidden="1">重回帰ソルバー!$E$2:$E$4</definedName>
    <definedName name="solver_adj" localSheetId="4" hidden="1">重回帰ソルバー2!$F$2:$F$4</definedName>
    <definedName name="solver_adj" localSheetId="5" hidden="1">重回帰行列計算!#REF!</definedName>
    <definedName name="solver_adj" localSheetId="1" hidden="1">色差重回帰!#REF!</definedName>
    <definedName name="solver_adj" localSheetId="16" hidden="1">単回帰2!$D$2:$D$3</definedName>
    <definedName name="solver_adj" localSheetId="2" hidden="1">単回帰ソルバー!$D$2:$D$3</definedName>
    <definedName name="solver_adj" localSheetId="0" hidden="1">本の価格!#REF!</definedName>
    <definedName name="solver_cvg" localSheetId="10" hidden="1">0.0001</definedName>
    <definedName name="solver_cvg" localSheetId="8" hidden="1">0.0001</definedName>
    <definedName name="solver_cvg" localSheetId="18" hidden="1">0.0001</definedName>
    <definedName name="solver_cvg" localSheetId="7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1" hidden="1">0.0001</definedName>
    <definedName name="solver_cvg" localSheetId="16" hidden="1">0.0001</definedName>
    <definedName name="solver_cvg" localSheetId="2" hidden="1">0.0001</definedName>
    <definedName name="solver_cvg" localSheetId="17" hidden="1">0.0001</definedName>
    <definedName name="solver_cvg" localSheetId="0" hidden="1">0.0001</definedName>
    <definedName name="solver_drv" localSheetId="10" hidden="1">1</definedName>
    <definedName name="solver_drv" localSheetId="8" hidden="1">1</definedName>
    <definedName name="solver_drv" localSheetId="18" hidden="1">1</definedName>
    <definedName name="solver_drv" localSheetId="7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1" hidden="1">1</definedName>
    <definedName name="solver_drv" localSheetId="16" hidden="1">1</definedName>
    <definedName name="solver_drv" localSheetId="2" hidden="1">1</definedName>
    <definedName name="solver_drv" localSheetId="17" hidden="1">1</definedName>
    <definedName name="solver_drv" localSheetId="0" hidden="1">1</definedName>
    <definedName name="solver_eng" localSheetId="10" hidden="1">1</definedName>
    <definedName name="solver_eng" localSheetId="8" hidden="1">1</definedName>
    <definedName name="solver_eng" localSheetId="18" hidden="1">1</definedName>
    <definedName name="solver_eng" localSheetId="7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1" hidden="1">1</definedName>
    <definedName name="solver_eng" localSheetId="16" hidden="1">1</definedName>
    <definedName name="solver_eng" localSheetId="2" hidden="1">1</definedName>
    <definedName name="solver_eng" localSheetId="17" hidden="1">1</definedName>
    <definedName name="solver_eng" localSheetId="0" hidden="1">1</definedName>
    <definedName name="solver_est" localSheetId="10" hidden="1">1</definedName>
    <definedName name="solver_est" localSheetId="8" hidden="1">1</definedName>
    <definedName name="solver_est" localSheetId="18" hidden="1">1</definedName>
    <definedName name="solver_est" localSheetId="7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1" hidden="1">1</definedName>
    <definedName name="solver_est" localSheetId="16" hidden="1">1</definedName>
    <definedName name="solver_est" localSheetId="2" hidden="1">1</definedName>
    <definedName name="solver_est" localSheetId="17" hidden="1">1</definedName>
    <definedName name="solver_est" localSheetId="0" hidden="1">1</definedName>
    <definedName name="solver_itr" localSheetId="10" hidden="1">100</definedName>
    <definedName name="solver_itr" localSheetId="8" hidden="1">100</definedName>
    <definedName name="solver_itr" localSheetId="18" hidden="1">100</definedName>
    <definedName name="solver_itr" localSheetId="7" hidden="1">100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1" hidden="1">100</definedName>
    <definedName name="solver_itr" localSheetId="16" hidden="1">2147483647</definedName>
    <definedName name="solver_itr" localSheetId="2" hidden="1">2147483647</definedName>
    <definedName name="solver_itr" localSheetId="17" hidden="1">2147483647</definedName>
    <definedName name="solver_itr" localSheetId="0" hidden="1">100</definedName>
    <definedName name="solver_lhs1" localSheetId="10" hidden="1">運動と機能!$D$7</definedName>
    <definedName name="solver_lhs2" localSheetId="10" hidden="1">運動と機能!$E$8</definedName>
    <definedName name="solver_lin" localSheetId="10" hidden="1">2</definedName>
    <definedName name="solver_lin" localSheetId="8" hidden="1">2</definedName>
    <definedName name="solver_lin" localSheetId="18" hidden="1">2</definedName>
    <definedName name="solver_lin" localSheetId="7" hidden="1">2</definedName>
    <definedName name="solver_lin" localSheetId="1" hidden="1">2</definedName>
    <definedName name="solver_lin" localSheetId="0" hidden="1">2</definedName>
    <definedName name="solver_mip" localSheetId="10" hidden="1">2147483647</definedName>
    <definedName name="solver_mip" localSheetId="8" hidden="1">2147483647</definedName>
    <definedName name="solver_mip" localSheetId="18" hidden="1">2147483647</definedName>
    <definedName name="solver_mip" localSheetId="7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1" hidden="1">2147483647</definedName>
    <definedName name="solver_mip" localSheetId="16" hidden="1">2147483647</definedName>
    <definedName name="solver_mip" localSheetId="2" hidden="1">2147483647</definedName>
    <definedName name="solver_mip" localSheetId="17" hidden="1">2147483647</definedName>
    <definedName name="solver_mip" localSheetId="0" hidden="1">2147483647</definedName>
    <definedName name="solver_mni" localSheetId="10" hidden="1">30</definedName>
    <definedName name="solver_mni" localSheetId="8" hidden="1">30</definedName>
    <definedName name="solver_mni" localSheetId="18" hidden="1">30</definedName>
    <definedName name="solver_mni" localSheetId="7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1" hidden="1">30</definedName>
    <definedName name="solver_mni" localSheetId="16" hidden="1">30</definedName>
    <definedName name="solver_mni" localSheetId="2" hidden="1">30</definedName>
    <definedName name="solver_mni" localSheetId="17" hidden="1">30</definedName>
    <definedName name="solver_mni" localSheetId="0" hidden="1">30</definedName>
    <definedName name="solver_mrt" localSheetId="10" hidden="1">0.075</definedName>
    <definedName name="solver_mrt" localSheetId="8" hidden="1">0.075</definedName>
    <definedName name="solver_mrt" localSheetId="18" hidden="1">0.075</definedName>
    <definedName name="solver_mrt" localSheetId="7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1" hidden="1">0.075</definedName>
    <definedName name="solver_mrt" localSheetId="16" hidden="1">0.075</definedName>
    <definedName name="solver_mrt" localSheetId="2" hidden="1">0.075</definedName>
    <definedName name="solver_mrt" localSheetId="17" hidden="1">0.075</definedName>
    <definedName name="solver_mrt" localSheetId="0" hidden="1">0.075</definedName>
    <definedName name="solver_msl" localSheetId="10" hidden="1">2</definedName>
    <definedName name="solver_msl" localSheetId="8" hidden="1">2</definedName>
    <definedName name="solver_msl" localSheetId="18" hidden="1">2</definedName>
    <definedName name="solver_msl" localSheetId="7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1" hidden="1">2</definedName>
    <definedName name="solver_msl" localSheetId="16" hidden="1">2</definedName>
    <definedName name="solver_msl" localSheetId="2" hidden="1">2</definedName>
    <definedName name="solver_msl" localSheetId="17" hidden="1">2</definedName>
    <definedName name="solver_msl" localSheetId="0" hidden="1">2</definedName>
    <definedName name="solver_neg" localSheetId="10" hidden="1">2</definedName>
    <definedName name="solver_neg" localSheetId="8" hidden="1">2</definedName>
    <definedName name="solver_neg" localSheetId="18" hidden="1">2</definedName>
    <definedName name="solver_neg" localSheetId="7" hidden="1">2</definedName>
    <definedName name="solver_neg" localSheetId="3" hidden="1">2</definedName>
    <definedName name="solver_neg" localSheetId="4" hidden="1">1</definedName>
    <definedName name="solver_neg" localSheetId="5" hidden="1">2</definedName>
    <definedName name="solver_neg" localSheetId="1" hidden="1">2</definedName>
    <definedName name="solver_neg" localSheetId="16" hidden="1">1</definedName>
    <definedName name="solver_neg" localSheetId="2" hidden="1">1</definedName>
    <definedName name="solver_neg" localSheetId="17" hidden="1">2</definedName>
    <definedName name="solver_neg" localSheetId="0" hidden="1">2</definedName>
    <definedName name="solver_nod" localSheetId="10" hidden="1">2147483647</definedName>
    <definedName name="solver_nod" localSheetId="8" hidden="1">2147483647</definedName>
    <definedName name="solver_nod" localSheetId="18" hidden="1">2147483647</definedName>
    <definedName name="solver_nod" localSheetId="7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1" hidden="1">2147483647</definedName>
    <definedName name="solver_nod" localSheetId="16" hidden="1">2147483647</definedName>
    <definedName name="solver_nod" localSheetId="2" hidden="1">2147483647</definedName>
    <definedName name="solver_nod" localSheetId="17" hidden="1">2147483647</definedName>
    <definedName name="solver_nod" localSheetId="0" hidden="1">2147483647</definedName>
    <definedName name="solver_num" localSheetId="10" hidden="1">2</definedName>
    <definedName name="solver_num" localSheetId="8" hidden="1">0</definedName>
    <definedName name="solver_num" localSheetId="18" hidden="1">0</definedName>
    <definedName name="solver_num" localSheetId="7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1" hidden="1">0</definedName>
    <definedName name="solver_num" localSheetId="16" hidden="1">0</definedName>
    <definedName name="solver_num" localSheetId="2" hidden="1">0</definedName>
    <definedName name="solver_num" localSheetId="17" hidden="1">0</definedName>
    <definedName name="solver_num" localSheetId="0" hidden="1">0</definedName>
    <definedName name="solver_nwt" localSheetId="10" hidden="1">1</definedName>
    <definedName name="solver_nwt" localSheetId="8" hidden="1">1</definedName>
    <definedName name="solver_nwt" localSheetId="18" hidden="1">1</definedName>
    <definedName name="solver_nwt" localSheetId="7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1" hidden="1">1</definedName>
    <definedName name="solver_nwt" localSheetId="16" hidden="1">1</definedName>
    <definedName name="solver_nwt" localSheetId="2" hidden="1">1</definedName>
    <definedName name="solver_nwt" localSheetId="17" hidden="1">1</definedName>
    <definedName name="solver_nwt" localSheetId="0" hidden="1">1</definedName>
    <definedName name="solver_opt" localSheetId="10" hidden="1">運動と機能!$D$8</definedName>
    <definedName name="solver_opt" localSheetId="8" hidden="1">冠動脈疾患2変数!$H$14</definedName>
    <definedName name="solver_opt" localSheetId="18" hidden="1">肝障害!$J$24</definedName>
    <definedName name="solver_opt" localSheetId="7" hidden="1">殺虫剤!$G$30</definedName>
    <definedName name="solver_opt" localSheetId="3" hidden="1">重回帰ソルバー!$F$12</definedName>
    <definedName name="solver_opt" localSheetId="4" hidden="1">重回帰ソルバー2!$G$11</definedName>
    <definedName name="solver_opt" localSheetId="5" hidden="1">重回帰行列計算!#REF!</definedName>
    <definedName name="solver_opt" localSheetId="1" hidden="1">色差重回帰!#REF!</definedName>
    <definedName name="solver_opt" localSheetId="16" hidden="1">単回帰2!$E$11</definedName>
    <definedName name="solver_opt" localSheetId="2" hidden="1">単回帰ソルバー!$E$11</definedName>
    <definedName name="solver_opt" localSheetId="0" hidden="1">本の価格!$D$14</definedName>
    <definedName name="solver_pre" localSheetId="10" hidden="1">0.000001</definedName>
    <definedName name="solver_pre" localSheetId="8" hidden="1">0.000001</definedName>
    <definedName name="solver_pre" localSheetId="18" hidden="1">0.000001</definedName>
    <definedName name="solver_pre" localSheetId="7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1" hidden="1">0.000001</definedName>
    <definedName name="solver_pre" localSheetId="16" hidden="1">0.000001</definedName>
    <definedName name="solver_pre" localSheetId="2" hidden="1">0.000001</definedName>
    <definedName name="solver_pre" localSheetId="17" hidden="1">0.000001</definedName>
    <definedName name="solver_pre" localSheetId="0" hidden="1">0.000001</definedName>
    <definedName name="solver_rbv" localSheetId="10" hidden="1">1</definedName>
    <definedName name="solver_rbv" localSheetId="8" hidden="1">1</definedName>
    <definedName name="solver_rbv" localSheetId="18" hidden="1">1</definedName>
    <definedName name="solver_rbv" localSheetId="7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1" hidden="1">1</definedName>
    <definedName name="solver_rbv" localSheetId="16" hidden="1">1</definedName>
    <definedName name="solver_rbv" localSheetId="2" hidden="1">1</definedName>
    <definedName name="solver_rbv" localSheetId="17" hidden="1">1</definedName>
    <definedName name="solver_rbv" localSheetId="0" hidden="1">1</definedName>
    <definedName name="solver_rel1" localSheetId="10" hidden="1">2</definedName>
    <definedName name="solver_rel2" localSheetId="10" hidden="1">2</definedName>
    <definedName name="solver_rhs1" localSheetId="10" hidden="1">1</definedName>
    <definedName name="solver_rhs2" localSheetId="10" hidden="1">0</definedName>
    <definedName name="solver_rlx" localSheetId="10" hidden="1">1</definedName>
    <definedName name="solver_rlx" localSheetId="8" hidden="1">1</definedName>
    <definedName name="solver_rlx" localSheetId="18" hidden="1">1</definedName>
    <definedName name="solver_rlx" localSheetId="7" hidden="1">1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1" hidden="1">1</definedName>
    <definedName name="solver_rlx" localSheetId="16" hidden="1">2</definedName>
    <definedName name="solver_rlx" localSheetId="2" hidden="1">2</definedName>
    <definedName name="solver_rlx" localSheetId="17" hidden="1">2</definedName>
    <definedName name="solver_rlx" localSheetId="0" hidden="1">1</definedName>
    <definedName name="solver_rsd" localSheetId="10" hidden="1">0</definedName>
    <definedName name="solver_rsd" localSheetId="8" hidden="1">0</definedName>
    <definedName name="solver_rsd" localSheetId="18" hidden="1">0</definedName>
    <definedName name="solver_rsd" localSheetId="7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1" hidden="1">0</definedName>
    <definedName name="solver_rsd" localSheetId="16" hidden="1">0</definedName>
    <definedName name="solver_rsd" localSheetId="2" hidden="1">0</definedName>
    <definedName name="solver_rsd" localSheetId="17" hidden="1">0</definedName>
    <definedName name="solver_rsd" localSheetId="0" hidden="1">0</definedName>
    <definedName name="solver_scl" localSheetId="10" hidden="1">2</definedName>
    <definedName name="solver_scl" localSheetId="8" hidden="1">2</definedName>
    <definedName name="solver_scl" localSheetId="18" hidden="1">2</definedName>
    <definedName name="solver_scl" localSheetId="7" hidden="1">2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1" hidden="1">2</definedName>
    <definedName name="solver_scl" localSheetId="16" hidden="1">1</definedName>
    <definedName name="solver_scl" localSheetId="2" hidden="1">1</definedName>
    <definedName name="solver_scl" localSheetId="17" hidden="1">1</definedName>
    <definedName name="solver_scl" localSheetId="0" hidden="1">2</definedName>
    <definedName name="solver_sho" localSheetId="10" hidden="1">2</definedName>
    <definedName name="solver_sho" localSheetId="8" hidden="1">2</definedName>
    <definedName name="solver_sho" localSheetId="18" hidden="1">2</definedName>
    <definedName name="solver_sho" localSheetId="7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1" hidden="1">2</definedName>
    <definedName name="solver_sho" localSheetId="16" hidden="1">2</definedName>
    <definedName name="solver_sho" localSheetId="2" hidden="1">2</definedName>
    <definedName name="solver_sho" localSheetId="17" hidden="1">2</definedName>
    <definedName name="solver_sho" localSheetId="0" hidden="1">2</definedName>
    <definedName name="solver_ssz" localSheetId="10" hidden="1">100</definedName>
    <definedName name="solver_ssz" localSheetId="8" hidden="1">100</definedName>
    <definedName name="solver_ssz" localSheetId="18" hidden="1">100</definedName>
    <definedName name="solver_ssz" localSheetId="7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1" hidden="1">100</definedName>
    <definedName name="solver_ssz" localSheetId="16" hidden="1">100</definedName>
    <definedName name="solver_ssz" localSheetId="2" hidden="1">100</definedName>
    <definedName name="solver_ssz" localSheetId="17" hidden="1">100</definedName>
    <definedName name="solver_ssz" localSheetId="0" hidden="1">100</definedName>
    <definedName name="solver_tim" localSheetId="10" hidden="1">100</definedName>
    <definedName name="solver_tim" localSheetId="8" hidden="1">100</definedName>
    <definedName name="solver_tim" localSheetId="18" hidden="1">100</definedName>
    <definedName name="solver_tim" localSheetId="7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1" hidden="1">100</definedName>
    <definedName name="solver_tim" localSheetId="16" hidden="1">2147483647</definedName>
    <definedName name="solver_tim" localSheetId="2" hidden="1">2147483647</definedName>
    <definedName name="solver_tim" localSheetId="17" hidden="1">2147483647</definedName>
    <definedName name="solver_tim" localSheetId="0" hidden="1">100</definedName>
    <definedName name="solver_tol" localSheetId="10" hidden="1">0.05</definedName>
    <definedName name="solver_tol" localSheetId="8" hidden="1">0.05</definedName>
    <definedName name="solver_tol" localSheetId="18" hidden="1">0.05</definedName>
    <definedName name="solver_tol" localSheetId="7" hidden="1">0.05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1" hidden="1">0.05</definedName>
    <definedName name="solver_tol" localSheetId="16" hidden="1">0.01</definedName>
    <definedName name="solver_tol" localSheetId="2" hidden="1">0.01</definedName>
    <definedName name="solver_tol" localSheetId="17" hidden="1">0.01</definedName>
    <definedName name="solver_tol" localSheetId="0" hidden="1">0.05</definedName>
    <definedName name="solver_typ" localSheetId="10" hidden="1">1</definedName>
    <definedName name="solver_typ" localSheetId="8" hidden="1">1</definedName>
    <definedName name="solver_typ" localSheetId="18" hidden="1">1</definedName>
    <definedName name="solver_typ" localSheetId="7" hidden="1">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1" hidden="1">1</definedName>
    <definedName name="solver_typ" localSheetId="16" hidden="1">2</definedName>
    <definedName name="solver_typ" localSheetId="2" hidden="1">2</definedName>
    <definedName name="solver_typ" localSheetId="17" hidden="1">2</definedName>
    <definedName name="solver_typ" localSheetId="0" hidden="1">1</definedName>
    <definedName name="solver_val" localSheetId="10" hidden="1">0</definedName>
    <definedName name="solver_val" localSheetId="8" hidden="1">0</definedName>
    <definedName name="solver_val" localSheetId="18" hidden="1">0</definedName>
    <definedName name="solver_val" localSheetId="7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1" hidden="1">0</definedName>
    <definedName name="solver_val" localSheetId="16" hidden="1">0</definedName>
    <definedName name="solver_val" localSheetId="2" hidden="1">0</definedName>
    <definedName name="solver_val" localSheetId="17" hidden="1">0</definedName>
    <definedName name="solver_val" localSheetId="0" hidden="1">0</definedName>
    <definedName name="solver_ver" localSheetId="10" hidden="1">3</definedName>
    <definedName name="solver_ver" localSheetId="8" hidden="1">3</definedName>
    <definedName name="solver_ver" localSheetId="18" hidden="1">3</definedName>
    <definedName name="solver_ver" localSheetId="7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1" hidden="1">3</definedName>
    <definedName name="solver_ver" localSheetId="16" hidden="1">3</definedName>
    <definedName name="solver_ver" localSheetId="2" hidden="1">3</definedName>
    <definedName name="solver_ver" localSheetId="17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16" l="1"/>
  <c r="D11" i="116"/>
  <c r="D10" i="116"/>
  <c r="D9" i="116"/>
  <c r="D8" i="116"/>
  <c r="D7" i="116"/>
  <c r="D6" i="116"/>
  <c r="D5" i="116"/>
  <c r="D4" i="116"/>
  <c r="D3" i="116"/>
  <c r="D2" i="116"/>
  <c r="D13" i="112" l="1"/>
  <c r="D23" i="112" s="1"/>
  <c r="N17" i="112" s="1"/>
  <c r="C13" i="112"/>
  <c r="C20" i="112" s="1"/>
  <c r="I16" i="112" s="1"/>
  <c r="D12" i="112"/>
  <c r="C12" i="112"/>
  <c r="M10" i="112"/>
  <c r="K10" i="112"/>
  <c r="R6" i="112" s="1"/>
  <c r="I10" i="112"/>
  <c r="G10" i="112"/>
  <c r="N8" i="112"/>
  <c r="R18" i="112" s="1"/>
  <c r="M8" i="112"/>
  <c r="Q18" i="112" s="1"/>
  <c r="L8" i="112"/>
  <c r="R17" i="112" s="1"/>
  <c r="K8" i="112"/>
  <c r="Q17" i="112" s="1"/>
  <c r="J8" i="112"/>
  <c r="R16" i="112" s="1"/>
  <c r="I8" i="112"/>
  <c r="Q16" i="112" s="1"/>
  <c r="H8" i="112"/>
  <c r="R15" i="112" s="1"/>
  <c r="G8" i="112"/>
  <c r="Q15" i="112" s="1"/>
  <c r="R7" i="112"/>
  <c r="N7" i="112"/>
  <c r="R13" i="112" s="1"/>
  <c r="M7" i="112"/>
  <c r="Q13" i="112" s="1"/>
  <c r="L7" i="112"/>
  <c r="R12" i="112" s="1"/>
  <c r="K7" i="112"/>
  <c r="Q12" i="112" s="1"/>
  <c r="J7" i="112"/>
  <c r="R11" i="112" s="1"/>
  <c r="I7" i="112"/>
  <c r="Q11" i="112" s="1"/>
  <c r="H7" i="112"/>
  <c r="R10" i="112" s="1"/>
  <c r="G7" i="112"/>
  <c r="Q10" i="112" s="1"/>
  <c r="R5" i="112"/>
  <c r="R4" i="112"/>
  <c r="C19" i="111"/>
  <c r="C18" i="111"/>
  <c r="I16" i="111" s="1"/>
  <c r="I17" i="111"/>
  <c r="D13" i="111"/>
  <c r="D23" i="111" s="1"/>
  <c r="N17" i="111" s="1"/>
  <c r="C13" i="111"/>
  <c r="C20" i="111" s="1"/>
  <c r="K16" i="111" s="1"/>
  <c r="Q12" i="111"/>
  <c r="D12" i="111"/>
  <c r="C12" i="111"/>
  <c r="M10" i="111"/>
  <c r="K10" i="111"/>
  <c r="R6" i="111" s="1"/>
  <c r="I10" i="111"/>
  <c r="R5" i="111" s="1"/>
  <c r="G10" i="111"/>
  <c r="R4" i="111" s="1"/>
  <c r="N8" i="111"/>
  <c r="R18" i="111" s="1"/>
  <c r="M8" i="111"/>
  <c r="Q18" i="111" s="1"/>
  <c r="L8" i="111"/>
  <c r="R17" i="111" s="1"/>
  <c r="K8" i="111"/>
  <c r="Q17" i="111" s="1"/>
  <c r="J8" i="111"/>
  <c r="R16" i="111" s="1"/>
  <c r="I8" i="111"/>
  <c r="Q16" i="111" s="1"/>
  <c r="H8" i="111"/>
  <c r="R15" i="111" s="1"/>
  <c r="G8" i="111"/>
  <c r="Q15" i="111" s="1"/>
  <c r="R7" i="111"/>
  <c r="N7" i="111"/>
  <c r="R13" i="111" s="1"/>
  <c r="M7" i="111"/>
  <c r="Q13" i="111" s="1"/>
  <c r="L7" i="111"/>
  <c r="R12" i="111" s="1"/>
  <c r="K7" i="111"/>
  <c r="J7" i="111"/>
  <c r="R11" i="111" s="1"/>
  <c r="I7" i="111"/>
  <c r="Q11" i="111" s="1"/>
  <c r="H7" i="111"/>
  <c r="R10" i="111" s="1"/>
  <c r="G7" i="111"/>
  <c r="Q10" i="111" s="1"/>
  <c r="P31" i="110"/>
  <c r="O31" i="110"/>
  <c r="D29" i="110"/>
  <c r="J21" i="110" s="1"/>
  <c r="C28" i="110"/>
  <c r="I20" i="110" s="1"/>
  <c r="P27" i="110"/>
  <c r="O27" i="110"/>
  <c r="C23" i="110"/>
  <c r="G23" i="110" s="1"/>
  <c r="P22" i="110"/>
  <c r="D17" i="110"/>
  <c r="D28" i="110" s="1"/>
  <c r="J20" i="110" s="1"/>
  <c r="C17" i="110"/>
  <c r="C25" i="110" s="1"/>
  <c r="G25" i="110" s="1"/>
  <c r="D16" i="110"/>
  <c r="C16" i="110"/>
  <c r="I15" i="110"/>
  <c r="I16" i="110" s="1"/>
  <c r="P4" i="110" s="1"/>
  <c r="G15" i="110"/>
  <c r="G16" i="110" s="1"/>
  <c r="P3" i="110" s="1"/>
  <c r="P14" i="110"/>
  <c r="O14" i="110"/>
  <c r="J13" i="110"/>
  <c r="P13" i="110" s="1"/>
  <c r="I13" i="110"/>
  <c r="O13" i="110" s="1"/>
  <c r="H13" i="110"/>
  <c r="P12" i="110" s="1"/>
  <c r="G13" i="110"/>
  <c r="O12" i="110" s="1"/>
  <c r="J12" i="110"/>
  <c r="P9" i="110" s="1"/>
  <c r="I12" i="110"/>
  <c r="O9" i="110" s="1"/>
  <c r="H12" i="110"/>
  <c r="P8" i="110" s="1"/>
  <c r="G12" i="110"/>
  <c r="O8" i="110" s="1"/>
  <c r="P10" i="110"/>
  <c r="O10" i="110"/>
  <c r="P5" i="110"/>
  <c r="D28" i="109"/>
  <c r="L17" i="109" s="1"/>
  <c r="D27" i="109"/>
  <c r="J20" i="109" s="1"/>
  <c r="D17" i="109"/>
  <c r="D23" i="109" s="1"/>
  <c r="H20" i="109" s="1"/>
  <c r="C17" i="109"/>
  <c r="C31" i="109" s="1"/>
  <c r="K20" i="109" s="1"/>
  <c r="D16" i="109"/>
  <c r="C16" i="109"/>
  <c r="K11" i="109"/>
  <c r="K12" i="109" s="1"/>
  <c r="P5" i="109" s="1"/>
  <c r="I11" i="109"/>
  <c r="I12" i="109" s="1"/>
  <c r="P4" i="109" s="1"/>
  <c r="G11" i="109"/>
  <c r="G12" i="109" s="1"/>
  <c r="P3" i="109" s="1"/>
  <c r="L9" i="109"/>
  <c r="P14" i="109" s="1"/>
  <c r="K9" i="109"/>
  <c r="O14" i="109" s="1"/>
  <c r="J9" i="109"/>
  <c r="P13" i="109" s="1"/>
  <c r="I9" i="109"/>
  <c r="O13" i="109" s="1"/>
  <c r="H9" i="109"/>
  <c r="P12" i="109" s="1"/>
  <c r="G9" i="109"/>
  <c r="O12" i="109" s="1"/>
  <c r="O8" i="109"/>
  <c r="L8" i="109"/>
  <c r="P10" i="109" s="1"/>
  <c r="K8" i="109"/>
  <c r="O10" i="109" s="1"/>
  <c r="J8" i="109"/>
  <c r="P9" i="109" s="1"/>
  <c r="I8" i="109"/>
  <c r="O9" i="109" s="1"/>
  <c r="H8" i="109"/>
  <c r="P8" i="109" s="1"/>
  <c r="G8" i="109"/>
  <c r="E15" i="108"/>
  <c r="C22" i="108" s="1"/>
  <c r="D15" i="108"/>
  <c r="C15" i="108"/>
  <c r="B15" i="108"/>
  <c r="D14" i="108"/>
  <c r="C14" i="108"/>
  <c r="B14" i="108"/>
  <c r="C13" i="108"/>
  <c r="C21" i="108" s="1"/>
  <c r="B13" i="108"/>
  <c r="B21" i="108" s="1"/>
  <c r="B12" i="108"/>
  <c r="B20" i="108" s="1"/>
  <c r="B28" i="108" s="1"/>
  <c r="B38" i="108" s="1"/>
  <c r="C38" i="108" s="1"/>
  <c r="B50" i="107"/>
  <c r="C50" i="107" s="1"/>
  <c r="B43" i="107"/>
  <c r="C38" i="107"/>
  <c r="B49" i="107" s="1"/>
  <c r="C49" i="107" s="1"/>
  <c r="B38" i="107"/>
  <c r="B37" i="107"/>
  <c r="D32" i="107"/>
  <c r="C32" i="107"/>
  <c r="B32" i="107"/>
  <c r="C31" i="107"/>
  <c r="B31" i="107"/>
  <c r="B30" i="107"/>
  <c r="B48" i="107" s="1"/>
  <c r="C48" i="107" s="1"/>
  <c r="E25" i="107"/>
  <c r="D25" i="107"/>
  <c r="C25" i="107"/>
  <c r="B25" i="107"/>
  <c r="D24" i="107"/>
  <c r="B47" i="107" s="1"/>
  <c r="C47" i="107" s="1"/>
  <c r="C24" i="107"/>
  <c r="B24" i="107"/>
  <c r="C23" i="107"/>
  <c r="B23" i="107"/>
  <c r="B22" i="107"/>
  <c r="F17" i="107"/>
  <c r="E17" i="107"/>
  <c r="D17" i="107"/>
  <c r="C17" i="107"/>
  <c r="B17" i="107"/>
  <c r="E16" i="107"/>
  <c r="D16" i="107"/>
  <c r="C16" i="107"/>
  <c r="B16" i="107"/>
  <c r="D15" i="107"/>
  <c r="C15" i="107"/>
  <c r="B15" i="107"/>
  <c r="C14" i="107"/>
  <c r="B14" i="107"/>
  <c r="B13" i="107"/>
  <c r="B46" i="107" s="1"/>
  <c r="C46" i="107" s="1"/>
  <c r="D22" i="106"/>
  <c r="C28" i="106" s="1"/>
  <c r="B33" i="106" s="1"/>
  <c r="B39" i="106" s="1"/>
  <c r="B21" i="106"/>
  <c r="B20" i="106"/>
  <c r="B37" i="106" s="1"/>
  <c r="E15" i="106"/>
  <c r="B36" i="106" s="1"/>
  <c r="D15" i="106"/>
  <c r="C15" i="106"/>
  <c r="B15" i="106"/>
  <c r="D14" i="106"/>
  <c r="C14" i="106"/>
  <c r="B14" i="106"/>
  <c r="B22" i="106" s="1"/>
  <c r="C13" i="106"/>
  <c r="C21" i="106" s="1"/>
  <c r="B13" i="106"/>
  <c r="B12" i="106"/>
  <c r="A23" i="103" a="1"/>
  <c r="T27" i="103" s="1"/>
  <c r="A37" i="102" a="1"/>
  <c r="E42" i="102" s="1"/>
  <c r="A30" i="102" a="1"/>
  <c r="W35" i="102" s="1"/>
  <c r="C20" i="109" l="1"/>
  <c r="G17" i="109" s="1"/>
  <c r="D26" i="109"/>
  <c r="J19" i="109" s="1"/>
  <c r="C17" i="111"/>
  <c r="G17" i="111" s="1"/>
  <c r="C17" i="112"/>
  <c r="G17" i="112" s="1"/>
  <c r="I30" i="102"/>
  <c r="Q30" i="102"/>
  <c r="N31" i="102"/>
  <c r="X33" i="102"/>
  <c r="V31" i="102"/>
  <c r="E34" i="102"/>
  <c r="F37" i="102"/>
  <c r="C32" i="102"/>
  <c r="M34" i="102"/>
  <c r="B39" i="102"/>
  <c r="C21" i="109"/>
  <c r="G18" i="109" s="1"/>
  <c r="G23" i="109" s="1"/>
  <c r="O26" i="109" s="1"/>
  <c r="K32" i="102"/>
  <c r="U34" i="102"/>
  <c r="D40" i="102"/>
  <c r="D22" i="109"/>
  <c r="H19" i="109" s="1"/>
  <c r="D29" i="109"/>
  <c r="L18" i="109" s="1"/>
  <c r="D24" i="110"/>
  <c r="H24" i="110" s="1"/>
  <c r="D30" i="110"/>
  <c r="J22" i="110" s="1"/>
  <c r="C18" i="112"/>
  <c r="G16" i="112" s="1"/>
  <c r="F41" i="102"/>
  <c r="C23" i="109"/>
  <c r="G20" i="109" s="1"/>
  <c r="C30" i="109"/>
  <c r="K19" i="109" s="1"/>
  <c r="D25" i="110"/>
  <c r="H25" i="110" s="1"/>
  <c r="D31" i="110"/>
  <c r="J23" i="110" s="1"/>
  <c r="C22" i="106"/>
  <c r="B28" i="106" s="1"/>
  <c r="B38" i="106" s="1"/>
  <c r="D24" i="109"/>
  <c r="J17" i="109" s="1"/>
  <c r="D31" i="109"/>
  <c r="L20" i="109" s="1"/>
  <c r="C20" i="110"/>
  <c r="G20" i="110" s="1"/>
  <c r="C26" i="110"/>
  <c r="G26" i="110" s="1"/>
  <c r="C21" i="111"/>
  <c r="K17" i="111" s="1"/>
  <c r="K20" i="111" s="1"/>
  <c r="C19" i="112"/>
  <c r="I17" i="112" s="1"/>
  <c r="I20" i="112" s="1"/>
  <c r="A30" i="102"/>
  <c r="S32" i="102"/>
  <c r="J35" i="102"/>
  <c r="Y30" i="102"/>
  <c r="H33" i="102"/>
  <c r="R35" i="102"/>
  <c r="D25" i="109"/>
  <c r="J18" i="109" s="1"/>
  <c r="J23" i="109" s="1"/>
  <c r="P27" i="109" s="1"/>
  <c r="D20" i="110"/>
  <c r="H20" i="110" s="1"/>
  <c r="D27" i="110"/>
  <c r="H27" i="110" s="1"/>
  <c r="C16" i="111"/>
  <c r="G16" i="111" s="1"/>
  <c r="G20" i="111" s="1"/>
  <c r="C23" i="111"/>
  <c r="M17" i="111" s="1"/>
  <c r="C16" i="112"/>
  <c r="M16" i="112" s="1"/>
  <c r="M22" i="112" s="1"/>
  <c r="C21" i="112"/>
  <c r="K17" i="112" s="1"/>
  <c r="B35" i="102"/>
  <c r="AA32" i="102"/>
  <c r="F31" i="102"/>
  <c r="P33" i="102"/>
  <c r="Z35" i="102"/>
  <c r="C26" i="109"/>
  <c r="I19" i="109" s="1"/>
  <c r="D21" i="110"/>
  <c r="H21" i="110" s="1"/>
  <c r="C23" i="112"/>
  <c r="M17" i="112" s="1"/>
  <c r="B27" i="106"/>
  <c r="B33" i="108"/>
  <c r="B39" i="108" s="1"/>
  <c r="C39" i="108" s="1"/>
  <c r="I20" i="111"/>
  <c r="I19" i="111"/>
  <c r="K19" i="111"/>
  <c r="I19" i="112"/>
  <c r="G20" i="112"/>
  <c r="G19" i="112"/>
  <c r="J30" i="110"/>
  <c r="P30" i="110" s="1"/>
  <c r="J29" i="110"/>
  <c r="P29" i="110" s="1"/>
  <c r="J22" i="109"/>
  <c r="P23" i="109" s="1"/>
  <c r="G32" i="110"/>
  <c r="G33" i="110" s="1"/>
  <c r="P20" i="110" s="1"/>
  <c r="B36" i="108"/>
  <c r="C36" i="108" s="1"/>
  <c r="C24" i="109"/>
  <c r="I17" i="109" s="1"/>
  <c r="C27" i="109"/>
  <c r="I20" i="109" s="1"/>
  <c r="C29" i="109"/>
  <c r="K18" i="109" s="1"/>
  <c r="C24" i="110"/>
  <c r="G24" i="110" s="1"/>
  <c r="C27" i="110"/>
  <c r="G27" i="110" s="1"/>
  <c r="C29" i="110"/>
  <c r="I21" i="110" s="1"/>
  <c r="C30" i="110"/>
  <c r="I22" i="110" s="1"/>
  <c r="I32" i="110" s="1"/>
  <c r="I33" i="110" s="1"/>
  <c r="P21" i="110" s="1"/>
  <c r="C31" i="110"/>
  <c r="I23" i="110" s="1"/>
  <c r="C22" i="111"/>
  <c r="M16" i="111" s="1"/>
  <c r="C22" i="112"/>
  <c r="K16" i="112" s="1"/>
  <c r="B22" i="108"/>
  <c r="D22" i="111"/>
  <c r="N16" i="111" s="1"/>
  <c r="D22" i="112"/>
  <c r="L16" i="112" s="1"/>
  <c r="B37" i="108"/>
  <c r="C37" i="108" s="1"/>
  <c r="D22" i="108"/>
  <c r="C28" i="108" s="1"/>
  <c r="D20" i="109"/>
  <c r="H17" i="109" s="1"/>
  <c r="D21" i="109"/>
  <c r="H18" i="109" s="1"/>
  <c r="D30" i="109"/>
  <c r="L19" i="109" s="1"/>
  <c r="C22" i="110"/>
  <c r="G22" i="110" s="1"/>
  <c r="D23" i="110"/>
  <c r="H23" i="110" s="1"/>
  <c r="D26" i="110"/>
  <c r="H26" i="110" s="1"/>
  <c r="D17" i="111"/>
  <c r="H17" i="111" s="1"/>
  <c r="D19" i="111"/>
  <c r="J17" i="111" s="1"/>
  <c r="D17" i="112"/>
  <c r="H17" i="112" s="1"/>
  <c r="D19" i="112"/>
  <c r="J17" i="112" s="1"/>
  <c r="B27" i="108"/>
  <c r="C22" i="109"/>
  <c r="G19" i="109" s="1"/>
  <c r="G25" i="109" s="1"/>
  <c r="G26" i="109" s="1"/>
  <c r="P17" i="109" s="1"/>
  <c r="C25" i="109"/>
  <c r="I18" i="109" s="1"/>
  <c r="C28" i="109"/>
  <c r="K17" i="109" s="1"/>
  <c r="C21" i="110"/>
  <c r="G21" i="110" s="1"/>
  <c r="G30" i="110" s="1"/>
  <c r="O26" i="110" s="1"/>
  <c r="D22" i="110"/>
  <c r="H22" i="110" s="1"/>
  <c r="D20" i="111"/>
  <c r="L16" i="111" s="1"/>
  <c r="D20" i="112"/>
  <c r="J16" i="112" s="1"/>
  <c r="D16" i="111"/>
  <c r="H16" i="111" s="1"/>
  <c r="D18" i="111"/>
  <c r="J16" i="111" s="1"/>
  <c r="D21" i="111"/>
  <c r="L17" i="111" s="1"/>
  <c r="D16" i="112"/>
  <c r="N16" i="112" s="1"/>
  <c r="D18" i="112"/>
  <c r="H16" i="112" s="1"/>
  <c r="D21" i="112"/>
  <c r="L17" i="112" s="1"/>
  <c r="D24" i="103"/>
  <c r="T24" i="103"/>
  <c r="D26" i="103"/>
  <c r="H27" i="103"/>
  <c r="A23" i="103"/>
  <c r="M24" i="103"/>
  <c r="Q25" i="103"/>
  <c r="I27" i="103"/>
  <c r="B23" i="103"/>
  <c r="J23" i="103"/>
  <c r="R23" i="103"/>
  <c r="F24" i="103"/>
  <c r="N24" i="103"/>
  <c r="B25" i="103"/>
  <c r="J25" i="103"/>
  <c r="R25" i="103"/>
  <c r="F26" i="103"/>
  <c r="N26" i="103"/>
  <c r="B27" i="103"/>
  <c r="J27" i="103"/>
  <c r="R27" i="103"/>
  <c r="E23" i="103"/>
  <c r="M23" i="103"/>
  <c r="A24" i="103"/>
  <c r="I24" i="103"/>
  <c r="Q24" i="103"/>
  <c r="E25" i="103"/>
  <c r="M25" i="103"/>
  <c r="A26" i="103"/>
  <c r="I26" i="103"/>
  <c r="Q26" i="103"/>
  <c r="E27" i="103"/>
  <c r="M27" i="103"/>
  <c r="H23" i="103"/>
  <c r="L24" i="103"/>
  <c r="P25" i="103"/>
  <c r="L26" i="103"/>
  <c r="P27" i="103"/>
  <c r="Q23" i="103"/>
  <c r="E24" i="103"/>
  <c r="I25" i="103"/>
  <c r="E26" i="103"/>
  <c r="A27" i="103"/>
  <c r="Q27" i="103"/>
  <c r="C23" i="103"/>
  <c r="K23" i="103"/>
  <c r="S23" i="103"/>
  <c r="G24" i="103"/>
  <c r="O24" i="103"/>
  <c r="C25" i="103"/>
  <c r="K25" i="103"/>
  <c r="S25" i="103"/>
  <c r="G26" i="103"/>
  <c r="O26" i="103"/>
  <c r="C27" i="103"/>
  <c r="K27" i="103"/>
  <c r="S27" i="103"/>
  <c r="F23" i="103"/>
  <c r="N23" i="103"/>
  <c r="B24" i="103"/>
  <c r="J24" i="103"/>
  <c r="R24" i="103"/>
  <c r="F25" i="103"/>
  <c r="N25" i="103"/>
  <c r="B26" i="103"/>
  <c r="J26" i="103"/>
  <c r="R26" i="103"/>
  <c r="F27" i="103"/>
  <c r="N27" i="103"/>
  <c r="G23" i="103"/>
  <c r="O23" i="103"/>
  <c r="C24" i="103"/>
  <c r="K24" i="103"/>
  <c r="S24" i="103"/>
  <c r="G25" i="103"/>
  <c r="O25" i="103"/>
  <c r="C26" i="103"/>
  <c r="K26" i="103"/>
  <c r="S26" i="103"/>
  <c r="G27" i="103"/>
  <c r="O27" i="103"/>
  <c r="P23" i="103"/>
  <c r="H25" i="103"/>
  <c r="T26" i="103"/>
  <c r="I23" i="103"/>
  <c r="A25" i="103"/>
  <c r="M26" i="103"/>
  <c r="D23" i="103"/>
  <c r="L23" i="103"/>
  <c r="T23" i="103"/>
  <c r="H24" i="103"/>
  <c r="P24" i="103"/>
  <c r="D25" i="103"/>
  <c r="L25" i="103"/>
  <c r="T25" i="103"/>
  <c r="H26" i="103"/>
  <c r="P26" i="103"/>
  <c r="D27" i="103"/>
  <c r="L27" i="103"/>
  <c r="B30" i="102"/>
  <c r="G31" i="102"/>
  <c r="T32" i="102"/>
  <c r="Y33" i="102"/>
  <c r="C35" i="102"/>
  <c r="C39" i="102"/>
  <c r="S30" i="102"/>
  <c r="M32" i="102"/>
  <c r="G30" i="102"/>
  <c r="O30" i="102"/>
  <c r="W30" i="102"/>
  <c r="D31" i="102"/>
  <c r="L31" i="102"/>
  <c r="T31" i="102"/>
  <c r="A32" i="102"/>
  <c r="I32" i="102"/>
  <c r="Q32" i="102"/>
  <c r="Y32" i="102"/>
  <c r="F33" i="102"/>
  <c r="N33" i="102"/>
  <c r="V33" i="102"/>
  <c r="C34" i="102"/>
  <c r="K34" i="102"/>
  <c r="S34" i="102"/>
  <c r="AA34" i="102"/>
  <c r="H35" i="102"/>
  <c r="P35" i="102"/>
  <c r="X35" i="102"/>
  <c r="D37" i="102"/>
  <c r="F38" i="102"/>
  <c r="B40" i="102"/>
  <c r="D41" i="102"/>
  <c r="F42" i="102"/>
  <c r="H30" i="102"/>
  <c r="P30" i="102"/>
  <c r="X30" i="102"/>
  <c r="E31" i="102"/>
  <c r="M31" i="102"/>
  <c r="U31" i="102"/>
  <c r="B32" i="102"/>
  <c r="J32" i="102"/>
  <c r="R32" i="102"/>
  <c r="Z32" i="102"/>
  <c r="G33" i="102"/>
  <c r="O33" i="102"/>
  <c r="W33" i="102"/>
  <c r="D34" i="102"/>
  <c r="L34" i="102"/>
  <c r="T34" i="102"/>
  <c r="A35" i="102"/>
  <c r="I35" i="102"/>
  <c r="Q35" i="102"/>
  <c r="Y35" i="102"/>
  <c r="E37" i="102"/>
  <c r="A39" i="102"/>
  <c r="C40" i="102"/>
  <c r="E41" i="102"/>
  <c r="B38" i="102"/>
  <c r="D39" i="102"/>
  <c r="F40" i="102"/>
  <c r="B42" i="102"/>
  <c r="R30" i="102"/>
  <c r="O31" i="102"/>
  <c r="L32" i="102"/>
  <c r="Q33" i="102"/>
  <c r="V34" i="102"/>
  <c r="S35" i="102"/>
  <c r="E40" i="102"/>
  <c r="C30" i="102"/>
  <c r="H31" i="102"/>
  <c r="U32" i="102"/>
  <c r="G34" i="102"/>
  <c r="L30" i="102"/>
  <c r="N32" i="102"/>
  <c r="K33" i="102"/>
  <c r="P34" i="102"/>
  <c r="A37" i="102"/>
  <c r="J30" i="102"/>
  <c r="W31" i="102"/>
  <c r="A33" i="102"/>
  <c r="F34" i="102"/>
  <c r="K35" i="102"/>
  <c r="A38" i="102"/>
  <c r="A42" i="102"/>
  <c r="AA30" i="102"/>
  <c r="X31" i="102"/>
  <c r="B33" i="102"/>
  <c r="R33" i="102"/>
  <c r="O34" i="102"/>
  <c r="D35" i="102"/>
  <c r="T35" i="102"/>
  <c r="D30" i="102"/>
  <c r="A31" i="102"/>
  <c r="Q31" i="102"/>
  <c r="F32" i="102"/>
  <c r="C33" i="102"/>
  <c r="AA33" i="102"/>
  <c r="X34" i="102"/>
  <c r="M35" i="102"/>
  <c r="E39" i="102"/>
  <c r="C42" i="102"/>
  <c r="E30" i="102"/>
  <c r="M30" i="102"/>
  <c r="U30" i="102"/>
  <c r="B31" i="102"/>
  <c r="J31" i="102"/>
  <c r="R31" i="102"/>
  <c r="Z31" i="102"/>
  <c r="G32" i="102"/>
  <c r="O32" i="102"/>
  <c r="W32" i="102"/>
  <c r="D33" i="102"/>
  <c r="L33" i="102"/>
  <c r="T33" i="102"/>
  <c r="A34" i="102"/>
  <c r="I34" i="102"/>
  <c r="Q34" i="102"/>
  <c r="Y34" i="102"/>
  <c r="F35" i="102"/>
  <c r="N35" i="102"/>
  <c r="V35" i="102"/>
  <c r="B37" i="102"/>
  <c r="D38" i="102"/>
  <c r="F39" i="102"/>
  <c r="B41" i="102"/>
  <c r="D42" i="102"/>
  <c r="Z30" i="102"/>
  <c r="D32" i="102"/>
  <c r="I33" i="102"/>
  <c r="N34" i="102"/>
  <c r="AA35" i="102"/>
  <c r="K30" i="102"/>
  <c r="P31" i="102"/>
  <c r="E32" i="102"/>
  <c r="J33" i="102"/>
  <c r="Z33" i="102"/>
  <c r="W34" i="102"/>
  <c r="L35" i="102"/>
  <c r="T30" i="102"/>
  <c r="I31" i="102"/>
  <c r="Y31" i="102"/>
  <c r="V32" i="102"/>
  <c r="S33" i="102"/>
  <c r="H34" i="102"/>
  <c r="E35" i="102"/>
  <c r="U35" i="102"/>
  <c r="C38" i="102"/>
  <c r="A41" i="102"/>
  <c r="F30" i="102"/>
  <c r="N30" i="102"/>
  <c r="V30" i="102"/>
  <c r="C31" i="102"/>
  <c r="K31" i="102"/>
  <c r="S31" i="102"/>
  <c r="AA31" i="102"/>
  <c r="H32" i="102"/>
  <c r="P32" i="102"/>
  <c r="X32" i="102"/>
  <c r="E33" i="102"/>
  <c r="M33" i="102"/>
  <c r="U33" i="102"/>
  <c r="B34" i="102"/>
  <c r="J34" i="102"/>
  <c r="R34" i="102"/>
  <c r="Z34" i="102"/>
  <c r="G35" i="102"/>
  <c r="O35" i="102"/>
  <c r="C37" i="102"/>
  <c r="E38" i="102"/>
  <c r="A40" i="102"/>
  <c r="C41" i="102"/>
  <c r="D13" i="101"/>
  <c r="C13" i="101"/>
  <c r="D8" i="100"/>
  <c r="E8" i="100" s="1"/>
  <c r="D7" i="100"/>
  <c r="E7" i="100" s="1"/>
  <c r="D6" i="100"/>
  <c r="E6" i="100" s="1"/>
  <c r="D5" i="100"/>
  <c r="E5" i="100" s="1"/>
  <c r="H30" i="110" l="1"/>
  <c r="P26" i="110" s="1"/>
  <c r="M19" i="112"/>
  <c r="M20" i="112"/>
  <c r="G22" i="111"/>
  <c r="G19" i="111"/>
  <c r="I30" i="110"/>
  <c r="O30" i="110" s="1"/>
  <c r="L23" i="109"/>
  <c r="P28" i="109" s="1"/>
  <c r="N20" i="111"/>
  <c r="N19" i="111"/>
  <c r="J19" i="112"/>
  <c r="J20" i="112"/>
  <c r="L22" i="109"/>
  <c r="P24" i="109" s="1"/>
  <c r="K22" i="112"/>
  <c r="K20" i="112"/>
  <c r="K19" i="112"/>
  <c r="I22" i="112"/>
  <c r="I29" i="110"/>
  <c r="O29" i="110" s="1"/>
  <c r="L20" i="111"/>
  <c r="L19" i="111"/>
  <c r="M22" i="111"/>
  <c r="M20" i="111"/>
  <c r="M19" i="111"/>
  <c r="I25" i="109"/>
  <c r="I26" i="109" s="1"/>
  <c r="P18" i="109" s="1"/>
  <c r="I23" i="109"/>
  <c r="O27" i="109" s="1"/>
  <c r="I22" i="109"/>
  <c r="O23" i="109" s="1"/>
  <c r="H29" i="110"/>
  <c r="P25" i="110" s="1"/>
  <c r="G22" i="109"/>
  <c r="O22" i="109" s="1"/>
  <c r="H20" i="111"/>
  <c r="H19" i="111"/>
  <c r="H22" i="109"/>
  <c r="P22" i="109" s="1"/>
  <c r="H23" i="109"/>
  <c r="P26" i="109" s="1"/>
  <c r="J19" i="111"/>
  <c r="J20" i="111"/>
  <c r="H20" i="112"/>
  <c r="H19" i="112"/>
  <c r="G29" i="110"/>
  <c r="O25" i="110" s="1"/>
  <c r="G22" i="112"/>
  <c r="K22" i="111"/>
  <c r="L20" i="112"/>
  <c r="L19" i="112"/>
  <c r="I22" i="111"/>
  <c r="N20" i="112"/>
  <c r="N19" i="112"/>
  <c r="K22" i="109"/>
  <c r="O24" i="109" s="1"/>
  <c r="K23" i="109"/>
  <c r="O28" i="109" s="1"/>
  <c r="K25" i="109"/>
  <c r="K26" i="109" s="1"/>
  <c r="P19" i="109" s="1"/>
  <c r="A29" i="103" a="1"/>
  <c r="A44" i="102" a="1"/>
  <c r="E11" i="100"/>
  <c r="C33" i="103" l="1"/>
  <c r="E31" i="103"/>
  <c r="B30" i="103"/>
  <c r="A31" i="103"/>
  <c r="C32" i="103"/>
  <c r="E30" i="103"/>
  <c r="B29" i="103"/>
  <c r="E33" i="103"/>
  <c r="B32" i="103"/>
  <c r="D30" i="103"/>
  <c r="A29" i="103"/>
  <c r="D33" i="103"/>
  <c r="A32" i="103"/>
  <c r="C30" i="103"/>
  <c r="B33" i="103"/>
  <c r="D31" i="103"/>
  <c r="A30" i="103"/>
  <c r="B31" i="103"/>
  <c r="D32" i="103"/>
  <c r="A33" i="103"/>
  <c r="C31" i="103"/>
  <c r="E29" i="103"/>
  <c r="E32" i="103"/>
  <c r="D29" i="103"/>
  <c r="C29" i="103"/>
  <c r="A49" i="102"/>
  <c r="E47" i="102"/>
  <c r="C46" i="102"/>
  <c r="A45" i="102"/>
  <c r="C47" i="102"/>
  <c r="E44" i="102"/>
  <c r="C48" i="102"/>
  <c r="F48" i="102"/>
  <c r="D47" i="102"/>
  <c r="B46" i="102"/>
  <c r="F44" i="102"/>
  <c r="E48" i="102"/>
  <c r="A46" i="102"/>
  <c r="A47" i="102"/>
  <c r="E49" i="102"/>
  <c r="C44" i="102"/>
  <c r="F49" i="102"/>
  <c r="D48" i="102"/>
  <c r="B47" i="102"/>
  <c r="F45" i="102"/>
  <c r="D44" i="102"/>
  <c r="C49" i="102"/>
  <c r="A48" i="102"/>
  <c r="E46" i="102"/>
  <c r="C45" i="102"/>
  <c r="A44" i="102"/>
  <c r="B49" i="102"/>
  <c r="F47" i="102"/>
  <c r="D46" i="102"/>
  <c r="B45" i="102"/>
  <c r="E45" i="102"/>
  <c r="B48" i="102"/>
  <c r="F46" i="102"/>
  <c r="D45" i="102"/>
  <c r="B44" i="102"/>
  <c r="D49" i="102"/>
  <c r="G27" i="44" a="1"/>
  <c r="G27" i="44" s="1"/>
  <c r="G8" i="44" a="1"/>
  <c r="G8" i="44" s="1"/>
  <c r="A35" i="103" l="1" a="1"/>
  <c r="A51" i="102" a="1"/>
  <c r="H27" i="44"/>
  <c r="I9" i="44"/>
  <c r="I8" i="44"/>
  <c r="H8" i="44"/>
  <c r="J9" i="44"/>
  <c r="J8" i="44"/>
  <c r="H9" i="44"/>
  <c r="G9" i="44"/>
  <c r="A39" i="103" l="1"/>
  <c r="C37" i="103"/>
  <c r="E35" i="103"/>
  <c r="B35" i="103"/>
  <c r="D36" i="103"/>
  <c r="D39" i="103"/>
  <c r="C36" i="103"/>
  <c r="C39" i="103"/>
  <c r="E37" i="103"/>
  <c r="B36" i="103"/>
  <c r="B39" i="103"/>
  <c r="D37" i="103"/>
  <c r="A36" i="103"/>
  <c r="E38" i="103"/>
  <c r="B37" i="103"/>
  <c r="D35" i="103"/>
  <c r="E36" i="103"/>
  <c r="E39" i="103"/>
  <c r="A38" i="103"/>
  <c r="D38" i="103"/>
  <c r="A37" i="103"/>
  <c r="C35" i="103"/>
  <c r="C38" i="103"/>
  <c r="B38" i="103"/>
  <c r="A35" i="103"/>
  <c r="AA56" i="102"/>
  <c r="S56" i="102"/>
  <c r="K56" i="102"/>
  <c r="C56" i="102"/>
  <c r="V55" i="102"/>
  <c r="N55" i="102"/>
  <c r="F55" i="102"/>
  <c r="Y54" i="102"/>
  <c r="Q54" i="102"/>
  <c r="I54" i="102"/>
  <c r="A54" i="102"/>
  <c r="T53" i="102"/>
  <c r="L53" i="102"/>
  <c r="D53" i="102"/>
  <c r="W52" i="102"/>
  <c r="O52" i="102"/>
  <c r="G52" i="102"/>
  <c r="Z51" i="102"/>
  <c r="R51" i="102"/>
  <c r="J51" i="102"/>
  <c r="B51" i="102"/>
  <c r="G56" i="102"/>
  <c r="B55" i="102"/>
  <c r="P53" i="102"/>
  <c r="V51" i="102"/>
  <c r="N56" i="102"/>
  <c r="Q55" i="102"/>
  <c r="Z56" i="102"/>
  <c r="R56" i="102"/>
  <c r="J56" i="102"/>
  <c r="B56" i="102"/>
  <c r="U55" i="102"/>
  <c r="M55" i="102"/>
  <c r="E55" i="102"/>
  <c r="X54" i="102"/>
  <c r="P54" i="102"/>
  <c r="H54" i="102"/>
  <c r="AA53" i="102"/>
  <c r="S53" i="102"/>
  <c r="K53" i="102"/>
  <c r="C53" i="102"/>
  <c r="V52" i="102"/>
  <c r="N52" i="102"/>
  <c r="F52" i="102"/>
  <c r="Y51" i="102"/>
  <c r="Q51" i="102"/>
  <c r="I51" i="102"/>
  <c r="A51" i="102"/>
  <c r="W56" i="102"/>
  <c r="J55" i="102"/>
  <c r="E54" i="102"/>
  <c r="H53" i="102"/>
  <c r="K52" i="102"/>
  <c r="F51" i="102"/>
  <c r="Y55" i="102"/>
  <c r="Y56" i="102"/>
  <c r="Q56" i="102"/>
  <c r="I56" i="102"/>
  <c r="A56" i="102"/>
  <c r="T55" i="102"/>
  <c r="L55" i="102"/>
  <c r="D55" i="102"/>
  <c r="W54" i="102"/>
  <c r="O54" i="102"/>
  <c r="G54" i="102"/>
  <c r="Z53" i="102"/>
  <c r="R53" i="102"/>
  <c r="J53" i="102"/>
  <c r="B53" i="102"/>
  <c r="U52" i="102"/>
  <c r="M52" i="102"/>
  <c r="E52" i="102"/>
  <c r="X51" i="102"/>
  <c r="P51" i="102"/>
  <c r="H51" i="102"/>
  <c r="Z55" i="102"/>
  <c r="R55" i="102"/>
  <c r="M54" i="102"/>
  <c r="AA52" i="102"/>
  <c r="C52" i="102"/>
  <c r="F56" i="102"/>
  <c r="X56" i="102"/>
  <c r="P56" i="102"/>
  <c r="H56" i="102"/>
  <c r="AA55" i="102"/>
  <c r="S55" i="102"/>
  <c r="K55" i="102"/>
  <c r="C55" i="102"/>
  <c r="V54" i="102"/>
  <c r="N54" i="102"/>
  <c r="F54" i="102"/>
  <c r="Y53" i="102"/>
  <c r="Q53" i="102"/>
  <c r="I53" i="102"/>
  <c r="A53" i="102"/>
  <c r="T52" i="102"/>
  <c r="L52" i="102"/>
  <c r="D52" i="102"/>
  <c r="W51" i="102"/>
  <c r="O51" i="102"/>
  <c r="G51" i="102"/>
  <c r="U56" i="102"/>
  <c r="M56" i="102"/>
  <c r="E56" i="102"/>
  <c r="X55" i="102"/>
  <c r="P55" i="102"/>
  <c r="H55" i="102"/>
  <c r="AA54" i="102"/>
  <c r="S54" i="102"/>
  <c r="K54" i="102"/>
  <c r="C54" i="102"/>
  <c r="V53" i="102"/>
  <c r="N53" i="102"/>
  <c r="F53" i="102"/>
  <c r="Y52" i="102"/>
  <c r="Q52" i="102"/>
  <c r="I52" i="102"/>
  <c r="A52" i="102"/>
  <c r="T51" i="102"/>
  <c r="L51" i="102"/>
  <c r="D51" i="102"/>
  <c r="T56" i="102"/>
  <c r="L56" i="102"/>
  <c r="D56" i="102"/>
  <c r="W55" i="102"/>
  <c r="O55" i="102"/>
  <c r="G55" i="102"/>
  <c r="Z54" i="102"/>
  <c r="R54" i="102"/>
  <c r="J54" i="102"/>
  <c r="B54" i="102"/>
  <c r="U53" i="102"/>
  <c r="M53" i="102"/>
  <c r="E53" i="102"/>
  <c r="X52" i="102"/>
  <c r="P52" i="102"/>
  <c r="H52" i="102"/>
  <c r="AA51" i="102"/>
  <c r="S51" i="102"/>
  <c r="K51" i="102"/>
  <c r="C51" i="102"/>
  <c r="O56" i="102"/>
  <c r="U54" i="102"/>
  <c r="X53" i="102"/>
  <c r="S52" i="102"/>
  <c r="N51" i="102"/>
  <c r="V56" i="102"/>
  <c r="I55" i="102"/>
  <c r="Z52" i="102"/>
  <c r="A55" i="102"/>
  <c r="R52" i="102"/>
  <c r="U51" i="102"/>
  <c r="E51" i="102"/>
  <c r="W53" i="102"/>
  <c r="T54" i="102"/>
  <c r="J52" i="102"/>
  <c r="D54" i="102"/>
  <c r="M51" i="102"/>
  <c r="G53" i="102"/>
  <c r="L54" i="102"/>
  <c r="B52" i="102"/>
  <c r="O53" i="102"/>
  <c r="G12" i="44" a="1"/>
  <c r="H12" i="44" s="1"/>
  <c r="N40" i="102" l="1" a="1"/>
  <c r="N45" i="102" s="1"/>
  <c r="G13" i="44"/>
  <c r="H13" i="44"/>
  <c r="G12" i="44"/>
  <c r="G16" i="44" s="1" a="1"/>
  <c r="E6" i="10"/>
  <c r="D5" i="1"/>
  <c r="E5" i="1" s="1"/>
  <c r="N43" i="102" l="1"/>
  <c r="N44" i="102"/>
  <c r="N40" i="102"/>
  <c r="N42" i="102"/>
  <c r="N41" i="102"/>
  <c r="H16" i="44"/>
  <c r="G16" i="44"/>
  <c r="H17" i="44"/>
  <c r="G17" i="44"/>
  <c r="G20" i="44" l="1" a="1"/>
  <c r="J20" i="44" s="1"/>
  <c r="I21" i="44" l="1"/>
  <c r="G20" i="44"/>
  <c r="H21" i="44"/>
  <c r="H20" i="44"/>
  <c r="J21" i="44"/>
  <c r="I20" i="44"/>
  <c r="G21" i="44"/>
  <c r="G24" i="44" a="1"/>
  <c r="G25" i="44" l="1"/>
  <c r="G24" i="44"/>
  <c r="D7" i="17" l="1"/>
  <c r="D2" i="17"/>
  <c r="B8" i="84" l="1" a="1"/>
  <c r="B8" i="84" s="1"/>
  <c r="C10" i="84" l="1"/>
  <c r="B9" i="84"/>
  <c r="B10" i="84"/>
  <c r="D8" i="84"/>
  <c r="D9" i="84"/>
  <c r="C8" i="84"/>
  <c r="D10" i="84"/>
  <c r="C9" i="84"/>
  <c r="F2" i="84" l="1" a="1"/>
  <c r="F3" i="84" s="1"/>
  <c r="F2" i="84" l="1"/>
  <c r="G3" i="84"/>
  <c r="H2" i="84"/>
  <c r="H4" i="84"/>
  <c r="F4" i="84"/>
  <c r="G4" i="84"/>
  <c r="G2" i="84"/>
  <c r="H3" i="84"/>
  <c r="O2" i="22" l="1" a="1"/>
  <c r="P2" i="22" s="1"/>
  <c r="O7" i="22" a="1"/>
  <c r="O7" i="22" s="1"/>
  <c r="F6" i="10"/>
  <c r="O2" i="22" l="1"/>
  <c r="Q2" i="22"/>
  <c r="P8" i="22"/>
  <c r="P7" i="22"/>
  <c r="O8" i="22"/>
  <c r="R8" i="22"/>
  <c r="R7" i="22"/>
  <c r="Q8" i="22"/>
  <c r="Q7" i="22"/>
  <c r="F7" i="56" l="1"/>
  <c r="G7" i="56" s="1"/>
  <c r="F8" i="56"/>
  <c r="G8" i="56" s="1"/>
  <c r="F9" i="56"/>
  <c r="G9" i="56" s="1"/>
  <c r="F6" i="56"/>
  <c r="G6" i="56" s="1"/>
  <c r="G11" i="56" l="1"/>
  <c r="A25" i="49" l="1"/>
  <c r="A24" i="49"/>
  <c r="A23" i="49"/>
  <c r="A22" i="49"/>
  <c r="A21" i="49"/>
  <c r="A20" i="49"/>
  <c r="A19" i="49"/>
  <c r="A18" i="49"/>
  <c r="A17" i="49"/>
  <c r="A16" i="49"/>
  <c r="A15" i="49"/>
  <c r="A14" i="49"/>
  <c r="A13" i="49"/>
  <c r="F4" i="48" l="1"/>
  <c r="F5" i="48"/>
  <c r="G5" i="48" s="1"/>
  <c r="F6" i="48"/>
  <c r="F7" i="48"/>
  <c r="G7" i="48" s="1"/>
  <c r="F8" i="48"/>
  <c r="F9" i="48"/>
  <c r="G9" i="48" s="1"/>
  <c r="F10" i="48"/>
  <c r="F11" i="48"/>
  <c r="F12" i="48"/>
  <c r="F13" i="48"/>
  <c r="G13" i="48" s="1"/>
  <c r="F14" i="48"/>
  <c r="G14" i="48" s="1"/>
  <c r="F15" i="48"/>
  <c r="F16" i="48"/>
  <c r="G16" i="48" s="1"/>
  <c r="F17" i="48"/>
  <c r="G17" i="48" s="1"/>
  <c r="F18" i="48"/>
  <c r="F19" i="48"/>
  <c r="G19" i="48" s="1"/>
  <c r="F20" i="48"/>
  <c r="F21" i="48"/>
  <c r="G21" i="48" s="1"/>
  <c r="F22" i="48"/>
  <c r="F3" i="48"/>
  <c r="G3" i="48" s="1"/>
  <c r="G15" i="48" l="1"/>
  <c r="H15" i="48" s="1"/>
  <c r="I15" i="48" s="1"/>
  <c r="J15" i="48" s="1"/>
  <c r="G11" i="48"/>
  <c r="H11" i="48" s="1"/>
  <c r="I11" i="48" s="1"/>
  <c r="J11" i="48" s="1"/>
  <c r="G22" i="48"/>
  <c r="H22" i="48" s="1"/>
  <c r="I22" i="48" s="1"/>
  <c r="J22" i="48" s="1"/>
  <c r="G18" i="48"/>
  <c r="H18" i="48" s="1"/>
  <c r="I18" i="48" s="1"/>
  <c r="J18" i="48" s="1"/>
  <c r="G10" i="48"/>
  <c r="H10" i="48" s="1"/>
  <c r="I10" i="48" s="1"/>
  <c r="J10" i="48" s="1"/>
  <c r="G6" i="48"/>
  <c r="H6" i="48" s="1"/>
  <c r="I6" i="48" s="1"/>
  <c r="J6" i="48" s="1"/>
  <c r="H3" i="48"/>
  <c r="I3" i="48" s="1"/>
  <c r="J3" i="48" s="1"/>
  <c r="G20" i="48"/>
  <c r="H20" i="48" s="1"/>
  <c r="I20" i="48" s="1"/>
  <c r="J20" i="48" s="1"/>
  <c r="G12" i="48"/>
  <c r="H12" i="48" s="1"/>
  <c r="I12" i="48" s="1"/>
  <c r="J12" i="48" s="1"/>
  <c r="G8" i="48"/>
  <c r="H8" i="48" s="1"/>
  <c r="I8" i="48" s="1"/>
  <c r="J8" i="48" s="1"/>
  <c r="G4" i="48"/>
  <c r="H4" i="48" s="1"/>
  <c r="I4" i="48" s="1"/>
  <c r="J4" i="48" s="1"/>
  <c r="I19" i="48"/>
  <c r="J19" i="48" s="1"/>
  <c r="H19" i="48"/>
  <c r="I7" i="48"/>
  <c r="J7" i="48" s="1"/>
  <c r="H7" i="48"/>
  <c r="I14" i="48"/>
  <c r="J14" i="48" s="1"/>
  <c r="H14" i="48"/>
  <c r="I21" i="48"/>
  <c r="J21" i="48" s="1"/>
  <c r="H21" i="48"/>
  <c r="I17" i="48"/>
  <c r="J17" i="48" s="1"/>
  <c r="H17" i="48"/>
  <c r="I13" i="48"/>
  <c r="J13" i="48" s="1"/>
  <c r="H13" i="48"/>
  <c r="I9" i="48"/>
  <c r="J9" i="48" s="1"/>
  <c r="H9" i="48"/>
  <c r="I5" i="48"/>
  <c r="J5" i="48" s="1"/>
  <c r="H5" i="48"/>
  <c r="I16" i="48"/>
  <c r="J16" i="48" s="1"/>
  <c r="H16" i="48"/>
  <c r="J24" i="48" l="1"/>
  <c r="B32" i="22" l="1" a="1"/>
  <c r="B32" i="22" s="1"/>
  <c r="B27" i="44" a="1"/>
  <c r="B27" i="44" s="1"/>
  <c r="D32" i="22" l="1"/>
  <c r="C27" i="44"/>
  <c r="C32" i="22"/>
  <c r="B8" i="44" a="1"/>
  <c r="C9" i="44" s="1"/>
  <c r="D9" i="44" l="1"/>
  <c r="D8" i="44"/>
  <c r="E8" i="44"/>
  <c r="E9" i="44"/>
  <c r="B8" i="44"/>
  <c r="B9" i="44"/>
  <c r="C8" i="44"/>
  <c r="B8" i="22" a="1"/>
  <c r="C8" i="22" s="1"/>
  <c r="B12" i="44" l="1" a="1"/>
  <c r="B10" i="22"/>
  <c r="B9" i="22"/>
  <c r="B8" i="22"/>
  <c r="E10" i="22"/>
  <c r="E9" i="22"/>
  <c r="E8" i="22"/>
  <c r="D10" i="22"/>
  <c r="D9" i="22"/>
  <c r="D8" i="22"/>
  <c r="C10" i="22"/>
  <c r="C9" i="22"/>
  <c r="O12" i="22" l="1" a="1"/>
  <c r="O13" i="22" s="1"/>
  <c r="B12" i="44"/>
  <c r="C13" i="44"/>
  <c r="B13" i="44"/>
  <c r="C12" i="44"/>
  <c r="Q12" i="22" l="1"/>
  <c r="P12" i="22"/>
  <c r="Q14" i="22"/>
  <c r="O12" i="22"/>
  <c r="O14" i="22"/>
  <c r="Q13" i="22"/>
  <c r="P13" i="22"/>
  <c r="P14" i="22"/>
  <c r="B16" i="44" a="1"/>
  <c r="O18" i="22" l="1" a="1"/>
  <c r="P18" i="22" s="1"/>
  <c r="C17" i="44"/>
  <c r="B17" i="44"/>
  <c r="C16" i="44"/>
  <c r="B16" i="44"/>
  <c r="Q19" i="22" l="1"/>
  <c r="Q18" i="22"/>
  <c r="O19" i="22"/>
  <c r="P19" i="22"/>
  <c r="Q20" i="22"/>
  <c r="O18" i="22"/>
  <c r="P20" i="22"/>
  <c r="O20" i="22"/>
  <c r="B20" i="44" a="1"/>
  <c r="D21" i="44" s="1"/>
  <c r="B13" i="22" a="1"/>
  <c r="C13" i="22" s="1"/>
  <c r="C20" i="44" l="1"/>
  <c r="E20" i="44"/>
  <c r="E21" i="44"/>
  <c r="C21" i="44"/>
  <c r="B20" i="44"/>
  <c r="D20" i="44"/>
  <c r="B21" i="44"/>
  <c r="D15" i="22"/>
  <c r="B15" i="22"/>
  <c r="B13" i="22"/>
  <c r="B14" i="22"/>
  <c r="C15" i="22"/>
  <c r="D14" i="22"/>
  <c r="C14" i="22"/>
  <c r="D13" i="22"/>
  <c r="G11" i="17"/>
  <c r="G12" i="17" s="1"/>
  <c r="C12" i="17"/>
  <c r="C23" i="17" s="1"/>
  <c r="B12" i="17"/>
  <c r="B23" i="17" s="1"/>
  <c r="J8" i="17"/>
  <c r="I8" i="17"/>
  <c r="J7" i="17"/>
  <c r="I7" i="17"/>
  <c r="D5" i="17"/>
  <c r="D4" i="17"/>
  <c r="D3" i="17"/>
  <c r="G11" i="16"/>
  <c r="H8" i="16"/>
  <c r="G8" i="16"/>
  <c r="D8" i="16"/>
  <c r="C8" i="16"/>
  <c r="H7" i="16"/>
  <c r="G7" i="16"/>
  <c r="D7" i="16"/>
  <c r="C7" i="16"/>
  <c r="L6" i="16"/>
  <c r="K6" i="16"/>
  <c r="L5" i="16"/>
  <c r="K5" i="16"/>
  <c r="L4" i="16"/>
  <c r="K4" i="16"/>
  <c r="L3" i="16"/>
  <c r="K3" i="16"/>
  <c r="K7" i="16" l="1"/>
  <c r="C10" i="16"/>
  <c r="I13" i="17"/>
  <c r="B22" i="17"/>
  <c r="J13" i="17"/>
  <c r="C22" i="17"/>
  <c r="E8" i="17"/>
  <c r="C8" i="17"/>
  <c r="B8" i="17"/>
  <c r="B24" i="44" a="1"/>
  <c r="B25" i="44" s="1"/>
  <c r="D12" i="16"/>
  <c r="I10" i="17"/>
  <c r="J10" i="17"/>
  <c r="B18" i="22" a="1"/>
  <c r="L7" i="16"/>
  <c r="C12" i="16"/>
  <c r="D13" i="16"/>
  <c r="I11" i="17"/>
  <c r="I12" i="17"/>
  <c r="J11" i="17"/>
  <c r="J12" i="17"/>
  <c r="B13" i="17"/>
  <c r="C13" i="17"/>
  <c r="D10" i="16"/>
  <c r="C11" i="16"/>
  <c r="D11" i="16"/>
  <c r="C13" i="16"/>
  <c r="G31" i="15"/>
  <c r="B34" i="15" s="1"/>
  <c r="F34" i="15"/>
  <c r="E34" i="15"/>
  <c r="D34" i="15"/>
  <c r="C34" i="15"/>
  <c r="G3" i="15"/>
  <c r="H3" i="15" s="1"/>
  <c r="G4" i="15"/>
  <c r="H4" i="15" s="1"/>
  <c r="G5" i="15"/>
  <c r="H5" i="15" s="1"/>
  <c r="G6" i="15"/>
  <c r="H6" i="15" s="1"/>
  <c r="G7" i="15"/>
  <c r="H7" i="15" s="1"/>
  <c r="G8" i="15"/>
  <c r="H8" i="15" s="1"/>
  <c r="G9" i="15"/>
  <c r="H9" i="15" s="1"/>
  <c r="G10" i="15"/>
  <c r="H10" i="15" s="1"/>
  <c r="G11" i="15"/>
  <c r="H11" i="15" s="1"/>
  <c r="G12" i="15"/>
  <c r="H12" i="15" s="1"/>
  <c r="V12" i="15"/>
  <c r="J12" i="15"/>
  <c r="K12" i="15" s="1"/>
  <c r="U12" i="15" s="1"/>
  <c r="V11" i="15"/>
  <c r="J11" i="15"/>
  <c r="K11" i="15" s="1"/>
  <c r="U11" i="15" s="1"/>
  <c r="O11" i="15"/>
  <c r="N11" i="15"/>
  <c r="V10" i="15"/>
  <c r="J10" i="15"/>
  <c r="K10" i="15" s="1"/>
  <c r="U10" i="15" s="1"/>
  <c r="N7" i="15"/>
  <c r="O7" i="15"/>
  <c r="R6" i="15" s="1"/>
  <c r="N3" i="15"/>
  <c r="O3" i="15"/>
  <c r="O10" i="15"/>
  <c r="N10" i="15"/>
  <c r="V9" i="15"/>
  <c r="J9" i="15"/>
  <c r="K9" i="15" s="1"/>
  <c r="U9" i="15" s="1"/>
  <c r="O9" i="15"/>
  <c r="N9" i="15"/>
  <c r="V8" i="15"/>
  <c r="J8" i="15"/>
  <c r="K8" i="15" s="1"/>
  <c r="U8" i="15" s="1"/>
  <c r="O8" i="15"/>
  <c r="N8" i="15"/>
  <c r="V7" i="15"/>
  <c r="J7" i="15"/>
  <c r="K7" i="15" s="1"/>
  <c r="U7" i="15" s="1"/>
  <c r="V6" i="15"/>
  <c r="J6" i="15"/>
  <c r="K6" i="15" s="1"/>
  <c r="U6" i="15" s="1"/>
  <c r="O6" i="15"/>
  <c r="N6" i="15"/>
  <c r="V5" i="15"/>
  <c r="J5" i="15"/>
  <c r="K5" i="15" s="1"/>
  <c r="U5" i="15" s="1"/>
  <c r="O5" i="15"/>
  <c r="N5" i="15"/>
  <c r="V4" i="15"/>
  <c r="J4" i="15"/>
  <c r="K4" i="15" s="1"/>
  <c r="U4" i="15" s="1"/>
  <c r="O4" i="15"/>
  <c r="N4" i="15"/>
  <c r="V3" i="15"/>
  <c r="J3" i="15"/>
  <c r="K3" i="15" s="1"/>
  <c r="U3" i="15" s="1"/>
  <c r="F21" i="14"/>
  <c r="G21" i="14" s="1"/>
  <c r="F22" i="14"/>
  <c r="G22" i="14" s="1"/>
  <c r="F23" i="14"/>
  <c r="D11" i="14" s="1"/>
  <c r="F24" i="14"/>
  <c r="G24" i="14" s="1"/>
  <c r="F25" i="14"/>
  <c r="D13" i="14" s="1"/>
  <c r="F26" i="14"/>
  <c r="G26" i="14" s="1"/>
  <c r="F27" i="14"/>
  <c r="D15" i="14" s="1"/>
  <c r="E27" i="14"/>
  <c r="C15" i="14" s="1"/>
  <c r="E26" i="14"/>
  <c r="C14" i="14" s="1"/>
  <c r="E25" i="14"/>
  <c r="C13" i="14" s="1"/>
  <c r="E24" i="14"/>
  <c r="C12" i="14" s="1"/>
  <c r="E23" i="14"/>
  <c r="C11" i="14" s="1"/>
  <c r="E22" i="14"/>
  <c r="C10" i="14" s="1"/>
  <c r="E21" i="14"/>
  <c r="C9" i="14" s="1"/>
  <c r="I4" i="14"/>
  <c r="I5" i="14" s="1"/>
  <c r="H4" i="14"/>
  <c r="H5" i="14" s="1"/>
  <c r="G4" i="14"/>
  <c r="G5" i="14" s="1"/>
  <c r="F4" i="14"/>
  <c r="F5" i="14" s="1"/>
  <c r="E4" i="14"/>
  <c r="E5" i="14" s="1"/>
  <c r="D4" i="14"/>
  <c r="D5" i="14" s="1"/>
  <c r="C4" i="14"/>
  <c r="C5" i="14" s="1"/>
  <c r="E7" i="10"/>
  <c r="F7" i="10" s="1"/>
  <c r="E8" i="10"/>
  <c r="F8" i="10" s="1"/>
  <c r="E9" i="10"/>
  <c r="F9" i="10" s="1"/>
  <c r="D6" i="1"/>
  <c r="E6" i="1" s="1"/>
  <c r="D7" i="1"/>
  <c r="E7" i="1" s="1"/>
  <c r="D8" i="1"/>
  <c r="E8" i="1" s="1"/>
  <c r="S7" i="15" l="1"/>
  <c r="Q3" i="15"/>
  <c r="R8" i="15"/>
  <c r="R10" i="15"/>
  <c r="R4" i="15"/>
  <c r="S5" i="15"/>
  <c r="Q10" i="15"/>
  <c r="S10" i="15"/>
  <c r="H31" i="15"/>
  <c r="G34" i="15" s="1"/>
  <c r="E11" i="1"/>
  <c r="Q7" i="15"/>
  <c r="Q9" i="15"/>
  <c r="Q5" i="15"/>
  <c r="Q8" i="15"/>
  <c r="R7" i="15"/>
  <c r="B24" i="44"/>
  <c r="D8" i="17"/>
  <c r="F12" i="10"/>
  <c r="G25" i="14"/>
  <c r="G23" i="14"/>
  <c r="D14" i="14"/>
  <c r="G27" i="14"/>
  <c r="D12" i="14"/>
  <c r="D10" i="14"/>
  <c r="H14" i="15"/>
  <c r="D9" i="14"/>
  <c r="R3" i="15"/>
  <c r="Q4" i="15"/>
  <c r="S6" i="15"/>
  <c r="S8" i="15"/>
  <c r="R9" i="15"/>
  <c r="S3" i="15"/>
  <c r="S9" i="15"/>
  <c r="S4" i="15"/>
  <c r="R5" i="15"/>
  <c r="Q6" i="15"/>
  <c r="B19" i="22"/>
  <c r="C20" i="22"/>
  <c r="D18" i="22"/>
  <c r="B20" i="22"/>
  <c r="B18" i="22"/>
  <c r="C19" i="22"/>
  <c r="D20" i="22"/>
  <c r="C18" i="22"/>
  <c r="D19" i="22"/>
  <c r="C14" i="17"/>
  <c r="B14" i="17"/>
  <c r="O23" i="22" l="1" a="1"/>
  <c r="G30" i="14"/>
  <c r="B23" i="22" a="1"/>
  <c r="P23" i="22" l="1"/>
  <c r="O25" i="22"/>
  <c r="R24" i="22"/>
  <c r="Q23" i="22"/>
  <c r="O24" i="22"/>
  <c r="R23" i="22"/>
  <c r="O23" i="22"/>
  <c r="Q25" i="22"/>
  <c r="P24" i="22"/>
  <c r="R25" i="22"/>
  <c r="Q24" i="22"/>
  <c r="P25" i="22"/>
  <c r="C23" i="22"/>
  <c r="C24" i="22"/>
  <c r="C25" i="22"/>
  <c r="D23" i="22"/>
  <c r="D24" i="22"/>
  <c r="D25" i="22"/>
  <c r="E25" i="22"/>
  <c r="E23" i="22"/>
  <c r="E24" i="22"/>
  <c r="B23" i="22"/>
  <c r="B24" i="22"/>
  <c r="B25" i="22"/>
  <c r="O28" i="22" l="1" a="1"/>
  <c r="O29" i="22" s="1"/>
  <c r="B28" i="22" a="1"/>
  <c r="O30" i="22" l="1"/>
  <c r="O28" i="22"/>
  <c r="B29" i="22"/>
  <c r="B30" i="22"/>
  <c r="B28" i="22"/>
</calcChain>
</file>

<file path=xl/sharedStrings.xml><?xml version="1.0" encoding="utf-8"?>
<sst xmlns="http://schemas.openxmlformats.org/spreadsheetml/2006/main" count="763" uniqueCount="311">
  <si>
    <t>患者A</t>
    <rPh sb="0" eb="2">
      <t>カンジャ</t>
    </rPh>
    <phoneticPr fontId="1"/>
  </si>
  <si>
    <t>患者B</t>
    <rPh sb="0" eb="2">
      <t>カンジャ</t>
    </rPh>
    <phoneticPr fontId="1"/>
  </si>
  <si>
    <t>患者C</t>
    <rPh sb="0" eb="2">
      <t>カンジャ</t>
    </rPh>
    <phoneticPr fontId="1"/>
  </si>
  <si>
    <t>患者D</t>
    <rPh sb="0" eb="2">
      <t>カンジャ</t>
    </rPh>
    <phoneticPr fontId="1"/>
  </si>
  <si>
    <t>体重</t>
    <rPh sb="0" eb="2">
      <t>タイジュウ</t>
    </rPh>
    <phoneticPr fontId="1"/>
  </si>
  <si>
    <t>食前血糖値</t>
    <rPh sb="0" eb="2">
      <t>ショクゼン</t>
    </rPh>
    <rPh sb="2" eb="4">
      <t>ケットウ</t>
    </rPh>
    <rPh sb="4" eb="5">
      <t>アタイ</t>
    </rPh>
    <phoneticPr fontId="1"/>
  </si>
  <si>
    <t>予測値</t>
    <rPh sb="0" eb="2">
      <t>ヨソク</t>
    </rPh>
    <rPh sb="2" eb="3">
      <t>アタイ</t>
    </rPh>
    <phoneticPr fontId="1"/>
  </si>
  <si>
    <t>b</t>
    <phoneticPr fontId="1"/>
  </si>
  <si>
    <t>残差</t>
    <rPh sb="0" eb="2">
      <t>ザンサ</t>
    </rPh>
    <phoneticPr fontId="1"/>
  </si>
  <si>
    <t>中性脂肪</t>
    <rPh sb="0" eb="2">
      <t>チュウセイ</t>
    </rPh>
    <rPh sb="2" eb="4">
      <t>シボウ</t>
    </rPh>
    <phoneticPr fontId="1"/>
  </si>
  <si>
    <t>＜重回帰＞</t>
    <rPh sb="1" eb="2">
      <t>オモ</t>
    </rPh>
    <rPh sb="2" eb="4">
      <t>カイキ</t>
    </rPh>
    <phoneticPr fontId="1"/>
  </si>
  <si>
    <t>平均</t>
    <rPh sb="0" eb="2">
      <t>ヘイキン</t>
    </rPh>
    <phoneticPr fontId="5"/>
  </si>
  <si>
    <t>生存</t>
    <rPh sb="0" eb="2">
      <t>セイゾン</t>
    </rPh>
    <phoneticPr fontId="5"/>
  </si>
  <si>
    <t>死亡</t>
    <rPh sb="0" eb="2">
      <t>シボウ</t>
    </rPh>
    <phoneticPr fontId="5"/>
  </si>
  <si>
    <t>死亡率</t>
    <rPh sb="0" eb="3">
      <t>シボウリツ</t>
    </rPh>
    <phoneticPr fontId="5"/>
  </si>
  <si>
    <t>p*100</t>
    <phoneticPr fontId="5"/>
  </si>
  <si>
    <t>p-hat*100</t>
    <phoneticPr fontId="5"/>
  </si>
  <si>
    <t>濃度(d)</t>
    <rPh sb="0" eb="2">
      <t>ノウド</t>
    </rPh>
    <phoneticPr fontId="5"/>
  </si>
  <si>
    <t>ｒ</t>
    <phoneticPr fontId="5"/>
  </si>
  <si>
    <t>ｎ</t>
    <phoneticPr fontId="5"/>
  </si>
  <si>
    <t>p</t>
    <phoneticPr fontId="5"/>
  </si>
  <si>
    <t>p-hat</t>
    <phoneticPr fontId="5"/>
  </si>
  <si>
    <t>L</t>
    <phoneticPr fontId="5"/>
  </si>
  <si>
    <t>DATA INSECT;</t>
  </si>
  <si>
    <t>INPUT X</t>
  </si>
  <si>
    <t>KILL</t>
  </si>
  <si>
    <t>TOTAL;</t>
  </si>
  <si>
    <t>P=KILL/TOTAL;</t>
  </si>
  <si>
    <t>Intercept</t>
    <phoneticPr fontId="5"/>
  </si>
  <si>
    <t>a</t>
    <phoneticPr fontId="5"/>
  </si>
  <si>
    <t>CARDS;</t>
  </si>
  <si>
    <t>b</t>
    <phoneticPr fontId="5"/>
  </si>
  <si>
    <t>ΣL</t>
    <phoneticPr fontId="5"/>
  </si>
  <si>
    <t>;</t>
  </si>
  <si>
    <t>PROC LOGISTIC DATA=INSECT;</t>
  </si>
  <si>
    <t>MODEL KILL/TOTAL = X;</t>
  </si>
  <si>
    <t>RUN;</t>
  </si>
  <si>
    <t>患者番号</t>
    <rPh sb="0" eb="2">
      <t>カンジャ</t>
    </rPh>
    <rPh sb="2" eb="4">
      <t>バンゴウ</t>
    </rPh>
    <phoneticPr fontId="5"/>
  </si>
  <si>
    <t>対象</t>
    <rPh sb="0" eb="2">
      <t>タイショウ</t>
    </rPh>
    <phoneticPr fontId="5"/>
  </si>
  <si>
    <t>カテゴリー</t>
    <phoneticPr fontId="5"/>
  </si>
  <si>
    <t>A</t>
    <phoneticPr fontId="5"/>
  </si>
  <si>
    <t>B</t>
    <phoneticPr fontId="5"/>
  </si>
  <si>
    <t>対数尤度</t>
    <rPh sb="0" eb="2">
      <t>タイスウ</t>
    </rPh>
    <rPh sb="2" eb="4">
      <t>ユウド</t>
    </rPh>
    <phoneticPr fontId="5"/>
  </si>
  <si>
    <t>z</t>
    <phoneticPr fontId="5"/>
  </si>
  <si>
    <t>Predict</t>
    <phoneticPr fontId="5"/>
  </si>
  <si>
    <t>p(model3)</t>
    <phoneticPr fontId="5"/>
  </si>
  <si>
    <t>Slope</t>
    <phoneticPr fontId="5"/>
  </si>
  <si>
    <t>Intercept</t>
    <phoneticPr fontId="5"/>
  </si>
  <si>
    <t>A</t>
    <phoneticPr fontId="5"/>
  </si>
  <si>
    <t>B:0.1</t>
    <phoneticPr fontId="5"/>
  </si>
  <si>
    <t>B:0.5</t>
    <phoneticPr fontId="5"/>
  </si>
  <si>
    <t>B:0.9</t>
    <phoneticPr fontId="5"/>
  </si>
  <si>
    <t>Pred</t>
    <phoneticPr fontId="5"/>
  </si>
  <si>
    <t>Obser</t>
    <phoneticPr fontId="5"/>
  </si>
  <si>
    <t>Fpos</t>
    <phoneticPr fontId="5"/>
  </si>
  <si>
    <t>Fneg</t>
    <phoneticPr fontId="5"/>
  </si>
  <si>
    <t>正常</t>
    <rPh sb="0" eb="2">
      <t>セイジョウ</t>
    </rPh>
    <phoneticPr fontId="5"/>
  </si>
  <si>
    <t>a</t>
    <phoneticPr fontId="5"/>
  </si>
  <si>
    <t>発症</t>
    <rPh sb="0" eb="2">
      <t>ハッショウ</t>
    </rPh>
    <phoneticPr fontId="5"/>
  </si>
  <si>
    <t>intercept</t>
    <phoneticPr fontId="5"/>
  </si>
  <si>
    <t>a</t>
    <phoneticPr fontId="5"/>
  </si>
  <si>
    <t>係数</t>
    <rPh sb="0" eb="2">
      <t>ケイスウ</t>
    </rPh>
    <phoneticPr fontId="5"/>
  </si>
  <si>
    <t>b</t>
    <phoneticPr fontId="5"/>
  </si>
  <si>
    <t>c</t>
    <phoneticPr fontId="5"/>
  </si>
  <si>
    <t>Confusion Matrix</t>
  </si>
  <si>
    <t>predicted</t>
  </si>
  <si>
    <t>negative</t>
  </si>
  <si>
    <t>positive</t>
  </si>
  <si>
    <t>observed</t>
    <phoneticPr fontId="5"/>
  </si>
  <si>
    <t>sum</t>
    <phoneticPr fontId="5"/>
  </si>
  <si>
    <t>expected</t>
    <phoneticPr fontId="5"/>
  </si>
  <si>
    <t>＜計算結果＞</t>
    <rPh sb="1" eb="3">
      <t>ケイサン</t>
    </rPh>
    <rPh sb="3" eb="5">
      <t>ケッカ</t>
    </rPh>
    <phoneticPr fontId="5"/>
  </si>
  <si>
    <t>accuracy</t>
    <phoneticPr fontId="5"/>
  </si>
  <si>
    <t>sensitivity</t>
    <phoneticPr fontId="5"/>
  </si>
  <si>
    <t>specificity</t>
    <phoneticPr fontId="5"/>
  </si>
  <si>
    <t>precision</t>
    <phoneticPr fontId="5"/>
  </si>
  <si>
    <t>N-precision</t>
    <phoneticPr fontId="5"/>
  </si>
  <si>
    <t>Kappa</t>
    <phoneticPr fontId="5"/>
  </si>
  <si>
    <t>Z1(総合)</t>
    <rPh sb="3" eb="5">
      <t>ソウゴウ</t>
    </rPh>
    <phoneticPr fontId="5"/>
  </si>
  <si>
    <t>Ａさん</t>
    <phoneticPr fontId="5"/>
  </si>
  <si>
    <t>Ｂさん</t>
    <phoneticPr fontId="5"/>
  </si>
  <si>
    <t>Ｃさん</t>
    <phoneticPr fontId="5"/>
  </si>
  <si>
    <t>Ｄさん</t>
    <phoneticPr fontId="5"/>
  </si>
  <si>
    <t>分散</t>
    <rPh sb="0" eb="2">
      <t>ブンサン</t>
    </rPh>
    <phoneticPr fontId="5"/>
  </si>
  <si>
    <t>標準偏差</t>
    <rPh sb="0" eb="2">
      <t>ヒョウジュン</t>
    </rPh>
    <rPh sb="2" eb="4">
      <t>ヘンサ</t>
    </rPh>
    <phoneticPr fontId="5"/>
  </si>
  <si>
    <t>相関係数</t>
    <rPh sb="0" eb="2">
      <t>ソウカン</t>
    </rPh>
    <rPh sb="2" eb="4">
      <t>ケイスウ</t>
    </rPh>
    <phoneticPr fontId="5"/>
  </si>
  <si>
    <t>主成分得点Z</t>
    <rPh sb="0" eb="3">
      <t>シュセイブン</t>
    </rPh>
    <rPh sb="3" eb="5">
      <t>トクテン</t>
    </rPh>
    <phoneticPr fontId="5"/>
  </si>
  <si>
    <t>z1=1.095a1+1.095a2</t>
    <phoneticPr fontId="5"/>
  </si>
  <si>
    <t>z2=0.548a1-0.548a2</t>
    <phoneticPr fontId="5"/>
  </si>
  <si>
    <t>z3=-0.548a1+0.548a2</t>
    <phoneticPr fontId="5"/>
  </si>
  <si>
    <t>z4=-1.095a1-1.095a2</t>
    <phoneticPr fontId="5"/>
  </si>
  <si>
    <t>主成分得点</t>
    <rPh sb="0" eb="3">
      <t>シュセイブン</t>
    </rPh>
    <rPh sb="3" eb="5">
      <t>トクテン</t>
    </rPh>
    <phoneticPr fontId="10"/>
  </si>
  <si>
    <t>第1主成分</t>
    <rPh sb="0" eb="1">
      <t>ダイ</t>
    </rPh>
    <rPh sb="2" eb="5">
      <t>シュセイブン</t>
    </rPh>
    <phoneticPr fontId="10"/>
  </si>
  <si>
    <t>第2主成分</t>
    <rPh sb="0" eb="1">
      <t>ダイ</t>
    </rPh>
    <rPh sb="2" eb="5">
      <t>シュセイブン</t>
    </rPh>
    <phoneticPr fontId="10"/>
  </si>
  <si>
    <t>B</t>
    <phoneticPr fontId="5"/>
  </si>
  <si>
    <t>C</t>
    <phoneticPr fontId="5"/>
  </si>
  <si>
    <t>D</t>
    <phoneticPr fontId="5"/>
  </si>
  <si>
    <t>a1</t>
    <phoneticPr fontId="10"/>
  </si>
  <si>
    <t>a2</t>
    <phoneticPr fontId="5"/>
  </si>
  <si>
    <t>r(1,k)</t>
    <phoneticPr fontId="10"/>
  </si>
  <si>
    <t>係数</t>
    <rPh sb="0" eb="2">
      <t>ケイスウ</t>
    </rPh>
    <phoneticPr fontId="10"/>
  </si>
  <si>
    <t>Mean</t>
    <phoneticPr fontId="5"/>
  </si>
  <si>
    <t>相関係数</t>
    <rPh sb="0" eb="2">
      <t>ソウカン</t>
    </rPh>
    <rPh sb="2" eb="4">
      <t>ケイスウ</t>
    </rPh>
    <phoneticPr fontId="10"/>
  </si>
  <si>
    <t>SD</t>
    <phoneticPr fontId="5"/>
  </si>
  <si>
    <t>固有値</t>
    <rPh sb="0" eb="2">
      <t>コユウ</t>
    </rPh>
    <rPh sb="2" eb="3">
      <t>アタイ</t>
    </rPh>
    <phoneticPr fontId="5"/>
  </si>
  <si>
    <t>寄与率</t>
    <rPh sb="0" eb="2">
      <t>キヨ</t>
    </rPh>
    <rPh sb="2" eb="3">
      <t>リツ</t>
    </rPh>
    <phoneticPr fontId="5"/>
  </si>
  <si>
    <t>累積寄与率</t>
    <rPh sb="0" eb="2">
      <t>ルイセキ</t>
    </rPh>
    <rPh sb="2" eb="4">
      <t>キヨ</t>
    </rPh>
    <rPh sb="4" eb="5">
      <t>リツ</t>
    </rPh>
    <phoneticPr fontId="5"/>
  </si>
  <si>
    <t>固有ベクトル</t>
    <rPh sb="0" eb="2">
      <t>コユウ</t>
    </rPh>
    <phoneticPr fontId="5"/>
  </si>
  <si>
    <t>因子負荷量</t>
    <rPh sb="0" eb="2">
      <t>インシ</t>
    </rPh>
    <rPh sb="2" eb="4">
      <t>フカ</t>
    </rPh>
    <rPh sb="4" eb="5">
      <t>リョウ</t>
    </rPh>
    <phoneticPr fontId="5"/>
  </si>
  <si>
    <t>X(運動)</t>
    <rPh sb="2" eb="4">
      <t>ウンドウ</t>
    </rPh>
    <phoneticPr fontId="5"/>
  </si>
  <si>
    <t>Y(認知)</t>
    <rPh sb="2" eb="4">
      <t>ニンチ</t>
    </rPh>
    <phoneticPr fontId="5"/>
  </si>
  <si>
    <t>Z2(機能差)</t>
    <rPh sb="3" eb="5">
      <t>キノウ</t>
    </rPh>
    <rPh sb="5" eb="6">
      <t>サ</t>
    </rPh>
    <phoneticPr fontId="5"/>
  </si>
  <si>
    <t>Y(機能)</t>
    <rPh sb="2" eb="4">
      <t>キノウ</t>
    </rPh>
    <phoneticPr fontId="5"/>
  </si>
  <si>
    <t>X（運動）</t>
    <rPh sb="2" eb="4">
      <t>ウンドウ</t>
    </rPh>
    <phoneticPr fontId="5"/>
  </si>
  <si>
    <t>Y（機能）</t>
    <rPh sb="2" eb="4">
      <t>キノウ</t>
    </rPh>
    <phoneticPr fontId="5"/>
  </si>
  <si>
    <t>患者</t>
    <rPh sb="0" eb="2">
      <t>カンジャ</t>
    </rPh>
    <phoneticPr fontId="1"/>
  </si>
  <si>
    <t>平均</t>
    <rPh sb="0" eb="2">
      <t>ヘイキン</t>
    </rPh>
    <phoneticPr fontId="1"/>
  </si>
  <si>
    <t>＜Ｘ＞</t>
    <phoneticPr fontId="1"/>
  </si>
  <si>
    <t>＜Y＞</t>
    <phoneticPr fontId="1"/>
  </si>
  <si>
    <t>＜Ｘｔ：Ｘの転置行列＞</t>
    <rPh sb="6" eb="8">
      <t>テンチ</t>
    </rPh>
    <rPh sb="8" eb="10">
      <t>ギョウレツ</t>
    </rPh>
    <phoneticPr fontId="1"/>
  </si>
  <si>
    <t>＜ＸｔＸ＞</t>
    <phoneticPr fontId="1"/>
  </si>
  <si>
    <t>＜ＸｔＸの逆行列＞</t>
    <rPh sb="5" eb="6">
      <t>ギャク</t>
    </rPh>
    <rPh sb="6" eb="8">
      <t>ギョウレツ</t>
    </rPh>
    <phoneticPr fontId="1"/>
  </si>
  <si>
    <t>＜ＸｔＸの逆行列×Ｘｔ＞</t>
    <rPh sb="5" eb="6">
      <t>ギャク</t>
    </rPh>
    <rPh sb="6" eb="8">
      <t>ギョウレツ</t>
    </rPh>
    <phoneticPr fontId="1"/>
  </si>
  <si>
    <t>＜ＸｔＸの逆行列×Ｘｔ×Y＞</t>
    <rPh sb="5" eb="6">
      <t>ギャク</t>
    </rPh>
    <rPh sb="6" eb="8">
      <t>ギョウレツ</t>
    </rPh>
    <phoneticPr fontId="1"/>
  </si>
  <si>
    <t>b1</t>
    <phoneticPr fontId="1"/>
  </si>
  <si>
    <t>b0</t>
    <phoneticPr fontId="1"/>
  </si>
  <si>
    <t>標準誤差</t>
  </si>
  <si>
    <t>合計</t>
  </si>
  <si>
    <t>分散</t>
  </si>
  <si>
    <t>ＩＤ</t>
    <phoneticPr fontId="1"/>
  </si>
  <si>
    <t>年齢</t>
    <rPh sb="0" eb="2">
      <t>ネンレイ</t>
    </rPh>
    <phoneticPr fontId="1"/>
  </si>
  <si>
    <t>rGTP</t>
    <phoneticPr fontId="1"/>
  </si>
  <si>
    <t>肝障害の有無</t>
    <rPh sb="0" eb="1">
      <t>カン</t>
    </rPh>
    <rPh sb="1" eb="3">
      <t>ショウガイ</t>
    </rPh>
    <rPh sb="4" eb="6">
      <t>ウム</t>
    </rPh>
    <phoneticPr fontId="1"/>
  </si>
  <si>
    <t>機能スコア</t>
    <rPh sb="0" eb="2">
      <t>キノウ</t>
    </rPh>
    <phoneticPr fontId="1"/>
  </si>
  <si>
    <t>a1</t>
    <phoneticPr fontId="1"/>
  </si>
  <si>
    <t>a2</t>
    <phoneticPr fontId="1"/>
  </si>
  <si>
    <t>a3</t>
    <phoneticPr fontId="1"/>
  </si>
  <si>
    <t>ロジット</t>
    <phoneticPr fontId="1"/>
  </si>
  <si>
    <t>p</t>
    <phoneticPr fontId="1"/>
  </si>
  <si>
    <t>1-p</t>
    <phoneticPr fontId="1"/>
  </si>
  <si>
    <t>L</t>
    <phoneticPr fontId="1"/>
  </si>
  <si>
    <t>LogL</t>
    <phoneticPr fontId="1"/>
  </si>
  <si>
    <t>PaO2（酸素分圧）</t>
    <rPh sb="5" eb="7">
      <t>サンソ</t>
    </rPh>
    <rPh sb="7" eb="9">
      <t>ブンアツ</t>
    </rPh>
    <phoneticPr fontId="1"/>
  </si>
  <si>
    <t>平均</t>
  </si>
  <si>
    <t>中央値 （メジアン）</t>
  </si>
  <si>
    <t>最頻値 （モード）</t>
  </si>
  <si>
    <t>標準偏差</t>
  </si>
  <si>
    <t>尖度</t>
  </si>
  <si>
    <t>歪度</t>
  </si>
  <si>
    <t>範囲</t>
  </si>
  <si>
    <t>最小</t>
  </si>
  <si>
    <t>最大</t>
  </si>
  <si>
    <t>データの個数</t>
  </si>
  <si>
    <t>カルシウム摂取量</t>
    <rPh sb="5" eb="7">
      <t>セッシュ</t>
    </rPh>
    <rPh sb="7" eb="8">
      <t>リョウ</t>
    </rPh>
    <phoneticPr fontId="1"/>
  </si>
  <si>
    <t>血糖値</t>
    <rPh sb="0" eb="2">
      <t>ケットウ</t>
    </rPh>
    <rPh sb="2" eb="3">
      <t>アタイ</t>
    </rPh>
    <phoneticPr fontId="1"/>
  </si>
  <si>
    <t>b2</t>
    <phoneticPr fontId="1"/>
  </si>
  <si>
    <t>対数オッズ</t>
    <phoneticPr fontId="5"/>
  </si>
  <si>
    <t>残差平方和</t>
    <rPh sb="0" eb="1">
      <t>ザン</t>
    </rPh>
    <rPh sb="1" eb="2">
      <t>サ</t>
    </rPh>
    <rPh sb="2" eb="4">
      <t>ヘイホウ</t>
    </rPh>
    <rPh sb="4" eb="5">
      <t>ワ</t>
    </rPh>
    <phoneticPr fontId="1"/>
  </si>
  <si>
    <t>切片</t>
    <rPh sb="0" eb="2">
      <t>セッペン</t>
    </rPh>
    <phoneticPr fontId="1"/>
  </si>
  <si>
    <t>傾き</t>
    <rPh sb="0" eb="1">
      <t>カタム</t>
    </rPh>
    <phoneticPr fontId="1"/>
  </si>
  <si>
    <t>単位行列</t>
    <rPh sb="0" eb="2">
      <t>タンイ</t>
    </rPh>
    <rPh sb="2" eb="4">
      <t>ギョウレツ</t>
    </rPh>
    <phoneticPr fontId="1"/>
  </si>
  <si>
    <t>体重</t>
  </si>
  <si>
    <t>列1</t>
  </si>
  <si>
    <t>小児1</t>
    <rPh sb="0" eb="2">
      <t>ショウニ</t>
    </rPh>
    <phoneticPr fontId="1"/>
  </si>
  <si>
    <t>小児2</t>
    <rPh sb="0" eb="2">
      <t>ショウニ</t>
    </rPh>
    <phoneticPr fontId="1"/>
  </si>
  <si>
    <t>小児3</t>
    <rPh sb="0" eb="2">
      <t>ショウニ</t>
    </rPh>
    <phoneticPr fontId="1"/>
  </si>
  <si>
    <t>小児4</t>
    <rPh sb="0" eb="2">
      <t>ショウニ</t>
    </rPh>
    <phoneticPr fontId="1"/>
  </si>
  <si>
    <t>Age</t>
    <phoneticPr fontId="1"/>
  </si>
  <si>
    <t>Height</t>
    <phoneticPr fontId="1"/>
  </si>
  <si>
    <t>観測値</t>
    <rPh sb="0" eb="3">
      <t>カンソクチ</t>
    </rPh>
    <phoneticPr fontId="5"/>
  </si>
  <si>
    <t>本の頁数X</t>
    <rPh sb="0" eb="1">
      <t>ホン</t>
    </rPh>
    <rPh sb="2" eb="3">
      <t>ページ</t>
    </rPh>
    <rPh sb="3" eb="4">
      <t>カズ</t>
    </rPh>
    <phoneticPr fontId="5"/>
  </si>
  <si>
    <t>本の価格Y</t>
    <rPh sb="0" eb="1">
      <t>ホン</t>
    </rPh>
    <rPh sb="2" eb="4">
      <t>カカク</t>
    </rPh>
    <phoneticPr fontId="5"/>
  </si>
  <si>
    <t>&lt;X&gt;</t>
    <phoneticPr fontId="5"/>
  </si>
  <si>
    <t>&lt;Y&gt;</t>
    <phoneticPr fontId="5"/>
  </si>
  <si>
    <t>&lt;Ｘｔ：Xの転置行列＞</t>
    <rPh sb="6" eb="8">
      <t>テンチ</t>
    </rPh>
    <rPh sb="8" eb="10">
      <t>ギョウレツ</t>
    </rPh>
    <phoneticPr fontId="5"/>
  </si>
  <si>
    <t>&lt;XtX&gt;</t>
    <phoneticPr fontId="5"/>
  </si>
  <si>
    <t>&lt;偏回帰係数：XtXの逆行列*XtY&gt;</t>
    <rPh sb="1" eb="2">
      <t>ヘン</t>
    </rPh>
    <rPh sb="2" eb="4">
      <t>カイキ</t>
    </rPh>
    <rPh sb="4" eb="6">
      <t>ケイスウ</t>
    </rPh>
    <rPh sb="11" eb="12">
      <t>ギャク</t>
    </rPh>
    <rPh sb="12" eb="14">
      <t>ギョウレツ</t>
    </rPh>
    <phoneticPr fontId="5"/>
  </si>
  <si>
    <t>&lt;XtXの逆行列&gt;</t>
    <rPh sb="5" eb="6">
      <t>ギャク</t>
    </rPh>
    <rPh sb="6" eb="8">
      <t>ギョウレツ</t>
    </rPh>
    <phoneticPr fontId="5"/>
  </si>
  <si>
    <t>&lt;XtXの逆行列*Xt&gt;</t>
    <rPh sb="5" eb="6">
      <t>ギャク</t>
    </rPh>
    <rPh sb="6" eb="8">
      <t>ギョウレツ</t>
    </rPh>
    <phoneticPr fontId="5"/>
  </si>
  <si>
    <t>化合物</t>
    <rPh sb="0" eb="3">
      <t>カゴウブツ</t>
    </rPh>
    <phoneticPr fontId="1"/>
  </si>
  <si>
    <t>活性</t>
    <rPh sb="0" eb="2">
      <t>カッセイ</t>
    </rPh>
    <phoneticPr fontId="1"/>
  </si>
  <si>
    <t>活性ラベル</t>
    <rPh sb="0" eb="2">
      <t>カッセイ</t>
    </rPh>
    <phoneticPr fontId="1"/>
  </si>
  <si>
    <t>E-LUMO</t>
    <phoneticPr fontId="1"/>
  </si>
  <si>
    <t>LogP</t>
    <phoneticPr fontId="1"/>
  </si>
  <si>
    <t>VC4</t>
    <phoneticPr fontId="1"/>
  </si>
  <si>
    <t>LP1</t>
    <phoneticPr fontId="1"/>
  </si>
  <si>
    <t>主成分1</t>
  </si>
  <si>
    <t>主成分2</t>
  </si>
  <si>
    <t>Ac1</t>
    <phoneticPr fontId="1"/>
  </si>
  <si>
    <t>活性あり</t>
    <rPh sb="0" eb="2">
      <t>カッセイ</t>
    </rPh>
    <phoneticPr fontId="1"/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</si>
  <si>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</si>
  <si>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</si>
  <si>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</si>
  <si>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</si>
  <si>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</si>
  <si>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</si>
  <si>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</si>
  <si>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</si>
  <si>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</si>
  <si>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</si>
  <si>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</si>
  <si>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</si>
  <si>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Ic1</t>
    <phoneticPr fontId="1"/>
  </si>
  <si>
    <t>活性なし</t>
    <rPh sb="0" eb="2">
      <t>カッセイ</t>
    </rPh>
    <phoneticPr fontId="1"/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</si>
  <si>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</si>
  <si>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</si>
  <si>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</si>
  <si>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</si>
  <si>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</si>
  <si>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</si>
  <si>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</si>
  <si>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</si>
  <si>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</si>
  <si>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</si>
  <si>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</si>
  <si>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</si>
  <si>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サンプル番号</t>
    <rPh sb="4" eb="6">
      <t>バンゴウ</t>
    </rPh>
    <phoneticPr fontId="5"/>
  </si>
  <si>
    <t>検査値1</t>
    <rPh sb="0" eb="3">
      <t>ケンサチ</t>
    </rPh>
    <phoneticPr fontId="5"/>
  </si>
  <si>
    <t>患者の分類</t>
    <rPh sb="0" eb="2">
      <t>カンジャ</t>
    </rPh>
    <rPh sb="3" eb="5">
      <t>ブンルイ</t>
    </rPh>
    <phoneticPr fontId="5"/>
  </si>
  <si>
    <t>健常者</t>
    <rPh sb="0" eb="3">
      <t>ケンジョウシャ</t>
    </rPh>
    <phoneticPr fontId="1"/>
  </si>
  <si>
    <t>患者</t>
    <rPh sb="0" eb="2">
      <t>カンジャ</t>
    </rPh>
    <phoneticPr fontId="1"/>
  </si>
  <si>
    <t>76</t>
    <phoneticPr fontId="5"/>
  </si>
  <si>
    <t>88</t>
    <phoneticPr fontId="5"/>
  </si>
  <si>
    <t>56</t>
    <phoneticPr fontId="5"/>
  </si>
  <si>
    <t>38</t>
    <phoneticPr fontId="5"/>
  </si>
  <si>
    <t>21</t>
    <phoneticPr fontId="5"/>
  </si>
  <si>
    <t>25</t>
    <phoneticPr fontId="5"/>
  </si>
  <si>
    <t>検査値2</t>
    <rPh sb="0" eb="3">
      <t>ケンサチ</t>
    </rPh>
    <phoneticPr fontId="5"/>
  </si>
  <si>
    <t>2</t>
    <phoneticPr fontId="5"/>
  </si>
  <si>
    <t>1</t>
    <phoneticPr fontId="5"/>
  </si>
  <si>
    <t>3</t>
    <phoneticPr fontId="5"/>
  </si>
  <si>
    <t>4</t>
    <phoneticPr fontId="5"/>
  </si>
  <si>
    <t>5</t>
    <phoneticPr fontId="5"/>
  </si>
  <si>
    <t>＜例：化合物の活性（uM）＞</t>
    <rPh sb="1" eb="2">
      <t>レイ</t>
    </rPh>
    <rPh sb="3" eb="6">
      <t>カゴウブツ</t>
    </rPh>
    <rPh sb="7" eb="9">
      <t>カッセイ</t>
    </rPh>
    <phoneticPr fontId="5"/>
  </si>
  <si>
    <t>binding</t>
    <phoneticPr fontId="5"/>
  </si>
  <si>
    <t>functional</t>
    <phoneticPr fontId="5"/>
  </si>
  <si>
    <t>Cmpd 1</t>
    <phoneticPr fontId="5"/>
  </si>
  <si>
    <t>Cmpd 2</t>
  </si>
  <si>
    <t>Cmpd 3</t>
  </si>
  <si>
    <t>Cmpd 4</t>
  </si>
  <si>
    <t>Cmpd 5</t>
  </si>
  <si>
    <t>＜対象間のユークリッド距離（１）＞</t>
    <rPh sb="1" eb="3">
      <t>タイショウ</t>
    </rPh>
    <rPh sb="3" eb="4">
      <t>アイダ</t>
    </rPh>
    <rPh sb="11" eb="13">
      <t>キョリ</t>
    </rPh>
    <phoneticPr fontId="5"/>
  </si>
  <si>
    <t>cmpd 1</t>
    <phoneticPr fontId="5"/>
  </si>
  <si>
    <t>cmpd 2</t>
  </si>
  <si>
    <t>cmpd 3</t>
  </si>
  <si>
    <t>cmpd 4</t>
  </si>
  <si>
    <t>cmpd 5</t>
  </si>
  <si>
    <t>＜対象間のユークリッド距離（２）＞</t>
    <rPh sb="1" eb="3">
      <t>タイショウ</t>
    </rPh>
    <rPh sb="3" eb="4">
      <t>アイダ</t>
    </rPh>
    <rPh sb="11" eb="13">
      <t>キョリ</t>
    </rPh>
    <phoneticPr fontId="5"/>
  </si>
  <si>
    <t>cmpd 4&amp;5</t>
    <phoneticPr fontId="5"/>
  </si>
  <si>
    <t>＜対象間のユークリッド距離（３）＞</t>
    <rPh sb="1" eb="3">
      <t>タイショウ</t>
    </rPh>
    <rPh sb="3" eb="4">
      <t>アイダ</t>
    </rPh>
    <rPh sb="11" eb="13">
      <t>キョリ</t>
    </rPh>
    <phoneticPr fontId="5"/>
  </si>
  <si>
    <t>cmpd 1&amp;2</t>
    <phoneticPr fontId="5"/>
  </si>
  <si>
    <t>＜対象間のユークリッド距離（４）＞</t>
    <rPh sb="1" eb="3">
      <t>タイショウ</t>
    </rPh>
    <rPh sb="3" eb="4">
      <t>アイダ</t>
    </rPh>
    <rPh sb="11" eb="13">
      <t>キョリ</t>
    </rPh>
    <phoneticPr fontId="5"/>
  </si>
  <si>
    <t>cmpd 1245</t>
    <phoneticPr fontId="5"/>
  </si>
  <si>
    <t>ステップ</t>
    <phoneticPr fontId="5"/>
  </si>
  <si>
    <t>距離</t>
    <rPh sb="0" eb="2">
      <t>キョリ</t>
    </rPh>
    <phoneticPr fontId="5"/>
  </si>
  <si>
    <t>結合先</t>
    <rPh sb="0" eb="2">
      <t>ケツゴウ</t>
    </rPh>
    <rPh sb="2" eb="3">
      <t>サキ</t>
    </rPh>
    <phoneticPr fontId="5"/>
  </si>
  <si>
    <t>結合者</t>
    <rPh sb="0" eb="2">
      <t>ケツゴウ</t>
    </rPh>
    <rPh sb="2" eb="3">
      <t>モノ</t>
    </rPh>
    <phoneticPr fontId="5"/>
  </si>
  <si>
    <t>Cmpd 6</t>
  </si>
  <si>
    <t>＜対象間のウォード法における非類似度（１）＞</t>
    <rPh sb="1" eb="3">
      <t>タイショウ</t>
    </rPh>
    <rPh sb="3" eb="4">
      <t>アイダ</t>
    </rPh>
    <rPh sb="9" eb="10">
      <t>ホウ</t>
    </rPh>
    <rPh sb="14" eb="15">
      <t>ヒ</t>
    </rPh>
    <rPh sb="15" eb="17">
      <t>ルイジ</t>
    </rPh>
    <rPh sb="17" eb="18">
      <t>ド</t>
    </rPh>
    <phoneticPr fontId="5"/>
  </si>
  <si>
    <t>cmpd 6</t>
  </si>
  <si>
    <t>＜対象間のウォード法における非類似度（２）＞</t>
    <rPh sb="1" eb="3">
      <t>タイショウ</t>
    </rPh>
    <rPh sb="3" eb="4">
      <t>アイダ</t>
    </rPh>
    <rPh sb="9" eb="10">
      <t>ホウ</t>
    </rPh>
    <rPh sb="14" eb="15">
      <t>ヒ</t>
    </rPh>
    <rPh sb="15" eb="17">
      <t>ルイジ</t>
    </rPh>
    <rPh sb="17" eb="18">
      <t>ド</t>
    </rPh>
    <phoneticPr fontId="5"/>
  </si>
  <si>
    <t>cmpd 3</t>
    <phoneticPr fontId="5"/>
  </si>
  <si>
    <t>cmpd 4</t>
    <phoneticPr fontId="5"/>
  </si>
  <si>
    <t>cmpd 5</t>
    <phoneticPr fontId="5"/>
  </si>
  <si>
    <t>cmpd 6</t>
    <phoneticPr fontId="5"/>
  </si>
  <si>
    <t>＜対象間のウォード法における非類似度（３）＞</t>
    <rPh sb="1" eb="3">
      <t>タイショウ</t>
    </rPh>
    <rPh sb="3" eb="4">
      <t>アイダ</t>
    </rPh>
    <rPh sb="9" eb="10">
      <t>ホウ</t>
    </rPh>
    <rPh sb="14" eb="15">
      <t>ヒ</t>
    </rPh>
    <rPh sb="15" eb="17">
      <t>ルイジ</t>
    </rPh>
    <rPh sb="17" eb="18">
      <t>ド</t>
    </rPh>
    <phoneticPr fontId="5"/>
  </si>
  <si>
    <t>＜対象間のウォード法における非類似度（４）＞</t>
    <rPh sb="1" eb="3">
      <t>タイショウ</t>
    </rPh>
    <rPh sb="3" eb="4">
      <t>アイダ</t>
    </rPh>
    <rPh sb="9" eb="10">
      <t>ホウ</t>
    </rPh>
    <rPh sb="14" eb="15">
      <t>ヒ</t>
    </rPh>
    <rPh sb="15" eb="17">
      <t>ルイジ</t>
    </rPh>
    <rPh sb="17" eb="18">
      <t>ド</t>
    </rPh>
    <phoneticPr fontId="5"/>
  </si>
  <si>
    <t>cmpd 123</t>
    <phoneticPr fontId="5"/>
  </si>
  <si>
    <t>＜対象間のウォード法における非類似度（５）＞</t>
    <rPh sb="1" eb="3">
      <t>タイショウ</t>
    </rPh>
    <rPh sb="3" eb="4">
      <t>アイダ</t>
    </rPh>
    <rPh sb="9" eb="10">
      <t>ホウ</t>
    </rPh>
    <rPh sb="14" eb="15">
      <t>ヒ</t>
    </rPh>
    <rPh sb="15" eb="17">
      <t>ルイジ</t>
    </rPh>
    <rPh sb="17" eb="18">
      <t>ド</t>
    </rPh>
    <phoneticPr fontId="5"/>
  </si>
  <si>
    <t>cmpd 456</t>
    <phoneticPr fontId="5"/>
  </si>
  <si>
    <t>非類似度</t>
    <rPh sb="0" eb="1">
      <t>ヒ</t>
    </rPh>
    <rPh sb="1" eb="3">
      <t>ルイジ</t>
    </rPh>
    <rPh sb="3" eb="4">
      <t>ド</t>
    </rPh>
    <phoneticPr fontId="5"/>
  </si>
  <si>
    <t>＜対象間のウォード法における距離（１）＞</t>
    <rPh sb="1" eb="3">
      <t>タイショウ</t>
    </rPh>
    <rPh sb="3" eb="4">
      <t>アイダ</t>
    </rPh>
    <rPh sb="9" eb="10">
      <t>ホウ</t>
    </rPh>
    <rPh sb="14" eb="16">
      <t>キョリ</t>
    </rPh>
    <phoneticPr fontId="5"/>
  </si>
  <si>
    <t>＜対象間のウォード法における距離（２）＞</t>
    <rPh sb="1" eb="3">
      <t>タイショウ</t>
    </rPh>
    <rPh sb="3" eb="4">
      <t>アイダ</t>
    </rPh>
    <rPh sb="9" eb="10">
      <t>ホウ</t>
    </rPh>
    <rPh sb="14" eb="16">
      <t>キョリ</t>
    </rPh>
    <phoneticPr fontId="5"/>
  </si>
  <si>
    <t>＜対象間のウォード法における距離（３）＞</t>
    <rPh sb="1" eb="3">
      <t>タイショウ</t>
    </rPh>
    <rPh sb="3" eb="4">
      <t>アイダ</t>
    </rPh>
    <rPh sb="9" eb="10">
      <t>ホウ</t>
    </rPh>
    <rPh sb="14" eb="16">
      <t>キョリ</t>
    </rPh>
    <phoneticPr fontId="5"/>
  </si>
  <si>
    <t>＜対象間のウォード法における距離（４）＞</t>
    <rPh sb="1" eb="3">
      <t>タイショウ</t>
    </rPh>
    <rPh sb="3" eb="4">
      <t>アイダ</t>
    </rPh>
    <rPh sb="9" eb="10">
      <t>ホウ</t>
    </rPh>
    <rPh sb="14" eb="16">
      <t>キョリ</t>
    </rPh>
    <phoneticPr fontId="5"/>
  </si>
  <si>
    <t>&lt;k=3、ＳＤで標準化せず＞</t>
    <rPh sb="8" eb="11">
      <t>ヒョウジュンカ</t>
    </rPh>
    <phoneticPr fontId="5"/>
  </si>
  <si>
    <t>X</t>
    <phoneticPr fontId="5"/>
  </si>
  <si>
    <t>Y</t>
    <phoneticPr fontId="5"/>
  </si>
  <si>
    <t>クラスター</t>
    <phoneticPr fontId="5"/>
  </si>
  <si>
    <t>度数</t>
    <rPh sb="0" eb="2">
      <t>ドスウ</t>
    </rPh>
    <phoneticPr fontId="5"/>
  </si>
  <si>
    <t>最大距離</t>
    <rPh sb="0" eb="2">
      <t>サイダイ</t>
    </rPh>
    <rPh sb="2" eb="4">
      <t>キョリ</t>
    </rPh>
    <phoneticPr fontId="5"/>
  </si>
  <si>
    <t>Ｘ</t>
    <phoneticPr fontId="5"/>
  </si>
  <si>
    <t>Ｙ</t>
    <phoneticPr fontId="5"/>
  </si>
  <si>
    <t>mean</t>
    <phoneticPr fontId="5"/>
  </si>
  <si>
    <t>ＳＤ</t>
    <phoneticPr fontId="5"/>
  </si>
  <si>
    <t>&lt;k=3、ＳＤで標準化＞</t>
    <rPh sb="8" eb="11">
      <t>ヒョウジュンカ</t>
    </rPh>
    <phoneticPr fontId="5"/>
  </si>
  <si>
    <t>&lt;k=2、ＳＤで標準化せず＞</t>
    <rPh sb="8" eb="11">
      <t>ヒョウジュンカ</t>
    </rPh>
    <phoneticPr fontId="5"/>
  </si>
  <si>
    <t>&lt;k=2、ＳＤで標準化＞</t>
    <rPh sb="8" eb="11">
      <t>ヒョウジュンカ</t>
    </rPh>
    <phoneticPr fontId="5"/>
  </si>
  <si>
    <t>&lt;k=4、ＳＤで標準化せず＞</t>
    <rPh sb="8" eb="11">
      <t>ヒョウジュンカ</t>
    </rPh>
    <phoneticPr fontId="5"/>
  </si>
  <si>
    <t>&lt;k=4、ＳＤで標準化＞</t>
    <rPh sb="8" eb="11">
      <t>ヒョウジュンカ</t>
    </rPh>
    <phoneticPr fontId="5"/>
  </si>
  <si>
    <t>&lt;ＳＤで標準化せず＞</t>
    <rPh sb="4" eb="7">
      <t>ヒョウジュンカ</t>
    </rPh>
    <phoneticPr fontId="5"/>
  </si>
  <si>
    <t>PetalLength</t>
  </si>
  <si>
    <t>PetalWidth</t>
  </si>
  <si>
    <t>Class</t>
  </si>
  <si>
    <t>setosa</t>
  </si>
  <si>
    <t>non-viginica</t>
  </si>
  <si>
    <t>購入有無</t>
    <rPh sb="0" eb="2">
      <t>コウニュウ</t>
    </rPh>
    <rPh sb="2" eb="4">
      <t>ウム</t>
    </rPh>
    <phoneticPr fontId="5"/>
  </si>
  <si>
    <t>購入する</t>
    <rPh sb="0" eb="2">
      <t>コウニュウ</t>
    </rPh>
    <phoneticPr fontId="1"/>
  </si>
  <si>
    <t>購入しない</t>
    <rPh sb="0" eb="2">
      <t>コウニュウ</t>
    </rPh>
    <phoneticPr fontId="1"/>
  </si>
  <si>
    <t>購入する</t>
    <rPh sb="0" eb="2">
      <t>コウニュウ</t>
    </rPh>
    <phoneticPr fontId="5"/>
  </si>
  <si>
    <t>男性</t>
    <rPh sb="0" eb="2">
      <t>ダンセイ</t>
    </rPh>
    <phoneticPr fontId="1"/>
  </si>
  <si>
    <t>女性</t>
    <rPh sb="0" eb="2">
      <t>ジョセイ</t>
    </rPh>
    <phoneticPr fontId="1"/>
  </si>
  <si>
    <t>女性</t>
    <rPh sb="0" eb="2">
      <t>ジョセイ</t>
    </rPh>
    <phoneticPr fontId="5"/>
  </si>
  <si>
    <t>X1(性別）</t>
    <rPh sb="3" eb="5">
      <t>セイベツ</t>
    </rPh>
    <phoneticPr fontId="5"/>
  </si>
  <si>
    <t>X2(職業)</t>
    <rPh sb="3" eb="5">
      <t>ショクギョウ</t>
    </rPh>
    <phoneticPr fontId="5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</si>
  <si>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</si>
  <si>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</si>
  <si>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</si>
  <si>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DATA</t>
    <phoneticPr fontId="1"/>
  </si>
  <si>
    <t>データ</t>
  </si>
  <si>
    <t>食前血糖値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</si>
</sst>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0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b/>
      <sz val="11"/>
      <name val="ＭＳ 明朝"/>
      <family val="1"/>
      <charset val="128"/>
    </font>
    <font>
      <b/>
      <sz val="9"/>
      <color rgb="FF0000FF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lightDown">
        <fgColor indexed="52"/>
        <bgColor indexed="9"/>
      </patternFill>
    </fill>
    <fill>
      <patternFill patternType="gray125">
        <fgColor indexed="11"/>
        <bgColor indexed="9"/>
      </patternFill>
    </fill>
    <fill>
      <patternFill patternType="lightUp">
        <fgColor indexed="10"/>
        <bgColor indexed="9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14" fillId="0" borderId="0"/>
  </cellStyleXfs>
  <cellXfs count="29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1"/>
    <xf numFmtId="0" fontId="6" fillId="0" borderId="0" xfId="1" applyFont="1"/>
    <xf numFmtId="0" fontId="6" fillId="3" borderId="30" xfId="1" applyFont="1" applyFill="1" applyBorder="1"/>
    <xf numFmtId="9" fontId="6" fillId="3" borderId="7" xfId="1" applyNumberFormat="1" applyFont="1" applyFill="1" applyBorder="1"/>
    <xf numFmtId="9" fontId="6" fillId="3" borderId="8" xfId="1" applyNumberFormat="1" applyFont="1" applyFill="1" applyBorder="1"/>
    <xf numFmtId="9" fontId="6" fillId="3" borderId="9" xfId="1" applyNumberFormat="1" applyFont="1" applyFill="1" applyBorder="1"/>
    <xf numFmtId="0" fontId="6" fillId="3" borderId="31" xfId="1" applyFont="1" applyFill="1" applyBorder="1"/>
    <xf numFmtId="0" fontId="6" fillId="3" borderId="32" xfId="1" applyFont="1" applyFill="1" applyBorder="1"/>
    <xf numFmtId="0" fontId="6" fillId="3" borderId="33" xfId="1" applyFont="1" applyFill="1" applyBorder="1"/>
    <xf numFmtId="0" fontId="6" fillId="3" borderId="34" xfId="1" applyFont="1" applyFill="1" applyBorder="1"/>
    <xf numFmtId="0" fontId="6" fillId="3" borderId="35" xfId="1" applyFont="1" applyFill="1" applyBorder="1"/>
    <xf numFmtId="0" fontId="6" fillId="3" borderId="36" xfId="1" applyFont="1" applyFill="1" applyBorder="1"/>
    <xf numFmtId="0" fontId="6" fillId="3" borderId="19" xfId="1" applyFont="1" applyFill="1" applyBorder="1"/>
    <xf numFmtId="0" fontId="6" fillId="3" borderId="37" xfId="1" applyFont="1" applyFill="1" applyBorder="1"/>
    <xf numFmtId="0" fontId="6" fillId="0" borderId="38" xfId="1" applyFont="1" applyBorder="1"/>
    <xf numFmtId="0" fontId="6" fillId="0" borderId="39" xfId="1" applyFont="1" applyBorder="1"/>
    <xf numFmtId="0" fontId="6" fillId="0" borderId="40" xfId="1" applyFont="1" applyBorder="1"/>
    <xf numFmtId="0" fontId="6" fillId="0" borderId="41" xfId="1" applyFont="1" applyBorder="1"/>
    <xf numFmtId="0" fontId="6" fillId="0" borderId="19" xfId="1" applyFont="1" applyBorder="1"/>
    <xf numFmtId="0" fontId="6" fillId="0" borderId="42" xfId="1" applyFont="1" applyBorder="1"/>
    <xf numFmtId="0" fontId="6" fillId="0" borderId="43" xfId="1" applyFont="1" applyBorder="1"/>
    <xf numFmtId="0" fontId="6" fillId="0" borderId="13" xfId="1" applyFont="1" applyBorder="1"/>
    <xf numFmtId="0" fontId="6" fillId="0" borderId="44" xfId="1" applyFont="1" applyBorder="1"/>
    <xf numFmtId="0" fontId="6" fillId="0" borderId="33" xfId="1" applyFont="1" applyBorder="1"/>
    <xf numFmtId="0" fontId="6" fillId="0" borderId="45" xfId="1" applyFont="1" applyBorder="1"/>
    <xf numFmtId="0" fontId="6" fillId="0" borderId="46" xfId="1" applyFont="1" applyBorder="1"/>
    <xf numFmtId="0" fontId="6" fillId="0" borderId="47" xfId="1" applyFont="1" applyBorder="1"/>
    <xf numFmtId="0" fontId="6" fillId="0" borderId="48" xfId="1" applyFont="1" applyBorder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2" fontId="6" fillId="0" borderId="0" xfId="1" applyNumberFormat="1" applyFont="1" applyAlignment="1">
      <alignment horizontal="center"/>
    </xf>
    <xf numFmtId="0" fontId="4" fillId="0" borderId="0" xfId="1" applyAlignment="1">
      <alignment horizontal="center"/>
    </xf>
    <xf numFmtId="2" fontId="6" fillId="0" borderId="0" xfId="1" applyNumberFormat="1" applyFont="1" applyAlignment="1">
      <alignment horizontal="right"/>
    </xf>
    <xf numFmtId="0" fontId="6" fillId="4" borderId="49" xfId="1" applyFont="1" applyFill="1" applyBorder="1" applyAlignment="1">
      <alignment horizontal="center" vertical="center"/>
    </xf>
    <xf numFmtId="0" fontId="6" fillId="4" borderId="50" xfId="1" applyFont="1" applyFill="1" applyBorder="1" applyAlignment="1">
      <alignment horizontal="center" vertical="center"/>
    </xf>
    <xf numFmtId="0" fontId="4" fillId="3" borderId="0" xfId="1" applyFill="1" applyAlignment="1">
      <alignment horizontal="right"/>
    </xf>
    <xf numFmtId="0" fontId="6" fillId="3" borderId="4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right"/>
    </xf>
    <xf numFmtId="0" fontId="6" fillId="0" borderId="51" xfId="1" applyFont="1" applyBorder="1" applyAlignment="1">
      <alignment horizontal="right"/>
    </xf>
    <xf numFmtId="0" fontId="6" fillId="0" borderId="53" xfId="1" applyFont="1" applyBorder="1" applyAlignment="1">
      <alignment horizontal="right"/>
    </xf>
    <xf numFmtId="49" fontId="6" fillId="3" borderId="4" xfId="1" applyNumberFormat="1" applyFont="1" applyFill="1" applyBorder="1" applyAlignment="1">
      <alignment horizontal="center"/>
    </xf>
    <xf numFmtId="0" fontId="6" fillId="0" borderId="54" xfId="1" applyFont="1" applyBorder="1" applyAlignment="1">
      <alignment horizontal="right"/>
    </xf>
    <xf numFmtId="0" fontId="6" fillId="0" borderId="55" xfId="1" applyFont="1" applyBorder="1" applyAlignment="1">
      <alignment horizontal="right"/>
    </xf>
    <xf numFmtId="49" fontId="6" fillId="0" borderId="0" xfId="1" applyNumberFormat="1" applyFont="1" applyAlignment="1">
      <alignment horizontal="center"/>
    </xf>
    <xf numFmtId="2" fontId="6" fillId="0" borderId="0" xfId="1" applyNumberFormat="1" applyFont="1" applyAlignment="1">
      <alignment horizontal="center" wrapText="1"/>
    </xf>
    <xf numFmtId="178" fontId="6" fillId="0" borderId="0" xfId="1" applyNumberFormat="1" applyFont="1" applyAlignment="1">
      <alignment horizontal="center"/>
    </xf>
    <xf numFmtId="2" fontId="6" fillId="5" borderId="56" xfId="1" applyNumberFormat="1" applyFont="1" applyFill="1" applyBorder="1"/>
    <xf numFmtId="2" fontId="6" fillId="5" borderId="16" xfId="1" applyNumberFormat="1" applyFont="1" applyFill="1" applyBorder="1"/>
    <xf numFmtId="2" fontId="6" fillId="5" borderId="17" xfId="1" applyNumberFormat="1" applyFont="1" applyFill="1" applyBorder="1"/>
    <xf numFmtId="2" fontId="6" fillId="6" borderId="57" xfId="1" applyNumberFormat="1" applyFont="1" applyFill="1" applyBorder="1"/>
    <xf numFmtId="2" fontId="6" fillId="6" borderId="4" xfId="1" applyNumberFormat="1" applyFont="1" applyFill="1" applyBorder="1"/>
    <xf numFmtId="2" fontId="6" fillId="5" borderId="4" xfId="1" applyNumberFormat="1" applyFont="1" applyFill="1" applyBorder="1"/>
    <xf numFmtId="2" fontId="6" fillId="5" borderId="58" xfId="1" applyNumberFormat="1" applyFont="1" applyFill="1" applyBorder="1"/>
    <xf numFmtId="1" fontId="6" fillId="7" borderId="4" xfId="1" applyNumberFormat="1" applyFont="1" applyFill="1" applyBorder="1"/>
    <xf numFmtId="2" fontId="6" fillId="6" borderId="59" xfId="1" applyNumberFormat="1" applyFont="1" applyFill="1" applyBorder="1"/>
    <xf numFmtId="2" fontId="6" fillId="6" borderId="19" xfId="1" applyNumberFormat="1" applyFont="1" applyFill="1" applyBorder="1"/>
    <xf numFmtId="1" fontId="6" fillId="7" borderId="19" xfId="1" applyNumberFormat="1" applyFont="1" applyFill="1" applyBorder="1"/>
    <xf numFmtId="2" fontId="6" fillId="5" borderId="19" xfId="1" applyNumberFormat="1" applyFont="1" applyFill="1" applyBorder="1"/>
    <xf numFmtId="2" fontId="6" fillId="5" borderId="37" xfId="1" applyNumberFormat="1" applyFont="1" applyFill="1" applyBorder="1"/>
    <xf numFmtId="2" fontId="6" fillId="8" borderId="56" xfId="1" applyNumberFormat="1" applyFont="1" applyFill="1" applyBorder="1"/>
    <xf numFmtId="2" fontId="6" fillId="8" borderId="16" xfId="1" applyNumberFormat="1" applyFont="1" applyFill="1" applyBorder="1"/>
    <xf numFmtId="2" fontId="6" fillId="8" borderId="17" xfId="1" applyNumberFormat="1" applyFont="1" applyFill="1" applyBorder="1"/>
    <xf numFmtId="2" fontId="6" fillId="8" borderId="57" xfId="1" applyNumberFormat="1" applyFont="1" applyFill="1" applyBorder="1"/>
    <xf numFmtId="2" fontId="6" fillId="8" borderId="4" xfId="1" applyNumberFormat="1" applyFont="1" applyFill="1" applyBorder="1"/>
    <xf numFmtId="2" fontId="6" fillId="8" borderId="58" xfId="1" applyNumberFormat="1" applyFont="1" applyFill="1" applyBorder="1"/>
    <xf numFmtId="176" fontId="6" fillId="8" borderId="25" xfId="1" applyNumberFormat="1" applyFont="1" applyFill="1" applyBorder="1"/>
    <xf numFmtId="176" fontId="6" fillId="8" borderId="28" xfId="1" applyNumberFormat="1" applyFont="1" applyFill="1" applyBorder="1"/>
    <xf numFmtId="2" fontId="6" fillId="8" borderId="26" xfId="1" applyNumberFormat="1" applyFont="1" applyFill="1" applyBorder="1"/>
    <xf numFmtId="0" fontId="7" fillId="3" borderId="4" xfId="1" applyFont="1" applyFill="1" applyBorder="1" applyAlignment="1">
      <alignment horizontal="center"/>
    </xf>
    <xf numFmtId="176" fontId="7" fillId="3" borderId="4" xfId="1" applyNumberFormat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176" fontId="7" fillId="3" borderId="0" xfId="1" applyNumberFormat="1" applyFont="1" applyFill="1" applyAlignment="1">
      <alignment horizontal="center"/>
    </xf>
    <xf numFmtId="0" fontId="8" fillId="0" borderId="0" xfId="1" applyFont="1" applyAlignment="1">
      <alignment horizontal="center"/>
    </xf>
    <xf numFmtId="0" fontId="4" fillId="3" borderId="61" xfId="1" applyFill="1" applyBorder="1"/>
    <xf numFmtId="0" fontId="4" fillId="3" borderId="7" xfId="1" applyFill="1" applyBorder="1"/>
    <xf numFmtId="0" fontId="4" fillId="3" borderId="9" xfId="1" applyFill="1" applyBorder="1"/>
    <xf numFmtId="0" fontId="9" fillId="3" borderId="52" xfId="1" applyFont="1" applyFill="1" applyBorder="1" applyAlignment="1">
      <alignment horizontal="right" wrapText="1"/>
    </xf>
    <xf numFmtId="0" fontId="9" fillId="3" borderId="60" xfId="1" applyFont="1" applyFill="1" applyBorder="1" applyAlignment="1">
      <alignment wrapText="1"/>
    </xf>
    <xf numFmtId="0" fontId="9" fillId="3" borderId="62" xfId="1" applyFont="1" applyFill="1" applyBorder="1" applyAlignment="1">
      <alignment wrapText="1"/>
    </xf>
    <xf numFmtId="0" fontId="4" fillId="0" borderId="61" xfId="1" applyBorder="1"/>
    <xf numFmtId="0" fontId="4" fillId="3" borderId="56" xfId="1" applyFill="1" applyBorder="1"/>
    <xf numFmtId="0" fontId="4" fillId="3" borderId="14" xfId="1" applyFill="1" applyBorder="1"/>
    <xf numFmtId="176" fontId="9" fillId="3" borderId="12" xfId="1" applyNumberFormat="1" applyFont="1" applyFill="1" applyBorder="1"/>
    <xf numFmtId="176" fontId="9" fillId="3" borderId="11" xfId="1" applyNumberFormat="1" applyFont="1" applyFill="1" applyBorder="1"/>
    <xf numFmtId="176" fontId="9" fillId="3" borderId="0" xfId="1" applyNumberFormat="1" applyFont="1" applyFill="1"/>
    <xf numFmtId="0" fontId="4" fillId="0" borderId="12" xfId="1" applyBorder="1"/>
    <xf numFmtId="0" fontId="4" fillId="0" borderId="15" xfId="1" applyBorder="1"/>
    <xf numFmtId="0" fontId="4" fillId="3" borderId="57" xfId="1" applyFill="1" applyBorder="1"/>
    <xf numFmtId="0" fontId="4" fillId="3" borderId="13" xfId="1" applyFill="1" applyBorder="1"/>
    <xf numFmtId="176" fontId="4" fillId="3" borderId="11" xfId="1" applyNumberFormat="1" applyFill="1" applyBorder="1"/>
    <xf numFmtId="176" fontId="4" fillId="3" borderId="0" xfId="1" applyNumberFormat="1" applyFill="1"/>
    <xf numFmtId="0" fontId="4" fillId="3" borderId="25" xfId="1" applyFill="1" applyBorder="1"/>
    <xf numFmtId="0" fontId="4" fillId="3" borderId="33" xfId="1" applyFill="1" applyBorder="1"/>
    <xf numFmtId="176" fontId="4" fillId="3" borderId="63" xfId="1" applyNumberFormat="1" applyFill="1" applyBorder="1"/>
    <xf numFmtId="176" fontId="4" fillId="3" borderId="64" xfId="1" applyNumberFormat="1" applyFill="1" applyBorder="1"/>
    <xf numFmtId="0" fontId="4" fillId="0" borderId="21" xfId="1" applyBorder="1"/>
    <xf numFmtId="0" fontId="4" fillId="0" borderId="22" xfId="1" applyBorder="1"/>
    <xf numFmtId="0" fontId="9" fillId="3" borderId="32" xfId="1" applyFont="1" applyFill="1" applyBorder="1"/>
    <xf numFmtId="0" fontId="9" fillId="3" borderId="64" xfId="1" applyFont="1" applyFill="1" applyBorder="1" applyAlignment="1">
      <alignment horizontal="right"/>
    </xf>
    <xf numFmtId="0" fontId="9" fillId="3" borderId="4" xfId="1" applyFont="1" applyFill="1" applyBorder="1"/>
    <xf numFmtId="0" fontId="4" fillId="3" borderId="0" xfId="1" applyFill="1"/>
    <xf numFmtId="0" fontId="9" fillId="3" borderId="12" xfId="1" applyFont="1" applyFill="1" applyBorder="1"/>
    <xf numFmtId="176" fontId="11" fillId="9" borderId="65" xfId="1" applyNumberFormat="1" applyFont="1" applyFill="1" applyBorder="1"/>
    <xf numFmtId="176" fontId="11" fillId="9" borderId="66" xfId="1" applyNumberFormat="1" applyFont="1" applyFill="1" applyBorder="1"/>
    <xf numFmtId="176" fontId="11" fillId="10" borderId="19" xfId="1" applyNumberFormat="1" applyFont="1" applyFill="1" applyBorder="1"/>
    <xf numFmtId="0" fontId="9" fillId="3" borderId="0" xfId="1" applyFont="1" applyFill="1"/>
    <xf numFmtId="177" fontId="4" fillId="0" borderId="0" xfId="1" applyNumberFormat="1"/>
    <xf numFmtId="0" fontId="9" fillId="3" borderId="52" xfId="1" applyFont="1" applyFill="1" applyBorder="1" applyAlignment="1">
      <alignment horizontal="left"/>
    </xf>
    <xf numFmtId="176" fontId="9" fillId="3" borderId="62" xfId="1" applyNumberFormat="1" applyFont="1" applyFill="1" applyBorder="1"/>
    <xf numFmtId="176" fontId="11" fillId="11" borderId="4" xfId="1" applyNumberFormat="1" applyFont="1" applyFill="1" applyBorder="1"/>
    <xf numFmtId="176" fontId="11" fillId="10" borderId="0" xfId="1" applyNumberFormat="1" applyFont="1" applyFill="1"/>
    <xf numFmtId="176" fontId="9" fillId="3" borderId="13" xfId="1" applyNumberFormat="1" applyFont="1" applyFill="1" applyBorder="1"/>
    <xf numFmtId="0" fontId="9" fillId="3" borderId="33" xfId="1" applyFont="1" applyFill="1" applyBorder="1"/>
    <xf numFmtId="176" fontId="9" fillId="3" borderId="64" xfId="1" applyNumberFormat="1" applyFont="1" applyFill="1" applyBorder="1"/>
    <xf numFmtId="176" fontId="9" fillId="3" borderId="33" xfId="1" applyNumberFormat="1" applyFont="1" applyFill="1" applyBorder="1"/>
    <xf numFmtId="0" fontId="6" fillId="3" borderId="0" xfId="1" applyFont="1" applyFill="1"/>
    <xf numFmtId="0" fontId="7" fillId="3" borderId="0" xfId="1" applyFont="1" applyFill="1"/>
    <xf numFmtId="0" fontId="12" fillId="2" borderId="0" xfId="0" applyFont="1" applyFill="1">
      <alignment vertical="center"/>
    </xf>
    <xf numFmtId="0" fontId="3" fillId="2" borderId="4" xfId="0" applyFont="1" applyFill="1" applyBorder="1">
      <alignment vertical="center"/>
    </xf>
    <xf numFmtId="0" fontId="12" fillId="2" borderId="4" xfId="0" applyFont="1" applyFill="1" applyBorder="1">
      <alignment vertical="center"/>
    </xf>
    <xf numFmtId="0" fontId="13" fillId="2" borderId="4" xfId="0" applyFont="1" applyFill="1" applyBorder="1">
      <alignment vertical="center"/>
    </xf>
    <xf numFmtId="0" fontId="2" fillId="0" borderId="3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Continuous" vertical="center"/>
    </xf>
    <xf numFmtId="0" fontId="6" fillId="0" borderId="64" xfId="1" applyFont="1" applyBorder="1" applyAlignment="1">
      <alignment horizontal="right"/>
    </xf>
    <xf numFmtId="0" fontId="6" fillId="0" borderId="62" xfId="1" applyFont="1" applyBorder="1"/>
    <xf numFmtId="0" fontId="6" fillId="0" borderId="0" xfId="1" applyFont="1" applyAlignment="1">
      <alignment horizontal="left" wrapText="1"/>
    </xf>
    <xf numFmtId="0" fontId="6" fillId="0" borderId="0" xfId="1" applyFont="1" applyAlignment="1">
      <alignment horizontal="left" vertical="top" wrapText="1"/>
    </xf>
    <xf numFmtId="0" fontId="6" fillId="0" borderId="66" xfId="1" applyFont="1" applyBorder="1" applyAlignment="1">
      <alignment horizontal="right"/>
    </xf>
    <xf numFmtId="0" fontId="6" fillId="0" borderId="66" xfId="1" applyFont="1" applyBorder="1"/>
    <xf numFmtId="0" fontId="6" fillId="0" borderId="64" xfId="1" applyFont="1" applyBorder="1"/>
    <xf numFmtId="0" fontId="2" fillId="0" borderId="31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6" fillId="3" borderId="57" xfId="1" applyFont="1" applyFill="1" applyBorder="1" applyAlignment="1">
      <alignment horizontal="right"/>
    </xf>
    <xf numFmtId="2" fontId="6" fillId="3" borderId="58" xfId="1" applyNumberFormat="1" applyFont="1" applyFill="1" applyBorder="1" applyAlignment="1">
      <alignment horizontal="right"/>
    </xf>
    <xf numFmtId="0" fontId="6" fillId="3" borderId="57" xfId="1" applyFont="1" applyFill="1" applyBorder="1" applyAlignment="1">
      <alignment horizontal="right" vertical="top" wrapText="1"/>
    </xf>
    <xf numFmtId="0" fontId="6" fillId="3" borderId="25" xfId="1" applyFont="1" applyFill="1" applyBorder="1" applyAlignment="1">
      <alignment horizontal="right"/>
    </xf>
    <xf numFmtId="49" fontId="6" fillId="3" borderId="28" xfId="1" applyNumberFormat="1" applyFont="1" applyFill="1" applyBorder="1" applyAlignment="1">
      <alignment horizontal="center"/>
    </xf>
    <xf numFmtId="0" fontId="6" fillId="3" borderId="28" xfId="1" applyFont="1" applyFill="1" applyBorder="1" applyAlignment="1">
      <alignment horizontal="right"/>
    </xf>
    <xf numFmtId="2" fontId="6" fillId="3" borderId="26" xfId="1" applyNumberFormat="1" applyFont="1" applyFill="1" applyBorder="1" applyAlignment="1">
      <alignment horizontal="right"/>
    </xf>
    <xf numFmtId="0" fontId="6" fillId="3" borderId="67" xfId="1" applyFont="1" applyFill="1" applyBorder="1" applyAlignment="1">
      <alignment horizontal="right"/>
    </xf>
    <xf numFmtId="0" fontId="6" fillId="3" borderId="33" xfId="1" applyFont="1" applyFill="1" applyBorder="1" applyAlignment="1">
      <alignment horizontal="center"/>
    </xf>
    <xf numFmtId="0" fontId="6" fillId="3" borderId="33" xfId="1" applyFont="1" applyFill="1" applyBorder="1" applyAlignment="1">
      <alignment horizontal="right"/>
    </xf>
    <xf numFmtId="2" fontId="6" fillId="3" borderId="34" xfId="1" applyNumberFormat="1" applyFont="1" applyFill="1" applyBorder="1" applyAlignment="1">
      <alignment horizontal="right"/>
    </xf>
    <xf numFmtId="0" fontId="6" fillId="0" borderId="61" xfId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2" fontId="6" fillId="0" borderId="8" xfId="1" applyNumberFormat="1" applyFont="1" applyBorder="1" applyAlignment="1">
      <alignment horizontal="center" vertical="center" wrapText="1"/>
    </xf>
    <xf numFmtId="2" fontId="6" fillId="0" borderId="7" xfId="1" applyNumberFormat="1" applyFont="1" applyBorder="1" applyAlignment="1">
      <alignment horizontal="center" vertical="center"/>
    </xf>
    <xf numFmtId="2" fontId="6" fillId="0" borderId="9" xfId="1" applyNumberFormat="1" applyFont="1" applyBorder="1" applyAlignment="1">
      <alignment horizontal="center" vertical="center"/>
    </xf>
    <xf numFmtId="0" fontId="6" fillId="3" borderId="4" xfId="1" applyFont="1" applyFill="1" applyBorder="1"/>
    <xf numFmtId="2" fontId="6" fillId="3" borderId="4" xfId="1" applyNumberFormat="1" applyFont="1" applyFill="1" applyBorder="1" applyAlignment="1">
      <alignment horizontal="right"/>
    </xf>
    <xf numFmtId="0" fontId="6" fillId="3" borderId="28" xfId="1" applyFont="1" applyFill="1" applyBorder="1"/>
    <xf numFmtId="2" fontId="6" fillId="3" borderId="28" xfId="1" applyNumberFormat="1" applyFont="1" applyFill="1" applyBorder="1" applyAlignment="1">
      <alignment horizontal="right"/>
    </xf>
    <xf numFmtId="2" fontId="6" fillId="3" borderId="33" xfId="1" applyNumberFormat="1" applyFont="1" applyFill="1" applyBorder="1" applyAlignment="1">
      <alignment horizontal="right"/>
    </xf>
    <xf numFmtId="2" fontId="6" fillId="0" borderId="8" xfId="1" applyNumberFormat="1" applyFont="1" applyBorder="1" applyAlignment="1">
      <alignment horizontal="center" vertical="center"/>
    </xf>
    <xf numFmtId="0" fontId="6" fillId="3" borderId="58" xfId="1" applyFont="1" applyFill="1" applyBorder="1"/>
    <xf numFmtId="0" fontId="6" fillId="3" borderId="26" xfId="1" applyFont="1" applyFill="1" applyBorder="1"/>
    <xf numFmtId="0" fontId="4" fillId="0" borderId="24" xfId="1" applyBorder="1"/>
    <xf numFmtId="0" fontId="4" fillId="0" borderId="18" xfId="1" applyBorder="1"/>
    <xf numFmtId="0" fontId="4" fillId="0" borderId="20" xfId="1" applyBorder="1"/>
    <xf numFmtId="0" fontId="4" fillId="0" borderId="0" xfId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" fillId="12" borderId="0" xfId="0" applyFont="1" applyFill="1">
      <alignment vertical="center"/>
    </xf>
    <xf numFmtId="0" fontId="3" fillId="0" borderId="4" xfId="0" applyFont="1" applyBorder="1">
      <alignment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/>
    <xf numFmtId="0" fontId="6" fillId="3" borderId="52" xfId="1" applyFont="1" applyFill="1" applyBorder="1" applyAlignment="1">
      <alignment horizontal="center"/>
    </xf>
    <xf numFmtId="1" fontId="6" fillId="3" borderId="32" xfId="1" applyNumberFormat="1" applyFont="1" applyFill="1" applyBorder="1" applyAlignment="1">
      <alignment horizontal="right"/>
    </xf>
    <xf numFmtId="1" fontId="6" fillId="3" borderId="34" xfId="1" applyNumberFormat="1" applyFont="1" applyFill="1" applyBorder="1" applyAlignment="1">
      <alignment horizontal="right"/>
    </xf>
    <xf numFmtId="1" fontId="6" fillId="3" borderId="52" xfId="1" applyNumberFormat="1" applyFont="1" applyFill="1" applyBorder="1" applyAlignment="1">
      <alignment horizontal="right"/>
    </xf>
    <xf numFmtId="1" fontId="6" fillId="3" borderId="58" xfId="1" applyNumberFormat="1" applyFont="1" applyFill="1" applyBorder="1" applyAlignment="1">
      <alignment horizontal="right"/>
    </xf>
    <xf numFmtId="1" fontId="6" fillId="3" borderId="29" xfId="1" applyNumberFormat="1" applyFont="1" applyFill="1" applyBorder="1" applyAlignment="1">
      <alignment horizontal="right"/>
    </xf>
    <xf numFmtId="1" fontId="6" fillId="3" borderId="26" xfId="1" applyNumberFormat="1" applyFont="1" applyFill="1" applyBorder="1" applyAlignment="1">
      <alignment horizontal="right"/>
    </xf>
    <xf numFmtId="177" fontId="6" fillId="0" borderId="0" xfId="1" applyNumberFormat="1" applyFont="1" applyAlignment="1">
      <alignment horizontal="right"/>
    </xf>
    <xf numFmtId="1" fontId="6" fillId="0" borderId="0" xfId="1" applyNumberFormat="1" applyFont="1" applyAlignment="1">
      <alignment horizontal="right"/>
    </xf>
    <xf numFmtId="0" fontId="0" fillId="0" borderId="70" xfId="0" applyBorder="1" applyAlignment="1"/>
    <xf numFmtId="0" fontId="0" fillId="0" borderId="2" xfId="0" applyBorder="1" applyAlignment="1"/>
    <xf numFmtId="0" fontId="15" fillId="0" borderId="2" xfId="0" applyFont="1" applyBorder="1" applyAlignment="1"/>
    <xf numFmtId="0" fontId="0" fillId="0" borderId="71" xfId="0" applyBorder="1" applyAlignment="1"/>
    <xf numFmtId="0" fontId="0" fillId="0" borderId="10" xfId="0" applyBorder="1" applyAlignment="1"/>
    <xf numFmtId="0" fontId="15" fillId="0" borderId="0" xfId="0" applyFont="1" applyAlignment="1"/>
    <xf numFmtId="0" fontId="0" fillId="0" borderId="72" xfId="0" applyBorder="1" applyAlignment="1"/>
    <xf numFmtId="0" fontId="6" fillId="0" borderId="70" xfId="0" applyFont="1" applyBorder="1" applyAlignment="1"/>
    <xf numFmtId="0" fontId="6" fillId="0" borderId="2" xfId="0" applyFont="1" applyBorder="1" applyAlignment="1"/>
    <xf numFmtId="0" fontId="6" fillId="0" borderId="10" xfId="0" applyFont="1" applyBorder="1" applyAlignment="1"/>
    <xf numFmtId="0" fontId="6" fillId="0" borderId="0" xfId="0" applyFont="1" applyAlignment="1"/>
    <xf numFmtId="0" fontId="6" fillId="0" borderId="3" xfId="0" applyFont="1" applyBorder="1" applyAlignment="1"/>
    <xf numFmtId="0" fontId="6" fillId="0" borderId="73" xfId="0" applyFont="1" applyBorder="1" applyAlignment="1"/>
    <xf numFmtId="0" fontId="0" fillId="0" borderId="3" xfId="0" applyBorder="1" applyAlignment="1"/>
    <xf numFmtId="0" fontId="0" fillId="0" borderId="74" xfId="0" applyBorder="1" applyAlignment="1"/>
    <xf numFmtId="0" fontId="0" fillId="0" borderId="73" xfId="0" applyBorder="1" applyAlignment="1"/>
    <xf numFmtId="0" fontId="6" fillId="3" borderId="0" xfId="0" applyFont="1" applyFill="1" applyAlignment="1"/>
    <xf numFmtId="176" fontId="7" fillId="0" borderId="0" xfId="0" applyNumberFormat="1" applyFont="1" applyAlignment="1"/>
    <xf numFmtId="0" fontId="6" fillId="0" borderId="30" xfId="1" applyFont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3" borderId="32" xfId="1" applyFont="1" applyFill="1" applyBorder="1" applyAlignment="1">
      <alignment horizontal="center"/>
    </xf>
    <xf numFmtId="0" fontId="6" fillId="3" borderId="34" xfId="1" applyFont="1" applyFill="1" applyBorder="1" applyAlignment="1">
      <alignment horizontal="center"/>
    </xf>
    <xf numFmtId="0" fontId="6" fillId="3" borderId="58" xfId="1" applyFont="1" applyFill="1" applyBorder="1" applyAlignment="1">
      <alignment horizontal="center"/>
    </xf>
    <xf numFmtId="0" fontId="6" fillId="0" borderId="20" xfId="1" applyFont="1" applyBorder="1" applyAlignment="1">
      <alignment horizontal="center"/>
    </xf>
    <xf numFmtId="0" fontId="6" fillId="3" borderId="29" xfId="1" applyFont="1" applyFill="1" applyBorder="1" applyAlignment="1">
      <alignment horizontal="center"/>
    </xf>
    <xf numFmtId="0" fontId="6" fillId="3" borderId="26" xfId="1" applyFont="1" applyFill="1" applyBorder="1" applyAlignment="1">
      <alignment horizontal="center"/>
    </xf>
    <xf numFmtId="0" fontId="6" fillId="3" borderId="56" xfId="1" applyFont="1" applyFill="1" applyBorder="1"/>
    <xf numFmtId="0" fontId="6" fillId="3" borderId="16" xfId="1" applyFont="1" applyFill="1" applyBorder="1"/>
    <xf numFmtId="0" fontId="6" fillId="3" borderId="17" xfId="1" applyFont="1" applyFill="1" applyBorder="1"/>
    <xf numFmtId="0" fontId="6" fillId="3" borderId="57" xfId="1" applyFont="1" applyFill="1" applyBorder="1"/>
    <xf numFmtId="0" fontId="6" fillId="3" borderId="25" xfId="1" applyFont="1" applyFill="1" applyBorder="1"/>
    <xf numFmtId="0" fontId="16" fillId="3" borderId="26" xfId="1" applyFont="1" applyFill="1" applyBorder="1"/>
    <xf numFmtId="0" fontId="16" fillId="3" borderId="4" xfId="1" applyFont="1" applyFill="1" applyBorder="1"/>
    <xf numFmtId="0" fontId="16" fillId="3" borderId="28" xfId="1" applyFont="1" applyFill="1" applyBorder="1"/>
    <xf numFmtId="0" fontId="6" fillId="3" borderId="58" xfId="1" applyFont="1" applyFill="1" applyBorder="1" applyAlignment="1">
      <alignment horizontal="right"/>
    </xf>
    <xf numFmtId="0" fontId="6" fillId="3" borderId="30" xfId="1" applyFont="1" applyFill="1" applyBorder="1" applyAlignment="1">
      <alignment horizontal="center"/>
    </xf>
    <xf numFmtId="0" fontId="6" fillId="3" borderId="31" xfId="1" applyFont="1" applyFill="1" applyBorder="1" applyAlignment="1">
      <alignment horizontal="center"/>
    </xf>
    <xf numFmtId="0" fontId="6" fillId="3" borderId="68" xfId="1" applyFont="1" applyFill="1" applyBorder="1" applyAlignment="1">
      <alignment horizontal="center"/>
    </xf>
    <xf numFmtId="0" fontId="6" fillId="3" borderId="20" xfId="1" applyFont="1" applyFill="1" applyBorder="1" applyAlignment="1">
      <alignment horizontal="center"/>
    </xf>
    <xf numFmtId="0" fontId="6" fillId="3" borderId="27" xfId="1" applyFont="1" applyFill="1" applyBorder="1" applyAlignment="1">
      <alignment horizontal="center"/>
    </xf>
    <xf numFmtId="0" fontId="16" fillId="0" borderId="0" xfId="1" applyFont="1"/>
    <xf numFmtId="0" fontId="6" fillId="3" borderId="57" xfId="1" applyFont="1" applyFill="1" applyBorder="1" applyAlignment="1">
      <alignment horizontal="center"/>
    </xf>
    <xf numFmtId="0" fontId="6" fillId="3" borderId="25" xfId="1" applyFont="1" applyFill="1" applyBorder="1" applyAlignment="1">
      <alignment horizontal="center"/>
    </xf>
    <xf numFmtId="0" fontId="6" fillId="3" borderId="28" xfId="1" applyFont="1" applyFill="1" applyBorder="1" applyAlignment="1">
      <alignment horizontal="center"/>
    </xf>
    <xf numFmtId="176" fontId="7" fillId="0" borderId="0" xfId="1" applyNumberFormat="1" applyFont="1"/>
    <xf numFmtId="176" fontId="7" fillId="3" borderId="30" xfId="1" applyNumberFormat="1" applyFont="1" applyFill="1" applyBorder="1"/>
    <xf numFmtId="176" fontId="7" fillId="3" borderId="61" xfId="1" applyNumberFormat="1" applyFont="1" applyFill="1" applyBorder="1" applyAlignment="1">
      <alignment horizontal="center" vertical="center"/>
    </xf>
    <xf numFmtId="176" fontId="7" fillId="3" borderId="9" xfId="1" applyNumberFormat="1" applyFont="1" applyFill="1" applyBorder="1" applyAlignment="1">
      <alignment horizontal="center" vertical="center"/>
    </xf>
    <xf numFmtId="176" fontId="7" fillId="3" borderId="6" xfId="1" applyNumberFormat="1" applyFont="1" applyFill="1" applyBorder="1"/>
    <xf numFmtId="176" fontId="7" fillId="3" borderId="75" xfId="1" applyNumberFormat="1" applyFont="1" applyFill="1" applyBorder="1"/>
    <xf numFmtId="1" fontId="7" fillId="3" borderId="18" xfId="1" applyNumberFormat="1" applyFont="1" applyFill="1" applyBorder="1"/>
    <xf numFmtId="1" fontId="7" fillId="3" borderId="76" xfId="1" applyNumberFormat="1" applyFont="1" applyFill="1" applyBorder="1" applyAlignment="1">
      <alignment horizontal="center" vertical="center"/>
    </xf>
    <xf numFmtId="1" fontId="7" fillId="3" borderId="15" xfId="1" applyNumberFormat="1" applyFont="1" applyFill="1" applyBorder="1" applyAlignment="1">
      <alignment horizontal="center" vertical="center"/>
    </xf>
    <xf numFmtId="1" fontId="7" fillId="3" borderId="10" xfId="1" applyNumberFormat="1" applyFont="1" applyFill="1" applyBorder="1"/>
    <xf numFmtId="176" fontId="7" fillId="3" borderId="72" xfId="1" applyNumberFormat="1" applyFont="1" applyFill="1" applyBorder="1"/>
    <xf numFmtId="1" fontId="7" fillId="3" borderId="73" xfId="1" applyNumberFormat="1" applyFont="1" applyFill="1" applyBorder="1"/>
    <xf numFmtId="1" fontId="7" fillId="3" borderId="20" xfId="1" applyNumberFormat="1" applyFont="1" applyFill="1" applyBorder="1"/>
    <xf numFmtId="176" fontId="7" fillId="3" borderId="74" xfId="1" applyNumberFormat="1" applyFont="1" applyFill="1" applyBorder="1"/>
    <xf numFmtId="1" fontId="7" fillId="3" borderId="69" xfId="1" applyNumberFormat="1" applyFont="1" applyFill="1" applyBorder="1" applyAlignment="1">
      <alignment horizontal="center" vertical="center"/>
    </xf>
    <xf numFmtId="1" fontId="7" fillId="3" borderId="22" xfId="1" applyNumberFormat="1" applyFont="1" applyFill="1" applyBorder="1" applyAlignment="1">
      <alignment horizontal="center" vertical="center"/>
    </xf>
    <xf numFmtId="177" fontId="7" fillId="3" borderId="18" xfId="1" applyNumberFormat="1" applyFont="1" applyFill="1" applyBorder="1"/>
    <xf numFmtId="177" fontId="7" fillId="3" borderId="72" xfId="1" applyNumberFormat="1" applyFont="1" applyFill="1" applyBorder="1"/>
    <xf numFmtId="177" fontId="7" fillId="3" borderId="20" xfId="1" applyNumberFormat="1" applyFont="1" applyFill="1" applyBorder="1"/>
    <xf numFmtId="177" fontId="7" fillId="3" borderId="74" xfId="1" applyNumberFormat="1" applyFont="1" applyFill="1" applyBorder="1"/>
    <xf numFmtId="176" fontId="7" fillId="3" borderId="18" xfId="1" applyNumberFormat="1" applyFont="1" applyFill="1" applyBorder="1"/>
    <xf numFmtId="176" fontId="7" fillId="3" borderId="20" xfId="1" applyNumberFormat="1" applyFont="1" applyFill="1" applyBorder="1"/>
    <xf numFmtId="176" fontId="7" fillId="3" borderId="76" xfId="1" applyNumberFormat="1" applyFont="1" applyFill="1" applyBorder="1" applyAlignment="1">
      <alignment horizontal="center" vertical="center"/>
    </xf>
    <xf numFmtId="176" fontId="7" fillId="3" borderId="15" xfId="1" applyNumberFormat="1" applyFont="1" applyFill="1" applyBorder="1" applyAlignment="1">
      <alignment horizontal="center" vertical="center"/>
    </xf>
    <xf numFmtId="176" fontId="7" fillId="3" borderId="23" xfId="1" applyNumberFormat="1" applyFont="1" applyFill="1" applyBorder="1" applyAlignment="1">
      <alignment horizontal="center" vertical="center"/>
    </xf>
    <xf numFmtId="176" fontId="7" fillId="3" borderId="69" xfId="1" applyNumberFormat="1" applyFont="1" applyFill="1" applyBorder="1" applyAlignment="1">
      <alignment horizontal="center" vertical="center"/>
    </xf>
    <xf numFmtId="176" fontId="7" fillId="3" borderId="22" xfId="1" applyNumberFormat="1" applyFont="1" applyFill="1" applyBorder="1" applyAlignment="1">
      <alignment horizontal="center" vertical="center"/>
    </xf>
    <xf numFmtId="176" fontId="8" fillId="0" borderId="0" xfId="1" applyNumberFormat="1" applyFont="1"/>
    <xf numFmtId="176" fontId="7" fillId="3" borderId="0" xfId="1" applyNumberFormat="1" applyFont="1" applyFill="1"/>
    <xf numFmtId="176" fontId="7" fillId="0" borderId="30" xfId="1" applyNumberFormat="1" applyFont="1" applyBorder="1"/>
    <xf numFmtId="176" fontId="7" fillId="0" borderId="1" xfId="1" applyNumberFormat="1" applyFont="1" applyBorder="1"/>
    <xf numFmtId="176" fontId="7" fillId="0" borderId="6" xfId="1" applyNumberFormat="1" applyFont="1" applyBorder="1"/>
    <xf numFmtId="176" fontId="7" fillId="0" borderId="75" xfId="1" applyNumberFormat="1" applyFont="1" applyBorder="1"/>
    <xf numFmtId="1" fontId="7" fillId="0" borderId="18" xfId="1" applyNumberFormat="1" applyFont="1" applyBorder="1"/>
    <xf numFmtId="176" fontId="7" fillId="0" borderId="70" xfId="1" applyNumberFormat="1" applyFont="1" applyBorder="1"/>
    <xf numFmtId="176" fontId="7" fillId="0" borderId="71" xfId="1" applyNumberFormat="1" applyFont="1" applyBorder="1"/>
    <xf numFmtId="1" fontId="7" fillId="0" borderId="10" xfId="1" applyNumberFormat="1" applyFont="1" applyBorder="1"/>
    <xf numFmtId="176" fontId="7" fillId="0" borderId="72" xfId="1" applyNumberFormat="1" applyFont="1" applyBorder="1"/>
    <xf numFmtId="176" fontId="7" fillId="0" borderId="10" xfId="1" applyNumberFormat="1" applyFont="1" applyBorder="1"/>
    <xf numFmtId="1" fontId="7" fillId="0" borderId="73" xfId="1" applyNumberFormat="1" applyFont="1" applyBorder="1"/>
    <xf numFmtId="1" fontId="7" fillId="0" borderId="20" xfId="1" applyNumberFormat="1" applyFont="1" applyBorder="1"/>
    <xf numFmtId="176" fontId="7" fillId="0" borderId="74" xfId="1" applyNumberFormat="1" applyFont="1" applyBorder="1"/>
    <xf numFmtId="176" fontId="7" fillId="0" borderId="73" xfId="1" applyNumberFormat="1" applyFont="1" applyBorder="1"/>
    <xf numFmtId="177" fontId="7" fillId="0" borderId="18" xfId="1" applyNumberFormat="1" applyFont="1" applyBorder="1"/>
    <xf numFmtId="177" fontId="7" fillId="0" borderId="72" xfId="1" applyNumberFormat="1" applyFont="1" applyBorder="1"/>
    <xf numFmtId="177" fontId="7" fillId="0" borderId="20" xfId="1" applyNumberFormat="1" applyFont="1" applyBorder="1"/>
    <xf numFmtId="177" fontId="7" fillId="0" borderId="74" xfId="1" applyNumberFormat="1" applyFont="1" applyBorder="1"/>
    <xf numFmtId="176" fontId="7" fillId="0" borderId="18" xfId="1" applyNumberFormat="1" applyFont="1" applyBorder="1"/>
    <xf numFmtId="176" fontId="7" fillId="0" borderId="20" xfId="1" applyNumberFormat="1" applyFont="1" applyBorder="1"/>
    <xf numFmtId="2" fontId="7" fillId="3" borderId="76" xfId="1" applyNumberFormat="1" applyFont="1" applyFill="1" applyBorder="1" applyAlignment="1">
      <alignment horizontal="center" vertical="center"/>
    </xf>
    <xf numFmtId="2" fontId="7" fillId="3" borderId="15" xfId="1" applyNumberFormat="1" applyFont="1" applyFill="1" applyBorder="1" applyAlignment="1">
      <alignment horizontal="center" vertical="center"/>
    </xf>
    <xf numFmtId="2" fontId="7" fillId="3" borderId="69" xfId="1" applyNumberFormat="1" applyFont="1" applyFill="1" applyBorder="1" applyAlignment="1">
      <alignment horizontal="center" vertical="center"/>
    </xf>
    <xf numFmtId="2" fontId="7" fillId="3" borderId="22" xfId="1" applyNumberFormat="1" applyFont="1" applyFill="1" applyBorder="1" applyAlignment="1">
      <alignment horizontal="center" vertical="center"/>
    </xf>
    <xf numFmtId="0" fontId="6" fillId="3" borderId="67" xfId="1" applyFont="1" applyFill="1" applyBorder="1" applyAlignment="1">
      <alignment horizontal="center"/>
    </xf>
    <xf numFmtId="2" fontId="6" fillId="3" borderId="34" xfId="1" applyNumberFormat="1" applyFont="1" applyFill="1" applyBorder="1" applyAlignment="1">
      <alignment horizontal="center"/>
    </xf>
    <xf numFmtId="2" fontId="6" fillId="3" borderId="58" xfId="1" applyNumberFormat="1" applyFont="1" applyFill="1" applyBorder="1" applyAlignment="1">
      <alignment horizontal="center"/>
    </xf>
    <xf numFmtId="2" fontId="6" fillId="3" borderId="26" xfId="1" applyNumberFormat="1" applyFont="1" applyFill="1" applyBorder="1" applyAlignment="1">
      <alignment horizontal="center"/>
    </xf>
    <xf numFmtId="0" fontId="4" fillId="0" borderId="4" xfId="1" applyBorder="1"/>
    <xf numFmtId="0" fontId="2" fillId="0" borderId="4" xfId="0" applyFont="1" applyBorder="1">
      <alignment vertical="center"/>
    </xf>
    <xf numFmtId="0" fontId="6" fillId="3" borderId="60" xfId="1" applyFont="1" applyFill="1" applyBorder="1" applyAlignment="1">
      <alignment horizontal="center"/>
    </xf>
    <xf numFmtId="0" fontId="6" fillId="3" borderId="52" xfId="1" applyFont="1" applyFill="1" applyBorder="1" applyAlignment="1">
      <alignment horizontal="center"/>
    </xf>
    <xf numFmtId="0" fontId="7" fillId="3" borderId="60" xfId="1" applyFont="1" applyFill="1" applyBorder="1"/>
    <xf numFmtId="0" fontId="7" fillId="3" borderId="52" xfId="1" applyFont="1" applyFill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>
              <a:solidFill>
                <a:srgbClr val="008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sanpuzu!#REF!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8853-4322-800A-4369A8C60FDF}"/>
            </c:ext>
          </c:extLst>
        </c:ser>
        <c:ser>
          <c:idx val="2"/>
          <c:order val="1"/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val>
            <c:numRef>
              <c:f>sanpuzu!#REF!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8853-4322-800A-4369A8C60FDF}"/>
            </c:ext>
          </c:extLst>
        </c:ser>
        <c:ser>
          <c:idx val="3"/>
          <c:order val="2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sanpuzu!#REF!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8853-4322-800A-4369A8C60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942328"/>
        <c:axId val="421942720"/>
      </c:lineChart>
      <c:catAx>
        <c:axId val="4219423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cLogP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1942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21942720"/>
        <c:scaling>
          <c:orientation val="minMax"/>
          <c:max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NCpH4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1942328"/>
        <c:crosses val="autoZero"/>
        <c:crossBetween val="between"/>
        <c:majorUnit val="0.5"/>
        <c:min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本の価格!#REF!</c:f>
            </c:numRef>
          </c:xVal>
          <c:yVal>
            <c:numRef>
              <c:f>本の価格!#REF!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本の価格!#REF!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AD3-4C9F-BB0B-C1DDE9990D93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'65名の患者の年齢の度数分布'!#REF!</c:f>
              <c:numCache>
                <c:formatCode>0.00</c:formatCode>
                <c:ptCount val="1"/>
                <c:pt idx="0">
                  <c:v>1</c:v>
                </c:pt>
              </c:numCache>
            </c:numRef>
          </c:xVal>
          <c:yVal>
            <c:numRef>
              <c:f>'65名の患者の年齢の度数分布'!#REF!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本の価格!#REF!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AD3-4C9F-BB0B-C1DDE9990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835584"/>
        <c:axId val="422835976"/>
      </c:scatterChart>
      <c:valAx>
        <c:axId val="422835584"/>
        <c:scaling>
          <c:orientation val="minMax"/>
          <c:max val="9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cLogP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2835976"/>
        <c:crosses val="autoZero"/>
        <c:crossBetween val="midCat"/>
        <c:majorUnit val="1"/>
        <c:minorUnit val="1"/>
      </c:valAx>
      <c:valAx>
        <c:axId val="422835976"/>
        <c:scaling>
          <c:orientation val="minMax"/>
          <c:max val="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NCpH4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28355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152911012915"/>
          <c:y val="0.12669700417140689"/>
          <c:w val="0.71783069563934054"/>
          <c:h val="0.7072487526089954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単回帰ソルバー!$D$4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単回帰ソルバー!$B$5:$B$9</c:f>
              <c:numCache>
                <c:formatCode>General</c:formatCode>
                <c:ptCount val="5"/>
                <c:pt idx="0">
                  <c:v>65</c:v>
                </c:pt>
                <c:pt idx="1">
                  <c:v>73</c:v>
                </c:pt>
                <c:pt idx="2">
                  <c:v>75</c:v>
                </c:pt>
                <c:pt idx="3">
                  <c:v>81</c:v>
                </c:pt>
              </c:numCache>
            </c:numRef>
          </c:xVal>
          <c:yVal>
            <c:numRef>
              <c:f>単回帰ソルバー!$D$5:$D$9</c:f>
              <c:numCache>
                <c:formatCode>General</c:formatCode>
                <c:ptCount val="5"/>
                <c:pt idx="0">
                  <c:v>105</c:v>
                </c:pt>
                <c:pt idx="1">
                  <c:v>113</c:v>
                </c:pt>
                <c:pt idx="2">
                  <c:v>115</c:v>
                </c:pt>
                <c:pt idx="3">
                  <c:v>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E-47FF-A405-B3FDF8EB7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07704"/>
        <c:axId val="421308096"/>
      </c:scatterChart>
      <c:scatterChart>
        <c:scatterStyle val="lineMarker"/>
        <c:varyColors val="0"/>
        <c:ser>
          <c:idx val="0"/>
          <c:order val="0"/>
          <c:tx>
            <c:strRef>
              <c:f>単回帰ソルバー!$C$4</c:f>
              <c:strCache>
                <c:ptCount val="1"/>
                <c:pt idx="0">
                  <c:v>食前血糖値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単回帰ソルバー!$B$5:$B$9</c:f>
              <c:numCache>
                <c:formatCode>General</c:formatCode>
                <c:ptCount val="5"/>
                <c:pt idx="0">
                  <c:v>65</c:v>
                </c:pt>
                <c:pt idx="1">
                  <c:v>73</c:v>
                </c:pt>
                <c:pt idx="2">
                  <c:v>75</c:v>
                </c:pt>
                <c:pt idx="3">
                  <c:v>81</c:v>
                </c:pt>
              </c:numCache>
            </c:numRef>
          </c:xVal>
          <c:yVal>
            <c:numRef>
              <c:f>単回帰ソルバー!$C$5:$C$9</c:f>
              <c:numCache>
                <c:formatCode>General</c:formatCode>
                <c:ptCount val="5"/>
                <c:pt idx="0">
                  <c:v>119</c:v>
                </c:pt>
                <c:pt idx="1">
                  <c:v>125</c:v>
                </c:pt>
                <c:pt idx="2">
                  <c:v>135</c:v>
                </c:pt>
                <c:pt idx="3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8E-47FF-A405-B3FDF8EB7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07704"/>
        <c:axId val="421308096"/>
      </c:scatterChart>
      <c:valAx>
        <c:axId val="421307704"/>
        <c:scaling>
          <c:orientation val="minMax"/>
          <c:max val="9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308096"/>
        <c:crosses val="autoZero"/>
        <c:crossBetween val="midCat"/>
      </c:valAx>
      <c:valAx>
        <c:axId val="42130809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307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重回帰ソルバー!$E$5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重回帰ソルバー!$B$6:$B$10</c:f>
              <c:numCache>
                <c:formatCode>General</c:formatCode>
                <c:ptCount val="5"/>
                <c:pt idx="0">
                  <c:v>65</c:v>
                </c:pt>
                <c:pt idx="1">
                  <c:v>73</c:v>
                </c:pt>
                <c:pt idx="2">
                  <c:v>75</c:v>
                </c:pt>
                <c:pt idx="3">
                  <c:v>81</c:v>
                </c:pt>
              </c:numCache>
            </c:numRef>
          </c:xVal>
          <c:yVal>
            <c:numRef>
              <c:f>重回帰ソルバー!$E$6:$E$10</c:f>
              <c:numCache>
                <c:formatCode>General</c:formatCode>
                <c:ptCount val="5"/>
                <c:pt idx="0">
                  <c:v>125</c:v>
                </c:pt>
                <c:pt idx="1">
                  <c:v>128</c:v>
                </c:pt>
                <c:pt idx="2">
                  <c:v>140</c:v>
                </c:pt>
                <c:pt idx="3">
                  <c:v>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0A-4D6F-96BB-8D5A39959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71736"/>
        <c:axId val="422272128"/>
      </c:scatterChart>
      <c:scatterChart>
        <c:scatterStyle val="lineMarker"/>
        <c:varyColors val="0"/>
        <c:ser>
          <c:idx val="0"/>
          <c:order val="0"/>
          <c:tx>
            <c:strRef>
              <c:f>重回帰ソルバー!$D$5</c:f>
              <c:strCache>
                <c:ptCount val="1"/>
                <c:pt idx="0">
                  <c:v>食前血糖値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重回帰ソルバー!$B$6:$B$10</c:f>
              <c:numCache>
                <c:formatCode>General</c:formatCode>
                <c:ptCount val="5"/>
                <c:pt idx="0">
                  <c:v>65</c:v>
                </c:pt>
                <c:pt idx="1">
                  <c:v>73</c:v>
                </c:pt>
                <c:pt idx="2">
                  <c:v>75</c:v>
                </c:pt>
                <c:pt idx="3">
                  <c:v>81</c:v>
                </c:pt>
              </c:numCache>
            </c:numRef>
          </c:xVal>
          <c:yVal>
            <c:numRef>
              <c:f>重回帰ソルバー!$D$6:$D$10</c:f>
              <c:numCache>
                <c:formatCode>General</c:formatCode>
                <c:ptCount val="5"/>
                <c:pt idx="0">
                  <c:v>119</c:v>
                </c:pt>
                <c:pt idx="1">
                  <c:v>125</c:v>
                </c:pt>
                <c:pt idx="2">
                  <c:v>135</c:v>
                </c:pt>
                <c:pt idx="3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0A-4D6F-96BB-8D5A39959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71736"/>
        <c:axId val="422272128"/>
      </c:scatterChart>
      <c:valAx>
        <c:axId val="422271736"/>
        <c:scaling>
          <c:orientation val="minMax"/>
          <c:max val="9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272128"/>
        <c:crosses val="autoZero"/>
        <c:crossBetween val="midCat"/>
      </c:valAx>
      <c:valAx>
        <c:axId val="422272128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271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152911012915"/>
          <c:y val="0.12669700417140689"/>
          <c:w val="0.71783069563934054"/>
          <c:h val="0.7072487526089954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重回帰ソルバー2!$F$5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重回帰ソルバー2!$C$6:$C$10</c:f>
              <c:numCache>
                <c:formatCode>General</c:formatCode>
                <c:ptCount val="5"/>
                <c:pt idx="0">
                  <c:v>203</c:v>
                </c:pt>
                <c:pt idx="1">
                  <c:v>188</c:v>
                </c:pt>
                <c:pt idx="2">
                  <c:v>166</c:v>
                </c:pt>
                <c:pt idx="3">
                  <c:v>135</c:v>
                </c:pt>
              </c:numCache>
            </c:numRef>
          </c:xVal>
          <c:yVal>
            <c:numRef>
              <c:f>重回帰ソルバー2!$F$6:$F$10</c:f>
              <c:numCache>
                <c:formatCode>0.00</c:formatCode>
                <c:ptCount val="5"/>
                <c:pt idx="0">
                  <c:v>532.14838621912565</c:v>
                </c:pt>
                <c:pt idx="1">
                  <c:v>469.74988419397175</c:v>
                </c:pt>
                <c:pt idx="2">
                  <c:v>440.90581127315738</c:v>
                </c:pt>
                <c:pt idx="3">
                  <c:v>359.19525743278007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73-4E9D-B349-C55F98941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07704"/>
        <c:axId val="421308096"/>
      </c:scatterChart>
      <c:scatterChart>
        <c:scatterStyle val="lineMarker"/>
        <c:varyColors val="0"/>
        <c:ser>
          <c:idx val="0"/>
          <c:order val="0"/>
          <c:tx>
            <c:strRef>
              <c:f>重回帰ソルバー2!$E$5</c:f>
              <c:strCache>
                <c:ptCount val="1"/>
                <c:pt idx="0">
                  <c:v>カルシウム摂取量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重回帰ソルバー2!$C$6:$C$9</c:f>
              <c:numCache>
                <c:formatCode>General</c:formatCode>
                <c:ptCount val="4"/>
                <c:pt idx="0">
                  <c:v>203</c:v>
                </c:pt>
                <c:pt idx="1">
                  <c:v>188</c:v>
                </c:pt>
                <c:pt idx="2">
                  <c:v>166</c:v>
                </c:pt>
                <c:pt idx="3">
                  <c:v>135</c:v>
                </c:pt>
              </c:numCache>
            </c:numRef>
          </c:xVal>
          <c:yVal>
            <c:numRef>
              <c:f>重回帰ソルバー2!$E$6:$E$9</c:f>
              <c:numCache>
                <c:formatCode>General</c:formatCode>
                <c:ptCount val="4"/>
                <c:pt idx="0">
                  <c:v>531</c:v>
                </c:pt>
                <c:pt idx="1">
                  <c:v>470</c:v>
                </c:pt>
                <c:pt idx="2">
                  <c:v>443</c:v>
                </c:pt>
                <c:pt idx="3">
                  <c:v>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73-4E9D-B349-C55F98941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07704"/>
        <c:axId val="421308096"/>
      </c:scatterChart>
      <c:valAx>
        <c:axId val="421307704"/>
        <c:scaling>
          <c:orientation val="minMax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308096"/>
        <c:crosses val="autoZero"/>
        <c:crossBetween val="midCat"/>
      </c:valAx>
      <c:valAx>
        <c:axId val="421308096"/>
        <c:scaling>
          <c:orientation val="minMax"/>
          <c:max val="55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307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683955590230401"/>
          <c:y val="0.9062081227610731"/>
          <c:w val="0.39902253597610643"/>
          <c:h val="7.1544936193320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67584420863267"/>
          <c:y val="5.8027093004613887E-2"/>
          <c:w val="0.81834408968378547"/>
          <c:h val="0.79497117416321017"/>
        </c:manualLayout>
      </c:layout>
      <c:lineChart>
        <c:grouping val="standard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殺虫剤!$B$9:$B$15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殺虫剤!$C$9:$C$15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18</c:v>
                </c:pt>
                <c:pt idx="3">
                  <c:v>50</c:v>
                </c:pt>
                <c:pt idx="4">
                  <c:v>83</c:v>
                </c:pt>
                <c:pt idx="5">
                  <c:v>97</c:v>
                </c:pt>
                <c:pt idx="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D-492A-B398-AFA2DFC479CB}"/>
            </c:ext>
          </c:extLst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殺虫剤!$B$9:$B$15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殺虫剤!$D$9:$D$15</c:f>
              <c:numCache>
                <c:formatCode>General</c:formatCode>
                <c:ptCount val="7"/>
                <c:pt idx="0">
                  <c:v>1.7986209962091559</c:v>
                </c:pt>
                <c:pt idx="1">
                  <c:v>4.7425873177566782</c:v>
                </c:pt>
                <c:pt idx="2">
                  <c:v>11.920292202211755</c:v>
                </c:pt>
                <c:pt idx="3">
                  <c:v>26.894142136999509</c:v>
                </c:pt>
                <c:pt idx="4">
                  <c:v>50</c:v>
                </c:pt>
                <c:pt idx="5">
                  <c:v>73.105857863000494</c:v>
                </c:pt>
                <c:pt idx="6">
                  <c:v>88.079707797788231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3ED-492A-B398-AFA2DFC47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939584"/>
        <c:axId val="421939976"/>
      </c:lineChart>
      <c:catAx>
        <c:axId val="42193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1200" b="1"/>
                  <a:t>濃度</a:t>
                </a:r>
                <a:endParaRPr lang="en-US" altLang="ja-JP" sz="1200" b="1"/>
              </a:p>
            </c:rich>
          </c:tx>
          <c:layout>
            <c:manualLayout>
              <c:xMode val="edge"/>
              <c:yMode val="edge"/>
              <c:x val="0.52557443690898287"/>
              <c:y val="0.918762305906386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1939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2193997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1200" b="1"/>
                  <a:t>死亡率</a:t>
                </a:r>
              </a:p>
            </c:rich>
          </c:tx>
          <c:layout>
            <c:manualLayout>
              <c:xMode val="edge"/>
              <c:yMode val="edge"/>
              <c:x val="3.3509779534465357E-2"/>
              <c:y val="0.400386941731835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193958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76973234229508"/>
          <c:y val="0.10344895322852365"/>
          <c:w val="0.75692506703555784"/>
          <c:h val="0.66667103191715249"/>
        </c:manualLayout>
      </c:layout>
      <c:lineChart>
        <c:grouping val="standard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殺虫剤!$B$9:$B$15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殺虫剤!$C$9:$C$15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18</c:v>
                </c:pt>
                <c:pt idx="3">
                  <c:v>50</c:v>
                </c:pt>
                <c:pt idx="4">
                  <c:v>83</c:v>
                </c:pt>
                <c:pt idx="5">
                  <c:v>97</c:v>
                </c:pt>
                <c:pt idx="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F-40EB-8BCE-4119B4678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940760"/>
        <c:axId val="421941152"/>
      </c:lineChart>
      <c:catAx>
        <c:axId val="42194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1050" b="1"/>
                  <a:t>濃度</a:t>
                </a:r>
                <a:endParaRPr lang="en-US" altLang="ja-JP" sz="1050" b="1"/>
              </a:p>
            </c:rich>
          </c:tx>
          <c:layout>
            <c:manualLayout>
              <c:xMode val="edge"/>
              <c:yMode val="edge"/>
              <c:x val="0.50147647910917614"/>
              <c:y val="0.83643122676579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1941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21941152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1050" b="1"/>
                  <a:t>死亡率</a:t>
                </a:r>
              </a:p>
            </c:rich>
          </c:tx>
          <c:layout>
            <c:manualLayout>
              <c:xMode val="edge"/>
              <c:yMode val="edge"/>
              <c:x val="2.7629055360885651E-2"/>
              <c:y val="0.284909112197406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194076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>
              <a:solidFill>
                <a:srgbClr val="008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sanpuzu!#REF!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C7E-462D-93BF-359C621CDC5F}"/>
            </c:ext>
          </c:extLst>
        </c:ser>
        <c:ser>
          <c:idx val="2"/>
          <c:order val="1"/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val>
            <c:numRef>
              <c:f>sanpuzu!#REF!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5C7E-462D-93BF-359C621CDC5F}"/>
            </c:ext>
          </c:extLst>
        </c:ser>
        <c:ser>
          <c:idx val="3"/>
          <c:order val="2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sanpuzu!#REF!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sanpuzu!#REF!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5C7E-462D-93BF-359C621CD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942328"/>
        <c:axId val="421942720"/>
      </c:lineChart>
      <c:catAx>
        <c:axId val="4219423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cLogP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1942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21942720"/>
        <c:scaling>
          <c:orientation val="minMax"/>
          <c:max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NCpH4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1942328"/>
        <c:crosses val="autoZero"/>
        <c:crossBetween val="between"/>
        <c:majorUnit val="0.5"/>
        <c:min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冠動脈疾患2変数!$E$2</c:f>
              <c:strCache>
                <c:ptCount val="1"/>
                <c:pt idx="0">
                  <c:v>A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冠動脈疾患2変数!$E$3:$E$8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</c:numCache>
            </c:numRef>
          </c:xVal>
          <c:yVal>
            <c:numRef>
              <c:f>冠動脈疾患2変数!$D$3:$D$8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5-46A2-A5F8-BE6D94F99DFC}"/>
            </c:ext>
          </c:extLst>
        </c:ser>
        <c:ser>
          <c:idx val="1"/>
          <c:order val="1"/>
          <c:tx>
            <c:strRef>
              <c:f>冠動脈疾患2変数!$E$2</c:f>
              <c:strCache>
                <c:ptCount val="1"/>
                <c:pt idx="0">
                  <c:v>A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'65名の患者の年齢の度数分布'!#REF!</c:f>
              <c:numCache>
                <c:formatCode>0.00</c:formatCode>
                <c:ptCount val="1"/>
                <c:pt idx="0">
                  <c:v>1</c:v>
                </c:pt>
              </c:numCache>
            </c:numRef>
          </c:xVal>
          <c:yVal>
            <c:numRef>
              <c:f>'65名の患者の年齢の度数分布'!#REF!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A5-46A2-A5F8-BE6D94F99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835584"/>
        <c:axId val="422835976"/>
      </c:scatterChart>
      <c:valAx>
        <c:axId val="422835584"/>
        <c:scaling>
          <c:orientation val="minMax"/>
          <c:max val="9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cLogP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2835976"/>
        <c:crosses val="autoZero"/>
        <c:crossBetween val="midCat"/>
        <c:majorUnit val="1"/>
        <c:minorUnit val="1"/>
      </c:valAx>
      <c:valAx>
        <c:axId val="422835976"/>
        <c:scaling>
          <c:orientation val="minMax"/>
          <c:max val="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NCpH4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28355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45877693483676"/>
          <c:y val="6.4815016277505119E-2"/>
          <c:w val="0.67589079556483345"/>
          <c:h val="0.82407663552827948"/>
        </c:manualLayout>
      </c:layout>
      <c:scatterChart>
        <c:scatterStyle val="lineMarker"/>
        <c:varyColors val="0"/>
        <c:ser>
          <c:idx val="1"/>
          <c:order val="0"/>
          <c:tx>
            <c:v>0.1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冠動脈疾患2変数!$P$3:$P$10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冠動脈疾患2変数!$Q$3:$Q$10</c:f>
              <c:numCache>
                <c:formatCode>General</c:formatCode>
                <c:ptCount val="8"/>
                <c:pt idx="0">
                  <c:v>10.910127519354337</c:v>
                </c:pt>
                <c:pt idx="1">
                  <c:v>9.6361797689914912</c:v>
                </c:pt>
                <c:pt idx="2">
                  <c:v>8.3622320186286476</c:v>
                </c:pt>
                <c:pt idx="3">
                  <c:v>7.0882842682658023</c:v>
                </c:pt>
                <c:pt idx="4">
                  <c:v>5.8143365179029578</c:v>
                </c:pt>
                <c:pt idx="5">
                  <c:v>4.5403887675401133</c:v>
                </c:pt>
                <c:pt idx="6">
                  <c:v>3.266441017177268</c:v>
                </c:pt>
                <c:pt idx="7">
                  <c:v>1.9924932668144244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D4-4BAF-8992-A51305A4812F}"/>
            </c:ext>
          </c:extLst>
        </c:ser>
        <c:ser>
          <c:idx val="2"/>
          <c:order val="1"/>
          <c:tx>
            <c:v>0.5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冠動脈疾患2変数!$P$3:$P$10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冠動脈疾患2変数!$R$3:$R$10</c:f>
              <c:numCache>
                <c:formatCode>General</c:formatCode>
                <c:ptCount val="8"/>
                <c:pt idx="0">
                  <c:v>8.9169992743105944</c:v>
                </c:pt>
                <c:pt idx="1">
                  <c:v>7.6430515239477499</c:v>
                </c:pt>
                <c:pt idx="2">
                  <c:v>6.3691037735849054</c:v>
                </c:pt>
                <c:pt idx="3">
                  <c:v>5.0951560232220601</c:v>
                </c:pt>
                <c:pt idx="4">
                  <c:v>3.8212082728592156</c:v>
                </c:pt>
                <c:pt idx="5">
                  <c:v>2.5472605224963711</c:v>
                </c:pt>
                <c:pt idx="6">
                  <c:v>1.2733127721335258</c:v>
                </c:pt>
                <c:pt idx="7">
                  <c:v>-6.3497822931779524E-4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D4-4BAF-8992-A51305A4812F}"/>
            </c:ext>
          </c:extLst>
        </c:ser>
        <c:ser>
          <c:idx val="3"/>
          <c:order val="2"/>
          <c:tx>
            <c:v>0.9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冠動脈疾患2変数!$P$3:$P$10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冠動脈疾患2変数!$S$3:$S$10</c:f>
              <c:numCache>
                <c:formatCode>General</c:formatCode>
                <c:ptCount val="8"/>
                <c:pt idx="0">
                  <c:v>6.9238710292668539</c:v>
                </c:pt>
                <c:pt idx="1">
                  <c:v>5.6499232789040095</c:v>
                </c:pt>
                <c:pt idx="2">
                  <c:v>4.375975528541165</c:v>
                </c:pt>
                <c:pt idx="3">
                  <c:v>3.1020277781783197</c:v>
                </c:pt>
                <c:pt idx="4">
                  <c:v>1.8280800278154752</c:v>
                </c:pt>
                <c:pt idx="5">
                  <c:v>0.55413227745263072</c:v>
                </c:pt>
                <c:pt idx="6">
                  <c:v>-0.71981547291021464</c:v>
                </c:pt>
                <c:pt idx="7">
                  <c:v>-1.9937632232730582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D4-4BAF-8992-A51305A4812F}"/>
            </c:ext>
          </c:extLst>
        </c:ser>
        <c:ser>
          <c:idx val="4"/>
          <c:order val="3"/>
          <c:tx>
            <c:v>正常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冠動脈疾患2変数!$E$3:$E$7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冠動脈疾患2変数!$F$3:$F$7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D4-4BAF-8992-A51305A4812F}"/>
            </c:ext>
          </c:extLst>
        </c:ser>
        <c:ser>
          <c:idx val="5"/>
          <c:order val="4"/>
          <c:tx>
            <c:v>発症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冠動脈疾患2変数!$E$8:$E$12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</c:numCache>
            </c:numRef>
          </c:xVal>
          <c:yVal>
            <c:numRef>
              <c:f>冠動脈疾患2変数!$F$8:$F$12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D4-4BAF-8992-A51305A48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836760"/>
        <c:axId val="422837152"/>
      </c:scatterChart>
      <c:valAx>
        <c:axId val="422836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Ａ</a:t>
                </a:r>
              </a:p>
            </c:rich>
          </c:tx>
          <c:layout>
            <c:manualLayout>
              <c:xMode val="edge"/>
              <c:yMode val="edge"/>
              <c:x val="0.45454644146173007"/>
              <c:y val="0.912039871904893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2837152"/>
        <c:crosses val="autoZero"/>
        <c:crossBetween val="midCat"/>
      </c:valAx>
      <c:valAx>
        <c:axId val="422837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Ｂ</a:t>
                </a:r>
              </a:p>
            </c:rich>
          </c:tx>
          <c:layout>
            <c:manualLayout>
              <c:xMode val="edge"/>
              <c:yMode val="edge"/>
              <c:x val="3.7549488642490747E-2"/>
              <c:y val="0.460649579972268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28367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3992277226624035"/>
          <c:y val="0.37268634359565445"/>
          <c:w val="0.14031651019036015"/>
          <c:h val="0.210648802901891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152911012915"/>
          <c:y val="0.12669700417140689"/>
          <c:w val="0.71783069563934054"/>
          <c:h val="0.7072487526089954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単回帰2!$D$4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単回帰2!$B$5:$B$9</c:f>
              <c:numCache>
                <c:formatCode>General</c:formatCode>
                <c:ptCount val="5"/>
                <c:pt idx="0">
                  <c:v>1.39</c:v>
                </c:pt>
                <c:pt idx="1">
                  <c:v>2.3199999999999998</c:v>
                </c:pt>
                <c:pt idx="2">
                  <c:v>3.56</c:v>
                </c:pt>
                <c:pt idx="3">
                  <c:v>4.13</c:v>
                </c:pt>
              </c:numCache>
            </c:numRef>
          </c:xVal>
          <c:yVal>
            <c:numRef>
              <c:f>単回帰2!$D$5:$D$9</c:f>
              <c:numCache>
                <c:formatCode>General</c:formatCode>
                <c:ptCount val="5"/>
                <c:pt idx="0">
                  <c:v>41.39</c:v>
                </c:pt>
                <c:pt idx="1">
                  <c:v>42.32</c:v>
                </c:pt>
                <c:pt idx="2">
                  <c:v>43.56</c:v>
                </c:pt>
                <c:pt idx="3">
                  <c:v>44.13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7C-4589-AA14-271350A62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07704"/>
        <c:axId val="421308096"/>
      </c:scatterChart>
      <c:scatterChart>
        <c:scatterStyle val="lineMarker"/>
        <c:varyColors val="0"/>
        <c:ser>
          <c:idx val="0"/>
          <c:order val="0"/>
          <c:tx>
            <c:strRef>
              <c:f>単回帰2!$C$4</c:f>
              <c:strCache>
                <c:ptCount val="1"/>
                <c:pt idx="0">
                  <c:v>Height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28575" cap="rnd">
                <a:solidFill>
                  <a:sysClr val="windowText" lastClr="00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360057709027216E-2"/>
                  <c:y val="1.8584642479287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単回帰2!$B$5:$B$9</c:f>
              <c:numCache>
                <c:formatCode>General</c:formatCode>
                <c:ptCount val="5"/>
                <c:pt idx="0">
                  <c:v>1.39</c:v>
                </c:pt>
                <c:pt idx="1">
                  <c:v>2.3199999999999998</c:v>
                </c:pt>
                <c:pt idx="2">
                  <c:v>3.56</c:v>
                </c:pt>
                <c:pt idx="3">
                  <c:v>4.13</c:v>
                </c:pt>
              </c:numCache>
            </c:numRef>
          </c:xVal>
          <c:yVal>
            <c:numRef>
              <c:f>単回帰2!$C$5:$C$9</c:f>
              <c:numCache>
                <c:formatCode>General</c:formatCode>
                <c:ptCount val="5"/>
                <c:pt idx="0">
                  <c:v>75.599999999999994</c:v>
                </c:pt>
                <c:pt idx="1">
                  <c:v>85.1</c:v>
                </c:pt>
                <c:pt idx="2">
                  <c:v>90.9</c:v>
                </c:pt>
                <c:pt idx="3">
                  <c:v>105.7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7C-4589-AA14-271350A62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07704"/>
        <c:axId val="421308096"/>
      </c:scatterChart>
      <c:valAx>
        <c:axId val="42130770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308096"/>
        <c:crosses val="autoZero"/>
        <c:crossBetween val="midCat"/>
      </c:valAx>
      <c:valAx>
        <c:axId val="421308096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307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化合物の活性（</a:t>
            </a:r>
            <a:r>
              <a:rPr lang="en-US" altLang="ja-JP"/>
              <a:t>uM</a:t>
            </a:r>
            <a:r>
              <a:rPr lang="ja-JP" altLang="en-US"/>
              <a:t>）</a:t>
            </a:r>
          </a:p>
        </c:rich>
      </c:tx>
      <c:layout>
        <c:manualLayout>
          <c:xMode val="edge"/>
          <c:yMode val="edge"/>
          <c:x val="0.40035621972675339"/>
          <c:y val="2.94659830117385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864853710984162E-2"/>
          <c:y val="0.12154717992342154"/>
          <c:w val="0.86832815656291407"/>
          <c:h val="0.76243231042873505"/>
        </c:manualLayout>
      </c:layout>
      <c:scatterChart>
        <c:scatterStyle val="lineMarker"/>
        <c:varyColors val="1"/>
        <c:ser>
          <c:idx val="0"/>
          <c:order val="0"/>
          <c:tx>
            <c:strRef>
              <c:f>最短距離法!$C$2</c:f>
              <c:strCache>
                <c:ptCount val="1"/>
                <c:pt idx="0">
                  <c:v>functional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F9D-4E2D-B574-4078135D48B5}"/>
              </c:ext>
            </c:extLst>
          </c:dPt>
          <c:dPt>
            <c:idx val="1"/>
            <c:marker>
              <c:symbol val="square"/>
              <c:size val="5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F9D-4E2D-B574-4078135D48B5}"/>
              </c:ext>
            </c:extLst>
          </c:dPt>
          <c:dPt>
            <c:idx val="2"/>
            <c:marker>
              <c:symbol val="triangle"/>
              <c:size val="5"/>
              <c:spPr>
                <a:solidFill>
                  <a:srgbClr val="FFFF00"/>
                </a:solidFill>
                <a:ln>
                  <a:solidFill>
                    <a:srgbClr val="FFFF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F9D-4E2D-B574-4078135D48B5}"/>
              </c:ext>
            </c:extLst>
          </c:dPt>
          <c:dPt>
            <c:idx val="3"/>
            <c:marker>
              <c:symbol val="x"/>
              <c:size val="5"/>
              <c:spPr>
                <a:noFill/>
                <a:ln>
                  <a:solidFill>
                    <a:srgbClr val="00FFFF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F9D-4E2D-B574-4078135D48B5}"/>
              </c:ext>
            </c:extLst>
          </c:dPt>
          <c:dPt>
            <c:idx val="4"/>
            <c:marker>
              <c:symbol val="star"/>
              <c:size val="5"/>
              <c:spPr>
                <a:noFill/>
                <a:ln>
                  <a:solidFill>
                    <a:srgbClr val="80008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F9D-4E2D-B574-4078135D48B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最短距離法!$B$3:$B$7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</c:numCache>
            </c:numRef>
          </c:xVal>
          <c:yVal>
            <c:numRef>
              <c:f>最短距離法!$C$3:$C$7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9D-4E2D-B574-4078135D4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180872"/>
        <c:axId val="1"/>
      </c:scatterChart>
      <c:valAx>
        <c:axId val="734180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binding</a:t>
                </a:r>
              </a:p>
            </c:rich>
          </c:tx>
          <c:layout>
            <c:manualLayout>
              <c:xMode val="edge"/>
              <c:yMode val="edge"/>
              <c:x val="0.49466235148461085"/>
              <c:y val="0.9355449606226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functional</a:t>
                </a:r>
              </a:p>
            </c:rich>
          </c:tx>
          <c:layout>
            <c:manualLayout>
              <c:xMode val="edge"/>
              <c:yMode val="edge"/>
              <c:x val="2.8469775625013575E-2"/>
              <c:y val="0.447514616990779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7341808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963076828480957E-2"/>
          <c:y val="5.1546391752577317E-2"/>
          <c:w val="0.90185348280794775"/>
          <c:h val="0.85979381443298974"/>
        </c:manualLayout>
      </c:layout>
      <c:scatterChart>
        <c:scatterStyle val="lineMarker"/>
        <c:varyColors val="1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11B-49F5-ADA1-D6E8FBCB7C9E}"/>
              </c:ext>
            </c:extLst>
          </c:dPt>
          <c:dPt>
            <c:idx val="1"/>
            <c:marker>
              <c:symbol val="square"/>
              <c:size val="5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11B-49F5-ADA1-D6E8FBCB7C9E}"/>
              </c:ext>
            </c:extLst>
          </c:dPt>
          <c:dPt>
            <c:idx val="2"/>
            <c:marker>
              <c:symbol val="triangle"/>
              <c:size val="5"/>
              <c:spPr>
                <a:solidFill>
                  <a:srgbClr val="FFFF00"/>
                </a:solidFill>
                <a:ln>
                  <a:solidFill>
                    <a:srgbClr val="FFFF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11B-49F5-ADA1-D6E8FBCB7C9E}"/>
              </c:ext>
            </c:extLst>
          </c:dPt>
          <c:dPt>
            <c:idx val="3"/>
            <c:marker>
              <c:symbol val="x"/>
              <c:size val="5"/>
              <c:spPr>
                <a:noFill/>
                <a:ln>
                  <a:solidFill>
                    <a:srgbClr val="00FFFF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11B-49F5-ADA1-D6E8FBCB7C9E}"/>
              </c:ext>
            </c:extLst>
          </c:dPt>
          <c:dPt>
            <c:idx val="4"/>
            <c:marker>
              <c:symbol val="star"/>
              <c:size val="5"/>
              <c:spPr>
                <a:noFill/>
                <a:ln>
                  <a:solidFill>
                    <a:srgbClr val="80008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11B-49F5-ADA1-D6E8FBCB7C9E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ウォード法２変数!$B$3:$B$7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</c:numCache>
            </c:numRef>
          </c:xVal>
          <c:yVal>
            <c:numRef>
              <c:f>ウォード法２変数!$C$3:$C$7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11B-49F5-ADA1-D6E8FBCB7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320112"/>
        <c:axId val="1"/>
      </c:scatterChart>
      <c:valAx>
        <c:axId val="77132011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7713201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12" Type="http://schemas.openxmlformats.org/officeDocument/2006/relationships/image" Target="../media/image21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3" Type="http://schemas.openxmlformats.org/officeDocument/2006/relationships/image" Target="../media/image43.png"/><Relationship Id="rId7" Type="http://schemas.openxmlformats.org/officeDocument/2006/relationships/image" Target="../media/image47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6" Type="http://schemas.openxmlformats.org/officeDocument/2006/relationships/image" Target="../media/image46.png"/><Relationship Id="rId11" Type="http://schemas.openxmlformats.org/officeDocument/2006/relationships/image" Target="../media/image51.png"/><Relationship Id="rId5" Type="http://schemas.openxmlformats.org/officeDocument/2006/relationships/image" Target="../media/image45.png"/><Relationship Id="rId10" Type="http://schemas.openxmlformats.org/officeDocument/2006/relationships/image" Target="../media/image50.png"/><Relationship Id="rId4" Type="http://schemas.openxmlformats.org/officeDocument/2006/relationships/image" Target="../media/image44.png"/><Relationship Id="rId9" Type="http://schemas.openxmlformats.org/officeDocument/2006/relationships/image" Target="../media/image4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4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5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32.emf"/><Relationship Id="rId2" Type="http://schemas.openxmlformats.org/officeDocument/2006/relationships/image" Target="../media/image31.emf"/><Relationship Id="rId1" Type="http://schemas.openxmlformats.org/officeDocument/2006/relationships/image" Target="../media/image30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2" Type="http://schemas.openxmlformats.org/officeDocument/2006/relationships/image" Target="../media/image35.emf"/><Relationship Id="rId1" Type="http://schemas.openxmlformats.org/officeDocument/2006/relationships/image" Target="../media/image34.emf"/><Relationship Id="rId4" Type="http://schemas.openxmlformats.org/officeDocument/2006/relationships/image" Target="../media/image37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39.emf"/><Relationship Id="rId2" Type="http://schemas.openxmlformats.org/officeDocument/2006/relationships/image" Target="../media/image38.emf"/><Relationship Id="rId1" Type="http://schemas.openxmlformats.org/officeDocument/2006/relationships/image" Target="../media/image36.emf"/><Relationship Id="rId4" Type="http://schemas.openxmlformats.org/officeDocument/2006/relationships/image" Target="../media/image4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5</xdr:col>
      <xdr:colOff>0</xdr:colOff>
      <xdr:row>8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8</xdr:row>
      <xdr:rowOff>0</xdr:rowOff>
    </xdr:from>
    <xdr:to>
      <xdr:col>5</xdr:col>
      <xdr:colOff>0</xdr:colOff>
      <xdr:row>8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542925</xdr:colOff>
          <xdr:row>37</xdr:row>
          <xdr:rowOff>161925</xdr:rowOff>
        </xdr:from>
        <xdr:to>
          <xdr:col>20</xdr:col>
          <xdr:colOff>409575</xdr:colOff>
          <xdr:row>45</xdr:row>
          <xdr:rowOff>66675</xdr:rowOff>
        </xdr:to>
        <xdr:sp macro="" textlink="">
          <xdr:nvSpPr>
            <xdr:cNvPr id="82945" name="Object 1" hidden="1">
              <a:extLst>
                <a:ext uri="{63B3BB69-23CF-44E3-9099-C40C66FF867C}">
                  <a14:compatExt spid="_x0000_s82945"/>
                </a:ext>
                <a:ext uri="{FF2B5EF4-FFF2-40B4-BE49-F238E27FC236}">
                  <a16:creationId xmlns:a16="http://schemas.microsoft.com/office/drawing/2014/main" id="{00000000-0008-0000-0100-0000014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179070</xdr:colOff>
      <xdr:row>0</xdr:row>
      <xdr:rowOff>148590</xdr:rowOff>
    </xdr:from>
    <xdr:to>
      <xdr:col>10</xdr:col>
      <xdr:colOff>586740</xdr:colOff>
      <xdr:row>20</xdr:row>
      <xdr:rowOff>144780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571500</xdr:colOff>
      <xdr:row>17</xdr:row>
      <xdr:rowOff>83820</xdr:rowOff>
    </xdr:from>
    <xdr:ext cx="670560" cy="29245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537960" y="2933700"/>
          <a:ext cx="67056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 b="1"/>
            <a:t>体重</a:t>
          </a:r>
        </a:p>
      </xdr:txBody>
    </xdr:sp>
    <xdr:clientData/>
  </xdr:oneCellAnchor>
  <xdr:oneCellAnchor>
    <xdr:from>
      <xdr:col>5</xdr:col>
      <xdr:colOff>480060</xdr:colOff>
      <xdr:row>1</xdr:row>
      <xdr:rowOff>38100</xdr:rowOff>
    </xdr:from>
    <xdr:ext cx="1325880" cy="29245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008120" y="205740"/>
          <a:ext cx="132588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 b="1"/>
            <a:t>食前血糖値</a:t>
          </a:r>
        </a:p>
      </xdr:txBody>
    </xdr:sp>
    <xdr:clientData/>
  </xdr:oneCellAnchor>
  <xdr:twoCellAnchor editAs="oneCell">
    <xdr:from>
      <xdr:col>12</xdr:col>
      <xdr:colOff>257175</xdr:colOff>
      <xdr:row>14</xdr:row>
      <xdr:rowOff>114300</xdr:rowOff>
    </xdr:from>
    <xdr:to>
      <xdr:col>19</xdr:col>
      <xdr:colOff>87961</xdr:colOff>
      <xdr:row>42</xdr:row>
      <xdr:rowOff>95250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2514600"/>
          <a:ext cx="4631386" cy="478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133350</xdr:colOff>
      <xdr:row>0</xdr:row>
      <xdr:rowOff>95250</xdr:rowOff>
    </xdr:from>
    <xdr:ext cx="6972300" cy="2598981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8191500" y="95250"/>
          <a:ext cx="6972300" cy="2598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ja-JP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＜ソルバーの初期設定＞</a:t>
          </a:r>
        </a:p>
        <a:p>
          <a:r>
            <a:rPr lang="ja-JP" altLang="ja-JP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ファイルタブ⇒オプション⇒ソルバーアドインを選択⇒下の設定ボタンをクリック⇒ソルバーアドインのチェックボックスにチェック⇒ＯＫで閉じる⇒データタブの最右部にソルバーが表示されるのでこれをクリックする</a:t>
          </a:r>
          <a:r>
            <a:rPr lang="ja-JP" altLang="en-US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と下の画面が表示される。</a:t>
          </a:r>
          <a:endParaRPr lang="en-US" altLang="ja-JP" sz="2000" b="1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目的セルに残差平方和のセル、変数セルに回帰係数のセルを指定する</a:t>
          </a:r>
          <a:r>
            <a:rPr lang="ja-JP" altLang="ja-JP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201930</xdr:colOff>
      <xdr:row>0</xdr:row>
      <xdr:rowOff>133350</xdr:rowOff>
    </xdr:from>
    <xdr:to>
      <xdr:col>11</xdr:col>
      <xdr:colOff>137160</xdr:colOff>
      <xdr:row>18</xdr:row>
      <xdr:rowOff>26670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179069</xdr:colOff>
      <xdr:row>0</xdr:row>
      <xdr:rowOff>148590</xdr:rowOff>
    </xdr:from>
    <xdr:to>
      <xdr:col>13</xdr:col>
      <xdr:colOff>428624</xdr:colOff>
      <xdr:row>21</xdr:row>
      <xdr:rowOff>144780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323850</xdr:colOff>
      <xdr:row>1</xdr:row>
      <xdr:rowOff>74295</xdr:rowOff>
    </xdr:from>
    <xdr:ext cx="1428750" cy="29245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5267325" y="245745"/>
          <a:ext cx="142875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 b="1"/>
            <a:t>カルシウム摂取量</a:t>
          </a:r>
        </a:p>
      </xdr:txBody>
    </xdr:sp>
    <xdr:clientData/>
  </xdr:oneCellAnchor>
  <xdr:oneCellAnchor>
    <xdr:from>
      <xdr:col>12</xdr:col>
      <xdr:colOff>156210</xdr:colOff>
      <xdr:row>20</xdr:row>
      <xdr:rowOff>9525</xdr:rowOff>
    </xdr:from>
    <xdr:ext cx="891540" cy="29245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8528685" y="3295650"/>
          <a:ext cx="89154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 b="1"/>
            <a:t>血糖値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198119</xdr:colOff>
      <xdr:row>12</xdr:row>
      <xdr:rowOff>68580</xdr:rowOff>
    </xdr:from>
    <xdr:to>
      <xdr:col>10</xdr:col>
      <xdr:colOff>317862</xdr:colOff>
      <xdr:row>14</xdr:row>
      <xdr:rowOff>99060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19" y="1714500"/>
          <a:ext cx="210094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</xdr:row>
      <xdr:rowOff>83820</xdr:rowOff>
    </xdr:from>
    <xdr:to>
      <xdr:col>10</xdr:col>
      <xdr:colOff>106680</xdr:colOff>
      <xdr:row>19</xdr:row>
      <xdr:rowOff>74497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415540"/>
          <a:ext cx="1897380" cy="264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198119</xdr:colOff>
      <xdr:row>22</xdr:row>
      <xdr:rowOff>60960</xdr:rowOff>
    </xdr:from>
    <xdr:to>
      <xdr:col>10</xdr:col>
      <xdr:colOff>327660</xdr:colOff>
      <xdr:row>24</xdr:row>
      <xdr:rowOff>45504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19" y="3078480"/>
          <a:ext cx="2110741" cy="258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213360</xdr:colOff>
      <xdr:row>27</xdr:row>
      <xdr:rowOff>68580</xdr:rowOff>
    </xdr:from>
    <xdr:to>
      <xdr:col>11</xdr:col>
      <xdr:colOff>38100</xdr:colOff>
      <xdr:row>29</xdr:row>
      <xdr:rowOff>69533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" y="3771900"/>
          <a:ext cx="2202180" cy="275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228599</xdr:colOff>
      <xdr:row>7</xdr:row>
      <xdr:rowOff>66675</xdr:rowOff>
    </xdr:from>
    <xdr:to>
      <xdr:col>11</xdr:col>
      <xdr:colOff>21770</xdr:colOff>
      <xdr:row>9</xdr:row>
      <xdr:rowOff>66675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799" y="1066800"/>
          <a:ext cx="2422071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1117600</xdr:colOff>
      <xdr:row>18</xdr:row>
      <xdr:rowOff>149860</xdr:rowOff>
    </xdr:from>
    <xdr:to>
      <xdr:col>13</xdr:col>
      <xdr:colOff>342900</xdr:colOff>
      <xdr:row>42</xdr:row>
      <xdr:rowOff>10160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7</xdr:col>
          <xdr:colOff>209550</xdr:colOff>
          <xdr:row>39</xdr:row>
          <xdr:rowOff>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7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129540</xdr:colOff>
      <xdr:row>6</xdr:row>
      <xdr:rowOff>30480</xdr:rowOff>
    </xdr:from>
    <xdr:to>
      <xdr:col>7</xdr:col>
      <xdr:colOff>487680</xdr:colOff>
      <xdr:row>18</xdr:row>
      <xdr:rowOff>7620</xdr:rowOff>
    </xdr:to>
    <xdr:graphicFrame macro="">
      <xdr:nvGraphicFramePr>
        <xdr:cNvPr id="4" name="グラフ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9</xdr:col>
      <xdr:colOff>0</xdr:colOff>
      <xdr:row>8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9</xdr:col>
      <xdr:colOff>0</xdr:colOff>
      <xdr:row>8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152400</xdr:rowOff>
        </xdr:from>
        <xdr:to>
          <xdr:col>7</xdr:col>
          <xdr:colOff>523875</xdr:colOff>
          <xdr:row>23</xdr:row>
          <xdr:rowOff>123825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8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441960</xdr:colOff>
      <xdr:row>14</xdr:row>
      <xdr:rowOff>114300</xdr:rowOff>
    </xdr:from>
    <xdr:to>
      <xdr:col>15</xdr:col>
      <xdr:colOff>563880</xdr:colOff>
      <xdr:row>34</xdr:row>
      <xdr:rowOff>30480</xdr:rowOff>
    </xdr:to>
    <xdr:graphicFrame macro="">
      <xdr:nvGraphicFramePr>
        <xdr:cNvPr id="5" name="グラフ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105834</xdr:colOff>
      <xdr:row>12</xdr:row>
      <xdr:rowOff>52916</xdr:rowOff>
    </xdr:from>
    <xdr:to>
      <xdr:col>1</xdr:col>
      <xdr:colOff>1506009</xdr:colOff>
      <xdr:row>13</xdr:row>
      <xdr:rowOff>7407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667" y="2973916"/>
          <a:ext cx="1400175" cy="197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52917</xdr:colOff>
      <xdr:row>13</xdr:row>
      <xdr:rowOff>84666</xdr:rowOff>
    </xdr:from>
    <xdr:to>
      <xdr:col>1</xdr:col>
      <xdr:colOff>2870200</xdr:colOff>
      <xdr:row>13</xdr:row>
      <xdr:rowOff>237066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3249083"/>
          <a:ext cx="28172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84667</xdr:colOff>
      <xdr:row>14</xdr:row>
      <xdr:rowOff>42334</xdr:rowOff>
    </xdr:from>
    <xdr:to>
      <xdr:col>1</xdr:col>
      <xdr:colOff>1351492</xdr:colOff>
      <xdr:row>14</xdr:row>
      <xdr:rowOff>223309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" y="3450167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74084</xdr:colOff>
      <xdr:row>15</xdr:row>
      <xdr:rowOff>52917</xdr:rowOff>
    </xdr:from>
    <xdr:to>
      <xdr:col>1</xdr:col>
      <xdr:colOff>1264709</xdr:colOff>
      <xdr:row>15</xdr:row>
      <xdr:rowOff>233892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917" y="3704167"/>
          <a:ext cx="1190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42334</xdr:colOff>
      <xdr:row>16</xdr:row>
      <xdr:rowOff>21166</xdr:rowOff>
    </xdr:from>
    <xdr:to>
      <xdr:col>1</xdr:col>
      <xdr:colOff>1252009</xdr:colOff>
      <xdr:row>16</xdr:row>
      <xdr:rowOff>240241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5167" y="3915833"/>
          <a:ext cx="1209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42333</xdr:colOff>
      <xdr:row>17</xdr:row>
      <xdr:rowOff>31751</xdr:rowOff>
    </xdr:from>
    <xdr:to>
      <xdr:col>1</xdr:col>
      <xdr:colOff>1080558</xdr:colOff>
      <xdr:row>17</xdr:row>
      <xdr:rowOff>193676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5166" y="4169834"/>
          <a:ext cx="10382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74083</xdr:colOff>
      <xdr:row>18</xdr:row>
      <xdr:rowOff>31750</xdr:rowOff>
    </xdr:from>
    <xdr:to>
      <xdr:col>1</xdr:col>
      <xdr:colOff>1169458</xdr:colOff>
      <xdr:row>18</xdr:row>
      <xdr:rowOff>222250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916" y="4413250"/>
          <a:ext cx="10953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84667</xdr:colOff>
      <xdr:row>19</xdr:row>
      <xdr:rowOff>21167</xdr:rowOff>
    </xdr:from>
    <xdr:to>
      <xdr:col>1</xdr:col>
      <xdr:colOff>1218142</xdr:colOff>
      <xdr:row>19</xdr:row>
      <xdr:rowOff>221192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0" y="4646084"/>
          <a:ext cx="1133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52917</xdr:colOff>
      <xdr:row>20</xdr:row>
      <xdr:rowOff>52916</xdr:rowOff>
    </xdr:from>
    <xdr:to>
      <xdr:col>1</xdr:col>
      <xdr:colOff>2127250</xdr:colOff>
      <xdr:row>20</xdr:row>
      <xdr:rowOff>233891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4921249"/>
          <a:ext cx="2074333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21168</xdr:colOff>
      <xdr:row>21</xdr:row>
      <xdr:rowOff>31750</xdr:rowOff>
    </xdr:from>
    <xdr:to>
      <xdr:col>1</xdr:col>
      <xdr:colOff>1097493</xdr:colOff>
      <xdr:row>22</xdr:row>
      <xdr:rowOff>26458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1" y="5143500"/>
          <a:ext cx="1076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31752</xdr:colOff>
      <xdr:row>22</xdr:row>
      <xdr:rowOff>52918</xdr:rowOff>
    </xdr:from>
    <xdr:to>
      <xdr:col>1</xdr:col>
      <xdr:colOff>1108077</xdr:colOff>
      <xdr:row>23</xdr:row>
      <xdr:rowOff>19052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585" y="5408085"/>
          <a:ext cx="10763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31752</xdr:colOff>
      <xdr:row>23</xdr:row>
      <xdr:rowOff>52916</xdr:rowOff>
    </xdr:from>
    <xdr:to>
      <xdr:col>1</xdr:col>
      <xdr:colOff>1174752</xdr:colOff>
      <xdr:row>23</xdr:row>
      <xdr:rowOff>233891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585" y="5651499"/>
          <a:ext cx="11430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74086</xdr:colOff>
      <xdr:row>24</xdr:row>
      <xdr:rowOff>63497</xdr:rowOff>
    </xdr:from>
    <xdr:to>
      <xdr:col>1</xdr:col>
      <xdr:colOff>1321861</xdr:colOff>
      <xdr:row>25</xdr:row>
      <xdr:rowOff>29630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919" y="5905497"/>
          <a:ext cx="12477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4</xdr:row>
      <xdr:rowOff>148167</xdr:rowOff>
    </xdr:from>
    <xdr:to>
      <xdr:col>3</xdr:col>
      <xdr:colOff>179917</xdr:colOff>
      <xdr:row>6</xdr:row>
      <xdr:rowOff>63499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790575" y="1138767"/>
          <a:ext cx="903817" cy="41063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179070</xdr:colOff>
      <xdr:row>0</xdr:row>
      <xdr:rowOff>148590</xdr:rowOff>
    </xdr:from>
    <xdr:to>
      <xdr:col>10</xdr:col>
      <xdr:colOff>586740</xdr:colOff>
      <xdr:row>20</xdr:row>
      <xdr:rowOff>144780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563218</xdr:colOff>
      <xdr:row>18</xdr:row>
      <xdr:rowOff>158363</xdr:rowOff>
    </xdr:from>
    <xdr:ext cx="1143000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5888935" y="3289189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 b="1"/>
            <a:t>Age(year)</a:t>
          </a:r>
          <a:endParaRPr kumimoji="1" lang="ja-JP" altLang="en-US" sz="1400" b="1"/>
        </a:p>
      </xdr:txBody>
    </xdr:sp>
    <xdr:clientData/>
  </xdr:oneCellAnchor>
  <xdr:oneCellAnchor>
    <xdr:from>
      <xdr:col>5</xdr:col>
      <xdr:colOff>480060</xdr:colOff>
      <xdr:row>1</xdr:row>
      <xdr:rowOff>38100</xdr:rowOff>
    </xdr:from>
    <xdr:ext cx="1325880" cy="31149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 txBox="1"/>
      </xdr:nvSpPr>
      <xdr:spPr>
        <a:xfrm>
          <a:off x="4430864" y="212035"/>
          <a:ext cx="13258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 b="1"/>
            <a:t>Height(cm)</a:t>
          </a:r>
          <a:endParaRPr kumimoji="1" lang="ja-JP" altLang="en-US" sz="1400" b="1"/>
        </a:p>
      </xdr:txBody>
    </xdr:sp>
    <xdr:clientData/>
  </xdr:oneCellAnchor>
  <xdr:twoCellAnchor editAs="oneCell">
    <xdr:from>
      <xdr:col>12</xdr:col>
      <xdr:colOff>257175</xdr:colOff>
      <xdr:row>14</xdr:row>
      <xdr:rowOff>114300</xdr:rowOff>
    </xdr:from>
    <xdr:to>
      <xdr:col>19</xdr:col>
      <xdr:colOff>87961</xdr:colOff>
      <xdr:row>42</xdr:row>
      <xdr:rowOff>95250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2514600"/>
          <a:ext cx="4631386" cy="478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133350</xdr:colOff>
      <xdr:row>0</xdr:row>
      <xdr:rowOff>95250</xdr:rowOff>
    </xdr:from>
    <xdr:ext cx="6972300" cy="2598981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 txBox="1"/>
      </xdr:nvSpPr>
      <xdr:spPr>
        <a:xfrm>
          <a:off x="8191500" y="95250"/>
          <a:ext cx="6972300" cy="2598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ja-JP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＜ソルバーの初期設定＞</a:t>
          </a:r>
        </a:p>
        <a:p>
          <a:r>
            <a:rPr lang="ja-JP" altLang="ja-JP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ファイルタブ⇒オプション⇒ソルバーアドインを選択⇒下の設定ボタンをクリック⇒ソルバーアドインのチェックボックスにチェック⇒ＯＫで閉じる⇒データタブの最右部にソルバーが表示されるのでこれをクリックする</a:t>
          </a:r>
          <a:r>
            <a:rPr lang="ja-JP" altLang="en-US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と下の画面が表示される。</a:t>
          </a:r>
          <a:endParaRPr lang="en-US" altLang="ja-JP" sz="2000" b="1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目的セルに残差平方和のセル、変数セルに回帰係数のセルを指定する</a:t>
          </a:r>
          <a:r>
            <a:rPr lang="ja-JP" altLang="ja-JP" sz="20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kumimoji="1" lang="ja-JP" alt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31</xdr:row>
          <xdr:rowOff>47625</xdr:rowOff>
        </xdr:from>
        <xdr:to>
          <xdr:col>10</xdr:col>
          <xdr:colOff>333375</xdr:colOff>
          <xdr:row>51</xdr:row>
          <xdr:rowOff>142875</xdr:rowOff>
        </xdr:to>
        <xdr:sp macro="" textlink="">
          <xdr:nvSpPr>
            <xdr:cNvPr id="87041" name="Object 1" hidden="1">
              <a:extLst>
                <a:ext uri="{63B3BB69-23CF-44E3-9099-C40C66FF867C}">
                  <a14:compatExt spid="_x0000_s87041"/>
                </a:ext>
                <a:ext uri="{FF2B5EF4-FFF2-40B4-BE49-F238E27FC236}">
                  <a16:creationId xmlns:a16="http://schemas.microsoft.com/office/drawing/2014/main" id="{00000000-0008-0000-1300-0000015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495300</xdr:colOff>
      <xdr:row>1</xdr:row>
      <xdr:rowOff>85725</xdr:rowOff>
    </xdr:from>
    <xdr:to>
      <xdr:col>13</xdr:col>
      <xdr:colOff>180975</xdr:colOff>
      <xdr:row>31</xdr:row>
      <xdr:rowOff>28575</xdr:rowOff>
    </xdr:to>
    <xdr:graphicFrame macro="">
      <xdr:nvGraphicFramePr>
        <xdr:cNvPr id="2" name="グラフ 9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476250</xdr:colOff>
      <xdr:row>7</xdr:row>
      <xdr:rowOff>66675</xdr:rowOff>
    </xdr:from>
    <xdr:to>
      <xdr:col>11</xdr:col>
      <xdr:colOff>114300</xdr:colOff>
      <xdr:row>14</xdr:row>
      <xdr:rowOff>28575</xdr:rowOff>
    </xdr:to>
    <xdr:sp macro="" textlink="">
      <xdr:nvSpPr>
        <xdr:cNvPr id="3" name="Oval 4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 noChangeArrowheads="1"/>
        </xdr:cNvSpPr>
      </xdr:nvSpPr>
      <xdr:spPr bwMode="auto">
        <a:xfrm>
          <a:off x="8572500" y="1295400"/>
          <a:ext cx="447675" cy="11715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2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342900</xdr:colOff>
      <xdr:row>20</xdr:row>
      <xdr:rowOff>104775</xdr:rowOff>
    </xdr:from>
    <xdr:to>
      <xdr:col>11</xdr:col>
      <xdr:colOff>228600</xdr:colOff>
      <xdr:row>23</xdr:row>
      <xdr:rowOff>38100</xdr:rowOff>
    </xdr:to>
    <xdr:sp macro="" textlink="">
      <xdr:nvSpPr>
        <xdr:cNvPr id="4" name="Oval 5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 noChangeArrowheads="1"/>
        </xdr:cNvSpPr>
      </xdr:nvSpPr>
      <xdr:spPr bwMode="auto">
        <a:xfrm rot="-2733544">
          <a:off x="8148637" y="3071813"/>
          <a:ext cx="466725" cy="15049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2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447675</xdr:colOff>
      <xdr:row>6</xdr:row>
      <xdr:rowOff>9525</xdr:rowOff>
    </xdr:from>
    <xdr:to>
      <xdr:col>11</xdr:col>
      <xdr:colOff>400050</xdr:colOff>
      <xdr:row>26</xdr:row>
      <xdr:rowOff>123825</xdr:rowOff>
    </xdr:to>
    <xdr:sp macro="" textlink="">
      <xdr:nvSpPr>
        <xdr:cNvPr id="5" name="Oval 6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 noChangeArrowheads="1"/>
        </xdr:cNvSpPr>
      </xdr:nvSpPr>
      <xdr:spPr bwMode="auto">
        <a:xfrm>
          <a:off x="7734300" y="1057275"/>
          <a:ext cx="1571625" cy="3600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99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19</xdr:row>
          <xdr:rowOff>161925</xdr:rowOff>
        </xdr:from>
        <xdr:to>
          <xdr:col>12</xdr:col>
          <xdr:colOff>714375</xdr:colOff>
          <xdr:row>49</xdr:row>
          <xdr:rowOff>57150</xdr:rowOff>
        </xdr:to>
        <xdr:sp macro="" textlink="">
          <xdr:nvSpPr>
            <xdr:cNvPr id="88065" name="Object 1" hidden="1">
              <a:extLst>
                <a:ext uri="{63B3BB69-23CF-44E3-9099-C40C66FF867C}">
                  <a14:compatExt spid="_x0000_s88065"/>
                </a:ext>
                <a:ext uri="{FF2B5EF4-FFF2-40B4-BE49-F238E27FC236}">
                  <a16:creationId xmlns:a16="http://schemas.microsoft.com/office/drawing/2014/main" id="{00000000-0008-0000-1400-0000015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3</xdr:row>
      <xdr:rowOff>142875</xdr:rowOff>
    </xdr:from>
    <xdr:to>
      <xdr:col>13</xdr:col>
      <xdr:colOff>38100</xdr:colOff>
      <xdr:row>30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476250</xdr:colOff>
      <xdr:row>7</xdr:row>
      <xdr:rowOff>66675</xdr:rowOff>
    </xdr:from>
    <xdr:to>
      <xdr:col>11</xdr:col>
      <xdr:colOff>114300</xdr:colOff>
      <xdr:row>14</xdr:row>
      <xdr:rowOff>28575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>
          <a:spLocks noChangeArrowheads="1"/>
        </xdr:cNvSpPr>
      </xdr:nvSpPr>
      <xdr:spPr bwMode="auto">
        <a:xfrm>
          <a:off x="8572500" y="1276350"/>
          <a:ext cx="447675" cy="11715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2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342900</xdr:colOff>
      <xdr:row>20</xdr:row>
      <xdr:rowOff>104775</xdr:rowOff>
    </xdr:from>
    <xdr:to>
      <xdr:col>11</xdr:col>
      <xdr:colOff>228600</xdr:colOff>
      <xdr:row>23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>
          <a:spLocks noChangeArrowheads="1"/>
        </xdr:cNvSpPr>
      </xdr:nvSpPr>
      <xdr:spPr bwMode="auto">
        <a:xfrm rot="-2733544">
          <a:off x="8148637" y="3052763"/>
          <a:ext cx="466725" cy="15049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2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447675</xdr:colOff>
      <xdr:row>6</xdr:row>
      <xdr:rowOff>9525</xdr:rowOff>
    </xdr:from>
    <xdr:to>
      <xdr:col>11</xdr:col>
      <xdr:colOff>400050</xdr:colOff>
      <xdr:row>26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>
          <a:spLocks noChangeArrowheads="1"/>
        </xdr:cNvSpPr>
      </xdr:nvSpPr>
      <xdr:spPr bwMode="auto">
        <a:xfrm>
          <a:off x="7734300" y="1038225"/>
          <a:ext cx="1571625" cy="3600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99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31</xdr:row>
          <xdr:rowOff>66675</xdr:rowOff>
        </xdr:from>
        <xdr:to>
          <xdr:col>11</xdr:col>
          <xdr:colOff>219075</xdr:colOff>
          <xdr:row>51</xdr:row>
          <xdr:rowOff>142875</xdr:rowOff>
        </xdr:to>
        <xdr:sp macro="" textlink="">
          <xdr:nvSpPr>
            <xdr:cNvPr id="89089" name="Object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15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0</xdr:row>
          <xdr:rowOff>123825</xdr:rowOff>
        </xdr:from>
        <xdr:to>
          <xdr:col>24</xdr:col>
          <xdr:colOff>19050</xdr:colOff>
          <xdr:row>30</xdr:row>
          <xdr:rowOff>95250</xdr:rowOff>
        </xdr:to>
        <xdr:sp macro="" textlink="">
          <xdr:nvSpPr>
            <xdr:cNvPr id="90113" name="Object 1" hidden="1">
              <a:extLst>
                <a:ext uri="{63B3BB69-23CF-44E3-9099-C40C66FF867C}">
                  <a14:compatExt spid="_x0000_s90113"/>
                </a:ext>
                <a:ext uri="{FF2B5EF4-FFF2-40B4-BE49-F238E27FC236}">
                  <a16:creationId xmlns:a16="http://schemas.microsoft.com/office/drawing/2014/main" id="{00000000-0008-0000-1600-0000016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31</xdr:row>
          <xdr:rowOff>19050</xdr:rowOff>
        </xdr:from>
        <xdr:to>
          <xdr:col>23</xdr:col>
          <xdr:colOff>476250</xdr:colOff>
          <xdr:row>50</xdr:row>
          <xdr:rowOff>114300</xdr:rowOff>
        </xdr:to>
        <xdr:sp macro="" textlink="">
          <xdr:nvSpPr>
            <xdr:cNvPr id="90114" name="Object 2" hidden="1">
              <a:extLst>
                <a:ext uri="{63B3BB69-23CF-44E3-9099-C40C66FF867C}">
                  <a14:compatExt spid="_x0000_s90114"/>
                </a:ext>
                <a:ext uri="{FF2B5EF4-FFF2-40B4-BE49-F238E27FC236}">
                  <a16:creationId xmlns:a16="http://schemas.microsoft.com/office/drawing/2014/main" id="{00000000-0008-0000-1600-0000026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31</xdr:row>
          <xdr:rowOff>123825</xdr:rowOff>
        </xdr:from>
        <xdr:to>
          <xdr:col>17</xdr:col>
          <xdr:colOff>352425</xdr:colOff>
          <xdr:row>48</xdr:row>
          <xdr:rowOff>123825</xdr:rowOff>
        </xdr:to>
        <xdr:sp macro="" textlink="">
          <xdr:nvSpPr>
            <xdr:cNvPr id="90115" name="Object 3" hidden="1">
              <a:extLst>
                <a:ext uri="{63B3BB69-23CF-44E3-9099-C40C66FF867C}">
                  <a14:compatExt spid="_x0000_s90115"/>
                </a:ext>
                <a:ext uri="{FF2B5EF4-FFF2-40B4-BE49-F238E27FC236}">
                  <a16:creationId xmlns:a16="http://schemas.microsoft.com/office/drawing/2014/main" id="{00000000-0008-0000-1600-0000036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66675</xdr:colOff>
      <xdr:row>31</xdr:row>
      <xdr:rowOff>123825</xdr:rowOff>
    </xdr:from>
    <xdr:to>
      <xdr:col>6</xdr:col>
      <xdr:colOff>19050</xdr:colOff>
      <xdr:row>49</xdr:row>
      <xdr:rowOff>133350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000625"/>
          <a:ext cx="2676525" cy="2752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485775</xdr:colOff>
          <xdr:row>1</xdr:row>
          <xdr:rowOff>28575</xdr:rowOff>
        </xdr:from>
        <xdr:to>
          <xdr:col>22</xdr:col>
          <xdr:colOff>257175</xdr:colOff>
          <xdr:row>28</xdr:row>
          <xdr:rowOff>142875</xdr:rowOff>
        </xdr:to>
        <xdr:sp macro="" textlink="">
          <xdr:nvSpPr>
            <xdr:cNvPr id="91137" name="Object 1" hidden="1">
              <a:extLst>
                <a:ext uri="{63B3BB69-23CF-44E3-9099-C40C66FF867C}">
                  <a14:compatExt spid="_x0000_s91137"/>
                </a:ext>
                <a:ext uri="{FF2B5EF4-FFF2-40B4-BE49-F238E27FC236}">
                  <a16:creationId xmlns:a16="http://schemas.microsoft.com/office/drawing/2014/main" id="{00000000-0008-0000-1700-0000016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485775</xdr:colOff>
          <xdr:row>29</xdr:row>
          <xdr:rowOff>66675</xdr:rowOff>
        </xdr:from>
        <xdr:to>
          <xdr:col>22</xdr:col>
          <xdr:colOff>257175</xdr:colOff>
          <xdr:row>58</xdr:row>
          <xdr:rowOff>28575</xdr:rowOff>
        </xdr:to>
        <xdr:sp macro="" textlink="">
          <xdr:nvSpPr>
            <xdr:cNvPr id="91138" name="Object 2" hidden="1">
              <a:extLst>
                <a:ext uri="{63B3BB69-23CF-44E3-9099-C40C66FF867C}">
                  <a14:compatExt spid="_x0000_s91138"/>
                </a:ext>
                <a:ext uri="{FF2B5EF4-FFF2-40B4-BE49-F238E27FC236}">
                  <a16:creationId xmlns:a16="http://schemas.microsoft.com/office/drawing/2014/main" id="{00000000-0008-0000-1700-0000026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34</xdr:row>
          <xdr:rowOff>47625</xdr:rowOff>
        </xdr:from>
        <xdr:to>
          <xdr:col>16</xdr:col>
          <xdr:colOff>447675</xdr:colOff>
          <xdr:row>48</xdr:row>
          <xdr:rowOff>142875</xdr:rowOff>
        </xdr:to>
        <xdr:sp macro="" textlink="">
          <xdr:nvSpPr>
            <xdr:cNvPr id="91139" name="Object 3" hidden="1">
              <a:extLst>
                <a:ext uri="{63B3BB69-23CF-44E3-9099-C40C66FF867C}">
                  <a14:compatExt spid="_x0000_s91139"/>
                </a:ext>
                <a:ext uri="{FF2B5EF4-FFF2-40B4-BE49-F238E27FC236}">
                  <a16:creationId xmlns:a16="http://schemas.microsoft.com/office/drawing/2014/main" id="{00000000-0008-0000-1700-0000036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12700</xdr:colOff>
      <xdr:row>33</xdr:row>
      <xdr:rowOff>95250</xdr:rowOff>
    </xdr:from>
    <xdr:to>
      <xdr:col>6</xdr:col>
      <xdr:colOff>387350</xdr:colOff>
      <xdr:row>51</xdr:row>
      <xdr:rowOff>9525</xdr:rowOff>
    </xdr:to>
    <xdr:grpSp>
      <xdr:nvGrpSpPr>
        <xdr:cNvPr id="2" name="Group 7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pSpPr>
          <a:grpSpLocks/>
        </xdr:cNvGrpSpPr>
      </xdr:nvGrpSpPr>
      <xdr:grpSpPr bwMode="auto">
        <a:xfrm>
          <a:off x="219075" y="5334000"/>
          <a:ext cx="2914650" cy="2771775"/>
          <a:chOff x="247" y="2471"/>
          <a:chExt cx="1832" cy="1745"/>
        </a:xfrm>
      </xdr:grpSpPr>
      <xdr:pic>
        <xdr:nvPicPr>
          <xdr:cNvPr id="3" name="Picture 8">
            <a:extLst>
              <a:ext uri="{FF2B5EF4-FFF2-40B4-BE49-F238E27FC236}">
                <a16:creationId xmlns:a16="http://schemas.microsoft.com/office/drawing/2014/main" id="{00000000-0008-0000-17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7" y="2471"/>
            <a:ext cx="1832" cy="174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4" name="Oval 9">
            <a:extLst>
              <a:ext uri="{FF2B5EF4-FFF2-40B4-BE49-F238E27FC236}">
                <a16:creationId xmlns:a16="http://schemas.microsoft.com/office/drawing/2014/main" id="{00000000-0008-0000-17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518" y="2837"/>
            <a:ext cx="77" cy="68"/>
          </a:xfrm>
          <a:prstGeom prst="ellipse">
            <a:avLst/>
          </a:prstGeom>
          <a:noFill/>
          <a:ln w="9525">
            <a:solidFill>
              <a:srgbClr val="33993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0000"/>
                </a:solidFill>
              </a14:hiddenFill>
            </a:ext>
          </a:extLst>
        </xdr:spPr>
      </xdr:sp>
      <xdr:sp macro="" textlink="">
        <xdr:nvSpPr>
          <xdr:cNvPr id="5" name="Oval 10">
            <a:extLst>
              <a:ext uri="{FF2B5EF4-FFF2-40B4-BE49-F238E27FC236}">
                <a16:creationId xmlns:a16="http://schemas.microsoft.com/office/drawing/2014/main" id="{00000000-0008-0000-17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360" y="3290"/>
            <a:ext cx="78" cy="68"/>
          </a:xfrm>
          <a:prstGeom prst="ellipse">
            <a:avLst/>
          </a:prstGeom>
          <a:noFill/>
          <a:ln w="9525">
            <a:solidFill>
              <a:srgbClr val="33993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339933"/>
                </a:solidFill>
              </a14:hiddenFill>
            </a:ext>
          </a:extLst>
        </xdr:spPr>
      </xdr:sp>
      <xdr:sp macro="" textlink="">
        <xdr:nvSpPr>
          <xdr:cNvPr id="6" name="Oval 11">
            <a:extLst>
              <a:ext uri="{FF2B5EF4-FFF2-40B4-BE49-F238E27FC236}">
                <a16:creationId xmlns:a16="http://schemas.microsoft.com/office/drawing/2014/main" id="{00000000-0008-0000-17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518" y="2990"/>
            <a:ext cx="77" cy="68"/>
          </a:xfrm>
          <a:prstGeom prst="ellipse">
            <a:avLst/>
          </a:prstGeom>
          <a:noFill/>
          <a:ln w="9525">
            <a:solidFill>
              <a:srgbClr val="33993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339933"/>
                </a:solidFill>
              </a14:hiddenFill>
            </a:ext>
          </a:extLst>
        </xdr:spPr>
      </xdr:sp>
      <xdr:sp macro="" textlink="">
        <xdr:nvSpPr>
          <xdr:cNvPr id="7" name="Oval 12">
            <a:extLst>
              <a:ext uri="{FF2B5EF4-FFF2-40B4-BE49-F238E27FC236}">
                <a16:creationId xmlns:a16="http://schemas.microsoft.com/office/drawing/2014/main" id="{00000000-0008-0000-17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359" y="3142"/>
            <a:ext cx="77" cy="68"/>
          </a:xfrm>
          <a:prstGeom prst="ellipse">
            <a:avLst/>
          </a:prstGeom>
          <a:noFill/>
          <a:ln w="9525">
            <a:solidFill>
              <a:srgbClr val="33993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339933"/>
                </a:solidFill>
              </a14:hiddenFill>
            </a:ext>
          </a:extLst>
        </xdr:spPr>
      </xdr:sp>
      <xdr:sp macro="" textlink="">
        <xdr:nvSpPr>
          <xdr:cNvPr id="8" name="Oval 13">
            <a:extLst>
              <a:ext uri="{FF2B5EF4-FFF2-40B4-BE49-F238E27FC236}">
                <a16:creationId xmlns:a16="http://schemas.microsoft.com/office/drawing/2014/main" id="{00000000-0008-0000-17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194" y="3142"/>
            <a:ext cx="77" cy="68"/>
          </a:xfrm>
          <a:prstGeom prst="ellipse">
            <a:avLst/>
          </a:prstGeom>
          <a:noFill/>
          <a:ln w="9525">
            <a:solidFill>
              <a:srgbClr val="33993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339933"/>
                </a:solidFill>
              </a14:hiddenFill>
            </a:ext>
          </a:extLst>
        </xdr:spPr>
      </xdr:sp>
      <xdr:sp macro="" textlink="">
        <xdr:nvSpPr>
          <xdr:cNvPr id="9" name="Oval 14">
            <a:extLst>
              <a:ext uri="{FF2B5EF4-FFF2-40B4-BE49-F238E27FC236}">
                <a16:creationId xmlns:a16="http://schemas.microsoft.com/office/drawing/2014/main" id="{00000000-0008-0000-17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194" y="3288"/>
            <a:ext cx="77" cy="69"/>
          </a:xfrm>
          <a:prstGeom prst="ellipse">
            <a:avLst/>
          </a:prstGeom>
          <a:noFill/>
          <a:ln w="9525">
            <a:solidFill>
              <a:srgbClr val="33993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339933"/>
                </a:solidFill>
              </a14:hiddenFill>
            </a:ext>
          </a:extLst>
        </xdr:spPr>
      </xdr:sp>
      <xdr:sp macro="" textlink="">
        <xdr:nvSpPr>
          <xdr:cNvPr id="10" name="Oval 15">
            <a:extLst>
              <a:ext uri="{FF2B5EF4-FFF2-40B4-BE49-F238E27FC236}">
                <a16:creationId xmlns:a16="http://schemas.microsoft.com/office/drawing/2014/main" id="{00000000-0008-0000-17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682" y="2841"/>
            <a:ext cx="77" cy="68"/>
          </a:xfrm>
          <a:prstGeom prst="ellipse">
            <a:avLst/>
          </a:prstGeom>
          <a:noFill/>
          <a:ln w="9525">
            <a:solidFill>
              <a:srgbClr val="33993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0000"/>
                </a:solidFill>
              </a14:hiddenFill>
            </a:ext>
          </a:extLst>
        </xdr:spPr>
      </xdr:sp>
      <xdr:sp macro="" textlink="">
        <xdr:nvSpPr>
          <xdr:cNvPr id="11" name="Oval 16">
            <a:extLst>
              <a:ext uri="{FF2B5EF4-FFF2-40B4-BE49-F238E27FC236}">
                <a16:creationId xmlns:a16="http://schemas.microsoft.com/office/drawing/2014/main" id="{00000000-0008-0000-17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686" y="2986"/>
            <a:ext cx="77" cy="68"/>
          </a:xfrm>
          <a:prstGeom prst="ellipse">
            <a:avLst/>
          </a:prstGeom>
          <a:noFill/>
          <a:ln w="9525">
            <a:solidFill>
              <a:srgbClr val="33993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0000"/>
                </a:solidFill>
              </a14:hiddenFill>
            </a:ext>
          </a:extLst>
        </xdr:spPr>
      </xdr:sp>
      <xdr:sp macro="" textlink="">
        <xdr:nvSpPr>
          <xdr:cNvPr id="12" name="Oval 17">
            <a:extLst>
              <a:ext uri="{FF2B5EF4-FFF2-40B4-BE49-F238E27FC236}">
                <a16:creationId xmlns:a16="http://schemas.microsoft.com/office/drawing/2014/main" id="{00000000-0008-0000-17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866" y="3580"/>
            <a:ext cx="77" cy="69"/>
          </a:xfrm>
          <a:prstGeom prst="ellipse">
            <a:avLst/>
          </a:prstGeom>
          <a:noFill/>
          <a:ln w="9525">
            <a:solidFill>
              <a:srgbClr val="FF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0000"/>
                </a:solidFill>
              </a14:hiddenFill>
            </a:ext>
          </a:extLst>
        </xdr:spPr>
      </xdr:sp>
      <xdr:sp macro="" textlink="">
        <xdr:nvSpPr>
          <xdr:cNvPr id="13" name="Oval 18">
            <a:extLst>
              <a:ext uri="{FF2B5EF4-FFF2-40B4-BE49-F238E27FC236}">
                <a16:creationId xmlns:a16="http://schemas.microsoft.com/office/drawing/2014/main" id="{00000000-0008-0000-17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552" y="3579"/>
            <a:ext cx="77" cy="68"/>
          </a:xfrm>
          <a:prstGeom prst="ellipse">
            <a:avLst/>
          </a:prstGeom>
          <a:noFill/>
          <a:ln w="9525">
            <a:solidFill>
              <a:srgbClr val="FF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0000"/>
                </a:solidFill>
              </a14:hiddenFill>
            </a:ext>
          </a:extLst>
        </xdr:spPr>
      </xdr:sp>
      <xdr:sp macro="" textlink="">
        <xdr:nvSpPr>
          <xdr:cNvPr id="14" name="Oval 19">
            <a:extLst>
              <a:ext uri="{FF2B5EF4-FFF2-40B4-BE49-F238E27FC236}">
                <a16:creationId xmlns:a16="http://schemas.microsoft.com/office/drawing/2014/main" id="{00000000-0008-0000-17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544" y="3876"/>
            <a:ext cx="77" cy="68"/>
          </a:xfrm>
          <a:prstGeom prst="ellipse">
            <a:avLst/>
          </a:prstGeom>
          <a:noFill/>
          <a:ln w="9525">
            <a:solidFill>
              <a:srgbClr val="FF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0000"/>
                </a:solidFill>
              </a14:hiddenFill>
            </a:ext>
          </a:extLst>
        </xdr:spPr>
      </xdr:sp>
      <xdr:sp macro="" textlink="">
        <xdr:nvSpPr>
          <xdr:cNvPr id="15" name="Oval 20">
            <a:extLst>
              <a:ext uri="{FF2B5EF4-FFF2-40B4-BE49-F238E27FC236}">
                <a16:creationId xmlns:a16="http://schemas.microsoft.com/office/drawing/2014/main" id="{00000000-0008-0000-17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867" y="3880"/>
            <a:ext cx="77" cy="68"/>
          </a:xfrm>
          <a:prstGeom prst="ellipse">
            <a:avLst/>
          </a:prstGeom>
          <a:noFill/>
          <a:ln w="9525">
            <a:solidFill>
              <a:srgbClr val="FF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0000"/>
                </a:solidFill>
              </a14:hiddenFill>
            </a:ext>
          </a:extLst>
        </xdr:spPr>
      </xdr:sp>
      <xdr:sp macro="" textlink="">
        <xdr:nvSpPr>
          <xdr:cNvPr id="16" name="Rectangle 21">
            <a:extLst>
              <a:ext uri="{FF2B5EF4-FFF2-40B4-BE49-F238E27FC236}">
                <a16:creationId xmlns:a16="http://schemas.microsoft.com/office/drawing/2014/main" id="{00000000-0008-0000-17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1367" y="3011"/>
            <a:ext cx="261" cy="4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1800" b="0" i="0" u="none" strike="noStrike" baseline="0">
                <a:solidFill>
                  <a:srgbClr val="339966"/>
                </a:solidFill>
                <a:latin typeface="ＭＳ Ｐゴシック"/>
                <a:ea typeface="ＭＳ Ｐゴシック"/>
              </a:rPr>
              <a:t>×</a:t>
            </a:r>
          </a:p>
          <a:p>
            <a:pPr algn="l" rtl="0">
              <a:defRPr sz="1000"/>
            </a:pPr>
            <a:endParaRPr lang="ja-JP" altLang="en-US" sz="1800" b="0" i="0" u="none" strike="noStrike" baseline="0">
              <a:solidFill>
                <a:srgbClr val="339966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7" name="Rectangle 22">
            <a:extLst>
              <a:ext uri="{FF2B5EF4-FFF2-40B4-BE49-F238E27FC236}">
                <a16:creationId xmlns:a16="http://schemas.microsoft.com/office/drawing/2014/main" id="{00000000-0008-0000-17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630" y="3652"/>
            <a:ext cx="261" cy="4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1800" b="0" i="0" u="none" strike="noStrike" baseline="0">
                <a:solidFill>
                  <a:srgbClr val="FF00FF"/>
                </a:solidFill>
                <a:latin typeface="ＭＳ Ｐゴシック"/>
                <a:ea typeface="ＭＳ Ｐゴシック"/>
              </a:rPr>
              <a:t>×</a:t>
            </a:r>
          </a:p>
          <a:p>
            <a:pPr algn="l" rtl="0">
              <a:defRPr sz="1000"/>
            </a:pPr>
            <a:endParaRPr lang="ja-JP" altLang="en-US" sz="1800" b="0" i="0" u="none" strike="noStrike" baseline="0">
              <a:solidFill>
                <a:srgbClr val="FF00FF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8" name="AutoShape 23">
            <a:extLst>
              <a:ext uri="{FF2B5EF4-FFF2-40B4-BE49-F238E27FC236}">
                <a16:creationId xmlns:a16="http://schemas.microsoft.com/office/drawing/2014/main" id="{00000000-0008-0000-17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499" y="3541"/>
            <a:ext cx="475" cy="432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FF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</a:extLst>
        </xdr:spPr>
      </xdr:sp>
      <xdr:sp macro="" textlink="">
        <xdr:nvSpPr>
          <xdr:cNvPr id="19" name="Rectangle 24">
            <a:extLst>
              <a:ext uri="{FF2B5EF4-FFF2-40B4-BE49-F238E27FC236}">
                <a16:creationId xmlns:a16="http://schemas.microsoft.com/office/drawing/2014/main" id="{00000000-0008-0000-17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750" y="2867"/>
            <a:ext cx="593" cy="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339966"/>
                </a:solidFill>
                <a:latin typeface="ＭＳ Ｐゴシック"/>
                <a:ea typeface="ＭＳ Ｐゴシック"/>
              </a:rPr>
              <a:t>クラスター１</a:t>
            </a:r>
          </a:p>
          <a:p>
            <a:pPr algn="l" rtl="0">
              <a:defRPr sz="1000"/>
            </a:pPr>
            <a:endParaRPr lang="ja-JP" altLang="en-US" sz="1200" b="0" i="0" u="none" strike="noStrike" baseline="0">
              <a:solidFill>
                <a:srgbClr val="339966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0" name="Rectangle 25">
            <a:extLst>
              <a:ext uri="{FF2B5EF4-FFF2-40B4-BE49-F238E27FC236}">
                <a16:creationId xmlns:a16="http://schemas.microsoft.com/office/drawing/2014/main" id="{00000000-0008-0000-17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421" y="3406"/>
            <a:ext cx="593" cy="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FF00FF"/>
                </a:solidFill>
                <a:latin typeface="ＭＳ Ｐゴシック"/>
                <a:ea typeface="ＭＳ Ｐゴシック"/>
              </a:rPr>
              <a:t>クラスター２</a:t>
            </a:r>
          </a:p>
          <a:p>
            <a:pPr algn="l" rtl="0">
              <a:defRPr sz="1000"/>
            </a:pPr>
            <a:endParaRPr lang="ja-JP" altLang="en-US" sz="1200" b="0" i="0" u="none" strike="noStrike" baseline="0">
              <a:solidFill>
                <a:srgbClr val="FF00FF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1" name="Oval 26">
            <a:extLst>
              <a:ext uri="{FF2B5EF4-FFF2-40B4-BE49-F238E27FC236}">
                <a16:creationId xmlns:a16="http://schemas.microsoft.com/office/drawing/2014/main" id="{00000000-0008-0000-1700-000015000000}"/>
              </a:ext>
            </a:extLst>
          </xdr:cNvPr>
          <xdr:cNvSpPr>
            <a:spLocks noChangeArrowheads="1"/>
          </xdr:cNvSpPr>
        </xdr:nvSpPr>
        <xdr:spPr bwMode="auto">
          <a:xfrm rot="-2563435">
            <a:off x="995" y="2908"/>
            <a:ext cx="957" cy="386"/>
          </a:xfrm>
          <a:prstGeom prst="ellipse">
            <a:avLst/>
          </a:prstGeom>
          <a:noFill/>
          <a:ln w="28575">
            <a:solidFill>
              <a:srgbClr val="339933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</a:extLst>
        </xdr:spPr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180975</xdr:colOff>
          <xdr:row>1</xdr:row>
          <xdr:rowOff>142875</xdr:rowOff>
        </xdr:from>
        <xdr:to>
          <xdr:col>22</xdr:col>
          <xdr:colOff>352425</xdr:colOff>
          <xdr:row>21</xdr:row>
          <xdr:rowOff>114300</xdr:rowOff>
        </xdr:to>
        <xdr:sp macro="" textlink="">
          <xdr:nvSpPr>
            <xdr:cNvPr id="92161" name="Object 1" hidden="1">
              <a:extLst>
                <a:ext uri="{63B3BB69-23CF-44E3-9099-C40C66FF867C}">
                  <a14:compatExt spid="_x0000_s92161"/>
                </a:ext>
                <a:ext uri="{FF2B5EF4-FFF2-40B4-BE49-F238E27FC236}">
                  <a16:creationId xmlns:a16="http://schemas.microsoft.com/office/drawing/2014/main" id="{00000000-0008-0000-1800-000001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200025</xdr:colOff>
          <xdr:row>22</xdr:row>
          <xdr:rowOff>66675</xdr:rowOff>
        </xdr:from>
        <xdr:to>
          <xdr:col>22</xdr:col>
          <xdr:colOff>371475</xdr:colOff>
          <xdr:row>32</xdr:row>
          <xdr:rowOff>9525</xdr:rowOff>
        </xdr:to>
        <xdr:sp macro="" textlink="">
          <xdr:nvSpPr>
            <xdr:cNvPr id="92162" name="Object 2" hidden="1">
              <a:extLst>
                <a:ext uri="{63B3BB69-23CF-44E3-9099-C40C66FF867C}">
                  <a14:compatExt spid="_x0000_s92162"/>
                </a:ext>
                <a:ext uri="{FF2B5EF4-FFF2-40B4-BE49-F238E27FC236}">
                  <a16:creationId xmlns:a16="http://schemas.microsoft.com/office/drawing/2014/main" id="{00000000-0008-0000-1800-000002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23</xdr:row>
          <xdr:rowOff>0</xdr:rowOff>
        </xdr:from>
        <xdr:to>
          <xdr:col>10</xdr:col>
          <xdr:colOff>104775</xdr:colOff>
          <xdr:row>39</xdr:row>
          <xdr:rowOff>47625</xdr:rowOff>
        </xdr:to>
        <xdr:sp macro="" textlink="">
          <xdr:nvSpPr>
            <xdr:cNvPr id="92163" name="Object 3" hidden="1">
              <a:extLst>
                <a:ext uri="{63B3BB69-23CF-44E3-9099-C40C66FF867C}">
                  <a14:compatExt spid="_x0000_s92163"/>
                </a:ext>
                <a:ext uri="{FF2B5EF4-FFF2-40B4-BE49-F238E27FC236}">
                  <a16:creationId xmlns:a16="http://schemas.microsoft.com/office/drawing/2014/main" id="{00000000-0008-0000-1800-000003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23</xdr:row>
          <xdr:rowOff>38100</xdr:rowOff>
        </xdr:from>
        <xdr:to>
          <xdr:col>16</xdr:col>
          <xdr:colOff>104775</xdr:colOff>
          <xdr:row>42</xdr:row>
          <xdr:rowOff>47625</xdr:rowOff>
        </xdr:to>
        <xdr:sp macro="" textlink="">
          <xdr:nvSpPr>
            <xdr:cNvPr id="92164" name="Object 4" hidden="1">
              <a:extLst>
                <a:ext uri="{63B3BB69-23CF-44E3-9099-C40C66FF867C}">
                  <a14:compatExt spid="_x0000_s92164"/>
                </a:ext>
                <a:ext uri="{FF2B5EF4-FFF2-40B4-BE49-F238E27FC236}">
                  <a16:creationId xmlns:a16="http://schemas.microsoft.com/office/drawing/2014/main" id="{00000000-0008-0000-1800-000004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23</xdr:row>
          <xdr:rowOff>0</xdr:rowOff>
        </xdr:from>
        <xdr:to>
          <xdr:col>10</xdr:col>
          <xdr:colOff>104775</xdr:colOff>
          <xdr:row>39</xdr:row>
          <xdr:rowOff>47625</xdr:rowOff>
        </xdr:to>
        <xdr:sp macro="" textlink="">
          <xdr:nvSpPr>
            <xdr:cNvPr id="93185" name="Object 1" hidden="1">
              <a:extLst>
                <a:ext uri="{63B3BB69-23CF-44E3-9099-C40C66FF867C}">
                  <a14:compatExt spid="_x0000_s93185"/>
                </a:ext>
                <a:ext uri="{FF2B5EF4-FFF2-40B4-BE49-F238E27FC236}">
                  <a16:creationId xmlns:a16="http://schemas.microsoft.com/office/drawing/2014/main" id="{00000000-0008-0000-1900-0000016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219075</xdr:colOff>
          <xdr:row>2</xdr:row>
          <xdr:rowOff>28575</xdr:rowOff>
        </xdr:from>
        <xdr:to>
          <xdr:col>23</xdr:col>
          <xdr:colOff>123825</xdr:colOff>
          <xdr:row>24</xdr:row>
          <xdr:rowOff>66675</xdr:rowOff>
        </xdr:to>
        <xdr:sp macro="" textlink="">
          <xdr:nvSpPr>
            <xdr:cNvPr id="93186" name="Object 2" hidden="1">
              <a:extLst>
                <a:ext uri="{63B3BB69-23CF-44E3-9099-C40C66FF867C}">
                  <a14:compatExt spid="_x0000_s93186"/>
                </a:ext>
                <a:ext uri="{FF2B5EF4-FFF2-40B4-BE49-F238E27FC236}">
                  <a16:creationId xmlns:a16="http://schemas.microsoft.com/office/drawing/2014/main" id="{00000000-0008-0000-1900-0000026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238125</xdr:colOff>
          <xdr:row>24</xdr:row>
          <xdr:rowOff>142875</xdr:rowOff>
        </xdr:from>
        <xdr:to>
          <xdr:col>22</xdr:col>
          <xdr:colOff>428625</xdr:colOff>
          <xdr:row>35</xdr:row>
          <xdr:rowOff>114300</xdr:rowOff>
        </xdr:to>
        <xdr:sp macro="" textlink="">
          <xdr:nvSpPr>
            <xdr:cNvPr id="93187" name="Object 3" hidden="1">
              <a:extLst>
                <a:ext uri="{63B3BB69-23CF-44E3-9099-C40C66FF867C}">
                  <a14:compatExt spid="_x0000_s93187"/>
                </a:ext>
                <a:ext uri="{FF2B5EF4-FFF2-40B4-BE49-F238E27FC236}">
                  <a16:creationId xmlns:a16="http://schemas.microsoft.com/office/drawing/2014/main" id="{00000000-0008-0000-1900-0000036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23</xdr:row>
          <xdr:rowOff>9525</xdr:rowOff>
        </xdr:from>
        <xdr:to>
          <xdr:col>16</xdr:col>
          <xdr:colOff>257175</xdr:colOff>
          <xdr:row>44</xdr:row>
          <xdr:rowOff>28575</xdr:rowOff>
        </xdr:to>
        <xdr:sp macro="" textlink="">
          <xdr:nvSpPr>
            <xdr:cNvPr id="93188" name="Object 4" hidden="1">
              <a:extLst>
                <a:ext uri="{63B3BB69-23CF-44E3-9099-C40C66FF867C}">
                  <a14:compatExt spid="_x0000_s93188"/>
                </a:ext>
                <a:ext uri="{FF2B5EF4-FFF2-40B4-BE49-F238E27FC236}">
                  <a16:creationId xmlns:a16="http://schemas.microsoft.com/office/drawing/2014/main" id="{00000000-0008-0000-1900-0000046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42334</xdr:colOff>
      <xdr:row>1</xdr:row>
      <xdr:rowOff>31750</xdr:rowOff>
    </xdr:from>
    <xdr:to>
      <xdr:col>6</xdr:col>
      <xdr:colOff>331259</xdr:colOff>
      <xdr:row>2</xdr:row>
      <xdr:rowOff>16934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9534" y="279400"/>
          <a:ext cx="1298575" cy="232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3</xdr:row>
      <xdr:rowOff>63499</xdr:rowOff>
    </xdr:from>
    <xdr:to>
      <xdr:col>7</xdr:col>
      <xdr:colOff>80433</xdr:colOff>
      <xdr:row>4</xdr:row>
      <xdr:rowOff>10582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700" y="806449"/>
          <a:ext cx="1531408" cy="19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52917</xdr:colOff>
      <xdr:row>4</xdr:row>
      <xdr:rowOff>63500</xdr:rowOff>
    </xdr:from>
    <xdr:to>
      <xdr:col>7</xdr:col>
      <xdr:colOff>69850</xdr:colOff>
      <xdr:row>5</xdr:row>
      <xdr:rowOff>1059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0117" y="1054100"/>
          <a:ext cx="1531408" cy="185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52916</xdr:colOff>
      <xdr:row>5</xdr:row>
      <xdr:rowOff>52917</xdr:rowOff>
    </xdr:from>
    <xdr:to>
      <xdr:col>7</xdr:col>
      <xdr:colOff>69849</xdr:colOff>
      <xdr:row>5</xdr:row>
      <xdr:rowOff>224367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0116" y="1291167"/>
          <a:ext cx="153140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74084</xdr:colOff>
      <xdr:row>7</xdr:row>
      <xdr:rowOff>42329</xdr:rowOff>
    </xdr:from>
    <xdr:to>
      <xdr:col>7</xdr:col>
      <xdr:colOff>433917</xdr:colOff>
      <xdr:row>7</xdr:row>
      <xdr:rowOff>223304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1284" y="1775879"/>
          <a:ext cx="187430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74082</xdr:colOff>
      <xdr:row>2</xdr:row>
      <xdr:rowOff>52916</xdr:rowOff>
    </xdr:from>
    <xdr:to>
      <xdr:col>7</xdr:col>
      <xdr:colOff>62440</xdr:colOff>
      <xdr:row>2</xdr:row>
      <xdr:rowOff>224366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1282" y="548216"/>
          <a:ext cx="150283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84667</xdr:colOff>
      <xdr:row>6</xdr:row>
      <xdr:rowOff>42334</xdr:rowOff>
    </xdr:from>
    <xdr:to>
      <xdr:col>7</xdr:col>
      <xdr:colOff>63500</xdr:colOff>
      <xdr:row>6</xdr:row>
      <xdr:rowOff>213784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867" y="1528234"/>
          <a:ext cx="149330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8</xdr:row>
      <xdr:rowOff>42333</xdr:rowOff>
    </xdr:from>
    <xdr:to>
      <xdr:col>6</xdr:col>
      <xdr:colOff>390525</xdr:colOff>
      <xdr:row>8</xdr:row>
      <xdr:rowOff>232833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1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700" y="2023533"/>
          <a:ext cx="1336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84668</xdr:colOff>
      <xdr:row>9</xdr:row>
      <xdr:rowOff>42337</xdr:rowOff>
    </xdr:from>
    <xdr:to>
      <xdr:col>6</xdr:col>
      <xdr:colOff>497418</xdr:colOff>
      <xdr:row>9</xdr:row>
      <xdr:rowOff>232837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1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868" y="2271187"/>
          <a:ext cx="142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105835</xdr:colOff>
      <xdr:row>10</xdr:row>
      <xdr:rowOff>52919</xdr:rowOff>
    </xdr:from>
    <xdr:to>
      <xdr:col>6</xdr:col>
      <xdr:colOff>490010</xdr:colOff>
      <xdr:row>10</xdr:row>
      <xdr:rowOff>205319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1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035" y="2529419"/>
          <a:ext cx="139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63501</xdr:colOff>
      <xdr:row>11</xdr:row>
      <xdr:rowOff>52916</xdr:rowOff>
    </xdr:from>
    <xdr:to>
      <xdr:col>8</xdr:col>
      <xdr:colOff>124884</xdr:colOff>
      <xdr:row>11</xdr:row>
      <xdr:rowOff>214841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1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701" y="2777066"/>
          <a:ext cx="2080683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1</xdr:row>
      <xdr:rowOff>10583</xdr:rowOff>
    </xdr:from>
    <xdr:to>
      <xdr:col>1</xdr:col>
      <xdr:colOff>550334</xdr:colOff>
      <xdr:row>9</xdr:row>
      <xdr:rowOff>222250</xdr:rowOff>
    </xdr:to>
    <xdr:sp macro="" textlink="">
      <xdr:nvSpPr>
        <xdr:cNvPr id="13" name="右中かっこ 12">
          <a:extLst>
            <a:ext uri="{FF2B5EF4-FFF2-40B4-BE49-F238E27FC236}">
              <a16:creationId xmlns:a16="http://schemas.microsoft.com/office/drawing/2014/main" id="{00000000-0008-0000-1C00-00000D000000}"/>
            </a:ext>
          </a:extLst>
        </xdr:cNvPr>
        <xdr:cNvSpPr/>
      </xdr:nvSpPr>
      <xdr:spPr>
        <a:xfrm>
          <a:off x="1409700" y="258233"/>
          <a:ext cx="455084" cy="2192867"/>
        </a:xfrm>
        <a:prstGeom prst="rightBrace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613830</xdr:colOff>
      <xdr:row>4</xdr:row>
      <xdr:rowOff>201084</xdr:rowOff>
    </xdr:from>
    <xdr:ext cx="1206500" cy="32573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1C00-00000E000000}"/>
            </a:ext>
          </a:extLst>
        </xdr:cNvPr>
        <xdr:cNvSpPr txBox="1"/>
      </xdr:nvSpPr>
      <xdr:spPr>
        <a:xfrm>
          <a:off x="1928280" y="1191684"/>
          <a:ext cx="12065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/>
            <a:t>データの範囲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23.emf"/><Relationship Id="rId4" Type="http://schemas.openxmlformats.org/officeDocument/2006/relationships/oleObject" Target="../embeddings/oleObject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24.emf"/><Relationship Id="rId4" Type="http://schemas.openxmlformats.org/officeDocument/2006/relationships/oleObject" Target="../embeddings/oleObject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25.emf"/><Relationship Id="rId4" Type="http://schemas.openxmlformats.org/officeDocument/2006/relationships/oleObject" Target="../embeddings/oleObject6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3" Type="http://schemas.openxmlformats.org/officeDocument/2006/relationships/vmlDrawing" Target="../drawings/vmlDrawing7.vml"/><Relationship Id="rId7" Type="http://schemas.openxmlformats.org/officeDocument/2006/relationships/image" Target="../media/image27.emf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26.emf"/><Relationship Id="rId4" Type="http://schemas.openxmlformats.org/officeDocument/2006/relationships/oleObject" Target="../embeddings/oleObject7.bin"/><Relationship Id="rId9" Type="http://schemas.openxmlformats.org/officeDocument/2006/relationships/image" Target="../media/image28.emf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2.bin"/><Relationship Id="rId3" Type="http://schemas.openxmlformats.org/officeDocument/2006/relationships/vmlDrawing" Target="../drawings/vmlDrawing8.vml"/><Relationship Id="rId7" Type="http://schemas.openxmlformats.org/officeDocument/2006/relationships/image" Target="../media/image31.emf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Relationship Id="rId6" Type="http://schemas.openxmlformats.org/officeDocument/2006/relationships/oleObject" Target="../embeddings/oleObject11.bin"/><Relationship Id="rId5" Type="http://schemas.openxmlformats.org/officeDocument/2006/relationships/image" Target="../media/image30.emf"/><Relationship Id="rId4" Type="http://schemas.openxmlformats.org/officeDocument/2006/relationships/oleObject" Target="../embeddings/oleObject10.bin"/><Relationship Id="rId9" Type="http://schemas.openxmlformats.org/officeDocument/2006/relationships/image" Target="../media/image32.emf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5.bin"/><Relationship Id="rId3" Type="http://schemas.openxmlformats.org/officeDocument/2006/relationships/vmlDrawing" Target="../drawings/vmlDrawing9.vml"/><Relationship Id="rId7" Type="http://schemas.openxmlformats.org/officeDocument/2006/relationships/image" Target="../media/image35.emf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Relationship Id="rId6" Type="http://schemas.openxmlformats.org/officeDocument/2006/relationships/oleObject" Target="../embeddings/oleObject14.bin"/><Relationship Id="rId11" Type="http://schemas.openxmlformats.org/officeDocument/2006/relationships/image" Target="../media/image37.emf"/><Relationship Id="rId5" Type="http://schemas.openxmlformats.org/officeDocument/2006/relationships/image" Target="../media/image34.emf"/><Relationship Id="rId10" Type="http://schemas.openxmlformats.org/officeDocument/2006/relationships/oleObject" Target="../embeddings/oleObject16.bin"/><Relationship Id="rId4" Type="http://schemas.openxmlformats.org/officeDocument/2006/relationships/oleObject" Target="../embeddings/oleObject13.bin"/><Relationship Id="rId9" Type="http://schemas.openxmlformats.org/officeDocument/2006/relationships/image" Target="../media/image36.emf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9.bin"/><Relationship Id="rId3" Type="http://schemas.openxmlformats.org/officeDocument/2006/relationships/vmlDrawing" Target="../drawings/vmlDrawing10.vml"/><Relationship Id="rId7" Type="http://schemas.openxmlformats.org/officeDocument/2006/relationships/image" Target="../media/image38.emf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Relationship Id="rId6" Type="http://schemas.openxmlformats.org/officeDocument/2006/relationships/oleObject" Target="../embeddings/oleObject18.bin"/><Relationship Id="rId11" Type="http://schemas.openxmlformats.org/officeDocument/2006/relationships/image" Target="../media/image40.emf"/><Relationship Id="rId5" Type="http://schemas.openxmlformats.org/officeDocument/2006/relationships/image" Target="../media/image36.emf"/><Relationship Id="rId10" Type="http://schemas.openxmlformats.org/officeDocument/2006/relationships/oleObject" Target="../embeddings/oleObject20.bin"/><Relationship Id="rId4" Type="http://schemas.openxmlformats.org/officeDocument/2006/relationships/oleObject" Target="../embeddings/oleObject17.bin"/><Relationship Id="rId9" Type="http://schemas.openxmlformats.org/officeDocument/2006/relationships/image" Target="../media/image39.emf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CE92-E4DD-413F-81B4-1DA0595295BB}">
  <dimension ref="B1:D13"/>
  <sheetViews>
    <sheetView tabSelected="1" zoomScale="130" zoomScaleNormal="130" workbookViewId="0">
      <pane ySplit="2" topLeftCell="A3" activePane="bottomLeft" state="frozen"/>
      <selection pane="bottomLeft"/>
    </sheetView>
  </sheetViews>
  <sheetFormatPr defaultColWidth="9" defaultRowHeight="13.5" x14ac:dyDescent="0.15"/>
  <cols>
    <col min="1" max="1" width="2.625" style="35" customWidth="1"/>
    <col min="2" max="2" width="10.75" style="33" customWidth="1"/>
    <col min="3" max="3" width="10" style="38" customWidth="1"/>
    <col min="4" max="4" width="9.625" style="38" customWidth="1"/>
    <col min="5" max="224" width="9" style="35"/>
    <col min="225" max="225" width="2.625" style="35" customWidth="1"/>
    <col min="226" max="226" width="10.75" style="35" customWidth="1"/>
    <col min="227" max="227" width="7.625" style="35" customWidth="1"/>
    <col min="228" max="228" width="11.125" style="35" customWidth="1"/>
    <col min="229" max="229" width="8.625" style="35" customWidth="1"/>
    <col min="230" max="230" width="9" style="35"/>
    <col min="231" max="232" width="8.625" style="35" customWidth="1"/>
    <col min="233" max="233" width="9" style="35"/>
    <col min="234" max="234" width="9.5" style="35" bestFit="1" customWidth="1"/>
    <col min="235" max="480" width="9" style="35"/>
    <col min="481" max="481" width="2.625" style="35" customWidth="1"/>
    <col min="482" max="482" width="10.75" style="35" customWidth="1"/>
    <col min="483" max="483" width="7.625" style="35" customWidth="1"/>
    <col min="484" max="484" width="11.125" style="35" customWidth="1"/>
    <col min="485" max="485" width="8.625" style="35" customWidth="1"/>
    <col min="486" max="486" width="9" style="35"/>
    <col min="487" max="488" width="8.625" style="35" customWidth="1"/>
    <col min="489" max="489" width="9" style="35"/>
    <col min="490" max="490" width="9.5" style="35" bestFit="1" customWidth="1"/>
    <col min="491" max="736" width="9" style="35"/>
    <col min="737" max="737" width="2.625" style="35" customWidth="1"/>
    <col min="738" max="738" width="10.75" style="35" customWidth="1"/>
    <col min="739" max="739" width="7.625" style="35" customWidth="1"/>
    <col min="740" max="740" width="11.125" style="35" customWidth="1"/>
    <col min="741" max="741" width="8.625" style="35" customWidth="1"/>
    <col min="742" max="742" width="9" style="35"/>
    <col min="743" max="744" width="8.625" style="35" customWidth="1"/>
    <col min="745" max="745" width="9" style="35"/>
    <col min="746" max="746" width="9.5" style="35" bestFit="1" customWidth="1"/>
    <col min="747" max="992" width="9" style="35"/>
    <col min="993" max="993" width="2.625" style="35" customWidth="1"/>
    <col min="994" max="994" width="10.75" style="35" customWidth="1"/>
    <col min="995" max="995" width="7.625" style="35" customWidth="1"/>
    <col min="996" max="996" width="11.125" style="35" customWidth="1"/>
    <col min="997" max="997" width="8.625" style="35" customWidth="1"/>
    <col min="998" max="998" width="9" style="35"/>
    <col min="999" max="1000" width="8.625" style="35" customWidth="1"/>
    <col min="1001" max="1001" width="9" style="35"/>
    <col min="1002" max="1002" width="9.5" style="35" bestFit="1" customWidth="1"/>
    <col min="1003" max="1248" width="9" style="35"/>
    <col min="1249" max="1249" width="2.625" style="35" customWidth="1"/>
    <col min="1250" max="1250" width="10.75" style="35" customWidth="1"/>
    <col min="1251" max="1251" width="7.625" style="35" customWidth="1"/>
    <col min="1252" max="1252" width="11.125" style="35" customWidth="1"/>
    <col min="1253" max="1253" width="8.625" style="35" customWidth="1"/>
    <col min="1254" max="1254" width="9" style="35"/>
    <col min="1255" max="1256" width="8.625" style="35" customWidth="1"/>
    <col min="1257" max="1257" width="9" style="35"/>
    <col min="1258" max="1258" width="9.5" style="35" bestFit="1" customWidth="1"/>
    <col min="1259" max="1504" width="9" style="35"/>
    <col min="1505" max="1505" width="2.625" style="35" customWidth="1"/>
    <col min="1506" max="1506" width="10.75" style="35" customWidth="1"/>
    <col min="1507" max="1507" width="7.625" style="35" customWidth="1"/>
    <col min="1508" max="1508" width="11.125" style="35" customWidth="1"/>
    <col min="1509" max="1509" width="8.625" style="35" customWidth="1"/>
    <col min="1510" max="1510" width="9" style="35"/>
    <col min="1511" max="1512" width="8.625" style="35" customWidth="1"/>
    <col min="1513" max="1513" width="9" style="35"/>
    <col min="1514" max="1514" width="9.5" style="35" bestFit="1" customWidth="1"/>
    <col min="1515" max="1760" width="9" style="35"/>
    <col min="1761" max="1761" width="2.625" style="35" customWidth="1"/>
    <col min="1762" max="1762" width="10.75" style="35" customWidth="1"/>
    <col min="1763" max="1763" width="7.625" style="35" customWidth="1"/>
    <col min="1764" max="1764" width="11.125" style="35" customWidth="1"/>
    <col min="1765" max="1765" width="8.625" style="35" customWidth="1"/>
    <col min="1766" max="1766" width="9" style="35"/>
    <col min="1767" max="1768" width="8.625" style="35" customWidth="1"/>
    <col min="1769" max="1769" width="9" style="35"/>
    <col min="1770" max="1770" width="9.5" style="35" bestFit="1" customWidth="1"/>
    <col min="1771" max="2016" width="9" style="35"/>
    <col min="2017" max="2017" width="2.625" style="35" customWidth="1"/>
    <col min="2018" max="2018" width="10.75" style="35" customWidth="1"/>
    <col min="2019" max="2019" width="7.625" style="35" customWidth="1"/>
    <col min="2020" max="2020" width="11.125" style="35" customWidth="1"/>
    <col min="2021" max="2021" width="8.625" style="35" customWidth="1"/>
    <col min="2022" max="2022" width="9" style="35"/>
    <col min="2023" max="2024" width="8.625" style="35" customWidth="1"/>
    <col min="2025" max="2025" width="9" style="35"/>
    <col min="2026" max="2026" width="9.5" style="35" bestFit="1" customWidth="1"/>
    <col min="2027" max="2272" width="9" style="35"/>
    <col min="2273" max="2273" width="2.625" style="35" customWidth="1"/>
    <col min="2274" max="2274" width="10.75" style="35" customWidth="1"/>
    <col min="2275" max="2275" width="7.625" style="35" customWidth="1"/>
    <col min="2276" max="2276" width="11.125" style="35" customWidth="1"/>
    <col min="2277" max="2277" width="8.625" style="35" customWidth="1"/>
    <col min="2278" max="2278" width="9" style="35"/>
    <col min="2279" max="2280" width="8.625" style="35" customWidth="1"/>
    <col min="2281" max="2281" width="9" style="35"/>
    <col min="2282" max="2282" width="9.5" style="35" bestFit="1" customWidth="1"/>
    <col min="2283" max="2528" width="9" style="35"/>
    <col min="2529" max="2529" width="2.625" style="35" customWidth="1"/>
    <col min="2530" max="2530" width="10.75" style="35" customWidth="1"/>
    <col min="2531" max="2531" width="7.625" style="35" customWidth="1"/>
    <col min="2532" max="2532" width="11.125" style="35" customWidth="1"/>
    <col min="2533" max="2533" width="8.625" style="35" customWidth="1"/>
    <col min="2534" max="2534" width="9" style="35"/>
    <col min="2535" max="2536" width="8.625" style="35" customWidth="1"/>
    <col min="2537" max="2537" width="9" style="35"/>
    <col min="2538" max="2538" width="9.5" style="35" bestFit="1" customWidth="1"/>
    <col min="2539" max="2784" width="9" style="35"/>
    <col min="2785" max="2785" width="2.625" style="35" customWidth="1"/>
    <col min="2786" max="2786" width="10.75" style="35" customWidth="1"/>
    <col min="2787" max="2787" width="7.625" style="35" customWidth="1"/>
    <col min="2788" max="2788" width="11.125" style="35" customWidth="1"/>
    <col min="2789" max="2789" width="8.625" style="35" customWidth="1"/>
    <col min="2790" max="2790" width="9" style="35"/>
    <col min="2791" max="2792" width="8.625" style="35" customWidth="1"/>
    <col min="2793" max="2793" width="9" style="35"/>
    <col min="2794" max="2794" width="9.5" style="35" bestFit="1" customWidth="1"/>
    <col min="2795" max="3040" width="9" style="35"/>
    <col min="3041" max="3041" width="2.625" style="35" customWidth="1"/>
    <col min="3042" max="3042" width="10.75" style="35" customWidth="1"/>
    <col min="3043" max="3043" width="7.625" style="35" customWidth="1"/>
    <col min="3044" max="3044" width="11.125" style="35" customWidth="1"/>
    <col min="3045" max="3045" width="8.625" style="35" customWidth="1"/>
    <col min="3046" max="3046" width="9" style="35"/>
    <col min="3047" max="3048" width="8.625" style="35" customWidth="1"/>
    <col min="3049" max="3049" width="9" style="35"/>
    <col min="3050" max="3050" width="9.5" style="35" bestFit="1" customWidth="1"/>
    <col min="3051" max="3296" width="9" style="35"/>
    <col min="3297" max="3297" width="2.625" style="35" customWidth="1"/>
    <col min="3298" max="3298" width="10.75" style="35" customWidth="1"/>
    <col min="3299" max="3299" width="7.625" style="35" customWidth="1"/>
    <col min="3300" max="3300" width="11.125" style="35" customWidth="1"/>
    <col min="3301" max="3301" width="8.625" style="35" customWidth="1"/>
    <col min="3302" max="3302" width="9" style="35"/>
    <col min="3303" max="3304" width="8.625" style="35" customWidth="1"/>
    <col min="3305" max="3305" width="9" style="35"/>
    <col min="3306" max="3306" width="9.5" style="35" bestFit="1" customWidth="1"/>
    <col min="3307" max="3552" width="9" style="35"/>
    <col min="3553" max="3553" width="2.625" style="35" customWidth="1"/>
    <col min="3554" max="3554" width="10.75" style="35" customWidth="1"/>
    <col min="3555" max="3555" width="7.625" style="35" customWidth="1"/>
    <col min="3556" max="3556" width="11.125" style="35" customWidth="1"/>
    <col min="3557" max="3557" width="8.625" style="35" customWidth="1"/>
    <col min="3558" max="3558" width="9" style="35"/>
    <col min="3559" max="3560" width="8.625" style="35" customWidth="1"/>
    <col min="3561" max="3561" width="9" style="35"/>
    <col min="3562" max="3562" width="9.5" style="35" bestFit="1" customWidth="1"/>
    <col min="3563" max="3808" width="9" style="35"/>
    <col min="3809" max="3809" width="2.625" style="35" customWidth="1"/>
    <col min="3810" max="3810" width="10.75" style="35" customWidth="1"/>
    <col min="3811" max="3811" width="7.625" style="35" customWidth="1"/>
    <col min="3812" max="3812" width="11.125" style="35" customWidth="1"/>
    <col min="3813" max="3813" width="8.625" style="35" customWidth="1"/>
    <col min="3814" max="3814" width="9" style="35"/>
    <col min="3815" max="3816" width="8.625" style="35" customWidth="1"/>
    <col min="3817" max="3817" width="9" style="35"/>
    <col min="3818" max="3818" width="9.5" style="35" bestFit="1" customWidth="1"/>
    <col min="3819" max="4064" width="9" style="35"/>
    <col min="4065" max="4065" width="2.625" style="35" customWidth="1"/>
    <col min="4066" max="4066" width="10.75" style="35" customWidth="1"/>
    <col min="4067" max="4067" width="7.625" style="35" customWidth="1"/>
    <col min="4068" max="4068" width="11.125" style="35" customWidth="1"/>
    <col min="4069" max="4069" width="8.625" style="35" customWidth="1"/>
    <col min="4070" max="4070" width="9" style="35"/>
    <col min="4071" max="4072" width="8.625" style="35" customWidth="1"/>
    <col min="4073" max="4073" width="9" style="35"/>
    <col min="4074" max="4074" width="9.5" style="35" bestFit="1" customWidth="1"/>
    <col min="4075" max="4320" width="9" style="35"/>
    <col min="4321" max="4321" width="2.625" style="35" customWidth="1"/>
    <col min="4322" max="4322" width="10.75" style="35" customWidth="1"/>
    <col min="4323" max="4323" width="7.625" style="35" customWidth="1"/>
    <col min="4324" max="4324" width="11.125" style="35" customWidth="1"/>
    <col min="4325" max="4325" width="8.625" style="35" customWidth="1"/>
    <col min="4326" max="4326" width="9" style="35"/>
    <col min="4327" max="4328" width="8.625" style="35" customWidth="1"/>
    <col min="4329" max="4329" width="9" style="35"/>
    <col min="4330" max="4330" width="9.5" style="35" bestFit="1" customWidth="1"/>
    <col min="4331" max="4576" width="9" style="35"/>
    <col min="4577" max="4577" width="2.625" style="35" customWidth="1"/>
    <col min="4578" max="4578" width="10.75" style="35" customWidth="1"/>
    <col min="4579" max="4579" width="7.625" style="35" customWidth="1"/>
    <col min="4580" max="4580" width="11.125" style="35" customWidth="1"/>
    <col min="4581" max="4581" width="8.625" style="35" customWidth="1"/>
    <col min="4582" max="4582" width="9" style="35"/>
    <col min="4583" max="4584" width="8.625" style="35" customWidth="1"/>
    <col min="4585" max="4585" width="9" style="35"/>
    <col min="4586" max="4586" width="9.5" style="35" bestFit="1" customWidth="1"/>
    <col min="4587" max="4832" width="9" style="35"/>
    <col min="4833" max="4833" width="2.625" style="35" customWidth="1"/>
    <col min="4834" max="4834" width="10.75" style="35" customWidth="1"/>
    <col min="4835" max="4835" width="7.625" style="35" customWidth="1"/>
    <col min="4836" max="4836" width="11.125" style="35" customWidth="1"/>
    <col min="4837" max="4837" width="8.625" style="35" customWidth="1"/>
    <col min="4838" max="4838" width="9" style="35"/>
    <col min="4839" max="4840" width="8.625" style="35" customWidth="1"/>
    <col min="4841" max="4841" width="9" style="35"/>
    <col min="4842" max="4842" width="9.5" style="35" bestFit="1" customWidth="1"/>
    <col min="4843" max="5088" width="9" style="35"/>
    <col min="5089" max="5089" width="2.625" style="35" customWidth="1"/>
    <col min="5090" max="5090" width="10.75" style="35" customWidth="1"/>
    <col min="5091" max="5091" width="7.625" style="35" customWidth="1"/>
    <col min="5092" max="5092" width="11.125" style="35" customWidth="1"/>
    <col min="5093" max="5093" width="8.625" style="35" customWidth="1"/>
    <col min="5094" max="5094" width="9" style="35"/>
    <col min="5095" max="5096" width="8.625" style="35" customWidth="1"/>
    <col min="5097" max="5097" width="9" style="35"/>
    <col min="5098" max="5098" width="9.5" style="35" bestFit="1" customWidth="1"/>
    <col min="5099" max="5344" width="9" style="35"/>
    <col min="5345" max="5345" width="2.625" style="35" customWidth="1"/>
    <col min="5346" max="5346" width="10.75" style="35" customWidth="1"/>
    <col min="5347" max="5347" width="7.625" style="35" customWidth="1"/>
    <col min="5348" max="5348" width="11.125" style="35" customWidth="1"/>
    <col min="5349" max="5349" width="8.625" style="35" customWidth="1"/>
    <col min="5350" max="5350" width="9" style="35"/>
    <col min="5351" max="5352" width="8.625" style="35" customWidth="1"/>
    <col min="5353" max="5353" width="9" style="35"/>
    <col min="5354" max="5354" width="9.5" style="35" bestFit="1" customWidth="1"/>
    <col min="5355" max="5600" width="9" style="35"/>
    <col min="5601" max="5601" width="2.625" style="35" customWidth="1"/>
    <col min="5602" max="5602" width="10.75" style="35" customWidth="1"/>
    <col min="5603" max="5603" width="7.625" style="35" customWidth="1"/>
    <col min="5604" max="5604" width="11.125" style="35" customWidth="1"/>
    <col min="5605" max="5605" width="8.625" style="35" customWidth="1"/>
    <col min="5606" max="5606" width="9" style="35"/>
    <col min="5607" max="5608" width="8.625" style="35" customWidth="1"/>
    <col min="5609" max="5609" width="9" style="35"/>
    <col min="5610" max="5610" width="9.5" style="35" bestFit="1" customWidth="1"/>
    <col min="5611" max="5856" width="9" style="35"/>
    <col min="5857" max="5857" width="2.625" style="35" customWidth="1"/>
    <col min="5858" max="5858" width="10.75" style="35" customWidth="1"/>
    <col min="5859" max="5859" width="7.625" style="35" customWidth="1"/>
    <col min="5860" max="5860" width="11.125" style="35" customWidth="1"/>
    <col min="5861" max="5861" width="8.625" style="35" customWidth="1"/>
    <col min="5862" max="5862" width="9" style="35"/>
    <col min="5863" max="5864" width="8.625" style="35" customWidth="1"/>
    <col min="5865" max="5865" width="9" style="35"/>
    <col min="5866" max="5866" width="9.5" style="35" bestFit="1" customWidth="1"/>
    <col min="5867" max="6112" width="9" style="35"/>
    <col min="6113" max="6113" width="2.625" style="35" customWidth="1"/>
    <col min="6114" max="6114" width="10.75" style="35" customWidth="1"/>
    <col min="6115" max="6115" width="7.625" style="35" customWidth="1"/>
    <col min="6116" max="6116" width="11.125" style="35" customWidth="1"/>
    <col min="6117" max="6117" width="8.625" style="35" customWidth="1"/>
    <col min="6118" max="6118" width="9" style="35"/>
    <col min="6119" max="6120" width="8.625" style="35" customWidth="1"/>
    <col min="6121" max="6121" width="9" style="35"/>
    <col min="6122" max="6122" width="9.5" style="35" bestFit="1" customWidth="1"/>
    <col min="6123" max="6368" width="9" style="35"/>
    <col min="6369" max="6369" width="2.625" style="35" customWidth="1"/>
    <col min="6370" max="6370" width="10.75" style="35" customWidth="1"/>
    <col min="6371" max="6371" width="7.625" style="35" customWidth="1"/>
    <col min="6372" max="6372" width="11.125" style="35" customWidth="1"/>
    <col min="6373" max="6373" width="8.625" style="35" customWidth="1"/>
    <col min="6374" max="6374" width="9" style="35"/>
    <col min="6375" max="6376" width="8.625" style="35" customWidth="1"/>
    <col min="6377" max="6377" width="9" style="35"/>
    <col min="6378" max="6378" width="9.5" style="35" bestFit="1" customWidth="1"/>
    <col min="6379" max="6624" width="9" style="35"/>
    <col min="6625" max="6625" width="2.625" style="35" customWidth="1"/>
    <col min="6626" max="6626" width="10.75" style="35" customWidth="1"/>
    <col min="6627" max="6627" width="7.625" style="35" customWidth="1"/>
    <col min="6628" max="6628" width="11.125" style="35" customWidth="1"/>
    <col min="6629" max="6629" width="8.625" style="35" customWidth="1"/>
    <col min="6630" max="6630" width="9" style="35"/>
    <col min="6631" max="6632" width="8.625" style="35" customWidth="1"/>
    <col min="6633" max="6633" width="9" style="35"/>
    <col min="6634" max="6634" width="9.5" style="35" bestFit="1" customWidth="1"/>
    <col min="6635" max="6880" width="9" style="35"/>
    <col min="6881" max="6881" width="2.625" style="35" customWidth="1"/>
    <col min="6882" max="6882" width="10.75" style="35" customWidth="1"/>
    <col min="6883" max="6883" width="7.625" style="35" customWidth="1"/>
    <col min="6884" max="6884" width="11.125" style="35" customWidth="1"/>
    <col min="6885" max="6885" width="8.625" style="35" customWidth="1"/>
    <col min="6886" max="6886" width="9" style="35"/>
    <col min="6887" max="6888" width="8.625" style="35" customWidth="1"/>
    <col min="6889" max="6889" width="9" style="35"/>
    <col min="6890" max="6890" width="9.5" style="35" bestFit="1" customWidth="1"/>
    <col min="6891" max="7136" width="9" style="35"/>
    <col min="7137" max="7137" width="2.625" style="35" customWidth="1"/>
    <col min="7138" max="7138" width="10.75" style="35" customWidth="1"/>
    <col min="7139" max="7139" width="7.625" style="35" customWidth="1"/>
    <col min="7140" max="7140" width="11.125" style="35" customWidth="1"/>
    <col min="7141" max="7141" width="8.625" style="35" customWidth="1"/>
    <col min="7142" max="7142" width="9" style="35"/>
    <col min="7143" max="7144" width="8.625" style="35" customWidth="1"/>
    <col min="7145" max="7145" width="9" style="35"/>
    <col min="7146" max="7146" width="9.5" style="35" bestFit="1" customWidth="1"/>
    <col min="7147" max="7392" width="9" style="35"/>
    <col min="7393" max="7393" width="2.625" style="35" customWidth="1"/>
    <col min="7394" max="7394" width="10.75" style="35" customWidth="1"/>
    <col min="7395" max="7395" width="7.625" style="35" customWidth="1"/>
    <col min="7396" max="7396" width="11.125" style="35" customWidth="1"/>
    <col min="7397" max="7397" width="8.625" style="35" customWidth="1"/>
    <col min="7398" max="7398" width="9" style="35"/>
    <col min="7399" max="7400" width="8.625" style="35" customWidth="1"/>
    <col min="7401" max="7401" width="9" style="35"/>
    <col min="7402" max="7402" width="9.5" style="35" bestFit="1" customWidth="1"/>
    <col min="7403" max="7648" width="9" style="35"/>
    <col min="7649" max="7649" width="2.625" style="35" customWidth="1"/>
    <col min="7650" max="7650" width="10.75" style="35" customWidth="1"/>
    <col min="7651" max="7651" width="7.625" style="35" customWidth="1"/>
    <col min="7652" max="7652" width="11.125" style="35" customWidth="1"/>
    <col min="7653" max="7653" width="8.625" style="35" customWidth="1"/>
    <col min="7654" max="7654" width="9" style="35"/>
    <col min="7655" max="7656" width="8.625" style="35" customWidth="1"/>
    <col min="7657" max="7657" width="9" style="35"/>
    <col min="7658" max="7658" width="9.5" style="35" bestFit="1" customWidth="1"/>
    <col min="7659" max="7904" width="9" style="35"/>
    <col min="7905" max="7905" width="2.625" style="35" customWidth="1"/>
    <col min="7906" max="7906" width="10.75" style="35" customWidth="1"/>
    <col min="7907" max="7907" width="7.625" style="35" customWidth="1"/>
    <col min="7908" max="7908" width="11.125" style="35" customWidth="1"/>
    <col min="7909" max="7909" width="8.625" style="35" customWidth="1"/>
    <col min="7910" max="7910" width="9" style="35"/>
    <col min="7911" max="7912" width="8.625" style="35" customWidth="1"/>
    <col min="7913" max="7913" width="9" style="35"/>
    <col min="7914" max="7914" width="9.5" style="35" bestFit="1" customWidth="1"/>
    <col min="7915" max="8160" width="9" style="35"/>
    <col min="8161" max="8161" width="2.625" style="35" customWidth="1"/>
    <col min="8162" max="8162" width="10.75" style="35" customWidth="1"/>
    <col min="8163" max="8163" width="7.625" style="35" customWidth="1"/>
    <col min="8164" max="8164" width="11.125" style="35" customWidth="1"/>
    <col min="8165" max="8165" width="8.625" style="35" customWidth="1"/>
    <col min="8166" max="8166" width="9" style="35"/>
    <col min="8167" max="8168" width="8.625" style="35" customWidth="1"/>
    <col min="8169" max="8169" width="9" style="35"/>
    <col min="8170" max="8170" width="9.5" style="35" bestFit="1" customWidth="1"/>
    <col min="8171" max="8416" width="9" style="35"/>
    <col min="8417" max="8417" width="2.625" style="35" customWidth="1"/>
    <col min="8418" max="8418" width="10.75" style="35" customWidth="1"/>
    <col min="8419" max="8419" width="7.625" style="35" customWidth="1"/>
    <col min="8420" max="8420" width="11.125" style="35" customWidth="1"/>
    <col min="8421" max="8421" width="8.625" style="35" customWidth="1"/>
    <col min="8422" max="8422" width="9" style="35"/>
    <col min="8423" max="8424" width="8.625" style="35" customWidth="1"/>
    <col min="8425" max="8425" width="9" style="35"/>
    <col min="8426" max="8426" width="9.5" style="35" bestFit="1" customWidth="1"/>
    <col min="8427" max="8672" width="9" style="35"/>
    <col min="8673" max="8673" width="2.625" style="35" customWidth="1"/>
    <col min="8674" max="8674" width="10.75" style="35" customWidth="1"/>
    <col min="8675" max="8675" width="7.625" style="35" customWidth="1"/>
    <col min="8676" max="8676" width="11.125" style="35" customWidth="1"/>
    <col min="8677" max="8677" width="8.625" style="35" customWidth="1"/>
    <col min="8678" max="8678" width="9" style="35"/>
    <col min="8679" max="8680" width="8.625" style="35" customWidth="1"/>
    <col min="8681" max="8681" width="9" style="35"/>
    <col min="8682" max="8682" width="9.5" style="35" bestFit="1" customWidth="1"/>
    <col min="8683" max="8928" width="9" style="35"/>
    <col min="8929" max="8929" width="2.625" style="35" customWidth="1"/>
    <col min="8930" max="8930" width="10.75" style="35" customWidth="1"/>
    <col min="8931" max="8931" width="7.625" style="35" customWidth="1"/>
    <col min="8932" max="8932" width="11.125" style="35" customWidth="1"/>
    <col min="8933" max="8933" width="8.625" style="35" customWidth="1"/>
    <col min="8934" max="8934" width="9" style="35"/>
    <col min="8935" max="8936" width="8.625" style="35" customWidth="1"/>
    <col min="8937" max="8937" width="9" style="35"/>
    <col min="8938" max="8938" width="9.5" style="35" bestFit="1" customWidth="1"/>
    <col min="8939" max="9184" width="9" style="35"/>
    <col min="9185" max="9185" width="2.625" style="35" customWidth="1"/>
    <col min="9186" max="9186" width="10.75" style="35" customWidth="1"/>
    <col min="9187" max="9187" width="7.625" style="35" customWidth="1"/>
    <col min="9188" max="9188" width="11.125" style="35" customWidth="1"/>
    <col min="9189" max="9189" width="8.625" style="35" customWidth="1"/>
    <col min="9190" max="9190" width="9" style="35"/>
    <col min="9191" max="9192" width="8.625" style="35" customWidth="1"/>
    <col min="9193" max="9193" width="9" style="35"/>
    <col min="9194" max="9194" width="9.5" style="35" bestFit="1" customWidth="1"/>
    <col min="9195" max="9440" width="9" style="35"/>
    <col min="9441" max="9441" width="2.625" style="35" customWidth="1"/>
    <col min="9442" max="9442" width="10.75" style="35" customWidth="1"/>
    <col min="9443" max="9443" width="7.625" style="35" customWidth="1"/>
    <col min="9444" max="9444" width="11.125" style="35" customWidth="1"/>
    <col min="9445" max="9445" width="8.625" style="35" customWidth="1"/>
    <col min="9446" max="9446" width="9" style="35"/>
    <col min="9447" max="9448" width="8.625" style="35" customWidth="1"/>
    <col min="9449" max="9449" width="9" style="35"/>
    <col min="9450" max="9450" width="9.5" style="35" bestFit="1" customWidth="1"/>
    <col min="9451" max="9696" width="9" style="35"/>
    <col min="9697" max="9697" width="2.625" style="35" customWidth="1"/>
    <col min="9698" max="9698" width="10.75" style="35" customWidth="1"/>
    <col min="9699" max="9699" width="7.625" style="35" customWidth="1"/>
    <col min="9700" max="9700" width="11.125" style="35" customWidth="1"/>
    <col min="9701" max="9701" width="8.625" style="35" customWidth="1"/>
    <col min="9702" max="9702" width="9" style="35"/>
    <col min="9703" max="9704" width="8.625" style="35" customWidth="1"/>
    <col min="9705" max="9705" width="9" style="35"/>
    <col min="9706" max="9706" width="9.5" style="35" bestFit="1" customWidth="1"/>
    <col min="9707" max="9952" width="9" style="35"/>
    <col min="9953" max="9953" width="2.625" style="35" customWidth="1"/>
    <col min="9954" max="9954" width="10.75" style="35" customWidth="1"/>
    <col min="9955" max="9955" width="7.625" style="35" customWidth="1"/>
    <col min="9956" max="9956" width="11.125" style="35" customWidth="1"/>
    <col min="9957" max="9957" width="8.625" style="35" customWidth="1"/>
    <col min="9958" max="9958" width="9" style="35"/>
    <col min="9959" max="9960" width="8.625" style="35" customWidth="1"/>
    <col min="9961" max="9961" width="9" style="35"/>
    <col min="9962" max="9962" width="9.5" style="35" bestFit="1" customWidth="1"/>
    <col min="9963" max="10208" width="9" style="35"/>
    <col min="10209" max="10209" width="2.625" style="35" customWidth="1"/>
    <col min="10210" max="10210" width="10.75" style="35" customWidth="1"/>
    <col min="10211" max="10211" width="7.625" style="35" customWidth="1"/>
    <col min="10212" max="10212" width="11.125" style="35" customWidth="1"/>
    <col min="10213" max="10213" width="8.625" style="35" customWidth="1"/>
    <col min="10214" max="10214" width="9" style="35"/>
    <col min="10215" max="10216" width="8.625" style="35" customWidth="1"/>
    <col min="10217" max="10217" width="9" style="35"/>
    <col min="10218" max="10218" width="9.5" style="35" bestFit="1" customWidth="1"/>
    <col min="10219" max="10464" width="9" style="35"/>
    <col min="10465" max="10465" width="2.625" style="35" customWidth="1"/>
    <col min="10466" max="10466" width="10.75" style="35" customWidth="1"/>
    <col min="10467" max="10467" width="7.625" style="35" customWidth="1"/>
    <col min="10468" max="10468" width="11.125" style="35" customWidth="1"/>
    <col min="10469" max="10469" width="8.625" style="35" customWidth="1"/>
    <col min="10470" max="10470" width="9" style="35"/>
    <col min="10471" max="10472" width="8.625" style="35" customWidth="1"/>
    <col min="10473" max="10473" width="9" style="35"/>
    <col min="10474" max="10474" width="9.5" style="35" bestFit="1" customWidth="1"/>
    <col min="10475" max="10720" width="9" style="35"/>
    <col min="10721" max="10721" width="2.625" style="35" customWidth="1"/>
    <col min="10722" max="10722" width="10.75" style="35" customWidth="1"/>
    <col min="10723" max="10723" width="7.625" style="35" customWidth="1"/>
    <col min="10724" max="10724" width="11.125" style="35" customWidth="1"/>
    <col min="10725" max="10725" width="8.625" style="35" customWidth="1"/>
    <col min="10726" max="10726" width="9" style="35"/>
    <col min="10727" max="10728" width="8.625" style="35" customWidth="1"/>
    <col min="10729" max="10729" width="9" style="35"/>
    <col min="10730" max="10730" width="9.5" style="35" bestFit="1" customWidth="1"/>
    <col min="10731" max="10976" width="9" style="35"/>
    <col min="10977" max="10977" width="2.625" style="35" customWidth="1"/>
    <col min="10978" max="10978" width="10.75" style="35" customWidth="1"/>
    <col min="10979" max="10979" width="7.625" style="35" customWidth="1"/>
    <col min="10980" max="10980" width="11.125" style="35" customWidth="1"/>
    <col min="10981" max="10981" width="8.625" style="35" customWidth="1"/>
    <col min="10982" max="10982" width="9" style="35"/>
    <col min="10983" max="10984" width="8.625" style="35" customWidth="1"/>
    <col min="10985" max="10985" width="9" style="35"/>
    <col min="10986" max="10986" width="9.5" style="35" bestFit="1" customWidth="1"/>
    <col min="10987" max="11232" width="9" style="35"/>
    <col min="11233" max="11233" width="2.625" style="35" customWidth="1"/>
    <col min="11234" max="11234" width="10.75" style="35" customWidth="1"/>
    <col min="11235" max="11235" width="7.625" style="35" customWidth="1"/>
    <col min="11236" max="11236" width="11.125" style="35" customWidth="1"/>
    <col min="11237" max="11237" width="8.625" style="35" customWidth="1"/>
    <col min="11238" max="11238" width="9" style="35"/>
    <col min="11239" max="11240" width="8.625" style="35" customWidth="1"/>
    <col min="11241" max="11241" width="9" style="35"/>
    <col min="11242" max="11242" width="9.5" style="35" bestFit="1" customWidth="1"/>
    <col min="11243" max="11488" width="9" style="35"/>
    <col min="11489" max="11489" width="2.625" style="35" customWidth="1"/>
    <col min="11490" max="11490" width="10.75" style="35" customWidth="1"/>
    <col min="11491" max="11491" width="7.625" style="35" customWidth="1"/>
    <col min="11492" max="11492" width="11.125" style="35" customWidth="1"/>
    <col min="11493" max="11493" width="8.625" style="35" customWidth="1"/>
    <col min="11494" max="11494" width="9" style="35"/>
    <col min="11495" max="11496" width="8.625" style="35" customWidth="1"/>
    <col min="11497" max="11497" width="9" style="35"/>
    <col min="11498" max="11498" width="9.5" style="35" bestFit="1" customWidth="1"/>
    <col min="11499" max="11744" width="9" style="35"/>
    <col min="11745" max="11745" width="2.625" style="35" customWidth="1"/>
    <col min="11746" max="11746" width="10.75" style="35" customWidth="1"/>
    <col min="11747" max="11747" width="7.625" style="35" customWidth="1"/>
    <col min="11748" max="11748" width="11.125" style="35" customWidth="1"/>
    <col min="11749" max="11749" width="8.625" style="35" customWidth="1"/>
    <col min="11750" max="11750" width="9" style="35"/>
    <col min="11751" max="11752" width="8.625" style="35" customWidth="1"/>
    <col min="11753" max="11753" width="9" style="35"/>
    <col min="11754" max="11754" width="9.5" style="35" bestFit="1" customWidth="1"/>
    <col min="11755" max="12000" width="9" style="35"/>
    <col min="12001" max="12001" width="2.625" style="35" customWidth="1"/>
    <col min="12002" max="12002" width="10.75" style="35" customWidth="1"/>
    <col min="12003" max="12003" width="7.625" style="35" customWidth="1"/>
    <col min="12004" max="12004" width="11.125" style="35" customWidth="1"/>
    <col min="12005" max="12005" width="8.625" style="35" customWidth="1"/>
    <col min="12006" max="12006" width="9" style="35"/>
    <col min="12007" max="12008" width="8.625" style="35" customWidth="1"/>
    <col min="12009" max="12009" width="9" style="35"/>
    <col min="12010" max="12010" width="9.5" style="35" bestFit="1" customWidth="1"/>
    <col min="12011" max="12256" width="9" style="35"/>
    <col min="12257" max="12257" width="2.625" style="35" customWidth="1"/>
    <col min="12258" max="12258" width="10.75" style="35" customWidth="1"/>
    <col min="12259" max="12259" width="7.625" style="35" customWidth="1"/>
    <col min="12260" max="12260" width="11.125" style="35" customWidth="1"/>
    <col min="12261" max="12261" width="8.625" style="35" customWidth="1"/>
    <col min="12262" max="12262" width="9" style="35"/>
    <col min="12263" max="12264" width="8.625" style="35" customWidth="1"/>
    <col min="12265" max="12265" width="9" style="35"/>
    <col min="12266" max="12266" width="9.5" style="35" bestFit="1" customWidth="1"/>
    <col min="12267" max="12512" width="9" style="35"/>
    <col min="12513" max="12513" width="2.625" style="35" customWidth="1"/>
    <col min="12514" max="12514" width="10.75" style="35" customWidth="1"/>
    <col min="12515" max="12515" width="7.625" style="35" customWidth="1"/>
    <col min="12516" max="12516" width="11.125" style="35" customWidth="1"/>
    <col min="12517" max="12517" width="8.625" style="35" customWidth="1"/>
    <col min="12518" max="12518" width="9" style="35"/>
    <col min="12519" max="12520" width="8.625" style="35" customWidth="1"/>
    <col min="12521" max="12521" width="9" style="35"/>
    <col min="12522" max="12522" width="9.5" style="35" bestFit="1" customWidth="1"/>
    <col min="12523" max="12768" width="9" style="35"/>
    <col min="12769" max="12769" width="2.625" style="35" customWidth="1"/>
    <col min="12770" max="12770" width="10.75" style="35" customWidth="1"/>
    <col min="12771" max="12771" width="7.625" style="35" customWidth="1"/>
    <col min="12772" max="12772" width="11.125" style="35" customWidth="1"/>
    <col min="12773" max="12773" width="8.625" style="35" customWidth="1"/>
    <col min="12774" max="12774" width="9" style="35"/>
    <col min="12775" max="12776" width="8.625" style="35" customWidth="1"/>
    <col min="12777" max="12777" width="9" style="35"/>
    <col min="12778" max="12778" width="9.5" style="35" bestFit="1" customWidth="1"/>
    <col min="12779" max="13024" width="9" style="35"/>
    <col min="13025" max="13025" width="2.625" style="35" customWidth="1"/>
    <col min="13026" max="13026" width="10.75" style="35" customWidth="1"/>
    <col min="13027" max="13027" width="7.625" style="35" customWidth="1"/>
    <col min="13028" max="13028" width="11.125" style="35" customWidth="1"/>
    <col min="13029" max="13029" width="8.625" style="35" customWidth="1"/>
    <col min="13030" max="13030" width="9" style="35"/>
    <col min="13031" max="13032" width="8.625" style="35" customWidth="1"/>
    <col min="13033" max="13033" width="9" style="35"/>
    <col min="13034" max="13034" width="9.5" style="35" bestFit="1" customWidth="1"/>
    <col min="13035" max="13280" width="9" style="35"/>
    <col min="13281" max="13281" width="2.625" style="35" customWidth="1"/>
    <col min="13282" max="13282" width="10.75" style="35" customWidth="1"/>
    <col min="13283" max="13283" width="7.625" style="35" customWidth="1"/>
    <col min="13284" max="13284" width="11.125" style="35" customWidth="1"/>
    <col min="13285" max="13285" width="8.625" style="35" customWidth="1"/>
    <col min="13286" max="13286" width="9" style="35"/>
    <col min="13287" max="13288" width="8.625" style="35" customWidth="1"/>
    <col min="13289" max="13289" width="9" style="35"/>
    <col min="13290" max="13290" width="9.5" style="35" bestFit="1" customWidth="1"/>
    <col min="13291" max="13536" width="9" style="35"/>
    <col min="13537" max="13537" width="2.625" style="35" customWidth="1"/>
    <col min="13538" max="13538" width="10.75" style="35" customWidth="1"/>
    <col min="13539" max="13539" width="7.625" style="35" customWidth="1"/>
    <col min="13540" max="13540" width="11.125" style="35" customWidth="1"/>
    <col min="13541" max="13541" width="8.625" style="35" customWidth="1"/>
    <col min="13542" max="13542" width="9" style="35"/>
    <col min="13543" max="13544" width="8.625" style="35" customWidth="1"/>
    <col min="13545" max="13545" width="9" style="35"/>
    <col min="13546" max="13546" width="9.5" style="35" bestFit="1" customWidth="1"/>
    <col min="13547" max="13792" width="9" style="35"/>
    <col min="13793" max="13793" width="2.625" style="35" customWidth="1"/>
    <col min="13794" max="13794" width="10.75" style="35" customWidth="1"/>
    <col min="13795" max="13795" width="7.625" style="35" customWidth="1"/>
    <col min="13796" max="13796" width="11.125" style="35" customWidth="1"/>
    <col min="13797" max="13797" width="8.625" style="35" customWidth="1"/>
    <col min="13798" max="13798" width="9" style="35"/>
    <col min="13799" max="13800" width="8.625" style="35" customWidth="1"/>
    <col min="13801" max="13801" width="9" style="35"/>
    <col min="13802" max="13802" width="9.5" style="35" bestFit="1" customWidth="1"/>
    <col min="13803" max="14048" width="9" style="35"/>
    <col min="14049" max="14049" width="2.625" style="35" customWidth="1"/>
    <col min="14050" max="14050" width="10.75" style="35" customWidth="1"/>
    <col min="14051" max="14051" width="7.625" style="35" customWidth="1"/>
    <col min="14052" max="14052" width="11.125" style="35" customWidth="1"/>
    <col min="14053" max="14053" width="8.625" style="35" customWidth="1"/>
    <col min="14054" max="14054" width="9" style="35"/>
    <col min="14055" max="14056" width="8.625" style="35" customWidth="1"/>
    <col min="14057" max="14057" width="9" style="35"/>
    <col min="14058" max="14058" width="9.5" style="35" bestFit="1" customWidth="1"/>
    <col min="14059" max="14304" width="9" style="35"/>
    <col min="14305" max="14305" width="2.625" style="35" customWidth="1"/>
    <col min="14306" max="14306" width="10.75" style="35" customWidth="1"/>
    <col min="14307" max="14307" width="7.625" style="35" customWidth="1"/>
    <col min="14308" max="14308" width="11.125" style="35" customWidth="1"/>
    <col min="14309" max="14309" width="8.625" style="35" customWidth="1"/>
    <col min="14310" max="14310" width="9" style="35"/>
    <col min="14311" max="14312" width="8.625" style="35" customWidth="1"/>
    <col min="14313" max="14313" width="9" style="35"/>
    <col min="14314" max="14314" width="9.5" style="35" bestFit="1" customWidth="1"/>
    <col min="14315" max="14560" width="9" style="35"/>
    <col min="14561" max="14561" width="2.625" style="35" customWidth="1"/>
    <col min="14562" max="14562" width="10.75" style="35" customWidth="1"/>
    <col min="14563" max="14563" width="7.625" style="35" customWidth="1"/>
    <col min="14564" max="14564" width="11.125" style="35" customWidth="1"/>
    <col min="14565" max="14565" width="8.625" style="35" customWidth="1"/>
    <col min="14566" max="14566" width="9" style="35"/>
    <col min="14567" max="14568" width="8.625" style="35" customWidth="1"/>
    <col min="14569" max="14569" width="9" style="35"/>
    <col min="14570" max="14570" width="9.5" style="35" bestFit="1" customWidth="1"/>
    <col min="14571" max="14816" width="9" style="35"/>
    <col min="14817" max="14817" width="2.625" style="35" customWidth="1"/>
    <col min="14818" max="14818" width="10.75" style="35" customWidth="1"/>
    <col min="14819" max="14819" width="7.625" style="35" customWidth="1"/>
    <col min="14820" max="14820" width="11.125" style="35" customWidth="1"/>
    <col min="14821" max="14821" width="8.625" style="35" customWidth="1"/>
    <col min="14822" max="14822" width="9" style="35"/>
    <col min="14823" max="14824" width="8.625" style="35" customWidth="1"/>
    <col min="14825" max="14825" width="9" style="35"/>
    <col min="14826" max="14826" width="9.5" style="35" bestFit="1" customWidth="1"/>
    <col min="14827" max="15072" width="9" style="35"/>
    <col min="15073" max="15073" width="2.625" style="35" customWidth="1"/>
    <col min="15074" max="15074" width="10.75" style="35" customWidth="1"/>
    <col min="15075" max="15075" width="7.625" style="35" customWidth="1"/>
    <col min="15076" max="15076" width="11.125" style="35" customWidth="1"/>
    <col min="15077" max="15077" width="8.625" style="35" customWidth="1"/>
    <col min="15078" max="15078" width="9" style="35"/>
    <col min="15079" max="15080" width="8.625" style="35" customWidth="1"/>
    <col min="15081" max="15081" width="9" style="35"/>
    <col min="15082" max="15082" width="9.5" style="35" bestFit="1" customWidth="1"/>
    <col min="15083" max="15328" width="9" style="35"/>
    <col min="15329" max="15329" width="2.625" style="35" customWidth="1"/>
    <col min="15330" max="15330" width="10.75" style="35" customWidth="1"/>
    <col min="15331" max="15331" width="7.625" style="35" customWidth="1"/>
    <col min="15332" max="15332" width="11.125" style="35" customWidth="1"/>
    <col min="15333" max="15333" width="8.625" style="35" customWidth="1"/>
    <col min="15334" max="15334" width="9" style="35"/>
    <col min="15335" max="15336" width="8.625" style="35" customWidth="1"/>
    <col min="15337" max="15337" width="9" style="35"/>
    <col min="15338" max="15338" width="9.5" style="35" bestFit="1" customWidth="1"/>
    <col min="15339" max="15584" width="9" style="35"/>
    <col min="15585" max="15585" width="2.625" style="35" customWidth="1"/>
    <col min="15586" max="15586" width="10.75" style="35" customWidth="1"/>
    <col min="15587" max="15587" width="7.625" style="35" customWidth="1"/>
    <col min="15588" max="15588" width="11.125" style="35" customWidth="1"/>
    <col min="15589" max="15589" width="8.625" style="35" customWidth="1"/>
    <col min="15590" max="15590" width="9" style="35"/>
    <col min="15591" max="15592" width="8.625" style="35" customWidth="1"/>
    <col min="15593" max="15593" width="9" style="35"/>
    <col min="15594" max="15594" width="9.5" style="35" bestFit="1" customWidth="1"/>
    <col min="15595" max="15840" width="9" style="35"/>
    <col min="15841" max="15841" width="2.625" style="35" customWidth="1"/>
    <col min="15842" max="15842" width="10.75" style="35" customWidth="1"/>
    <col min="15843" max="15843" width="7.625" style="35" customWidth="1"/>
    <col min="15844" max="15844" width="11.125" style="35" customWidth="1"/>
    <col min="15845" max="15845" width="8.625" style="35" customWidth="1"/>
    <col min="15846" max="15846" width="9" style="35"/>
    <col min="15847" max="15848" width="8.625" style="35" customWidth="1"/>
    <col min="15849" max="15849" width="9" style="35"/>
    <col min="15850" max="15850" width="9.5" style="35" bestFit="1" customWidth="1"/>
    <col min="15851" max="16096" width="9" style="35"/>
    <col min="16097" max="16097" width="2.625" style="35" customWidth="1"/>
    <col min="16098" max="16098" width="10.75" style="35" customWidth="1"/>
    <col min="16099" max="16099" width="7.625" style="35" customWidth="1"/>
    <col min="16100" max="16100" width="11.125" style="35" customWidth="1"/>
    <col min="16101" max="16101" width="8.625" style="35" customWidth="1"/>
    <col min="16102" max="16102" width="9" style="35"/>
    <col min="16103" max="16104" width="8.625" style="35" customWidth="1"/>
    <col min="16105" max="16105" width="9" style="35"/>
    <col min="16106" max="16106" width="9.5" style="35" bestFit="1" customWidth="1"/>
    <col min="16107" max="16384" width="9" style="35"/>
  </cols>
  <sheetData>
    <row r="1" spans="2:4" ht="14.25" thickBot="1" x14ac:dyDescent="0.2"/>
    <row r="2" spans="2:4" ht="29.25" customHeight="1" thickBot="1" x14ac:dyDescent="0.2">
      <c r="B2" s="152" t="s">
        <v>169</v>
      </c>
      <c r="C2" s="156" t="s">
        <v>170</v>
      </c>
      <c r="D2" s="157" t="s">
        <v>171</v>
      </c>
    </row>
    <row r="3" spans="2:4" x14ac:dyDescent="0.15">
      <c r="B3" s="148">
        <v>1</v>
      </c>
      <c r="C3" s="177">
        <v>167</v>
      </c>
      <c r="D3" s="178">
        <v>2700</v>
      </c>
    </row>
    <row r="4" spans="2:4" x14ac:dyDescent="0.15">
      <c r="B4" s="141">
        <v>2</v>
      </c>
      <c r="C4" s="179">
        <v>432</v>
      </c>
      <c r="D4" s="180">
        <v>4300</v>
      </c>
    </row>
    <row r="5" spans="2:4" x14ac:dyDescent="0.15">
      <c r="B5" s="141">
        <v>3</v>
      </c>
      <c r="C5" s="179">
        <v>363</v>
      </c>
      <c r="D5" s="180">
        <v>4980</v>
      </c>
    </row>
    <row r="6" spans="2:4" x14ac:dyDescent="0.15">
      <c r="B6" s="143">
        <v>4</v>
      </c>
      <c r="C6" s="179">
        <v>479</v>
      </c>
      <c r="D6" s="180">
        <v>5500</v>
      </c>
    </row>
    <row r="7" spans="2:4" x14ac:dyDescent="0.15">
      <c r="B7" s="143">
        <v>5</v>
      </c>
      <c r="C7" s="179">
        <v>535</v>
      </c>
      <c r="D7" s="180">
        <v>5950</v>
      </c>
    </row>
    <row r="8" spans="2:4" x14ac:dyDescent="0.15">
      <c r="B8" s="141">
        <v>6</v>
      </c>
      <c r="C8" s="179">
        <v>610</v>
      </c>
      <c r="D8" s="180">
        <v>6300</v>
      </c>
    </row>
    <row r="9" spans="2:4" x14ac:dyDescent="0.15">
      <c r="B9" s="141">
        <v>7</v>
      </c>
      <c r="C9" s="179">
        <v>616</v>
      </c>
      <c r="D9" s="180">
        <v>6790</v>
      </c>
    </row>
    <row r="10" spans="2:4" x14ac:dyDescent="0.15">
      <c r="B10" s="141">
        <v>8</v>
      </c>
      <c r="C10" s="179">
        <v>415</v>
      </c>
      <c r="D10" s="180">
        <v>6890</v>
      </c>
    </row>
    <row r="11" spans="2:4" x14ac:dyDescent="0.15">
      <c r="B11" s="141">
        <v>9</v>
      </c>
      <c r="C11" s="179">
        <v>610</v>
      </c>
      <c r="D11" s="180">
        <v>8700</v>
      </c>
    </row>
    <row r="12" spans="2:4" ht="14.25" thickBot="1" x14ac:dyDescent="0.2">
      <c r="B12" s="144">
        <v>10</v>
      </c>
      <c r="C12" s="181">
        <v>1372</v>
      </c>
      <c r="D12" s="182">
        <v>13000</v>
      </c>
    </row>
    <row r="13" spans="2:4" x14ac:dyDescent="0.15">
      <c r="B13" s="33" t="s">
        <v>116</v>
      </c>
      <c r="C13" s="183">
        <f>AVERAGE(C3:C12)</f>
        <v>559.9</v>
      </c>
      <c r="D13" s="184">
        <f>AVERAGE(D3:D12)</f>
        <v>6511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54FF-3DD2-47CF-B3A8-D4308675ABCF}">
  <dimension ref="A1:AA56"/>
  <sheetViews>
    <sheetView zoomScale="70" zoomScaleNormal="70" workbookViewId="0">
      <pane ySplit="1" topLeftCell="A2" activePane="bottomLeft" state="frozen"/>
      <selection pane="bottomLeft" activeCell="AC46" sqref="AC46"/>
    </sheetView>
  </sheetViews>
  <sheetFormatPr defaultColWidth="9" defaultRowHeight="13.5" x14ac:dyDescent="0.15"/>
  <cols>
    <col min="1" max="1" width="10.875" style="35" customWidth="1"/>
    <col min="2" max="2" width="10.75" style="33" customWidth="1"/>
    <col min="3" max="3" width="10" style="38" customWidth="1"/>
    <col min="4" max="4" width="9.625" style="38" customWidth="1"/>
    <col min="5" max="224" width="9" style="35"/>
    <col min="225" max="225" width="2.625" style="35" customWidth="1"/>
    <col min="226" max="226" width="10.75" style="35" customWidth="1"/>
    <col min="227" max="227" width="7.625" style="35" customWidth="1"/>
    <col min="228" max="228" width="11.125" style="35" customWidth="1"/>
    <col min="229" max="229" width="8.625" style="35" customWidth="1"/>
    <col min="230" max="230" width="9" style="35"/>
    <col min="231" max="232" width="8.625" style="35" customWidth="1"/>
    <col min="233" max="233" width="9" style="35"/>
    <col min="234" max="234" width="9.5" style="35" bestFit="1" customWidth="1"/>
    <col min="235" max="480" width="9" style="35"/>
    <col min="481" max="481" width="2.625" style="35" customWidth="1"/>
    <col min="482" max="482" width="10.75" style="35" customWidth="1"/>
    <col min="483" max="483" width="7.625" style="35" customWidth="1"/>
    <col min="484" max="484" width="11.125" style="35" customWidth="1"/>
    <col min="485" max="485" width="8.625" style="35" customWidth="1"/>
    <col min="486" max="486" width="9" style="35"/>
    <col min="487" max="488" width="8.625" style="35" customWidth="1"/>
    <col min="489" max="489" width="9" style="35"/>
    <col min="490" max="490" width="9.5" style="35" bestFit="1" customWidth="1"/>
    <col min="491" max="736" width="9" style="35"/>
    <col min="737" max="737" width="2.625" style="35" customWidth="1"/>
    <col min="738" max="738" width="10.75" style="35" customWidth="1"/>
    <col min="739" max="739" width="7.625" style="35" customWidth="1"/>
    <col min="740" max="740" width="11.125" style="35" customWidth="1"/>
    <col min="741" max="741" width="8.625" style="35" customWidth="1"/>
    <col min="742" max="742" width="9" style="35"/>
    <col min="743" max="744" width="8.625" style="35" customWidth="1"/>
    <col min="745" max="745" width="9" style="35"/>
    <col min="746" max="746" width="9.5" style="35" bestFit="1" customWidth="1"/>
    <col min="747" max="992" width="9" style="35"/>
    <col min="993" max="993" width="2.625" style="35" customWidth="1"/>
    <col min="994" max="994" width="10.75" style="35" customWidth="1"/>
    <col min="995" max="995" width="7.625" style="35" customWidth="1"/>
    <col min="996" max="996" width="11.125" style="35" customWidth="1"/>
    <col min="997" max="997" width="8.625" style="35" customWidth="1"/>
    <col min="998" max="998" width="9" style="35"/>
    <col min="999" max="1000" width="8.625" style="35" customWidth="1"/>
    <col min="1001" max="1001" width="9" style="35"/>
    <col min="1002" max="1002" width="9.5" style="35" bestFit="1" customWidth="1"/>
    <col min="1003" max="1248" width="9" style="35"/>
    <col min="1249" max="1249" width="2.625" style="35" customWidth="1"/>
    <col min="1250" max="1250" width="10.75" style="35" customWidth="1"/>
    <col min="1251" max="1251" width="7.625" style="35" customWidth="1"/>
    <col min="1252" max="1252" width="11.125" style="35" customWidth="1"/>
    <col min="1253" max="1253" width="8.625" style="35" customWidth="1"/>
    <col min="1254" max="1254" width="9" style="35"/>
    <col min="1255" max="1256" width="8.625" style="35" customWidth="1"/>
    <col min="1257" max="1257" width="9" style="35"/>
    <col min="1258" max="1258" width="9.5" style="35" bestFit="1" customWidth="1"/>
    <col min="1259" max="1504" width="9" style="35"/>
    <col min="1505" max="1505" width="2.625" style="35" customWidth="1"/>
    <col min="1506" max="1506" width="10.75" style="35" customWidth="1"/>
    <col min="1507" max="1507" width="7.625" style="35" customWidth="1"/>
    <col min="1508" max="1508" width="11.125" style="35" customWidth="1"/>
    <col min="1509" max="1509" width="8.625" style="35" customWidth="1"/>
    <col min="1510" max="1510" width="9" style="35"/>
    <col min="1511" max="1512" width="8.625" style="35" customWidth="1"/>
    <col min="1513" max="1513" width="9" style="35"/>
    <col min="1514" max="1514" width="9.5" style="35" bestFit="1" customWidth="1"/>
    <col min="1515" max="1760" width="9" style="35"/>
    <col min="1761" max="1761" width="2.625" style="35" customWidth="1"/>
    <col min="1762" max="1762" width="10.75" style="35" customWidth="1"/>
    <col min="1763" max="1763" width="7.625" style="35" customWidth="1"/>
    <col min="1764" max="1764" width="11.125" style="35" customWidth="1"/>
    <col min="1765" max="1765" width="8.625" style="35" customWidth="1"/>
    <col min="1766" max="1766" width="9" style="35"/>
    <col min="1767" max="1768" width="8.625" style="35" customWidth="1"/>
    <col min="1769" max="1769" width="9" style="35"/>
    <col min="1770" max="1770" width="9.5" style="35" bestFit="1" customWidth="1"/>
    <col min="1771" max="2016" width="9" style="35"/>
    <col min="2017" max="2017" width="2.625" style="35" customWidth="1"/>
    <col min="2018" max="2018" width="10.75" style="35" customWidth="1"/>
    <col min="2019" max="2019" width="7.625" style="35" customWidth="1"/>
    <col min="2020" max="2020" width="11.125" style="35" customWidth="1"/>
    <col min="2021" max="2021" width="8.625" style="35" customWidth="1"/>
    <col min="2022" max="2022" width="9" style="35"/>
    <col min="2023" max="2024" width="8.625" style="35" customWidth="1"/>
    <col min="2025" max="2025" width="9" style="35"/>
    <col min="2026" max="2026" width="9.5" style="35" bestFit="1" customWidth="1"/>
    <col min="2027" max="2272" width="9" style="35"/>
    <col min="2273" max="2273" width="2.625" style="35" customWidth="1"/>
    <col min="2274" max="2274" width="10.75" style="35" customWidth="1"/>
    <col min="2275" max="2275" width="7.625" style="35" customWidth="1"/>
    <col min="2276" max="2276" width="11.125" style="35" customWidth="1"/>
    <col min="2277" max="2277" width="8.625" style="35" customWidth="1"/>
    <col min="2278" max="2278" width="9" style="35"/>
    <col min="2279" max="2280" width="8.625" style="35" customWidth="1"/>
    <col min="2281" max="2281" width="9" style="35"/>
    <col min="2282" max="2282" width="9.5" style="35" bestFit="1" customWidth="1"/>
    <col min="2283" max="2528" width="9" style="35"/>
    <col min="2529" max="2529" width="2.625" style="35" customWidth="1"/>
    <col min="2530" max="2530" width="10.75" style="35" customWidth="1"/>
    <col min="2531" max="2531" width="7.625" style="35" customWidth="1"/>
    <col min="2532" max="2532" width="11.125" style="35" customWidth="1"/>
    <col min="2533" max="2533" width="8.625" style="35" customWidth="1"/>
    <col min="2534" max="2534" width="9" style="35"/>
    <col min="2535" max="2536" width="8.625" style="35" customWidth="1"/>
    <col min="2537" max="2537" width="9" style="35"/>
    <col min="2538" max="2538" width="9.5" style="35" bestFit="1" customWidth="1"/>
    <col min="2539" max="2784" width="9" style="35"/>
    <col min="2785" max="2785" width="2.625" style="35" customWidth="1"/>
    <col min="2786" max="2786" width="10.75" style="35" customWidth="1"/>
    <col min="2787" max="2787" width="7.625" style="35" customWidth="1"/>
    <col min="2788" max="2788" width="11.125" style="35" customWidth="1"/>
    <col min="2789" max="2789" width="8.625" style="35" customWidth="1"/>
    <col min="2790" max="2790" width="9" style="35"/>
    <col min="2791" max="2792" width="8.625" style="35" customWidth="1"/>
    <col min="2793" max="2793" width="9" style="35"/>
    <col min="2794" max="2794" width="9.5" style="35" bestFit="1" customWidth="1"/>
    <col min="2795" max="3040" width="9" style="35"/>
    <col min="3041" max="3041" width="2.625" style="35" customWidth="1"/>
    <col min="3042" max="3042" width="10.75" style="35" customWidth="1"/>
    <col min="3043" max="3043" width="7.625" style="35" customWidth="1"/>
    <col min="3044" max="3044" width="11.125" style="35" customWidth="1"/>
    <col min="3045" max="3045" width="8.625" style="35" customWidth="1"/>
    <col min="3046" max="3046" width="9" style="35"/>
    <col min="3047" max="3048" width="8.625" style="35" customWidth="1"/>
    <col min="3049" max="3049" width="9" style="35"/>
    <col min="3050" max="3050" width="9.5" style="35" bestFit="1" customWidth="1"/>
    <col min="3051" max="3296" width="9" style="35"/>
    <col min="3297" max="3297" width="2.625" style="35" customWidth="1"/>
    <col min="3298" max="3298" width="10.75" style="35" customWidth="1"/>
    <col min="3299" max="3299" width="7.625" style="35" customWidth="1"/>
    <col min="3300" max="3300" width="11.125" style="35" customWidth="1"/>
    <col min="3301" max="3301" width="8.625" style="35" customWidth="1"/>
    <col min="3302" max="3302" width="9" style="35"/>
    <col min="3303" max="3304" width="8.625" style="35" customWidth="1"/>
    <col min="3305" max="3305" width="9" style="35"/>
    <col min="3306" max="3306" width="9.5" style="35" bestFit="1" customWidth="1"/>
    <col min="3307" max="3552" width="9" style="35"/>
    <col min="3553" max="3553" width="2.625" style="35" customWidth="1"/>
    <col min="3554" max="3554" width="10.75" style="35" customWidth="1"/>
    <col min="3555" max="3555" width="7.625" style="35" customWidth="1"/>
    <col min="3556" max="3556" width="11.125" style="35" customWidth="1"/>
    <col min="3557" max="3557" width="8.625" style="35" customWidth="1"/>
    <col min="3558" max="3558" width="9" style="35"/>
    <col min="3559" max="3560" width="8.625" style="35" customWidth="1"/>
    <col min="3561" max="3561" width="9" style="35"/>
    <col min="3562" max="3562" width="9.5" style="35" bestFit="1" customWidth="1"/>
    <col min="3563" max="3808" width="9" style="35"/>
    <col min="3809" max="3809" width="2.625" style="35" customWidth="1"/>
    <col min="3810" max="3810" width="10.75" style="35" customWidth="1"/>
    <col min="3811" max="3811" width="7.625" style="35" customWidth="1"/>
    <col min="3812" max="3812" width="11.125" style="35" customWidth="1"/>
    <col min="3813" max="3813" width="8.625" style="35" customWidth="1"/>
    <col min="3814" max="3814" width="9" style="35"/>
    <col min="3815" max="3816" width="8.625" style="35" customWidth="1"/>
    <col min="3817" max="3817" width="9" style="35"/>
    <col min="3818" max="3818" width="9.5" style="35" bestFit="1" customWidth="1"/>
    <col min="3819" max="4064" width="9" style="35"/>
    <col min="4065" max="4065" width="2.625" style="35" customWidth="1"/>
    <col min="4066" max="4066" width="10.75" style="35" customWidth="1"/>
    <col min="4067" max="4067" width="7.625" style="35" customWidth="1"/>
    <col min="4068" max="4068" width="11.125" style="35" customWidth="1"/>
    <col min="4069" max="4069" width="8.625" style="35" customWidth="1"/>
    <col min="4070" max="4070" width="9" style="35"/>
    <col min="4071" max="4072" width="8.625" style="35" customWidth="1"/>
    <col min="4073" max="4073" width="9" style="35"/>
    <col min="4074" max="4074" width="9.5" style="35" bestFit="1" customWidth="1"/>
    <col min="4075" max="4320" width="9" style="35"/>
    <col min="4321" max="4321" width="2.625" style="35" customWidth="1"/>
    <col min="4322" max="4322" width="10.75" style="35" customWidth="1"/>
    <col min="4323" max="4323" width="7.625" style="35" customWidth="1"/>
    <col min="4324" max="4324" width="11.125" style="35" customWidth="1"/>
    <col min="4325" max="4325" width="8.625" style="35" customWidth="1"/>
    <col min="4326" max="4326" width="9" style="35"/>
    <col min="4327" max="4328" width="8.625" style="35" customWidth="1"/>
    <col min="4329" max="4329" width="9" style="35"/>
    <col min="4330" max="4330" width="9.5" style="35" bestFit="1" customWidth="1"/>
    <col min="4331" max="4576" width="9" style="35"/>
    <col min="4577" max="4577" width="2.625" style="35" customWidth="1"/>
    <col min="4578" max="4578" width="10.75" style="35" customWidth="1"/>
    <col min="4579" max="4579" width="7.625" style="35" customWidth="1"/>
    <col min="4580" max="4580" width="11.125" style="35" customWidth="1"/>
    <col min="4581" max="4581" width="8.625" style="35" customWidth="1"/>
    <col min="4582" max="4582" width="9" style="35"/>
    <col min="4583" max="4584" width="8.625" style="35" customWidth="1"/>
    <col min="4585" max="4585" width="9" style="35"/>
    <col min="4586" max="4586" width="9.5" style="35" bestFit="1" customWidth="1"/>
    <col min="4587" max="4832" width="9" style="35"/>
    <col min="4833" max="4833" width="2.625" style="35" customWidth="1"/>
    <col min="4834" max="4834" width="10.75" style="35" customWidth="1"/>
    <col min="4835" max="4835" width="7.625" style="35" customWidth="1"/>
    <col min="4836" max="4836" width="11.125" style="35" customWidth="1"/>
    <col min="4837" max="4837" width="8.625" style="35" customWidth="1"/>
    <col min="4838" max="4838" width="9" style="35"/>
    <col min="4839" max="4840" width="8.625" style="35" customWidth="1"/>
    <col min="4841" max="4841" width="9" style="35"/>
    <col min="4842" max="4842" width="9.5" style="35" bestFit="1" customWidth="1"/>
    <col min="4843" max="5088" width="9" style="35"/>
    <col min="5089" max="5089" width="2.625" style="35" customWidth="1"/>
    <col min="5090" max="5090" width="10.75" style="35" customWidth="1"/>
    <col min="5091" max="5091" width="7.625" style="35" customWidth="1"/>
    <col min="5092" max="5092" width="11.125" style="35" customWidth="1"/>
    <col min="5093" max="5093" width="8.625" style="35" customWidth="1"/>
    <col min="5094" max="5094" width="9" style="35"/>
    <col min="5095" max="5096" width="8.625" style="35" customWidth="1"/>
    <col min="5097" max="5097" width="9" style="35"/>
    <col min="5098" max="5098" width="9.5" style="35" bestFit="1" customWidth="1"/>
    <col min="5099" max="5344" width="9" style="35"/>
    <col min="5345" max="5345" width="2.625" style="35" customWidth="1"/>
    <col min="5346" max="5346" width="10.75" style="35" customWidth="1"/>
    <col min="5347" max="5347" width="7.625" style="35" customWidth="1"/>
    <col min="5348" max="5348" width="11.125" style="35" customWidth="1"/>
    <col min="5349" max="5349" width="8.625" style="35" customWidth="1"/>
    <col min="5350" max="5350" width="9" style="35"/>
    <col min="5351" max="5352" width="8.625" style="35" customWidth="1"/>
    <col min="5353" max="5353" width="9" style="35"/>
    <col min="5354" max="5354" width="9.5" style="35" bestFit="1" customWidth="1"/>
    <col min="5355" max="5600" width="9" style="35"/>
    <col min="5601" max="5601" width="2.625" style="35" customWidth="1"/>
    <col min="5602" max="5602" width="10.75" style="35" customWidth="1"/>
    <col min="5603" max="5603" width="7.625" style="35" customWidth="1"/>
    <col min="5604" max="5604" width="11.125" style="35" customWidth="1"/>
    <col min="5605" max="5605" width="8.625" style="35" customWidth="1"/>
    <col min="5606" max="5606" width="9" style="35"/>
    <col min="5607" max="5608" width="8.625" style="35" customWidth="1"/>
    <col min="5609" max="5609" width="9" style="35"/>
    <col min="5610" max="5610" width="9.5" style="35" bestFit="1" customWidth="1"/>
    <col min="5611" max="5856" width="9" style="35"/>
    <col min="5857" max="5857" width="2.625" style="35" customWidth="1"/>
    <col min="5858" max="5858" width="10.75" style="35" customWidth="1"/>
    <col min="5859" max="5859" width="7.625" style="35" customWidth="1"/>
    <col min="5860" max="5860" width="11.125" style="35" customWidth="1"/>
    <col min="5861" max="5861" width="8.625" style="35" customWidth="1"/>
    <col min="5862" max="5862" width="9" style="35"/>
    <col min="5863" max="5864" width="8.625" style="35" customWidth="1"/>
    <col min="5865" max="5865" width="9" style="35"/>
    <col min="5866" max="5866" width="9.5" style="35" bestFit="1" customWidth="1"/>
    <col min="5867" max="6112" width="9" style="35"/>
    <col min="6113" max="6113" width="2.625" style="35" customWidth="1"/>
    <col min="6114" max="6114" width="10.75" style="35" customWidth="1"/>
    <col min="6115" max="6115" width="7.625" style="35" customWidth="1"/>
    <col min="6116" max="6116" width="11.125" style="35" customWidth="1"/>
    <col min="6117" max="6117" width="8.625" style="35" customWidth="1"/>
    <col min="6118" max="6118" width="9" style="35"/>
    <col min="6119" max="6120" width="8.625" style="35" customWidth="1"/>
    <col min="6121" max="6121" width="9" style="35"/>
    <col min="6122" max="6122" width="9.5" style="35" bestFit="1" customWidth="1"/>
    <col min="6123" max="6368" width="9" style="35"/>
    <col min="6369" max="6369" width="2.625" style="35" customWidth="1"/>
    <col min="6370" max="6370" width="10.75" style="35" customWidth="1"/>
    <col min="6371" max="6371" width="7.625" style="35" customWidth="1"/>
    <col min="6372" max="6372" width="11.125" style="35" customWidth="1"/>
    <col min="6373" max="6373" width="8.625" style="35" customWidth="1"/>
    <col min="6374" max="6374" width="9" style="35"/>
    <col min="6375" max="6376" width="8.625" style="35" customWidth="1"/>
    <col min="6377" max="6377" width="9" style="35"/>
    <col min="6378" max="6378" width="9.5" style="35" bestFit="1" customWidth="1"/>
    <col min="6379" max="6624" width="9" style="35"/>
    <col min="6625" max="6625" width="2.625" style="35" customWidth="1"/>
    <col min="6626" max="6626" width="10.75" style="35" customWidth="1"/>
    <col min="6627" max="6627" width="7.625" style="35" customWidth="1"/>
    <col min="6628" max="6628" width="11.125" style="35" customWidth="1"/>
    <col min="6629" max="6629" width="8.625" style="35" customWidth="1"/>
    <col min="6630" max="6630" width="9" style="35"/>
    <col min="6631" max="6632" width="8.625" style="35" customWidth="1"/>
    <col min="6633" max="6633" width="9" style="35"/>
    <col min="6634" max="6634" width="9.5" style="35" bestFit="1" customWidth="1"/>
    <col min="6635" max="6880" width="9" style="35"/>
    <col min="6881" max="6881" width="2.625" style="35" customWidth="1"/>
    <col min="6882" max="6882" width="10.75" style="35" customWidth="1"/>
    <col min="6883" max="6883" width="7.625" style="35" customWidth="1"/>
    <col min="6884" max="6884" width="11.125" style="35" customWidth="1"/>
    <col min="6885" max="6885" width="8.625" style="35" customWidth="1"/>
    <col min="6886" max="6886" width="9" style="35"/>
    <col min="6887" max="6888" width="8.625" style="35" customWidth="1"/>
    <col min="6889" max="6889" width="9" style="35"/>
    <col min="6890" max="6890" width="9.5" style="35" bestFit="1" customWidth="1"/>
    <col min="6891" max="7136" width="9" style="35"/>
    <col min="7137" max="7137" width="2.625" style="35" customWidth="1"/>
    <col min="7138" max="7138" width="10.75" style="35" customWidth="1"/>
    <col min="7139" max="7139" width="7.625" style="35" customWidth="1"/>
    <col min="7140" max="7140" width="11.125" style="35" customWidth="1"/>
    <col min="7141" max="7141" width="8.625" style="35" customWidth="1"/>
    <col min="7142" max="7142" width="9" style="35"/>
    <col min="7143" max="7144" width="8.625" style="35" customWidth="1"/>
    <col min="7145" max="7145" width="9" style="35"/>
    <col min="7146" max="7146" width="9.5" style="35" bestFit="1" customWidth="1"/>
    <col min="7147" max="7392" width="9" style="35"/>
    <col min="7393" max="7393" width="2.625" style="35" customWidth="1"/>
    <col min="7394" max="7394" width="10.75" style="35" customWidth="1"/>
    <col min="7395" max="7395" width="7.625" style="35" customWidth="1"/>
    <col min="7396" max="7396" width="11.125" style="35" customWidth="1"/>
    <col min="7397" max="7397" width="8.625" style="35" customWidth="1"/>
    <col min="7398" max="7398" width="9" style="35"/>
    <col min="7399" max="7400" width="8.625" style="35" customWidth="1"/>
    <col min="7401" max="7401" width="9" style="35"/>
    <col min="7402" max="7402" width="9.5" style="35" bestFit="1" customWidth="1"/>
    <col min="7403" max="7648" width="9" style="35"/>
    <col min="7649" max="7649" width="2.625" style="35" customWidth="1"/>
    <col min="7650" max="7650" width="10.75" style="35" customWidth="1"/>
    <col min="7651" max="7651" width="7.625" style="35" customWidth="1"/>
    <col min="7652" max="7652" width="11.125" style="35" customWidth="1"/>
    <col min="7653" max="7653" width="8.625" style="35" customWidth="1"/>
    <col min="7654" max="7654" width="9" style="35"/>
    <col min="7655" max="7656" width="8.625" style="35" customWidth="1"/>
    <col min="7657" max="7657" width="9" style="35"/>
    <col min="7658" max="7658" width="9.5" style="35" bestFit="1" customWidth="1"/>
    <col min="7659" max="7904" width="9" style="35"/>
    <col min="7905" max="7905" width="2.625" style="35" customWidth="1"/>
    <col min="7906" max="7906" width="10.75" style="35" customWidth="1"/>
    <col min="7907" max="7907" width="7.625" style="35" customWidth="1"/>
    <col min="7908" max="7908" width="11.125" style="35" customWidth="1"/>
    <col min="7909" max="7909" width="8.625" style="35" customWidth="1"/>
    <col min="7910" max="7910" width="9" style="35"/>
    <col min="7911" max="7912" width="8.625" style="35" customWidth="1"/>
    <col min="7913" max="7913" width="9" style="35"/>
    <col min="7914" max="7914" width="9.5" style="35" bestFit="1" customWidth="1"/>
    <col min="7915" max="8160" width="9" style="35"/>
    <col min="8161" max="8161" width="2.625" style="35" customWidth="1"/>
    <col min="8162" max="8162" width="10.75" style="35" customWidth="1"/>
    <col min="8163" max="8163" width="7.625" style="35" customWidth="1"/>
    <col min="8164" max="8164" width="11.125" style="35" customWidth="1"/>
    <col min="8165" max="8165" width="8.625" style="35" customWidth="1"/>
    <col min="8166" max="8166" width="9" style="35"/>
    <col min="8167" max="8168" width="8.625" style="35" customWidth="1"/>
    <col min="8169" max="8169" width="9" style="35"/>
    <col min="8170" max="8170" width="9.5" style="35" bestFit="1" customWidth="1"/>
    <col min="8171" max="8416" width="9" style="35"/>
    <col min="8417" max="8417" width="2.625" style="35" customWidth="1"/>
    <col min="8418" max="8418" width="10.75" style="35" customWidth="1"/>
    <col min="8419" max="8419" width="7.625" style="35" customWidth="1"/>
    <col min="8420" max="8420" width="11.125" style="35" customWidth="1"/>
    <col min="8421" max="8421" width="8.625" style="35" customWidth="1"/>
    <col min="8422" max="8422" width="9" style="35"/>
    <col min="8423" max="8424" width="8.625" style="35" customWidth="1"/>
    <col min="8425" max="8425" width="9" style="35"/>
    <col min="8426" max="8426" width="9.5" style="35" bestFit="1" customWidth="1"/>
    <col min="8427" max="8672" width="9" style="35"/>
    <col min="8673" max="8673" width="2.625" style="35" customWidth="1"/>
    <col min="8674" max="8674" width="10.75" style="35" customWidth="1"/>
    <col min="8675" max="8675" width="7.625" style="35" customWidth="1"/>
    <col min="8676" max="8676" width="11.125" style="35" customWidth="1"/>
    <col min="8677" max="8677" width="8.625" style="35" customWidth="1"/>
    <col min="8678" max="8678" width="9" style="35"/>
    <col min="8679" max="8680" width="8.625" style="35" customWidth="1"/>
    <col min="8681" max="8681" width="9" style="35"/>
    <col min="8682" max="8682" width="9.5" style="35" bestFit="1" customWidth="1"/>
    <col min="8683" max="8928" width="9" style="35"/>
    <col min="8929" max="8929" width="2.625" style="35" customWidth="1"/>
    <col min="8930" max="8930" width="10.75" style="35" customWidth="1"/>
    <col min="8931" max="8931" width="7.625" style="35" customWidth="1"/>
    <col min="8932" max="8932" width="11.125" style="35" customWidth="1"/>
    <col min="8933" max="8933" width="8.625" style="35" customWidth="1"/>
    <col min="8934" max="8934" width="9" style="35"/>
    <col min="8935" max="8936" width="8.625" style="35" customWidth="1"/>
    <col min="8937" max="8937" width="9" style="35"/>
    <col min="8938" max="8938" width="9.5" style="35" bestFit="1" customWidth="1"/>
    <col min="8939" max="9184" width="9" style="35"/>
    <col min="9185" max="9185" width="2.625" style="35" customWidth="1"/>
    <col min="9186" max="9186" width="10.75" style="35" customWidth="1"/>
    <col min="9187" max="9187" width="7.625" style="35" customWidth="1"/>
    <col min="9188" max="9188" width="11.125" style="35" customWidth="1"/>
    <col min="9189" max="9189" width="8.625" style="35" customWidth="1"/>
    <col min="9190" max="9190" width="9" style="35"/>
    <col min="9191" max="9192" width="8.625" style="35" customWidth="1"/>
    <col min="9193" max="9193" width="9" style="35"/>
    <col min="9194" max="9194" width="9.5" style="35" bestFit="1" customWidth="1"/>
    <col min="9195" max="9440" width="9" style="35"/>
    <col min="9441" max="9441" width="2.625" style="35" customWidth="1"/>
    <col min="9442" max="9442" width="10.75" style="35" customWidth="1"/>
    <col min="9443" max="9443" width="7.625" style="35" customWidth="1"/>
    <col min="9444" max="9444" width="11.125" style="35" customWidth="1"/>
    <col min="9445" max="9445" width="8.625" style="35" customWidth="1"/>
    <col min="9446" max="9446" width="9" style="35"/>
    <col min="9447" max="9448" width="8.625" style="35" customWidth="1"/>
    <col min="9449" max="9449" width="9" style="35"/>
    <col min="9450" max="9450" width="9.5" style="35" bestFit="1" customWidth="1"/>
    <col min="9451" max="9696" width="9" style="35"/>
    <col min="9697" max="9697" width="2.625" style="35" customWidth="1"/>
    <col min="9698" max="9698" width="10.75" style="35" customWidth="1"/>
    <col min="9699" max="9699" width="7.625" style="35" customWidth="1"/>
    <col min="9700" max="9700" width="11.125" style="35" customWidth="1"/>
    <col min="9701" max="9701" width="8.625" style="35" customWidth="1"/>
    <col min="9702" max="9702" width="9" style="35"/>
    <col min="9703" max="9704" width="8.625" style="35" customWidth="1"/>
    <col min="9705" max="9705" width="9" style="35"/>
    <col min="9706" max="9706" width="9.5" style="35" bestFit="1" customWidth="1"/>
    <col min="9707" max="9952" width="9" style="35"/>
    <col min="9953" max="9953" width="2.625" style="35" customWidth="1"/>
    <col min="9954" max="9954" width="10.75" style="35" customWidth="1"/>
    <col min="9955" max="9955" width="7.625" style="35" customWidth="1"/>
    <col min="9956" max="9956" width="11.125" style="35" customWidth="1"/>
    <col min="9957" max="9957" width="8.625" style="35" customWidth="1"/>
    <col min="9958" max="9958" width="9" style="35"/>
    <col min="9959" max="9960" width="8.625" style="35" customWidth="1"/>
    <col min="9961" max="9961" width="9" style="35"/>
    <col min="9962" max="9962" width="9.5" style="35" bestFit="1" customWidth="1"/>
    <col min="9963" max="10208" width="9" style="35"/>
    <col min="10209" max="10209" width="2.625" style="35" customWidth="1"/>
    <col min="10210" max="10210" width="10.75" style="35" customWidth="1"/>
    <col min="10211" max="10211" width="7.625" style="35" customWidth="1"/>
    <col min="10212" max="10212" width="11.125" style="35" customWidth="1"/>
    <col min="10213" max="10213" width="8.625" style="35" customWidth="1"/>
    <col min="10214" max="10214" width="9" style="35"/>
    <col min="10215" max="10216" width="8.625" style="35" customWidth="1"/>
    <col min="10217" max="10217" width="9" style="35"/>
    <col min="10218" max="10218" width="9.5" style="35" bestFit="1" customWidth="1"/>
    <col min="10219" max="10464" width="9" style="35"/>
    <col min="10465" max="10465" width="2.625" style="35" customWidth="1"/>
    <col min="10466" max="10466" width="10.75" style="35" customWidth="1"/>
    <col min="10467" max="10467" width="7.625" style="35" customWidth="1"/>
    <col min="10468" max="10468" width="11.125" style="35" customWidth="1"/>
    <col min="10469" max="10469" width="8.625" style="35" customWidth="1"/>
    <col min="10470" max="10470" width="9" style="35"/>
    <col min="10471" max="10472" width="8.625" style="35" customWidth="1"/>
    <col min="10473" max="10473" width="9" style="35"/>
    <col min="10474" max="10474" width="9.5" style="35" bestFit="1" customWidth="1"/>
    <col min="10475" max="10720" width="9" style="35"/>
    <col min="10721" max="10721" width="2.625" style="35" customWidth="1"/>
    <col min="10722" max="10722" width="10.75" style="35" customWidth="1"/>
    <col min="10723" max="10723" width="7.625" style="35" customWidth="1"/>
    <col min="10724" max="10724" width="11.125" style="35" customWidth="1"/>
    <col min="10725" max="10725" width="8.625" style="35" customWidth="1"/>
    <col min="10726" max="10726" width="9" style="35"/>
    <col min="10727" max="10728" width="8.625" style="35" customWidth="1"/>
    <col min="10729" max="10729" width="9" style="35"/>
    <col min="10730" max="10730" width="9.5" style="35" bestFit="1" customWidth="1"/>
    <col min="10731" max="10976" width="9" style="35"/>
    <col min="10977" max="10977" width="2.625" style="35" customWidth="1"/>
    <col min="10978" max="10978" width="10.75" style="35" customWidth="1"/>
    <col min="10979" max="10979" width="7.625" style="35" customWidth="1"/>
    <col min="10980" max="10980" width="11.125" style="35" customWidth="1"/>
    <col min="10981" max="10981" width="8.625" style="35" customWidth="1"/>
    <col min="10982" max="10982" width="9" style="35"/>
    <col min="10983" max="10984" width="8.625" style="35" customWidth="1"/>
    <col min="10985" max="10985" width="9" style="35"/>
    <col min="10986" max="10986" width="9.5" style="35" bestFit="1" customWidth="1"/>
    <col min="10987" max="11232" width="9" style="35"/>
    <col min="11233" max="11233" width="2.625" style="35" customWidth="1"/>
    <col min="11234" max="11234" width="10.75" style="35" customWidth="1"/>
    <col min="11235" max="11235" width="7.625" style="35" customWidth="1"/>
    <col min="11236" max="11236" width="11.125" style="35" customWidth="1"/>
    <col min="11237" max="11237" width="8.625" style="35" customWidth="1"/>
    <col min="11238" max="11238" width="9" style="35"/>
    <col min="11239" max="11240" width="8.625" style="35" customWidth="1"/>
    <col min="11241" max="11241" width="9" style="35"/>
    <col min="11242" max="11242" width="9.5" style="35" bestFit="1" customWidth="1"/>
    <col min="11243" max="11488" width="9" style="35"/>
    <col min="11489" max="11489" width="2.625" style="35" customWidth="1"/>
    <col min="11490" max="11490" width="10.75" style="35" customWidth="1"/>
    <col min="11491" max="11491" width="7.625" style="35" customWidth="1"/>
    <col min="11492" max="11492" width="11.125" style="35" customWidth="1"/>
    <col min="11493" max="11493" width="8.625" style="35" customWidth="1"/>
    <col min="11494" max="11494" width="9" style="35"/>
    <col min="11495" max="11496" width="8.625" style="35" customWidth="1"/>
    <col min="11497" max="11497" width="9" style="35"/>
    <col min="11498" max="11498" width="9.5" style="35" bestFit="1" customWidth="1"/>
    <col min="11499" max="11744" width="9" style="35"/>
    <col min="11745" max="11745" width="2.625" style="35" customWidth="1"/>
    <col min="11746" max="11746" width="10.75" style="35" customWidth="1"/>
    <col min="11747" max="11747" width="7.625" style="35" customWidth="1"/>
    <col min="11748" max="11748" width="11.125" style="35" customWidth="1"/>
    <col min="11749" max="11749" width="8.625" style="35" customWidth="1"/>
    <col min="11750" max="11750" width="9" style="35"/>
    <col min="11751" max="11752" width="8.625" style="35" customWidth="1"/>
    <col min="11753" max="11753" width="9" style="35"/>
    <col min="11754" max="11754" width="9.5" style="35" bestFit="1" customWidth="1"/>
    <col min="11755" max="12000" width="9" style="35"/>
    <col min="12001" max="12001" width="2.625" style="35" customWidth="1"/>
    <col min="12002" max="12002" width="10.75" style="35" customWidth="1"/>
    <col min="12003" max="12003" width="7.625" style="35" customWidth="1"/>
    <col min="12004" max="12004" width="11.125" style="35" customWidth="1"/>
    <col min="12005" max="12005" width="8.625" style="35" customWidth="1"/>
    <col min="12006" max="12006" width="9" style="35"/>
    <col min="12007" max="12008" width="8.625" style="35" customWidth="1"/>
    <col min="12009" max="12009" width="9" style="35"/>
    <col min="12010" max="12010" width="9.5" style="35" bestFit="1" customWidth="1"/>
    <col min="12011" max="12256" width="9" style="35"/>
    <col min="12257" max="12257" width="2.625" style="35" customWidth="1"/>
    <col min="12258" max="12258" width="10.75" style="35" customWidth="1"/>
    <col min="12259" max="12259" width="7.625" style="35" customWidth="1"/>
    <col min="12260" max="12260" width="11.125" style="35" customWidth="1"/>
    <col min="12261" max="12261" width="8.625" style="35" customWidth="1"/>
    <col min="12262" max="12262" width="9" style="35"/>
    <col min="12263" max="12264" width="8.625" style="35" customWidth="1"/>
    <col min="12265" max="12265" width="9" style="35"/>
    <col min="12266" max="12266" width="9.5" style="35" bestFit="1" customWidth="1"/>
    <col min="12267" max="12512" width="9" style="35"/>
    <col min="12513" max="12513" width="2.625" style="35" customWidth="1"/>
    <col min="12514" max="12514" width="10.75" style="35" customWidth="1"/>
    <col min="12515" max="12515" width="7.625" style="35" customWidth="1"/>
    <col min="12516" max="12516" width="11.125" style="35" customWidth="1"/>
    <col min="12517" max="12517" width="8.625" style="35" customWidth="1"/>
    <col min="12518" max="12518" width="9" style="35"/>
    <col min="12519" max="12520" width="8.625" style="35" customWidth="1"/>
    <col min="12521" max="12521" width="9" style="35"/>
    <col min="12522" max="12522" width="9.5" style="35" bestFit="1" customWidth="1"/>
    <col min="12523" max="12768" width="9" style="35"/>
    <col min="12769" max="12769" width="2.625" style="35" customWidth="1"/>
    <col min="12770" max="12770" width="10.75" style="35" customWidth="1"/>
    <col min="12771" max="12771" width="7.625" style="35" customWidth="1"/>
    <col min="12772" max="12772" width="11.125" style="35" customWidth="1"/>
    <col min="12773" max="12773" width="8.625" style="35" customWidth="1"/>
    <col min="12774" max="12774" width="9" style="35"/>
    <col min="12775" max="12776" width="8.625" style="35" customWidth="1"/>
    <col min="12777" max="12777" width="9" style="35"/>
    <col min="12778" max="12778" width="9.5" style="35" bestFit="1" customWidth="1"/>
    <col min="12779" max="13024" width="9" style="35"/>
    <col min="13025" max="13025" width="2.625" style="35" customWidth="1"/>
    <col min="13026" max="13026" width="10.75" style="35" customWidth="1"/>
    <col min="13027" max="13027" width="7.625" style="35" customWidth="1"/>
    <col min="13028" max="13028" width="11.125" style="35" customWidth="1"/>
    <col min="13029" max="13029" width="8.625" style="35" customWidth="1"/>
    <col min="13030" max="13030" width="9" style="35"/>
    <col min="13031" max="13032" width="8.625" style="35" customWidth="1"/>
    <col min="13033" max="13033" width="9" style="35"/>
    <col min="13034" max="13034" width="9.5" style="35" bestFit="1" customWidth="1"/>
    <col min="13035" max="13280" width="9" style="35"/>
    <col min="13281" max="13281" width="2.625" style="35" customWidth="1"/>
    <col min="13282" max="13282" width="10.75" style="35" customWidth="1"/>
    <col min="13283" max="13283" width="7.625" style="35" customWidth="1"/>
    <col min="13284" max="13284" width="11.125" style="35" customWidth="1"/>
    <col min="13285" max="13285" width="8.625" style="35" customWidth="1"/>
    <col min="13286" max="13286" width="9" style="35"/>
    <col min="13287" max="13288" width="8.625" style="35" customWidth="1"/>
    <col min="13289" max="13289" width="9" style="35"/>
    <col min="13290" max="13290" width="9.5" style="35" bestFit="1" customWidth="1"/>
    <col min="13291" max="13536" width="9" style="35"/>
    <col min="13537" max="13537" width="2.625" style="35" customWidth="1"/>
    <col min="13538" max="13538" width="10.75" style="35" customWidth="1"/>
    <col min="13539" max="13539" width="7.625" style="35" customWidth="1"/>
    <col min="13540" max="13540" width="11.125" style="35" customWidth="1"/>
    <col min="13541" max="13541" width="8.625" style="35" customWidth="1"/>
    <col min="13542" max="13542" width="9" style="35"/>
    <col min="13543" max="13544" width="8.625" style="35" customWidth="1"/>
    <col min="13545" max="13545" width="9" style="35"/>
    <col min="13546" max="13546" width="9.5" style="35" bestFit="1" customWidth="1"/>
    <col min="13547" max="13792" width="9" style="35"/>
    <col min="13793" max="13793" width="2.625" style="35" customWidth="1"/>
    <col min="13794" max="13794" width="10.75" style="35" customWidth="1"/>
    <col min="13795" max="13795" width="7.625" style="35" customWidth="1"/>
    <col min="13796" max="13796" width="11.125" style="35" customWidth="1"/>
    <col min="13797" max="13797" width="8.625" style="35" customWidth="1"/>
    <col min="13798" max="13798" width="9" style="35"/>
    <col min="13799" max="13800" width="8.625" style="35" customWidth="1"/>
    <col min="13801" max="13801" width="9" style="35"/>
    <col min="13802" max="13802" width="9.5" style="35" bestFit="1" customWidth="1"/>
    <col min="13803" max="14048" width="9" style="35"/>
    <col min="14049" max="14049" width="2.625" style="35" customWidth="1"/>
    <col min="14050" max="14050" width="10.75" style="35" customWidth="1"/>
    <col min="14051" max="14051" width="7.625" style="35" customWidth="1"/>
    <col min="14052" max="14052" width="11.125" style="35" customWidth="1"/>
    <col min="14053" max="14053" width="8.625" style="35" customWidth="1"/>
    <col min="14054" max="14054" width="9" style="35"/>
    <col min="14055" max="14056" width="8.625" style="35" customWidth="1"/>
    <col min="14057" max="14057" width="9" style="35"/>
    <col min="14058" max="14058" width="9.5" style="35" bestFit="1" customWidth="1"/>
    <col min="14059" max="14304" width="9" style="35"/>
    <col min="14305" max="14305" width="2.625" style="35" customWidth="1"/>
    <col min="14306" max="14306" width="10.75" style="35" customWidth="1"/>
    <col min="14307" max="14307" width="7.625" style="35" customWidth="1"/>
    <col min="14308" max="14308" width="11.125" style="35" customWidth="1"/>
    <col min="14309" max="14309" width="8.625" style="35" customWidth="1"/>
    <col min="14310" max="14310" width="9" style="35"/>
    <col min="14311" max="14312" width="8.625" style="35" customWidth="1"/>
    <col min="14313" max="14313" width="9" style="35"/>
    <col min="14314" max="14314" width="9.5" style="35" bestFit="1" customWidth="1"/>
    <col min="14315" max="14560" width="9" style="35"/>
    <col min="14561" max="14561" width="2.625" style="35" customWidth="1"/>
    <col min="14562" max="14562" width="10.75" style="35" customWidth="1"/>
    <col min="14563" max="14563" width="7.625" style="35" customWidth="1"/>
    <col min="14564" max="14564" width="11.125" style="35" customWidth="1"/>
    <col min="14565" max="14565" width="8.625" style="35" customWidth="1"/>
    <col min="14566" max="14566" width="9" style="35"/>
    <col min="14567" max="14568" width="8.625" style="35" customWidth="1"/>
    <col min="14569" max="14569" width="9" style="35"/>
    <col min="14570" max="14570" width="9.5" style="35" bestFit="1" customWidth="1"/>
    <col min="14571" max="14816" width="9" style="35"/>
    <col min="14817" max="14817" width="2.625" style="35" customWidth="1"/>
    <col min="14818" max="14818" width="10.75" style="35" customWidth="1"/>
    <col min="14819" max="14819" width="7.625" style="35" customWidth="1"/>
    <col min="14820" max="14820" width="11.125" style="35" customWidth="1"/>
    <col min="14821" max="14821" width="8.625" style="35" customWidth="1"/>
    <col min="14822" max="14822" width="9" style="35"/>
    <col min="14823" max="14824" width="8.625" style="35" customWidth="1"/>
    <col min="14825" max="14825" width="9" style="35"/>
    <col min="14826" max="14826" width="9.5" style="35" bestFit="1" customWidth="1"/>
    <col min="14827" max="15072" width="9" style="35"/>
    <col min="15073" max="15073" width="2.625" style="35" customWidth="1"/>
    <col min="15074" max="15074" width="10.75" style="35" customWidth="1"/>
    <col min="15075" max="15075" width="7.625" style="35" customWidth="1"/>
    <col min="15076" max="15076" width="11.125" style="35" customWidth="1"/>
    <col min="15077" max="15077" width="8.625" style="35" customWidth="1"/>
    <col min="15078" max="15078" width="9" style="35"/>
    <col min="15079" max="15080" width="8.625" style="35" customWidth="1"/>
    <col min="15081" max="15081" width="9" style="35"/>
    <col min="15082" max="15082" width="9.5" style="35" bestFit="1" customWidth="1"/>
    <col min="15083" max="15328" width="9" style="35"/>
    <col min="15329" max="15329" width="2.625" style="35" customWidth="1"/>
    <col min="15330" max="15330" width="10.75" style="35" customWidth="1"/>
    <col min="15331" max="15331" width="7.625" style="35" customWidth="1"/>
    <col min="15332" max="15332" width="11.125" style="35" customWidth="1"/>
    <col min="15333" max="15333" width="8.625" style="35" customWidth="1"/>
    <col min="15334" max="15334" width="9" style="35"/>
    <col min="15335" max="15336" width="8.625" style="35" customWidth="1"/>
    <col min="15337" max="15337" width="9" style="35"/>
    <col min="15338" max="15338" width="9.5" style="35" bestFit="1" customWidth="1"/>
    <col min="15339" max="15584" width="9" style="35"/>
    <col min="15585" max="15585" width="2.625" style="35" customWidth="1"/>
    <col min="15586" max="15586" width="10.75" style="35" customWidth="1"/>
    <col min="15587" max="15587" width="7.625" style="35" customWidth="1"/>
    <col min="15588" max="15588" width="11.125" style="35" customWidth="1"/>
    <col min="15589" max="15589" width="8.625" style="35" customWidth="1"/>
    <col min="15590" max="15590" width="9" style="35"/>
    <col min="15591" max="15592" width="8.625" style="35" customWidth="1"/>
    <col min="15593" max="15593" width="9" style="35"/>
    <col min="15594" max="15594" width="9.5" style="35" bestFit="1" customWidth="1"/>
    <col min="15595" max="15840" width="9" style="35"/>
    <col min="15841" max="15841" width="2.625" style="35" customWidth="1"/>
    <col min="15842" max="15842" width="10.75" style="35" customWidth="1"/>
    <col min="15843" max="15843" width="7.625" style="35" customWidth="1"/>
    <col min="15844" max="15844" width="11.125" style="35" customWidth="1"/>
    <col min="15845" max="15845" width="8.625" style="35" customWidth="1"/>
    <col min="15846" max="15846" width="9" style="35"/>
    <col min="15847" max="15848" width="8.625" style="35" customWidth="1"/>
    <col min="15849" max="15849" width="9" style="35"/>
    <col min="15850" max="15850" width="9.5" style="35" bestFit="1" customWidth="1"/>
    <col min="15851" max="16096" width="9" style="35"/>
    <col min="16097" max="16097" width="2.625" style="35" customWidth="1"/>
    <col min="16098" max="16098" width="10.75" style="35" customWidth="1"/>
    <col min="16099" max="16099" width="7.625" style="35" customWidth="1"/>
    <col min="16100" max="16100" width="11.125" style="35" customWidth="1"/>
    <col min="16101" max="16101" width="8.625" style="35" customWidth="1"/>
    <col min="16102" max="16102" width="9" style="35"/>
    <col min="16103" max="16104" width="8.625" style="35" customWidth="1"/>
    <col min="16105" max="16105" width="9" style="35"/>
    <col min="16106" max="16106" width="9.5" style="35" bestFit="1" customWidth="1"/>
    <col min="16107" max="16384" width="9" style="35"/>
  </cols>
  <sheetData>
    <row r="1" spans="1:27" x14ac:dyDescent="0.15">
      <c r="A1" s="185" t="s">
        <v>172</v>
      </c>
      <c r="B1" s="186"/>
      <c r="C1" s="186"/>
      <c r="D1" s="186"/>
      <c r="E1" s="186"/>
      <c r="F1" s="186"/>
      <c r="G1" s="187" t="s">
        <v>173</v>
      </c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8"/>
    </row>
    <row r="2" spans="1:27" x14ac:dyDescent="0.15">
      <c r="A2" s="189">
        <v>1</v>
      </c>
      <c r="B2" s="175">
        <v>14.32</v>
      </c>
      <c r="C2" s="175">
        <v>51.22</v>
      </c>
      <c r="D2" s="175">
        <v>58.56</v>
      </c>
      <c r="E2" s="175">
        <v>59.42</v>
      </c>
      <c r="F2" s="175">
        <v>48.44</v>
      </c>
      <c r="G2" s="190">
        <v>0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91"/>
    </row>
    <row r="3" spans="1:27" x14ac:dyDescent="0.15">
      <c r="A3" s="189">
        <v>1</v>
      </c>
      <c r="B3" s="175">
        <v>13.54</v>
      </c>
      <c r="C3" s="175">
        <v>53.54</v>
      </c>
      <c r="D3" s="175">
        <v>60.67</v>
      </c>
      <c r="E3" s="175">
        <v>59.91</v>
      </c>
      <c r="F3" s="175">
        <v>42.99</v>
      </c>
      <c r="G3" s="190">
        <v>2.59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91"/>
    </row>
    <row r="4" spans="1:27" x14ac:dyDescent="0.15">
      <c r="A4" s="189">
        <v>1</v>
      </c>
      <c r="B4" s="175">
        <v>10.76</v>
      </c>
      <c r="C4" s="175">
        <v>47.6</v>
      </c>
      <c r="D4" s="175">
        <v>51.94</v>
      </c>
      <c r="E4" s="175">
        <v>51.34</v>
      </c>
      <c r="F4" s="175">
        <v>40.71</v>
      </c>
      <c r="G4" s="190">
        <v>3.55</v>
      </c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91"/>
    </row>
    <row r="5" spans="1:27" x14ac:dyDescent="0.15">
      <c r="A5" s="189">
        <v>1</v>
      </c>
      <c r="B5" s="175">
        <v>7.01</v>
      </c>
      <c r="C5" s="175">
        <v>47.08</v>
      </c>
      <c r="D5" s="175">
        <v>47.26</v>
      </c>
      <c r="E5" s="175">
        <v>44.72</v>
      </c>
      <c r="F5" s="175">
        <v>36.18</v>
      </c>
      <c r="G5" s="190">
        <v>4.5999999999999996</v>
      </c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91"/>
    </row>
    <row r="6" spans="1:27" x14ac:dyDescent="0.15">
      <c r="A6" s="189">
        <v>1</v>
      </c>
      <c r="B6" s="175">
        <v>6.29</v>
      </c>
      <c r="C6" s="175">
        <v>53.03</v>
      </c>
      <c r="D6" s="175">
        <v>42.42</v>
      </c>
      <c r="E6" s="175">
        <v>33.43</v>
      </c>
      <c r="F6" s="175">
        <v>18.809999999999999</v>
      </c>
      <c r="G6" s="190">
        <v>2.36</v>
      </c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91"/>
    </row>
    <row r="7" spans="1:27" x14ac:dyDescent="0.15">
      <c r="A7" s="189">
        <v>1</v>
      </c>
      <c r="B7" s="175">
        <v>6.34</v>
      </c>
      <c r="C7" s="175">
        <v>48.38</v>
      </c>
      <c r="D7" s="175">
        <v>43.49</v>
      </c>
      <c r="E7" s="175">
        <v>30.27</v>
      </c>
      <c r="F7" s="175">
        <v>11.75</v>
      </c>
      <c r="G7" s="190">
        <v>1.5</v>
      </c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91"/>
    </row>
    <row r="8" spans="1:27" x14ac:dyDescent="0.15">
      <c r="A8" s="189">
        <v>1</v>
      </c>
      <c r="B8" s="175">
        <v>12.86</v>
      </c>
      <c r="C8" s="175">
        <v>43.12</v>
      </c>
      <c r="D8" s="175">
        <v>39.770000000000003</v>
      </c>
      <c r="E8" s="175">
        <v>35.619999999999997</v>
      </c>
      <c r="F8" s="175">
        <v>27.56</v>
      </c>
      <c r="G8" s="190">
        <v>2.98</v>
      </c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91"/>
    </row>
    <row r="9" spans="1:27" x14ac:dyDescent="0.15">
      <c r="A9" s="189">
        <v>1</v>
      </c>
      <c r="B9" s="175">
        <v>13.16</v>
      </c>
      <c r="C9" s="175">
        <v>47.05</v>
      </c>
      <c r="D9" s="175">
        <v>36.840000000000003</v>
      </c>
      <c r="E9" s="175">
        <v>24.72</v>
      </c>
      <c r="F9" s="175">
        <v>11.04</v>
      </c>
      <c r="G9" s="190">
        <v>0.79</v>
      </c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91"/>
    </row>
    <row r="10" spans="1:27" x14ac:dyDescent="0.15">
      <c r="A10" s="189">
        <v>1</v>
      </c>
      <c r="B10" s="175">
        <v>15.31</v>
      </c>
      <c r="C10" s="175">
        <v>48.07</v>
      </c>
      <c r="D10" s="175">
        <v>34.53</v>
      </c>
      <c r="E10" s="175">
        <v>19.5</v>
      </c>
      <c r="F10" s="175">
        <v>7.38</v>
      </c>
      <c r="G10" s="190">
        <v>0.33300000000000002</v>
      </c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91"/>
    </row>
    <row r="11" spans="1:27" x14ac:dyDescent="0.15">
      <c r="A11" s="189">
        <v>1</v>
      </c>
      <c r="B11" s="175">
        <v>10.3</v>
      </c>
      <c r="C11" s="175">
        <v>38.799999999999997</v>
      </c>
      <c r="D11" s="175">
        <v>40.229999999999997</v>
      </c>
      <c r="E11" s="175">
        <v>42.43</v>
      </c>
      <c r="F11" s="175">
        <v>39.840000000000003</v>
      </c>
      <c r="G11" s="190">
        <v>2.2000000000000002</v>
      </c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91"/>
    </row>
    <row r="12" spans="1:27" x14ac:dyDescent="0.15">
      <c r="A12" s="189">
        <v>1</v>
      </c>
      <c r="B12" s="175">
        <v>11.46</v>
      </c>
      <c r="C12" s="175">
        <v>42.41</v>
      </c>
      <c r="D12" s="175">
        <v>34.630000000000003</v>
      </c>
      <c r="E12" s="175">
        <v>26.93</v>
      </c>
      <c r="F12" s="175">
        <v>14.32</v>
      </c>
      <c r="G12" s="190">
        <v>2.21</v>
      </c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91"/>
    </row>
    <row r="13" spans="1:27" x14ac:dyDescent="0.15">
      <c r="A13" s="189">
        <v>1</v>
      </c>
      <c r="B13" s="175">
        <v>10.63</v>
      </c>
      <c r="C13" s="175">
        <v>44.58</v>
      </c>
      <c r="D13" s="175">
        <v>33.21</v>
      </c>
      <c r="E13" s="175">
        <v>19.809999999999999</v>
      </c>
      <c r="F13" s="175">
        <v>8.7100000000000009</v>
      </c>
      <c r="G13" s="190">
        <v>1.41</v>
      </c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91"/>
    </row>
    <row r="14" spans="1:27" x14ac:dyDescent="0.15">
      <c r="A14" s="189">
        <v>1</v>
      </c>
      <c r="B14" s="175">
        <v>15.86</v>
      </c>
      <c r="C14" s="175">
        <v>45.14</v>
      </c>
      <c r="D14" s="175">
        <v>52.19</v>
      </c>
      <c r="E14" s="175">
        <v>54.14</v>
      </c>
      <c r="F14" s="175">
        <v>47.69</v>
      </c>
      <c r="G14" s="190">
        <v>1</v>
      </c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91"/>
    </row>
    <row r="15" spans="1:27" x14ac:dyDescent="0.15">
      <c r="A15" s="189">
        <v>1</v>
      </c>
      <c r="B15" s="175">
        <v>7.81</v>
      </c>
      <c r="C15" s="175">
        <v>47.8</v>
      </c>
      <c r="D15" s="175">
        <v>44.33</v>
      </c>
      <c r="E15" s="175">
        <v>38.64</v>
      </c>
      <c r="F15" s="175">
        <v>26.02</v>
      </c>
      <c r="G15" s="190">
        <v>4</v>
      </c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91"/>
    </row>
    <row r="16" spans="1:27" x14ac:dyDescent="0.15">
      <c r="A16" s="189">
        <v>1</v>
      </c>
      <c r="B16" s="175">
        <v>7.78</v>
      </c>
      <c r="C16" s="175">
        <v>45.02</v>
      </c>
      <c r="D16" s="175">
        <v>39.880000000000003</v>
      </c>
      <c r="E16" s="175">
        <v>31.24</v>
      </c>
      <c r="F16" s="175">
        <v>17.41</v>
      </c>
      <c r="G16" s="190">
        <v>2.88</v>
      </c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91"/>
    </row>
    <row r="17" spans="1:27" x14ac:dyDescent="0.15">
      <c r="A17" s="189">
        <v>1</v>
      </c>
      <c r="B17" s="175">
        <v>7.05</v>
      </c>
      <c r="C17" s="175">
        <v>40.89</v>
      </c>
      <c r="D17" s="175">
        <v>44.95</v>
      </c>
      <c r="E17" s="175">
        <v>45.96</v>
      </c>
      <c r="F17" s="175">
        <v>41.97</v>
      </c>
      <c r="G17" s="190">
        <v>5.39</v>
      </c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91"/>
    </row>
    <row r="18" spans="1:27" x14ac:dyDescent="0.15">
      <c r="A18" s="189">
        <v>1</v>
      </c>
      <c r="B18" s="175">
        <v>1.84</v>
      </c>
      <c r="C18" s="175">
        <v>45.2</v>
      </c>
      <c r="D18" s="175">
        <v>40.47</v>
      </c>
      <c r="E18" s="175">
        <v>33.700000000000003</v>
      </c>
      <c r="F18" s="175">
        <v>22.46</v>
      </c>
      <c r="G18" s="190">
        <v>3.5</v>
      </c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91"/>
    </row>
    <row r="19" spans="1:27" x14ac:dyDescent="0.15">
      <c r="A19" s="189">
        <v>1</v>
      </c>
      <c r="B19" s="175">
        <v>12.25</v>
      </c>
      <c r="C19" s="175">
        <v>46.79</v>
      </c>
      <c r="D19" s="175">
        <v>39.76</v>
      </c>
      <c r="E19" s="175">
        <v>25.57</v>
      </c>
      <c r="F19" s="175">
        <v>12.44</v>
      </c>
      <c r="G19" s="190">
        <v>1.5</v>
      </c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91"/>
    </row>
    <row r="20" spans="1:27" x14ac:dyDescent="0.15">
      <c r="A20" s="189">
        <v>1</v>
      </c>
      <c r="B20" s="175">
        <v>10.83</v>
      </c>
      <c r="C20" s="175">
        <v>42.19</v>
      </c>
      <c r="D20" s="175">
        <v>43.91</v>
      </c>
      <c r="E20" s="175">
        <v>47.48</v>
      </c>
      <c r="F20" s="175">
        <v>44.77</v>
      </c>
      <c r="G20" s="190">
        <v>4.0199999999999996</v>
      </c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91"/>
    </row>
    <row r="21" spans="1:27" x14ac:dyDescent="0.15">
      <c r="A21" s="189">
        <v>1</v>
      </c>
      <c r="B21" s="175">
        <v>6.57</v>
      </c>
      <c r="C21" s="175">
        <v>44.86</v>
      </c>
      <c r="D21" s="175">
        <v>40.57</v>
      </c>
      <c r="E21" s="175">
        <v>34.89</v>
      </c>
      <c r="F21" s="175">
        <v>23.57</v>
      </c>
      <c r="G21" s="190">
        <v>3.36</v>
      </c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91"/>
    </row>
    <row r="22" spans="1:27" x14ac:dyDescent="0.15">
      <c r="A22" s="189">
        <v>1</v>
      </c>
      <c r="B22" s="175">
        <v>8.2200000000000006</v>
      </c>
      <c r="C22" s="175">
        <v>51.14</v>
      </c>
      <c r="D22" s="175">
        <v>42.93</v>
      </c>
      <c r="E22" s="175">
        <v>29.94</v>
      </c>
      <c r="F22" s="175">
        <v>14.03</v>
      </c>
      <c r="G22" s="190">
        <v>2</v>
      </c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91"/>
    </row>
    <row r="23" spans="1:27" x14ac:dyDescent="0.15">
      <c r="A23" s="189">
        <v>1</v>
      </c>
      <c r="B23" s="175">
        <v>12.23</v>
      </c>
      <c r="C23" s="175">
        <v>52.52</v>
      </c>
      <c r="D23" s="175">
        <v>31.1</v>
      </c>
      <c r="E23" s="175">
        <v>42.09</v>
      </c>
      <c r="F23" s="175">
        <v>40.21</v>
      </c>
      <c r="G23" s="190">
        <v>4.4400000000000004</v>
      </c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91"/>
    </row>
    <row r="24" spans="1:27" x14ac:dyDescent="0.15">
      <c r="A24" s="189">
        <v>1</v>
      </c>
      <c r="B24" s="175">
        <v>6.92</v>
      </c>
      <c r="C24" s="175">
        <v>36.83</v>
      </c>
      <c r="D24" s="175">
        <v>31.54</v>
      </c>
      <c r="E24" s="175">
        <v>32.92</v>
      </c>
      <c r="F24" s="175">
        <v>21.32</v>
      </c>
      <c r="G24" s="190">
        <v>5.57</v>
      </c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91"/>
    </row>
    <row r="25" spans="1:27" x14ac:dyDescent="0.15">
      <c r="A25" s="189">
        <v>1</v>
      </c>
      <c r="B25" s="175">
        <v>11.97</v>
      </c>
      <c r="C25" s="175">
        <v>46.96</v>
      </c>
      <c r="D25" s="175">
        <v>34.78</v>
      </c>
      <c r="E25" s="175">
        <v>23.15</v>
      </c>
      <c r="F25" s="175">
        <v>7.34</v>
      </c>
      <c r="G25" s="190">
        <v>1.57</v>
      </c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91"/>
    </row>
    <row r="26" spans="1:27" x14ac:dyDescent="0.15">
      <c r="A26" s="189">
        <v>1</v>
      </c>
      <c r="B26" s="175">
        <v>13.26</v>
      </c>
      <c r="C26" s="175">
        <v>42.7</v>
      </c>
      <c r="D26" s="175">
        <v>42.56</v>
      </c>
      <c r="E26" s="175">
        <v>39.950000000000003</v>
      </c>
      <c r="F26" s="175">
        <v>29.1</v>
      </c>
      <c r="G26" s="190">
        <v>4.88</v>
      </c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91"/>
    </row>
    <row r="27" spans="1:27" x14ac:dyDescent="0.15">
      <c r="A27" s="189">
        <v>1</v>
      </c>
      <c r="B27" s="175">
        <v>10.4</v>
      </c>
      <c r="C27" s="175">
        <v>43.94</v>
      </c>
      <c r="D27" s="175">
        <v>38.380000000000003</v>
      </c>
      <c r="E27" s="175">
        <v>30.99</v>
      </c>
      <c r="F27" s="175">
        <v>17.98</v>
      </c>
      <c r="G27" s="190">
        <v>2.14</v>
      </c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91"/>
    </row>
    <row r="28" spans="1:27" x14ac:dyDescent="0.15">
      <c r="A28" s="189">
        <v>1</v>
      </c>
      <c r="B28" s="175">
        <v>12.11</v>
      </c>
      <c r="C28" s="175">
        <v>46.56</v>
      </c>
      <c r="D28" s="175">
        <v>38.15</v>
      </c>
      <c r="E28" s="175">
        <v>22.86</v>
      </c>
      <c r="F28" s="175">
        <v>8.33</v>
      </c>
      <c r="G28" s="190">
        <v>2.21</v>
      </c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91"/>
    </row>
    <row r="29" spans="1:27" x14ac:dyDescent="0.15">
      <c r="A29" s="189" t="s">
        <v>174</v>
      </c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91"/>
    </row>
    <row r="30" spans="1:27" x14ac:dyDescent="0.15">
      <c r="A30" s="189">
        <f t="array" ref="A30:AA35">TRANSPOSE(A2:F28)</f>
        <v>1</v>
      </c>
      <c r="B30" s="175">
        <v>1</v>
      </c>
      <c r="C30" s="175">
        <v>1</v>
      </c>
      <c r="D30" s="175">
        <v>1</v>
      </c>
      <c r="E30" s="175">
        <v>1</v>
      </c>
      <c r="F30" s="175">
        <v>1</v>
      </c>
      <c r="G30" s="175">
        <v>1</v>
      </c>
      <c r="H30" s="175">
        <v>1</v>
      </c>
      <c r="I30" s="175">
        <v>1</v>
      </c>
      <c r="J30" s="175">
        <v>1</v>
      </c>
      <c r="K30" s="175">
        <v>1</v>
      </c>
      <c r="L30" s="175">
        <v>1</v>
      </c>
      <c r="M30" s="175">
        <v>1</v>
      </c>
      <c r="N30" s="175">
        <v>1</v>
      </c>
      <c r="O30" s="175">
        <v>1</v>
      </c>
      <c r="P30" s="175">
        <v>1</v>
      </c>
      <c r="Q30" s="175">
        <v>1</v>
      </c>
      <c r="R30" s="175">
        <v>1</v>
      </c>
      <c r="S30" s="175">
        <v>1</v>
      </c>
      <c r="T30" s="175">
        <v>1</v>
      </c>
      <c r="U30" s="175">
        <v>1</v>
      </c>
      <c r="V30" s="175">
        <v>1</v>
      </c>
      <c r="W30" s="175">
        <v>1</v>
      </c>
      <c r="X30" s="175">
        <v>1</v>
      </c>
      <c r="Y30" s="175">
        <v>1</v>
      </c>
      <c r="Z30" s="175">
        <v>1</v>
      </c>
      <c r="AA30" s="191">
        <v>1</v>
      </c>
    </row>
    <row r="31" spans="1:27" x14ac:dyDescent="0.15">
      <c r="A31" s="189">
        <v>14.32</v>
      </c>
      <c r="B31" s="175">
        <v>13.54</v>
      </c>
      <c r="C31" s="175">
        <v>10.76</v>
      </c>
      <c r="D31" s="175">
        <v>7.01</v>
      </c>
      <c r="E31" s="175">
        <v>6.29</v>
      </c>
      <c r="F31" s="175">
        <v>6.34</v>
      </c>
      <c r="G31" s="175">
        <v>12.86</v>
      </c>
      <c r="H31" s="175">
        <v>13.16</v>
      </c>
      <c r="I31" s="175">
        <v>15.31</v>
      </c>
      <c r="J31" s="175">
        <v>10.3</v>
      </c>
      <c r="K31" s="175">
        <v>11.46</v>
      </c>
      <c r="L31" s="175">
        <v>10.63</v>
      </c>
      <c r="M31" s="175">
        <v>15.86</v>
      </c>
      <c r="N31" s="175">
        <v>7.81</v>
      </c>
      <c r="O31" s="175">
        <v>7.78</v>
      </c>
      <c r="P31" s="175">
        <v>7.05</v>
      </c>
      <c r="Q31" s="175">
        <v>1.84</v>
      </c>
      <c r="R31" s="175">
        <v>12.25</v>
      </c>
      <c r="S31" s="175">
        <v>10.83</v>
      </c>
      <c r="T31" s="175">
        <v>6.57</v>
      </c>
      <c r="U31" s="175">
        <v>8.2200000000000006</v>
      </c>
      <c r="V31" s="175">
        <v>12.23</v>
      </c>
      <c r="W31" s="175">
        <v>6.92</v>
      </c>
      <c r="X31" s="175">
        <v>11.97</v>
      </c>
      <c r="Y31" s="175">
        <v>13.26</v>
      </c>
      <c r="Z31" s="175">
        <v>10.4</v>
      </c>
      <c r="AA31" s="191">
        <v>12.11</v>
      </c>
    </row>
    <row r="32" spans="1:27" x14ac:dyDescent="0.15">
      <c r="A32" s="189">
        <v>51.22</v>
      </c>
      <c r="B32" s="175">
        <v>53.54</v>
      </c>
      <c r="C32" s="175">
        <v>47.6</v>
      </c>
      <c r="D32" s="175">
        <v>47.08</v>
      </c>
      <c r="E32" s="175">
        <v>53.03</v>
      </c>
      <c r="F32" s="175">
        <v>48.38</v>
      </c>
      <c r="G32" s="175">
        <v>43.12</v>
      </c>
      <c r="H32" s="175">
        <v>47.05</v>
      </c>
      <c r="I32" s="175">
        <v>48.07</v>
      </c>
      <c r="J32" s="175">
        <v>38.799999999999997</v>
      </c>
      <c r="K32" s="175">
        <v>42.41</v>
      </c>
      <c r="L32" s="175">
        <v>44.58</v>
      </c>
      <c r="M32" s="175">
        <v>45.14</v>
      </c>
      <c r="N32" s="175">
        <v>47.8</v>
      </c>
      <c r="O32" s="175">
        <v>45.02</v>
      </c>
      <c r="P32" s="175">
        <v>40.89</v>
      </c>
      <c r="Q32" s="175">
        <v>45.2</v>
      </c>
      <c r="R32" s="175">
        <v>46.79</v>
      </c>
      <c r="S32" s="175">
        <v>42.19</v>
      </c>
      <c r="T32" s="175">
        <v>44.86</v>
      </c>
      <c r="U32" s="175">
        <v>51.14</v>
      </c>
      <c r="V32" s="175">
        <v>52.52</v>
      </c>
      <c r="W32" s="175">
        <v>36.83</v>
      </c>
      <c r="X32" s="175">
        <v>46.96</v>
      </c>
      <c r="Y32" s="175">
        <v>42.7</v>
      </c>
      <c r="Z32" s="175">
        <v>43.94</v>
      </c>
      <c r="AA32" s="191">
        <v>46.56</v>
      </c>
    </row>
    <row r="33" spans="1:27" x14ac:dyDescent="0.15">
      <c r="A33" s="189">
        <v>58.56</v>
      </c>
      <c r="B33" s="175">
        <v>60.67</v>
      </c>
      <c r="C33" s="175">
        <v>51.94</v>
      </c>
      <c r="D33" s="175">
        <v>47.26</v>
      </c>
      <c r="E33" s="175">
        <v>42.42</v>
      </c>
      <c r="F33" s="175">
        <v>43.49</v>
      </c>
      <c r="G33" s="175">
        <v>39.770000000000003</v>
      </c>
      <c r="H33" s="175">
        <v>36.840000000000003</v>
      </c>
      <c r="I33" s="175">
        <v>34.53</v>
      </c>
      <c r="J33" s="175">
        <v>40.229999999999997</v>
      </c>
      <c r="K33" s="175">
        <v>34.630000000000003</v>
      </c>
      <c r="L33" s="175">
        <v>33.21</v>
      </c>
      <c r="M33" s="175">
        <v>52.19</v>
      </c>
      <c r="N33" s="175">
        <v>44.33</v>
      </c>
      <c r="O33" s="175">
        <v>39.880000000000003</v>
      </c>
      <c r="P33" s="175">
        <v>44.95</v>
      </c>
      <c r="Q33" s="175">
        <v>40.47</v>
      </c>
      <c r="R33" s="175">
        <v>39.76</v>
      </c>
      <c r="S33" s="175">
        <v>43.91</v>
      </c>
      <c r="T33" s="175">
        <v>40.57</v>
      </c>
      <c r="U33" s="175">
        <v>42.93</v>
      </c>
      <c r="V33" s="175">
        <v>31.1</v>
      </c>
      <c r="W33" s="175">
        <v>31.54</v>
      </c>
      <c r="X33" s="175">
        <v>34.78</v>
      </c>
      <c r="Y33" s="175">
        <v>42.56</v>
      </c>
      <c r="Z33" s="175">
        <v>38.380000000000003</v>
      </c>
      <c r="AA33" s="191">
        <v>38.15</v>
      </c>
    </row>
    <row r="34" spans="1:27" x14ac:dyDescent="0.15">
      <c r="A34" s="189">
        <v>59.42</v>
      </c>
      <c r="B34" s="175">
        <v>59.91</v>
      </c>
      <c r="C34" s="175">
        <v>51.34</v>
      </c>
      <c r="D34" s="175">
        <v>44.72</v>
      </c>
      <c r="E34" s="175">
        <v>33.43</v>
      </c>
      <c r="F34" s="175">
        <v>30.27</v>
      </c>
      <c r="G34" s="175">
        <v>35.619999999999997</v>
      </c>
      <c r="H34" s="175">
        <v>24.72</v>
      </c>
      <c r="I34" s="175">
        <v>19.5</v>
      </c>
      <c r="J34" s="175">
        <v>42.43</v>
      </c>
      <c r="K34" s="175">
        <v>26.93</v>
      </c>
      <c r="L34" s="175">
        <v>19.809999999999999</v>
      </c>
      <c r="M34" s="175">
        <v>54.14</v>
      </c>
      <c r="N34" s="175">
        <v>38.64</v>
      </c>
      <c r="O34" s="175">
        <v>31.24</v>
      </c>
      <c r="P34" s="175">
        <v>45.96</v>
      </c>
      <c r="Q34" s="175">
        <v>33.700000000000003</v>
      </c>
      <c r="R34" s="175">
        <v>25.57</v>
      </c>
      <c r="S34" s="175">
        <v>47.48</v>
      </c>
      <c r="T34" s="175">
        <v>34.89</v>
      </c>
      <c r="U34" s="175">
        <v>29.94</v>
      </c>
      <c r="V34" s="175">
        <v>42.09</v>
      </c>
      <c r="W34" s="175">
        <v>32.92</v>
      </c>
      <c r="X34" s="175">
        <v>23.15</v>
      </c>
      <c r="Y34" s="175">
        <v>39.950000000000003</v>
      </c>
      <c r="Z34" s="175">
        <v>30.99</v>
      </c>
      <c r="AA34" s="191">
        <v>22.86</v>
      </c>
    </row>
    <row r="35" spans="1:27" x14ac:dyDescent="0.15">
      <c r="A35" s="189">
        <v>48.44</v>
      </c>
      <c r="B35" s="175">
        <v>42.99</v>
      </c>
      <c r="C35" s="175">
        <v>40.71</v>
      </c>
      <c r="D35" s="175">
        <v>36.18</v>
      </c>
      <c r="E35" s="175">
        <v>18.809999999999999</v>
      </c>
      <c r="F35" s="175">
        <v>11.75</v>
      </c>
      <c r="G35" s="175">
        <v>27.56</v>
      </c>
      <c r="H35" s="175">
        <v>11.04</v>
      </c>
      <c r="I35" s="175">
        <v>7.38</v>
      </c>
      <c r="J35" s="175">
        <v>39.840000000000003</v>
      </c>
      <c r="K35" s="175">
        <v>14.32</v>
      </c>
      <c r="L35" s="175">
        <v>8.7100000000000009</v>
      </c>
      <c r="M35" s="175">
        <v>47.69</v>
      </c>
      <c r="N35" s="175">
        <v>26.02</v>
      </c>
      <c r="O35" s="175">
        <v>17.41</v>
      </c>
      <c r="P35" s="175">
        <v>41.97</v>
      </c>
      <c r="Q35" s="175">
        <v>22.46</v>
      </c>
      <c r="R35" s="175">
        <v>12.44</v>
      </c>
      <c r="S35" s="175">
        <v>44.77</v>
      </c>
      <c r="T35" s="175">
        <v>23.57</v>
      </c>
      <c r="U35" s="175">
        <v>14.03</v>
      </c>
      <c r="V35" s="175">
        <v>40.21</v>
      </c>
      <c r="W35" s="175">
        <v>21.32</v>
      </c>
      <c r="X35" s="175">
        <v>7.34</v>
      </c>
      <c r="Y35" s="175">
        <v>29.1</v>
      </c>
      <c r="Z35" s="175">
        <v>17.98</v>
      </c>
      <c r="AA35" s="191">
        <v>8.33</v>
      </c>
    </row>
    <row r="36" spans="1:27" x14ac:dyDescent="0.15">
      <c r="A36" s="189" t="s">
        <v>175</v>
      </c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91"/>
    </row>
    <row r="37" spans="1:27" x14ac:dyDescent="0.15">
      <c r="A37" s="189">
        <f t="array" ref="A37:F42">MMULT(TRANSPOSE(A2:F28),A2:F28)</f>
        <v>27</v>
      </c>
      <c r="B37" s="175">
        <v>277.08</v>
      </c>
      <c r="C37" s="175">
        <v>1243.42</v>
      </c>
      <c r="D37" s="175">
        <v>1129.0500000000002</v>
      </c>
      <c r="E37" s="175">
        <v>981.62000000000035</v>
      </c>
      <c r="F37" s="175">
        <v>682.37000000000023</v>
      </c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91"/>
    </row>
    <row r="38" spans="1:27" ht="14.25" thickBot="1" x14ac:dyDescent="0.2">
      <c r="A38" s="189">
        <v>277.08</v>
      </c>
      <c r="B38" s="175">
        <v>3132.0680000000002</v>
      </c>
      <c r="C38" s="175">
        <v>12812.540300000002</v>
      </c>
      <c r="D38" s="175">
        <v>11679.963099999999</v>
      </c>
      <c r="E38" s="175">
        <v>10209.155599999998</v>
      </c>
      <c r="F38" s="175">
        <v>7180.5307000000012</v>
      </c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91"/>
    </row>
    <row r="39" spans="1:27" x14ac:dyDescent="0.15">
      <c r="A39" s="189">
        <v>1243.42</v>
      </c>
      <c r="B39" s="175">
        <v>12812.540300000002</v>
      </c>
      <c r="C39" s="175">
        <v>57703.49760000001</v>
      </c>
      <c r="D39" s="175">
        <v>52290.857799999998</v>
      </c>
      <c r="E39" s="175">
        <v>45383.222299999994</v>
      </c>
      <c r="F39" s="175">
        <v>31413.433499999999</v>
      </c>
      <c r="G39" s="175"/>
      <c r="H39" s="175"/>
      <c r="I39" s="175"/>
      <c r="J39" s="175"/>
      <c r="K39" s="175"/>
      <c r="L39" s="175"/>
      <c r="M39" s="192" t="s">
        <v>176</v>
      </c>
      <c r="N39" s="193"/>
      <c r="O39" s="193"/>
      <c r="P39" s="186"/>
      <c r="Q39" s="186"/>
      <c r="R39" s="188"/>
      <c r="S39" s="175"/>
      <c r="T39" s="175"/>
      <c r="U39" s="175"/>
      <c r="V39" s="175"/>
      <c r="W39" s="175"/>
      <c r="X39" s="175"/>
      <c r="Y39" s="175"/>
      <c r="Z39" s="175"/>
      <c r="AA39" s="191"/>
    </row>
    <row r="40" spans="1:27" x14ac:dyDescent="0.15">
      <c r="A40" s="189">
        <v>1129.0500000000002</v>
      </c>
      <c r="B40" s="175">
        <v>11679.963099999999</v>
      </c>
      <c r="C40" s="175">
        <v>52290.857799999998</v>
      </c>
      <c r="D40" s="175">
        <v>48630.952300000012</v>
      </c>
      <c r="E40" s="175">
        <v>42857.668200000007</v>
      </c>
      <c r="F40" s="175">
        <v>30299.492699999988</v>
      </c>
      <c r="G40" s="175"/>
      <c r="H40" s="175"/>
      <c r="I40" s="175"/>
      <c r="J40" s="175"/>
      <c r="K40" s="175"/>
      <c r="L40" s="175"/>
      <c r="M40" s="194"/>
      <c r="N40" s="195">
        <f t="array" ref="N40:N45">MMULT(A51:AA56,G2:G28)</f>
        <v>9.8899483486296091</v>
      </c>
      <c r="O40" s="195"/>
      <c r="P40" s="175"/>
      <c r="Q40" s="175"/>
      <c r="R40" s="191"/>
      <c r="S40" s="175"/>
      <c r="T40" s="175"/>
      <c r="U40" s="175"/>
      <c r="V40" s="175"/>
      <c r="W40" s="175"/>
      <c r="X40" s="175"/>
      <c r="Y40" s="175"/>
      <c r="Z40" s="175"/>
      <c r="AA40" s="191"/>
    </row>
    <row r="41" spans="1:27" x14ac:dyDescent="0.15">
      <c r="A41" s="189">
        <v>981.62000000000035</v>
      </c>
      <c r="B41" s="175">
        <v>10209.155599999998</v>
      </c>
      <c r="C41" s="175">
        <v>45383.222299999994</v>
      </c>
      <c r="D41" s="175">
        <v>42857.668200000007</v>
      </c>
      <c r="E41" s="175">
        <v>39107.743599999994</v>
      </c>
      <c r="F41" s="175">
        <v>28771.097599999997</v>
      </c>
      <c r="G41" s="175"/>
      <c r="H41" s="175"/>
      <c r="I41" s="175"/>
      <c r="J41" s="175"/>
      <c r="K41" s="175"/>
      <c r="L41" s="175"/>
      <c r="M41" s="194"/>
      <c r="N41" s="195">
        <v>-0.20566009047281825</v>
      </c>
      <c r="O41" s="195"/>
      <c r="P41" s="175"/>
      <c r="Q41" s="175"/>
      <c r="R41" s="191"/>
      <c r="S41" s="175"/>
      <c r="T41" s="175"/>
      <c r="U41" s="175"/>
      <c r="V41" s="175"/>
      <c r="W41" s="175"/>
      <c r="X41" s="175"/>
      <c r="Y41" s="175"/>
      <c r="Z41" s="175"/>
      <c r="AA41" s="191"/>
    </row>
    <row r="42" spans="1:27" x14ac:dyDescent="0.15">
      <c r="A42" s="189">
        <v>682.37000000000023</v>
      </c>
      <c r="B42" s="175">
        <v>7180.5307000000012</v>
      </c>
      <c r="C42" s="175">
        <v>31413.433499999999</v>
      </c>
      <c r="D42" s="175">
        <v>30299.492699999988</v>
      </c>
      <c r="E42" s="175">
        <v>28771.097599999997</v>
      </c>
      <c r="F42" s="175">
        <v>22253.451300000004</v>
      </c>
      <c r="G42" s="175"/>
      <c r="H42" s="175"/>
      <c r="I42" s="175"/>
      <c r="J42" s="175"/>
      <c r="K42" s="175"/>
      <c r="L42" s="175"/>
      <c r="M42" s="194"/>
      <c r="N42" s="195">
        <v>-7.2874235662186898E-2</v>
      </c>
      <c r="O42" s="195"/>
      <c r="P42" s="175"/>
      <c r="Q42" s="175"/>
      <c r="R42" s="191"/>
      <c r="S42" s="175"/>
      <c r="T42" s="175"/>
      <c r="U42" s="175"/>
      <c r="V42" s="175"/>
      <c r="W42" s="175"/>
      <c r="X42" s="175"/>
      <c r="Y42" s="175"/>
      <c r="Z42" s="175"/>
      <c r="AA42" s="191"/>
    </row>
    <row r="43" spans="1:27" x14ac:dyDescent="0.15">
      <c r="A43" s="189" t="s">
        <v>177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94"/>
      <c r="N43" s="195">
        <v>-0.1978512239510308</v>
      </c>
      <c r="O43" s="195"/>
      <c r="P43" s="175"/>
      <c r="Q43" s="175"/>
      <c r="R43" s="191"/>
      <c r="S43" s="175"/>
      <c r="T43" s="175"/>
      <c r="U43" s="175"/>
      <c r="V43" s="175"/>
      <c r="W43" s="175"/>
      <c r="X43" s="175"/>
      <c r="Y43" s="175"/>
      <c r="Z43" s="175"/>
      <c r="AA43" s="191"/>
    </row>
    <row r="44" spans="1:27" x14ac:dyDescent="0.15">
      <c r="A44" s="189">
        <f t="array" ref="A44:F49">MINVERSE(A37:F42)</f>
        <v>5.2410759448831774</v>
      </c>
      <c r="B44" s="175">
        <v>-9.0410528702319203E-3</v>
      </c>
      <c r="C44" s="175">
        <v>-0.10679717432774355</v>
      </c>
      <c r="D44" s="175">
        <v>-2.9279272727710446E-2</v>
      </c>
      <c r="E44" s="175">
        <v>5.4784818590125114E-2</v>
      </c>
      <c r="F44" s="175">
        <v>-3.8000386639469592E-2</v>
      </c>
      <c r="G44" s="175"/>
      <c r="H44" s="175"/>
      <c r="I44" s="175"/>
      <c r="J44" s="175"/>
      <c r="K44" s="175"/>
      <c r="L44" s="175"/>
      <c r="M44" s="194"/>
      <c r="N44" s="195">
        <v>0.22475471728238941</v>
      </c>
      <c r="O44" s="195"/>
      <c r="P44" s="175"/>
      <c r="Q44" s="175"/>
      <c r="R44" s="191"/>
      <c r="S44" s="175"/>
      <c r="T44" s="175"/>
      <c r="U44" s="175"/>
      <c r="V44" s="175"/>
      <c r="W44" s="175"/>
      <c r="X44" s="175"/>
      <c r="Y44" s="175"/>
      <c r="Z44" s="175"/>
      <c r="AA44" s="191"/>
    </row>
    <row r="45" spans="1:27" ht="14.25" thickBot="1" x14ac:dyDescent="0.2">
      <c r="A45" s="189">
        <v>-9.0410528702315699E-3</v>
      </c>
      <c r="B45" s="175">
        <v>3.750960669673965E-3</v>
      </c>
      <c r="C45" s="175">
        <v>-6.0212782568108128E-4</v>
      </c>
      <c r="D45" s="175">
        <v>-6.4584615270446577E-4</v>
      </c>
      <c r="E45" s="175">
        <v>1.4019698659249991E-3</v>
      </c>
      <c r="F45" s="175">
        <v>-1.0163386944428464E-3</v>
      </c>
      <c r="G45" s="175"/>
      <c r="H45" s="175"/>
      <c r="I45" s="175"/>
      <c r="J45" s="175"/>
      <c r="K45" s="175"/>
      <c r="L45" s="175"/>
      <c r="M45" s="197"/>
      <c r="N45" s="196">
        <v>-6.4023662550440646E-2</v>
      </c>
      <c r="O45" s="196"/>
      <c r="P45" s="198"/>
      <c r="Q45" s="198"/>
      <c r="R45" s="199"/>
      <c r="S45" s="175"/>
      <c r="T45" s="175"/>
      <c r="U45" s="175"/>
      <c r="V45" s="175"/>
      <c r="W45" s="175"/>
      <c r="X45" s="175"/>
      <c r="Y45" s="175"/>
      <c r="Z45" s="175"/>
      <c r="AA45" s="191"/>
    </row>
    <row r="46" spans="1:27" x14ac:dyDescent="0.15">
      <c r="A46" s="189">
        <v>-0.10679717432774334</v>
      </c>
      <c r="B46" s="175">
        <v>-6.0212782568106859E-4</v>
      </c>
      <c r="C46" s="175">
        <v>3.2753914897079911E-3</v>
      </c>
      <c r="D46" s="175">
        <v>-3.6228510294867054E-4</v>
      </c>
      <c r="E46" s="175">
        <v>-1.6304502587846121E-3</v>
      </c>
      <c r="F46" s="175">
        <v>1.4467145055737953E-3</v>
      </c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91"/>
    </row>
    <row r="47" spans="1:27" x14ac:dyDescent="0.15">
      <c r="A47" s="189">
        <v>-2.9279272727712802E-2</v>
      </c>
      <c r="B47" s="175">
        <v>-6.4584615270444029E-4</v>
      </c>
      <c r="C47" s="175">
        <v>-3.6228510294859459E-4</v>
      </c>
      <c r="D47" s="175">
        <v>5.2925266034963489E-3</v>
      </c>
      <c r="E47" s="175">
        <v>-7.4664917307894598E-3</v>
      </c>
      <c r="F47" s="175">
        <v>4.0647953594793581E-3</v>
      </c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91"/>
    </row>
    <row r="48" spans="1:27" x14ac:dyDescent="0.15">
      <c r="A48" s="189">
        <v>5.4784818590127488E-2</v>
      </c>
      <c r="B48" s="175">
        <v>1.4019698659249401E-3</v>
      </c>
      <c r="C48" s="175">
        <v>-1.6304502587847131E-3</v>
      </c>
      <c r="D48" s="175">
        <v>-7.4664917307893687E-3</v>
      </c>
      <c r="E48" s="175">
        <v>1.5464995269681155E-2</v>
      </c>
      <c r="F48" s="175">
        <v>-9.6590114154820935E-3</v>
      </c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91"/>
    </row>
    <row r="49" spans="1:27" x14ac:dyDescent="0.15">
      <c r="A49" s="189">
        <v>-3.8000386639471556E-2</v>
      </c>
      <c r="B49" s="175">
        <v>-1.0163386944428061E-3</v>
      </c>
      <c r="C49" s="175">
        <v>1.4467145055738679E-3</v>
      </c>
      <c r="D49" s="175">
        <v>4.0647953594792861E-3</v>
      </c>
      <c r="E49" s="175">
        <v>-9.6590114154820605E-3</v>
      </c>
      <c r="F49" s="175">
        <v>6.4493828850135547E-3</v>
      </c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91"/>
    </row>
    <row r="50" spans="1:27" x14ac:dyDescent="0.15">
      <c r="A50" s="189" t="s">
        <v>178</v>
      </c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91"/>
    </row>
    <row r="51" spans="1:27" x14ac:dyDescent="0.15">
      <c r="A51" s="189">
        <f t="array" ref="A51:AA56">MMULT(A44:F49,A30:AA35)</f>
        <v>-0.65856222041096424</v>
      </c>
      <c r="B51" s="175">
        <v>-0.72711224077374692</v>
      </c>
      <c r="C51" s="175">
        <v>-0.19485986115417453</v>
      </c>
      <c r="D51" s="175">
        <v>-0.15892813346452517</v>
      </c>
      <c r="E51" s="175">
        <v>-0.6046039686008402</v>
      </c>
      <c r="F51" s="175">
        <v>-4.4615279509134076E-2</v>
      </c>
      <c r="G51" s="175">
        <v>0.25942175397512379</v>
      </c>
      <c r="H51" s="175">
        <v>-4.6603323250112683E-2</v>
      </c>
      <c r="I51" s="175">
        <v>-0.25423492267439302</v>
      </c>
      <c r="J51" s="175">
        <v>0.63690204363008762</v>
      </c>
      <c r="K51" s="175">
        <v>0.52544572914496868</v>
      </c>
      <c r="L51" s="175">
        <v>0.16589076269513925</v>
      </c>
      <c r="M51" s="175">
        <v>-9.7413206819183751E-2</v>
      </c>
      <c r="N51" s="175">
        <v>-0.1042744409554438</v>
      </c>
      <c r="O51" s="175">
        <v>0.24496137029900833</v>
      </c>
      <c r="P51" s="175">
        <v>0.41733078991963524</v>
      </c>
      <c r="Q51" s="175">
        <v>0.20503566326222966</v>
      </c>
      <c r="R51" s="175">
        <v>-0.10273762167155437</v>
      </c>
      <c r="S51" s="175">
        <v>0.25164156874738652</v>
      </c>
      <c r="T51" s="175">
        <v>0.21866810013713234</v>
      </c>
      <c r="U51" s="175">
        <v>-0.44469613899495686</v>
      </c>
      <c r="V51" s="175">
        <v>-0.61117164155935155</v>
      </c>
      <c r="W51" s="175">
        <v>1.3150516515318178</v>
      </c>
      <c r="X51" s="175">
        <v>8.8671842553583902E-2</v>
      </c>
      <c r="Y51" s="175">
        <v>0.39766864420482873</v>
      </c>
      <c r="Z51" s="175">
        <v>0.34517724411250106</v>
      </c>
      <c r="AA51" s="191">
        <v>-2.205416437374591E-2</v>
      </c>
    </row>
    <row r="52" spans="1:27" x14ac:dyDescent="0.15">
      <c r="A52" s="189">
        <v>1.0084569060193081E-2</v>
      </c>
      <c r="B52" s="175">
        <v>1.0625158919077601E-2</v>
      </c>
      <c r="C52" s="175">
        <v>-2.8526507260794726E-4</v>
      </c>
      <c r="D52" s="175">
        <v>-1.569272734647166E-2</v>
      </c>
      <c r="E52" s="175">
        <v>-1.7024620876170727E-2</v>
      </c>
      <c r="F52" s="175">
        <v>-1.1983107430220285E-2</v>
      </c>
      <c r="G52" s="175">
        <v>9.4751202107544105E-3</v>
      </c>
      <c r="H52" s="175">
        <v>1.1634818977767367E-2</v>
      </c>
      <c r="I52" s="175">
        <v>1.6978635569651332E-2</v>
      </c>
      <c r="J52" s="175">
        <v>-7.5646050772162909E-4</v>
      </c>
      <c r="K52" s="175">
        <v>9.2441414338804359E-3</v>
      </c>
      <c r="L52" s="175">
        <v>1.4609628636018113E-3</v>
      </c>
      <c r="M52" s="175">
        <v>1.6995878793107551E-2</v>
      </c>
      <c r="N52" s="175">
        <v>-9.4311372670834517E-3</v>
      </c>
      <c r="O52" s="175">
        <v>-6.6196362009374871E-3</v>
      </c>
      <c r="P52" s="175">
        <v>-1.4469771473048565E-2</v>
      </c>
      <c r="Q52" s="175">
        <v>-3.1073439354279933E-2</v>
      </c>
      <c r="R52" s="175">
        <v>6.2609274509603709E-3</v>
      </c>
      <c r="S52" s="175">
        <v>-1.1169804644877157E-3</v>
      </c>
      <c r="T52" s="175">
        <v>-1.2651048351641776E-2</v>
      </c>
      <c r="U52" s="175">
        <v>-9.0114026036834504E-3</v>
      </c>
      <c r="V52" s="175">
        <v>3.2655601192381131E-3</v>
      </c>
      <c r="W52" s="175">
        <v>-1.1462534914913197E-3</v>
      </c>
      <c r="X52" s="175">
        <v>1.0115170839674129E-2</v>
      </c>
      <c r="Y52" s="175">
        <v>1.3931855329377855E-2</v>
      </c>
      <c r="Z52" s="175">
        <v>3.8971425120868965E-3</v>
      </c>
      <c r="AA52" s="191">
        <v>7.2919083604702003E-3</v>
      </c>
    </row>
    <row r="53" spans="1:27" x14ac:dyDescent="0.15">
      <c r="A53" s="189">
        <v>4.3279879556858969E-3</v>
      </c>
      <c r="B53" s="175">
        <v>2.9486196664363293E-3</v>
      </c>
      <c r="C53" s="175">
        <v>-9.9609183321798522E-4</v>
      </c>
      <c r="D53" s="175">
        <v>5.494142223142498E-3</v>
      </c>
      <c r="E53" s="175">
        <v>2.0448065979528422E-2</v>
      </c>
      <c r="F53" s="175">
        <v>-2.6183749064449119E-4</v>
      </c>
      <c r="G53" s="175">
        <v>-5.9189221183560195E-3</v>
      </c>
      <c r="H53" s="175">
        <v>1.7064076288048485E-3</v>
      </c>
      <c r="I53" s="175">
        <v>7.8055859713597135E-3</v>
      </c>
      <c r="J53" s="175">
        <v>-1.2031529401384404E-2</v>
      </c>
      <c r="K53" s="175">
        <v>-1.0525212995897804E-2</v>
      </c>
      <c r="L53" s="175">
        <v>1.0893349445483935E-3</v>
      </c>
      <c r="M53" s="175">
        <v>-6.682171560302097E-3</v>
      </c>
      <c r="N53" s="175">
        <v>3.6467353836076577E-3</v>
      </c>
      <c r="O53" s="175">
        <v>-4.2195003928727701E-3</v>
      </c>
      <c r="P53" s="175">
        <v>-7.6130189569864268E-3</v>
      </c>
      <c r="Q53" s="175">
        <v>3.0279617656179952E-3</v>
      </c>
      <c r="R53" s="175">
        <v>9.8438725007682013E-4</v>
      </c>
      <c r="S53" s="175">
        <v>-3.6817604721198494E-3</v>
      </c>
      <c r="T53" s="175">
        <v>-1.3043471734158207E-3</v>
      </c>
      <c r="U53" s="175">
        <v>1.1685680024427589E-2</v>
      </c>
      <c r="V53" s="175">
        <v>3.6142035578815228E-2</v>
      </c>
      <c r="W53" s="175">
        <v>-2.4588171722868209E-2</v>
      </c>
      <c r="X53" s="175">
        <v>8.1425055034658675E-5</v>
      </c>
      <c r="Y53" s="175">
        <v>-1.3378122393486333E-2</v>
      </c>
      <c r="Z53" s="175">
        <v>-7.5588306177456106E-3</v>
      </c>
      <c r="AA53" s="191">
        <v>-6.2885229781530112E-4</v>
      </c>
    </row>
    <row r="54" spans="1:27" x14ac:dyDescent="0.15">
      <c r="A54" s="189">
        <v>6.0860738629491817E-3</v>
      </c>
      <c r="B54" s="175">
        <v>-8.8951521006540302E-3</v>
      </c>
      <c r="C54" s="175">
        <v>3.5686171801084243E-3</v>
      </c>
      <c r="D54" s="175">
        <v>1.2424556281305177E-2</v>
      </c>
      <c r="E54" s="175">
        <v>-1.1906633657574883E-3</v>
      </c>
      <c r="F54" s="175">
        <v>1.0213321524297908E-3</v>
      </c>
      <c r="G54" s="175">
        <v>3.3465197869450292E-3</v>
      </c>
      <c r="H54" s="175">
        <v>4.5622306530757745E-4</v>
      </c>
      <c r="I54" s="175">
        <v>1.0570322396935408E-2</v>
      </c>
      <c r="J54" s="175">
        <v>8.0683981479449385E-3</v>
      </c>
      <c r="K54" s="175">
        <v>-1.1629737337092765E-2</v>
      </c>
      <c r="L54" s="175">
        <v>1.0962687675830446E-2</v>
      </c>
      <c r="M54" s="175">
        <v>9.9552495683989106E-3</v>
      </c>
      <c r="N54" s="175">
        <v>2.3788000766404582E-4</v>
      </c>
      <c r="O54" s="175">
        <v>-2.0331846443917417E-3</v>
      </c>
      <c r="P54" s="175">
        <v>1.669224615357881E-2</v>
      </c>
      <c r="Q54" s="175">
        <v>7.0201677878333896E-3</v>
      </c>
      <c r="R54" s="175">
        <v>1.5936510405344641E-2</v>
      </c>
      <c r="S54" s="175">
        <v>8.3081089706289191E-3</v>
      </c>
      <c r="T54" s="175">
        <v>2.4454277027614879E-4</v>
      </c>
      <c r="U54" s="175">
        <v>7.5750952940228031E-3</v>
      </c>
      <c r="V54" s="175">
        <v>-4.2426822957675192E-2</v>
      </c>
      <c r="W54" s="175">
        <v>-3.9300670085238534E-2</v>
      </c>
      <c r="X54" s="175">
        <v>-1.2962569969645423E-2</v>
      </c>
      <c r="Y54" s="175">
        <v>-8.0636340478636576E-3</v>
      </c>
      <c r="Z54" s="175">
        <v>-7.0892672709368248E-3</v>
      </c>
      <c r="AA54" s="191">
        <v>1.1117170271751589E-2</v>
      </c>
    </row>
    <row r="55" spans="1:27" x14ac:dyDescent="0.15">
      <c r="A55" s="189">
        <v>5.1591150186958701E-3</v>
      </c>
      <c r="B55" s="175">
        <v>4.47480962674493E-2</v>
      </c>
      <c r="C55" s="175">
        <v>5.2055039532822311E-3</v>
      </c>
      <c r="D55" s="175">
        <v>-2.288381458242944E-2</v>
      </c>
      <c r="E55" s="175">
        <v>-4.2793602564202282E-3</v>
      </c>
      <c r="F55" s="175">
        <v>1.4706421329391511E-2</v>
      </c>
      <c r="G55" s="175">
        <v>-9.772463331011616E-3</v>
      </c>
      <c r="H55" s="175">
        <v>-2.8843009728055646E-3</v>
      </c>
      <c r="I55" s="175">
        <v>-2.9660822653975127E-2</v>
      </c>
      <c r="J55" s="175">
        <v>-2.3048589661584074E-2</v>
      </c>
      <c r="K55" s="175">
        <v>2.1294668284141671E-2</v>
      </c>
      <c r="L55" s="175">
        <v>-2.8728337787693251E-2</v>
      </c>
      <c r="M55" s="175">
        <v>-9.6180779515452897E-3</v>
      </c>
      <c r="N55" s="175">
        <v>3.0490426368349755E-3</v>
      </c>
      <c r="O55" s="175">
        <v>9.4886467539516683E-3</v>
      </c>
      <c r="P55" s="175">
        <v>-3.2236734749028328E-2</v>
      </c>
      <c r="Q55" s="175">
        <v>-1.4271884702158233E-2</v>
      </c>
      <c r="R55" s="175">
        <v>-2.591570233986408E-2</v>
      </c>
      <c r="S55" s="175">
        <v>-2.4830161745665824E-2</v>
      </c>
      <c r="T55" s="175">
        <v>-1.5102162169008948E-4</v>
      </c>
      <c r="U55" s="175">
        <v>-1.0102677133967286E-2</v>
      </c>
      <c r="V55" s="175">
        <v>1.6624571515811815E-2</v>
      </c>
      <c r="W55" s="175">
        <v>7.2121338742015845E-2</v>
      </c>
      <c r="X55" s="175">
        <v>2.2433368039344773E-2</v>
      </c>
      <c r="Y55" s="175">
        <v>2.2730153733022673E-2</v>
      </c>
      <c r="Z55" s="175">
        <v>1.6750546354101503E-2</v>
      </c>
      <c r="AA55" s="191">
        <v>-1.592752313820682E-2</v>
      </c>
    </row>
    <row r="56" spans="1:27" ht="14.25" thickBot="1" x14ac:dyDescent="0.2">
      <c r="A56" s="200">
        <v>-1.9495748751796049E-3</v>
      </c>
      <c r="B56" s="198">
        <v>-2.910578714899148E-2</v>
      </c>
      <c r="C56" s="198">
        <v>-2.2863783769531687E-3</v>
      </c>
      <c r="D56" s="198">
        <v>1.6476309003325779E-2</v>
      </c>
      <c r="E56" s="198">
        <v>3.1668727997164053E-3</v>
      </c>
      <c r="F56" s="198">
        <v>-1.4272002646553747E-2</v>
      </c>
      <c r="G56" s="198">
        <v>6.6597443683329705E-3</v>
      </c>
      <c r="H56" s="198">
        <v>-1.1300004680383918E-3</v>
      </c>
      <c r="I56" s="198">
        <v>1.5586141083864524E-2</v>
      </c>
      <c r="J56" s="198">
        <v>1.8302124715921492E-2</v>
      </c>
      <c r="K56" s="198">
        <v>-1.5290617103168452E-2</v>
      </c>
      <c r="L56" s="198">
        <v>1.551142837315999E-2</v>
      </c>
      <c r="M56" s="198">
        <v>7.9590360115914804E-3</v>
      </c>
      <c r="N56" s="198">
        <v>-2.0039186170963674E-3</v>
      </c>
      <c r="O56" s="198">
        <v>-8.1361362968406514E-3</v>
      </c>
      <c r="P56" s="198">
        <v>2.3455568134679389E-2</v>
      </c>
      <c r="Q56" s="198">
        <v>9.3677689084782079E-3</v>
      </c>
      <c r="R56" s="198">
        <v>1.210690075799406E-2</v>
      </c>
      <c r="S56" s="198">
        <v>2.0643724279578446E-2</v>
      </c>
      <c r="T56" s="198">
        <v>1.3967490575797492E-4</v>
      </c>
      <c r="U56" s="198">
        <v>3.4259939869092093E-3</v>
      </c>
      <c r="V56" s="198">
        <v>4.7482679687933516E-3</v>
      </c>
      <c r="W56" s="198">
        <v>-4.4021122215933989E-2</v>
      </c>
      <c r="X56" s="198">
        <v>-1.7122308919923737E-2</v>
      </c>
      <c r="Y56" s="198">
        <v>-1.4905101934954479E-2</v>
      </c>
      <c r="Z56" s="198">
        <v>-1.236768728319132E-2</v>
      </c>
      <c r="AA56" s="199">
        <v>5.0410805887231222E-3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82945" r:id="rId4">
          <objectPr defaultSize="0" r:id="rId5">
            <anchor moveWithCells="1">
              <from>
                <xdr:col>18</xdr:col>
                <xdr:colOff>542925</xdr:colOff>
                <xdr:row>37</xdr:row>
                <xdr:rowOff>161925</xdr:rowOff>
              </from>
              <to>
                <xdr:col>20</xdr:col>
                <xdr:colOff>409575</xdr:colOff>
                <xdr:row>45</xdr:row>
                <xdr:rowOff>66675</xdr:rowOff>
              </to>
            </anchor>
          </objectPr>
        </oleObject>
      </mc:Choice>
      <mc:Fallback>
        <oleObject progId="Paint.Picture" shapeId="8294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9"/>
  <sheetViews>
    <sheetView zoomScale="115" zoomScaleNormal="115" workbookViewId="0"/>
  </sheetViews>
  <sheetFormatPr defaultRowHeight="13.5" x14ac:dyDescent="0.15"/>
  <cols>
    <col min="1" max="1" width="9" customWidth="1"/>
    <col min="3" max="3" width="12.25" customWidth="1"/>
    <col min="4" max="4" width="12.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1"/>
      <c r="B2" s="1" t="s">
        <v>159</v>
      </c>
      <c r="C2" s="1" t="s">
        <v>124</v>
      </c>
      <c r="D2" s="1">
        <v>1</v>
      </c>
      <c r="E2" s="1"/>
      <c r="F2" s="1"/>
    </row>
    <row r="3" spans="1:6" x14ac:dyDescent="0.15">
      <c r="A3" s="1"/>
      <c r="B3" s="1" t="s">
        <v>158</v>
      </c>
      <c r="C3" s="1" t="s">
        <v>125</v>
      </c>
      <c r="D3" s="1">
        <v>40</v>
      </c>
      <c r="E3" s="1"/>
      <c r="F3" s="1"/>
    </row>
    <row r="4" spans="1:6" x14ac:dyDescent="0.15">
      <c r="A4" s="1"/>
      <c r="B4" s="1" t="s">
        <v>4</v>
      </c>
      <c r="C4" s="1" t="s">
        <v>5</v>
      </c>
      <c r="D4" s="1" t="s">
        <v>6</v>
      </c>
      <c r="E4" s="1" t="s">
        <v>8</v>
      </c>
      <c r="F4" s="1"/>
    </row>
    <row r="5" spans="1:6" x14ac:dyDescent="0.15">
      <c r="A5" s="172" t="s">
        <v>0</v>
      </c>
      <c r="B5" s="172">
        <v>65</v>
      </c>
      <c r="C5" s="172">
        <v>119</v>
      </c>
      <c r="D5" s="1">
        <f>D$2*B5+D$3</f>
        <v>105</v>
      </c>
      <c r="E5" s="1">
        <f>C5-D5</f>
        <v>14</v>
      </c>
      <c r="F5" s="1"/>
    </row>
    <row r="6" spans="1:6" x14ac:dyDescent="0.15">
      <c r="A6" s="172" t="s">
        <v>1</v>
      </c>
      <c r="B6" s="172">
        <v>73</v>
      </c>
      <c r="C6" s="172">
        <v>125</v>
      </c>
      <c r="D6" s="1">
        <f t="shared" ref="D6:D8" si="0">D$2*B6+D$3</f>
        <v>113</v>
      </c>
      <c r="E6" s="1">
        <f t="shared" ref="E6:E8" si="1">C6-D6</f>
        <v>12</v>
      </c>
      <c r="F6" s="1"/>
    </row>
    <row r="7" spans="1:6" x14ac:dyDescent="0.15">
      <c r="A7" s="172" t="s">
        <v>2</v>
      </c>
      <c r="B7" s="172">
        <v>75</v>
      </c>
      <c r="C7" s="172">
        <v>135</v>
      </c>
      <c r="D7" s="1">
        <f t="shared" si="0"/>
        <v>115</v>
      </c>
      <c r="E7" s="1">
        <f t="shared" si="1"/>
        <v>20</v>
      </c>
      <c r="F7" s="1"/>
    </row>
    <row r="8" spans="1:6" x14ac:dyDescent="0.15">
      <c r="A8" s="172" t="s">
        <v>3</v>
      </c>
      <c r="B8" s="172">
        <v>81</v>
      </c>
      <c r="C8" s="172">
        <v>140</v>
      </c>
      <c r="D8" s="1">
        <f t="shared" si="0"/>
        <v>121</v>
      </c>
      <c r="E8" s="1">
        <f t="shared" si="1"/>
        <v>19</v>
      </c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 t="s">
        <v>157</v>
      </c>
      <c r="E11" s="172">
        <f>SUMSQ(E5:E8)</f>
        <v>1101</v>
      </c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</row>
    <row r="19" spans="1:6" x14ac:dyDescent="0.15">
      <c r="A19" s="1"/>
      <c r="B19" s="1"/>
      <c r="C19" s="1"/>
      <c r="D19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8"/>
  <sheetViews>
    <sheetView zoomScale="160" zoomScaleNormal="160" workbookViewId="0"/>
  </sheetViews>
  <sheetFormatPr defaultRowHeight="13.5" x14ac:dyDescent="0.15"/>
  <cols>
    <col min="1" max="1" width="9" customWidth="1"/>
    <col min="3" max="3" width="10.75" customWidth="1"/>
    <col min="4" max="4" width="12.25" customWidth="1"/>
    <col min="5" max="5" width="12.5" customWidth="1"/>
  </cols>
  <sheetData>
    <row r="1" spans="1:7" x14ac:dyDescent="0.15">
      <c r="A1" s="1" t="s">
        <v>10</v>
      </c>
      <c r="B1" s="1"/>
      <c r="C1" s="1"/>
      <c r="D1" s="1"/>
      <c r="E1" s="1"/>
      <c r="F1" s="1"/>
      <c r="G1" s="1"/>
    </row>
    <row r="2" spans="1:7" x14ac:dyDescent="0.15">
      <c r="A2" s="1"/>
      <c r="B2" s="1"/>
      <c r="C2" s="1"/>
      <c r="D2" s="1" t="s">
        <v>155</v>
      </c>
      <c r="E2" s="1">
        <v>1</v>
      </c>
      <c r="F2" s="1"/>
      <c r="G2" s="1"/>
    </row>
    <row r="3" spans="1:7" x14ac:dyDescent="0.15">
      <c r="A3" s="1"/>
      <c r="B3" s="1"/>
      <c r="C3" s="1"/>
      <c r="D3" s="1" t="s">
        <v>124</v>
      </c>
      <c r="E3" s="1">
        <v>1</v>
      </c>
      <c r="F3" s="1"/>
      <c r="G3" s="1"/>
    </row>
    <row r="4" spans="1:7" x14ac:dyDescent="0.15">
      <c r="A4" s="1"/>
      <c r="B4" s="1"/>
      <c r="C4" s="1"/>
      <c r="D4" s="1" t="s">
        <v>125</v>
      </c>
      <c r="E4" s="1">
        <v>-100</v>
      </c>
      <c r="F4" s="1"/>
      <c r="G4" s="1"/>
    </row>
    <row r="5" spans="1:7" x14ac:dyDescent="0.15">
      <c r="A5" s="1"/>
      <c r="B5" s="1" t="s">
        <v>4</v>
      </c>
      <c r="C5" s="1" t="s">
        <v>9</v>
      </c>
      <c r="D5" s="1" t="s">
        <v>5</v>
      </c>
      <c r="E5" s="1" t="s">
        <v>6</v>
      </c>
      <c r="F5" s="1" t="s">
        <v>8</v>
      </c>
      <c r="G5" s="1"/>
    </row>
    <row r="6" spans="1:7" x14ac:dyDescent="0.15">
      <c r="A6" s="172" t="s">
        <v>0</v>
      </c>
      <c r="B6" s="172">
        <v>65</v>
      </c>
      <c r="C6" s="172">
        <v>160</v>
      </c>
      <c r="D6" s="172">
        <v>119</v>
      </c>
      <c r="E6" s="172">
        <f>E$2*B6+E$3*C6+E$4</f>
        <v>125</v>
      </c>
      <c r="F6" s="172">
        <f>D6-E6</f>
        <v>-6</v>
      </c>
      <c r="G6" s="1"/>
    </row>
    <row r="7" spans="1:7" x14ac:dyDescent="0.15">
      <c r="A7" s="172" t="s">
        <v>1</v>
      </c>
      <c r="B7" s="172">
        <v>73</v>
      </c>
      <c r="C7" s="172">
        <v>155</v>
      </c>
      <c r="D7" s="172">
        <v>125</v>
      </c>
      <c r="E7" s="172">
        <f t="shared" ref="E7:E9" si="0">E$2*B7+E$3*C7+E$4</f>
        <v>128</v>
      </c>
      <c r="F7" s="172">
        <f>D7-E7</f>
        <v>-3</v>
      </c>
      <c r="G7" s="1"/>
    </row>
    <row r="8" spans="1:7" x14ac:dyDescent="0.15">
      <c r="A8" s="172" t="s">
        <v>2</v>
      </c>
      <c r="B8" s="172">
        <v>75</v>
      </c>
      <c r="C8" s="172">
        <v>165</v>
      </c>
      <c r="D8" s="172">
        <v>135</v>
      </c>
      <c r="E8" s="172">
        <f t="shared" si="0"/>
        <v>140</v>
      </c>
      <c r="F8" s="172">
        <f>D8-E8</f>
        <v>-5</v>
      </c>
      <c r="G8" s="1"/>
    </row>
    <row r="9" spans="1:7" x14ac:dyDescent="0.15">
      <c r="A9" s="172" t="s">
        <v>3</v>
      </c>
      <c r="B9" s="172">
        <v>81</v>
      </c>
      <c r="C9" s="172">
        <v>158</v>
      </c>
      <c r="D9" s="172">
        <v>140</v>
      </c>
      <c r="E9" s="172">
        <f t="shared" si="0"/>
        <v>139</v>
      </c>
      <c r="F9" s="172">
        <f>D9-E9</f>
        <v>1</v>
      </c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>
        <f>SUMSQ(F6:F9)</f>
        <v>71</v>
      </c>
      <c r="G12" s="1"/>
    </row>
    <row r="13" spans="1:7" x14ac:dyDescent="0.15">
      <c r="A13" s="289"/>
      <c r="B13" s="289" t="s">
        <v>4</v>
      </c>
      <c r="C13" s="289" t="s">
        <v>9</v>
      </c>
      <c r="D13" s="289" t="s">
        <v>5</v>
      </c>
      <c r="E13" s="1"/>
      <c r="F13" s="1"/>
      <c r="G13" s="1"/>
    </row>
    <row r="14" spans="1:7" x14ac:dyDescent="0.15">
      <c r="A14" s="289" t="s">
        <v>0</v>
      </c>
      <c r="B14" s="289">
        <v>65</v>
      </c>
      <c r="C14" s="289">
        <v>160</v>
      </c>
      <c r="D14" s="289">
        <v>119</v>
      </c>
      <c r="E14" s="1"/>
      <c r="F14" s="1"/>
      <c r="G14" s="1"/>
    </row>
    <row r="15" spans="1:7" x14ac:dyDescent="0.15">
      <c r="A15" s="289" t="s">
        <v>1</v>
      </c>
      <c r="B15" s="289">
        <v>73</v>
      </c>
      <c r="C15" s="289">
        <v>155</v>
      </c>
      <c r="D15" s="289">
        <v>125</v>
      </c>
      <c r="E15" s="1"/>
      <c r="F15" s="1"/>
      <c r="G15" s="1"/>
    </row>
    <row r="16" spans="1:7" x14ac:dyDescent="0.15">
      <c r="A16" s="289" t="s">
        <v>2</v>
      </c>
      <c r="B16" s="289">
        <v>75</v>
      </c>
      <c r="C16" s="289">
        <v>165</v>
      </c>
      <c r="D16" s="289">
        <v>135</v>
      </c>
      <c r="E16" s="1"/>
      <c r="F16" s="1"/>
      <c r="G16" s="1"/>
    </row>
    <row r="17" spans="1:7" x14ac:dyDescent="0.15">
      <c r="A17" s="289" t="s">
        <v>3</v>
      </c>
      <c r="B17" s="289">
        <v>81</v>
      </c>
      <c r="C17" s="289">
        <v>158</v>
      </c>
      <c r="D17" s="289">
        <v>140</v>
      </c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H27"/>
  <sheetViews>
    <sheetView workbookViewId="0"/>
  </sheetViews>
  <sheetFormatPr defaultRowHeight="13.5" x14ac:dyDescent="0.15"/>
  <cols>
    <col min="1" max="1" width="5.25" customWidth="1"/>
    <col min="2" max="2" width="9" customWidth="1"/>
    <col min="3" max="4" width="11.375" customWidth="1"/>
    <col min="5" max="5" width="17.75" customWidth="1"/>
    <col min="6" max="6" width="12.5" customWidth="1"/>
  </cols>
  <sheetData>
    <row r="1" spans="2:8" x14ac:dyDescent="0.15">
      <c r="B1" s="1"/>
      <c r="C1" s="1"/>
      <c r="D1" s="1"/>
      <c r="E1" s="1"/>
      <c r="F1" s="1"/>
      <c r="G1" s="1"/>
      <c r="H1" s="1"/>
    </row>
    <row r="2" spans="2:8" x14ac:dyDescent="0.15">
      <c r="B2" s="4"/>
      <c r="C2" s="4"/>
      <c r="D2" s="4"/>
      <c r="E2" s="4" t="s">
        <v>125</v>
      </c>
      <c r="F2" s="140">
        <v>91.693164822863437</v>
      </c>
      <c r="G2" s="140"/>
      <c r="H2" s="1"/>
    </row>
    <row r="3" spans="2:8" x14ac:dyDescent="0.15">
      <c r="B3" s="4"/>
      <c r="C3" s="4"/>
      <c r="D3" s="4"/>
      <c r="E3" s="4" t="s">
        <v>124</v>
      </c>
      <c r="F3" s="140">
        <v>1.2672664404220431</v>
      </c>
      <c r="G3" s="140"/>
      <c r="H3" s="1"/>
    </row>
    <row r="4" spans="2:8" ht="14.25" thickBot="1" x14ac:dyDescent="0.2">
      <c r="B4" s="4"/>
      <c r="C4" s="4"/>
      <c r="D4" s="4"/>
      <c r="E4" s="4" t="s">
        <v>155</v>
      </c>
      <c r="F4" s="140">
        <v>0.96421123152940802</v>
      </c>
      <c r="G4" s="140"/>
      <c r="H4" s="1"/>
    </row>
    <row r="5" spans="2:8" ht="14.25" thickBot="1" x14ac:dyDescent="0.2">
      <c r="B5" s="127" t="s">
        <v>115</v>
      </c>
      <c r="C5" s="127" t="s">
        <v>154</v>
      </c>
      <c r="D5" s="127" t="s">
        <v>9</v>
      </c>
      <c r="E5" s="127" t="s">
        <v>153</v>
      </c>
      <c r="F5" s="140" t="s">
        <v>6</v>
      </c>
      <c r="G5" s="140" t="s">
        <v>8</v>
      </c>
      <c r="H5" s="1"/>
    </row>
    <row r="6" spans="2:8" x14ac:dyDescent="0.15">
      <c r="B6" s="137" t="s">
        <v>0</v>
      </c>
      <c r="C6" s="137">
        <v>203</v>
      </c>
      <c r="D6" s="137">
        <v>190</v>
      </c>
      <c r="E6" s="137">
        <v>531</v>
      </c>
      <c r="F6" s="140">
        <f>F$2+F$3*C6+F$4*D6</f>
        <v>532.14838621912565</v>
      </c>
      <c r="G6" s="140">
        <f>E6-F6</f>
        <v>-1.1483862191256549</v>
      </c>
      <c r="H6" s="1"/>
    </row>
    <row r="7" spans="2:8" x14ac:dyDescent="0.15">
      <c r="B7" s="138" t="s">
        <v>1</v>
      </c>
      <c r="C7" s="138">
        <v>188</v>
      </c>
      <c r="D7" s="138">
        <v>145</v>
      </c>
      <c r="E7" s="138">
        <v>470</v>
      </c>
      <c r="F7" s="140">
        <f t="shared" ref="F7:F9" si="0">F$2+F$3*C7+F$4*D7</f>
        <v>469.74988419397175</v>
      </c>
      <c r="G7" s="140">
        <f t="shared" ref="G7:G9" si="1">E7-F7</f>
        <v>0.25011580602824779</v>
      </c>
      <c r="H7" s="1"/>
    </row>
    <row r="8" spans="2:8" x14ac:dyDescent="0.15">
      <c r="B8" s="138" t="s">
        <v>2</v>
      </c>
      <c r="C8" s="138">
        <v>166</v>
      </c>
      <c r="D8" s="138">
        <v>144</v>
      </c>
      <c r="E8" s="138">
        <v>443</v>
      </c>
      <c r="F8" s="140">
        <f t="shared" si="0"/>
        <v>440.90581127315738</v>
      </c>
      <c r="G8" s="140">
        <f t="shared" si="1"/>
        <v>2.0941887268426171</v>
      </c>
      <c r="H8" s="1"/>
    </row>
    <row r="9" spans="2:8" ht="14.25" thickBot="1" x14ac:dyDescent="0.2">
      <c r="B9" s="139" t="s">
        <v>3</v>
      </c>
      <c r="C9" s="139">
        <v>135</v>
      </c>
      <c r="D9" s="139">
        <v>100</v>
      </c>
      <c r="E9" s="139">
        <v>358</v>
      </c>
      <c r="F9" s="140">
        <f t="shared" si="0"/>
        <v>359.19525743278007</v>
      </c>
      <c r="G9" s="140">
        <f t="shared" si="1"/>
        <v>-1.1952574327800676</v>
      </c>
      <c r="H9" s="1"/>
    </row>
    <row r="10" spans="2:8" x14ac:dyDescent="0.15">
      <c r="B10" s="4"/>
      <c r="C10" s="4"/>
      <c r="D10" s="4"/>
      <c r="E10" s="4"/>
      <c r="F10" s="140"/>
      <c r="G10" s="140"/>
      <c r="H10" s="1"/>
    </row>
    <row r="11" spans="2:8" x14ac:dyDescent="0.15">
      <c r="B11" s="4"/>
      <c r="C11" s="4"/>
      <c r="D11" s="4"/>
      <c r="E11" s="4"/>
      <c r="F11" s="140"/>
      <c r="G11" s="140">
        <f>SUMSQ(G6:G9)</f>
        <v>7.1956155789535767</v>
      </c>
      <c r="H11" s="1"/>
    </row>
    <row r="12" spans="2:8" x14ac:dyDescent="0.15">
      <c r="B12" s="1"/>
      <c r="C12" s="1"/>
      <c r="D12" s="1"/>
      <c r="E12" s="1"/>
      <c r="F12" s="1"/>
      <c r="H12" s="1"/>
    </row>
    <row r="13" spans="2:8" x14ac:dyDescent="0.15">
      <c r="B13" s="1"/>
      <c r="C13" s="1"/>
      <c r="D13" s="1"/>
      <c r="E13" s="1"/>
      <c r="F13" s="1"/>
      <c r="G13" s="1"/>
      <c r="H13" s="1"/>
    </row>
    <row r="14" spans="2:8" x14ac:dyDescent="0.15">
      <c r="B14" s="1"/>
      <c r="C14" s="1"/>
      <c r="D14" s="1"/>
      <c r="E14" s="1"/>
      <c r="F14" s="1"/>
      <c r="G14" s="1"/>
      <c r="H14" s="1"/>
    </row>
    <row r="15" spans="2:8" x14ac:dyDescent="0.15">
      <c r="B15" s="1"/>
      <c r="C15" s="1"/>
      <c r="D15" s="1"/>
      <c r="E15" s="1"/>
      <c r="F15" s="1"/>
      <c r="G15" s="1"/>
      <c r="H15" s="1"/>
    </row>
    <row r="16" spans="2:8" x14ac:dyDescent="0.15">
      <c r="B16" s="1"/>
      <c r="C16" s="1"/>
      <c r="D16" s="1"/>
      <c r="E16" s="1"/>
      <c r="F16" s="1"/>
      <c r="G16" s="1"/>
      <c r="H16" s="1"/>
    </row>
    <row r="17" spans="2:8" x14ac:dyDescent="0.15">
      <c r="B17" s="1"/>
      <c r="C17" s="1"/>
      <c r="D17" s="1"/>
      <c r="E17" s="1"/>
      <c r="F17" s="1"/>
      <c r="G17" s="1"/>
      <c r="H17" s="1"/>
    </row>
    <row r="18" spans="2:8" x14ac:dyDescent="0.15">
      <c r="B18" s="1"/>
      <c r="C18" s="1"/>
      <c r="D18" s="1"/>
      <c r="E18" s="1"/>
      <c r="F18" s="1"/>
      <c r="G18" s="1"/>
      <c r="H18" s="1"/>
    </row>
    <row r="19" spans="2:8" x14ac:dyDescent="0.15">
      <c r="B19" s="1"/>
      <c r="C19" s="1"/>
      <c r="D19" s="1"/>
      <c r="E19" s="1"/>
      <c r="F19" s="1"/>
    </row>
    <row r="20" spans="2:8" x14ac:dyDescent="0.15">
      <c r="B20" s="1"/>
      <c r="C20" s="1"/>
      <c r="D20" s="1"/>
      <c r="E20" s="1"/>
      <c r="F20" s="1"/>
    </row>
    <row r="21" spans="2:8" x14ac:dyDescent="0.15">
      <c r="E21" s="1"/>
    </row>
    <row r="22" spans="2:8" x14ac:dyDescent="0.15">
      <c r="E22" s="1"/>
    </row>
    <row r="23" spans="2:8" x14ac:dyDescent="0.15">
      <c r="E23" s="1"/>
    </row>
    <row r="24" spans="2:8" x14ac:dyDescent="0.15">
      <c r="E24" s="1"/>
    </row>
    <row r="25" spans="2:8" x14ac:dyDescent="0.15">
      <c r="E25" s="1"/>
    </row>
    <row r="26" spans="2:8" x14ac:dyDescent="0.15">
      <c r="E26" s="1"/>
    </row>
    <row r="27" spans="2:8" x14ac:dyDescent="0.15">
      <c r="E27" s="1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4"/>
  <sheetViews>
    <sheetView zoomScale="220" zoomScaleNormal="220" workbookViewId="0">
      <selection activeCell="G5" sqref="G5"/>
    </sheetView>
  </sheetViews>
  <sheetFormatPr defaultColWidth="8.875" defaultRowHeight="11.25" x14ac:dyDescent="0.15"/>
  <cols>
    <col min="1" max="1" width="3" style="2" customWidth="1"/>
    <col min="2" max="18" width="5.75" style="2" customWidth="1"/>
    <col min="19" max="16384" width="8.875" style="2"/>
  </cols>
  <sheetData>
    <row r="1" spans="1:18" x14ac:dyDescent="0.15">
      <c r="A1" s="3"/>
      <c r="B1" s="3" t="s">
        <v>117</v>
      </c>
      <c r="C1" s="3"/>
      <c r="D1" s="3"/>
      <c r="E1" s="123" t="s">
        <v>118</v>
      </c>
      <c r="F1" s="3"/>
      <c r="G1" s="3"/>
      <c r="H1" s="3"/>
      <c r="I1" s="3"/>
      <c r="J1" s="3"/>
      <c r="K1" s="3"/>
      <c r="L1" s="3"/>
      <c r="M1" s="3"/>
    </row>
    <row r="2" spans="1:18" x14ac:dyDescent="0.15">
      <c r="A2" s="3"/>
      <c r="B2" s="124">
        <v>1</v>
      </c>
      <c r="C2" s="124">
        <v>65</v>
      </c>
      <c r="D2" s="124">
        <v>160</v>
      </c>
      <c r="E2" s="125">
        <v>119</v>
      </c>
      <c r="F2" s="3"/>
      <c r="G2" s="3"/>
      <c r="H2" s="3"/>
      <c r="I2" s="3"/>
      <c r="J2" s="3"/>
      <c r="K2" s="3"/>
      <c r="L2" s="3"/>
      <c r="M2" s="3"/>
      <c r="O2" s="2">
        <f t="array" ref="O2:Q2">LINEST(E2:E5,C2:D5)</f>
        <v>0.68762648164209328</v>
      </c>
      <c r="P2" s="2">
        <v>1.3888407054061869</v>
      </c>
      <c r="Q2" s="2">
        <v>-82.006215669268613</v>
      </c>
    </row>
    <row r="3" spans="1:18" x14ac:dyDescent="0.15">
      <c r="A3" s="3"/>
      <c r="B3" s="124">
        <v>1</v>
      </c>
      <c r="C3" s="124">
        <v>73</v>
      </c>
      <c r="D3" s="124">
        <v>155</v>
      </c>
      <c r="E3" s="125">
        <v>125</v>
      </c>
      <c r="F3" s="3"/>
      <c r="G3" s="3"/>
      <c r="H3" s="3"/>
      <c r="I3" s="3"/>
      <c r="J3" s="3"/>
      <c r="K3" s="3"/>
      <c r="L3" s="3"/>
      <c r="M3" s="3"/>
    </row>
    <row r="4" spans="1:18" x14ac:dyDescent="0.15">
      <c r="A4" s="3"/>
      <c r="B4" s="124">
        <v>1</v>
      </c>
      <c r="C4" s="124">
        <v>75</v>
      </c>
      <c r="D4" s="124">
        <v>165</v>
      </c>
      <c r="E4" s="125">
        <v>135</v>
      </c>
      <c r="F4" s="3"/>
      <c r="G4" s="3"/>
      <c r="H4" s="3"/>
      <c r="I4" s="3"/>
      <c r="J4" s="3"/>
      <c r="K4" s="3"/>
      <c r="L4" s="3"/>
      <c r="M4" s="3"/>
    </row>
    <row r="5" spans="1:18" x14ac:dyDescent="0.15">
      <c r="A5" s="3"/>
      <c r="B5" s="124">
        <v>1</v>
      </c>
      <c r="C5" s="124">
        <v>81</v>
      </c>
      <c r="D5" s="124">
        <v>158</v>
      </c>
      <c r="E5" s="125">
        <v>140</v>
      </c>
      <c r="F5" s="3"/>
      <c r="G5" s="3"/>
      <c r="H5" s="3"/>
      <c r="I5" s="3"/>
      <c r="J5" s="3"/>
      <c r="K5" s="3"/>
      <c r="L5" s="3"/>
      <c r="M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8" x14ac:dyDescent="0.15">
      <c r="A7" s="3"/>
      <c r="B7" s="3" t="s">
        <v>119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73">
        <f t="array" ref="O7:R8">TRANSPOSE(B2:D5)</f>
        <v>1</v>
      </c>
      <c r="P7" s="173">
        <v>1</v>
      </c>
      <c r="Q7" s="173">
        <v>1</v>
      </c>
      <c r="R7" s="173">
        <v>1</v>
      </c>
    </row>
    <row r="8" spans="1:18" x14ac:dyDescent="0.15">
      <c r="A8" s="3"/>
      <c r="B8" s="124">
        <f t="array" ref="B8:E10">TRANSPOSE(B2:D5)</f>
        <v>1</v>
      </c>
      <c r="C8" s="124">
        <v>1</v>
      </c>
      <c r="D8" s="124">
        <v>1</v>
      </c>
      <c r="E8" s="124">
        <v>1</v>
      </c>
      <c r="F8" s="3"/>
      <c r="G8" s="3"/>
      <c r="H8" s="3"/>
      <c r="I8" s="3"/>
      <c r="J8" s="3"/>
      <c r="K8" s="3"/>
      <c r="L8" s="3"/>
      <c r="M8" s="3"/>
      <c r="O8" s="173">
        <v>65</v>
      </c>
      <c r="P8" s="173">
        <v>73</v>
      </c>
      <c r="Q8" s="173">
        <v>75</v>
      </c>
      <c r="R8" s="173">
        <v>81</v>
      </c>
    </row>
    <row r="9" spans="1:18" x14ac:dyDescent="0.15">
      <c r="A9" s="3"/>
      <c r="B9" s="124">
        <v>65</v>
      </c>
      <c r="C9" s="124">
        <v>73</v>
      </c>
      <c r="D9" s="124">
        <v>75</v>
      </c>
      <c r="E9" s="124">
        <v>81</v>
      </c>
      <c r="F9" s="3"/>
      <c r="G9" s="3"/>
      <c r="H9" s="3"/>
      <c r="I9" s="3"/>
      <c r="J9" s="3"/>
      <c r="K9" s="3"/>
      <c r="L9" s="3"/>
      <c r="M9" s="3"/>
    </row>
    <row r="10" spans="1:18" x14ac:dyDescent="0.15">
      <c r="A10" s="3"/>
      <c r="B10" s="124">
        <v>160</v>
      </c>
      <c r="C10" s="124">
        <v>155</v>
      </c>
      <c r="D10" s="124">
        <v>165</v>
      </c>
      <c r="E10" s="124">
        <v>158</v>
      </c>
      <c r="F10" s="3"/>
      <c r="G10" s="3"/>
      <c r="H10" s="3"/>
      <c r="I10" s="3"/>
      <c r="J10" s="3"/>
      <c r="K10" s="3"/>
      <c r="L10" s="3"/>
      <c r="M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8" x14ac:dyDescent="0.15">
      <c r="A12" s="3"/>
      <c r="B12" s="3" t="s">
        <v>120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O12" s="173">
        <f t="array" ref="O12:Q14">MMULT(B8:E10,B2:D5)</f>
        <v>4</v>
      </c>
      <c r="P12" s="173">
        <v>294</v>
      </c>
      <c r="Q12" s="173">
        <v>638</v>
      </c>
    </row>
    <row r="13" spans="1:18" x14ac:dyDescent="0.15">
      <c r="A13" s="3"/>
      <c r="B13" s="124">
        <f t="array" ref="B13:D15">MMULT(B8:E10,B2:D5)</f>
        <v>4</v>
      </c>
      <c r="C13" s="124">
        <v>294</v>
      </c>
      <c r="D13" s="124">
        <v>638</v>
      </c>
      <c r="E13" s="3"/>
      <c r="F13" s="3"/>
      <c r="G13" s="3"/>
      <c r="H13" s="3"/>
      <c r="I13" s="3"/>
      <c r="J13" s="3"/>
      <c r="K13" s="3"/>
      <c r="L13" s="3"/>
      <c r="M13" s="3"/>
      <c r="O13" s="173">
        <v>294</v>
      </c>
      <c r="P13" s="173">
        <v>21740</v>
      </c>
      <c r="Q13" s="173">
        <v>46888</v>
      </c>
    </row>
    <row r="14" spans="1:18" x14ac:dyDescent="0.15">
      <c r="A14" s="3"/>
      <c r="B14" s="124">
        <v>294</v>
      </c>
      <c r="C14" s="124">
        <v>21740</v>
      </c>
      <c r="D14" s="124">
        <v>46888</v>
      </c>
      <c r="E14" s="3"/>
      <c r="F14" s="3"/>
      <c r="G14" s="3"/>
      <c r="H14" s="3"/>
      <c r="I14" s="3"/>
      <c r="J14" s="3"/>
      <c r="K14" s="3"/>
      <c r="L14" s="3"/>
      <c r="M14" s="3"/>
      <c r="O14" s="173">
        <v>638</v>
      </c>
      <c r="P14" s="173">
        <v>46888</v>
      </c>
      <c r="Q14" s="173">
        <v>101814</v>
      </c>
    </row>
    <row r="15" spans="1:18" x14ac:dyDescent="0.15">
      <c r="A15" s="3"/>
      <c r="B15" s="124">
        <v>638</v>
      </c>
      <c r="C15" s="124">
        <v>46888</v>
      </c>
      <c r="D15" s="124">
        <v>101814</v>
      </c>
      <c r="E15" s="3"/>
      <c r="F15" s="3"/>
      <c r="G15" s="3"/>
      <c r="H15" s="3"/>
      <c r="I15" s="3"/>
      <c r="J15" s="3"/>
      <c r="K15" s="3"/>
      <c r="L15" s="3"/>
      <c r="M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8" x14ac:dyDescent="0.15">
      <c r="A17" s="3"/>
      <c r="B17" s="3" t="s">
        <v>121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8" x14ac:dyDescent="0.15">
      <c r="A18" s="3"/>
      <c r="B18" s="124">
        <f t="array" ref="B18:D20">MINVERSE(B13:D15)</f>
        <v>540.32292570113293</v>
      </c>
      <c r="C18" s="124">
        <v>-0.67837525296346235</v>
      </c>
      <c r="D18" s="124">
        <v>-3.0734316276383593</v>
      </c>
      <c r="E18" s="3"/>
      <c r="F18" s="3"/>
      <c r="G18" s="3"/>
      <c r="H18" s="3"/>
      <c r="I18" s="3"/>
      <c r="J18" s="3"/>
      <c r="K18" s="3"/>
      <c r="L18" s="3"/>
      <c r="M18" s="3"/>
      <c r="O18" s="173">
        <f t="array" ref="O18:Q20">MINVERSE(O12:Q14)</f>
        <v>540.32292570113293</v>
      </c>
      <c r="P18" s="173">
        <v>-0.67837525296346235</v>
      </c>
      <c r="Q18" s="173">
        <v>-3.0734316276383593</v>
      </c>
    </row>
    <row r="19" spans="1:18" x14ac:dyDescent="0.15">
      <c r="A19" s="3"/>
      <c r="B19" s="124">
        <v>-0.67837525296339274</v>
      </c>
      <c r="C19" s="124">
        <v>7.6611737496389415E-3</v>
      </c>
      <c r="D19" s="124">
        <v>7.227522405324799E-4</v>
      </c>
      <c r="E19" s="3"/>
      <c r="F19" s="3"/>
      <c r="G19" s="3"/>
      <c r="H19" s="3"/>
      <c r="I19" s="3"/>
      <c r="J19" s="3"/>
      <c r="K19" s="3"/>
      <c r="L19" s="3"/>
      <c r="M19" s="3"/>
      <c r="O19" s="173">
        <v>-0.67837525296339274</v>
      </c>
      <c r="P19" s="173">
        <v>7.6611737496389415E-3</v>
      </c>
      <c r="Q19" s="173">
        <v>7.227522405324799E-4</v>
      </c>
    </row>
    <row r="20" spans="1:18" x14ac:dyDescent="0.15">
      <c r="A20" s="3"/>
      <c r="B20" s="124">
        <v>-3.0734316276383913</v>
      </c>
      <c r="C20" s="124">
        <v>7.2275224053291521E-4</v>
      </c>
      <c r="D20" s="124">
        <v>1.8936108701938695E-2</v>
      </c>
      <c r="E20" s="3"/>
      <c r="F20" s="3"/>
      <c r="G20" s="3"/>
      <c r="H20" s="3"/>
      <c r="I20" s="3"/>
      <c r="J20" s="3"/>
      <c r="K20" s="3"/>
      <c r="L20" s="3"/>
      <c r="M20" s="3"/>
      <c r="O20" s="173">
        <v>-3.0734316276383913</v>
      </c>
      <c r="P20" s="173">
        <v>7.2275224053291521E-4</v>
      </c>
      <c r="Q20" s="173">
        <v>1.8936108701938695E-2</v>
      </c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8" x14ac:dyDescent="0.15">
      <c r="A22" s="3"/>
      <c r="B22" s="3" t="s">
        <v>122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8" x14ac:dyDescent="0.15">
      <c r="A23" s="3"/>
      <c r="B23" s="124">
        <f t="array" ref="B23:E25">MMULT(B18:D20,B8:E10)</f>
        <v>4.4794738363703459</v>
      </c>
      <c r="C23" s="124">
        <v>14.419629950854471</v>
      </c>
      <c r="D23" s="124">
        <v>-17.671436831456049</v>
      </c>
      <c r="E23" s="124">
        <v>-0.22766695576831353</v>
      </c>
      <c r="F23" s="3"/>
      <c r="G23" s="3"/>
      <c r="H23" s="3"/>
      <c r="I23" s="3"/>
      <c r="J23" s="3"/>
      <c r="K23" s="3"/>
      <c r="L23" s="3"/>
      <c r="M23" s="3"/>
      <c r="O23" s="173">
        <f t="array" ref="O23:R25">MMULT(B18:D20,B8:E10)</f>
        <v>4.4794738363703459</v>
      </c>
      <c r="P23" s="173">
        <v>14.419629950854471</v>
      </c>
      <c r="Q23" s="173">
        <v>-17.671436831456049</v>
      </c>
      <c r="R23" s="173">
        <v>-0.22766695576831353</v>
      </c>
    </row>
    <row r="24" spans="1:18" x14ac:dyDescent="0.15">
      <c r="A24" s="3"/>
      <c r="B24" s="124">
        <v>-6.4758600751664772E-2</v>
      </c>
      <c r="C24" s="124">
        <v>-7.0829719572156336E-3</v>
      </c>
      <c r="D24" s="124">
        <v>1.5466897947387009E-2</v>
      </c>
      <c r="E24" s="124">
        <v>5.6374674761493326E-2</v>
      </c>
      <c r="F24" s="3"/>
      <c r="G24" s="3"/>
      <c r="H24" s="3"/>
      <c r="I24" s="3"/>
      <c r="J24" s="3"/>
      <c r="K24" s="3"/>
      <c r="L24" s="3"/>
      <c r="M24" s="3"/>
      <c r="O24" s="173">
        <v>-6.4758600751664772E-2</v>
      </c>
      <c r="P24" s="173">
        <v>-7.0829719572156336E-3</v>
      </c>
      <c r="Q24" s="173">
        <v>1.5466897947387009E-2</v>
      </c>
      <c r="R24" s="173">
        <v>5.6374674761493326E-2</v>
      </c>
    </row>
    <row r="25" spans="1:18" x14ac:dyDescent="0.15">
      <c r="A25" s="3"/>
      <c r="B25" s="124">
        <v>3.3246603064394087E-3</v>
      </c>
      <c r="C25" s="124">
        <v>-8.5573865278990802E-2</v>
      </c>
      <c r="D25" s="124">
        <v>0.10523272622146207</v>
      </c>
      <c r="E25" s="124">
        <v>-2.2983521248911121E-2</v>
      </c>
      <c r="F25" s="3"/>
      <c r="G25" s="3"/>
      <c r="H25" s="3"/>
      <c r="I25" s="3"/>
      <c r="J25" s="3"/>
      <c r="K25" s="3"/>
      <c r="L25" s="3"/>
      <c r="M25" s="3"/>
      <c r="O25" s="173">
        <v>3.3246603064394087E-3</v>
      </c>
      <c r="P25" s="173">
        <v>-8.5573865278990802E-2</v>
      </c>
      <c r="Q25" s="173">
        <v>0.10523272622146207</v>
      </c>
      <c r="R25" s="173">
        <v>-2.2983521248911121E-2</v>
      </c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8" x14ac:dyDescent="0.15">
      <c r="A27" s="3"/>
      <c r="B27" s="3" t="s">
        <v>123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8" x14ac:dyDescent="0.15">
      <c r="A28" s="3"/>
      <c r="B28" s="126">
        <f t="array" ref="B28:B30">MMULT(B23:E25,E2:E5)</f>
        <v>-82.006215669250651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O28" s="173">
        <f t="array" ref="O28:O30">MMULT(B23:E25,E2:E5)</f>
        <v>-82.006215669250651</v>
      </c>
    </row>
    <row r="29" spans="1:18" x14ac:dyDescent="0.15">
      <c r="A29" s="3"/>
      <c r="B29" s="126">
        <v>1.3888407054062499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O29" s="173">
        <v>1.3888407054062499</v>
      </c>
    </row>
    <row r="30" spans="1:18" x14ac:dyDescent="0.15">
      <c r="A30" s="3"/>
      <c r="B30" s="126">
        <v>0.68762648164226015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O30" s="173">
        <v>0.68762648164226015</v>
      </c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8" x14ac:dyDescent="0.15">
      <c r="A32" s="3"/>
      <c r="B32" s="124">
        <f t="array" ref="B32:D32">LINEST(E2:E5,C2:D5,TRUE)</f>
        <v>0.68762648164209328</v>
      </c>
      <c r="C32" s="124">
        <v>1.3888407054061869</v>
      </c>
      <c r="D32" s="124">
        <v>-82.006215669268613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43FC-397F-479A-B690-DDE0711433D4}">
  <dimension ref="A1:T39"/>
  <sheetViews>
    <sheetView zoomScale="85" zoomScaleNormal="85" workbookViewId="0"/>
  </sheetViews>
  <sheetFormatPr defaultColWidth="6.625" defaultRowHeight="13.5" x14ac:dyDescent="0.15"/>
  <cols>
    <col min="1" max="224" width="6.625" style="5"/>
    <col min="225" max="237" width="8.75" style="5" customWidth="1"/>
    <col min="238" max="480" width="6.625" style="5"/>
    <col min="481" max="493" width="8.75" style="5" customWidth="1"/>
    <col min="494" max="736" width="6.625" style="5"/>
    <col min="737" max="749" width="8.75" style="5" customWidth="1"/>
    <col min="750" max="992" width="6.625" style="5"/>
    <col min="993" max="1005" width="8.75" style="5" customWidth="1"/>
    <col min="1006" max="1248" width="6.625" style="5"/>
    <col min="1249" max="1261" width="8.75" style="5" customWidth="1"/>
    <col min="1262" max="1504" width="6.625" style="5"/>
    <col min="1505" max="1517" width="8.75" style="5" customWidth="1"/>
    <col min="1518" max="1760" width="6.625" style="5"/>
    <col min="1761" max="1773" width="8.75" style="5" customWidth="1"/>
    <col min="1774" max="2016" width="6.625" style="5"/>
    <col min="2017" max="2029" width="8.75" style="5" customWidth="1"/>
    <col min="2030" max="2272" width="6.625" style="5"/>
    <col min="2273" max="2285" width="8.75" style="5" customWidth="1"/>
    <col min="2286" max="2528" width="6.625" style="5"/>
    <col min="2529" max="2541" width="8.75" style="5" customWidth="1"/>
    <col min="2542" max="2784" width="6.625" style="5"/>
    <col min="2785" max="2797" width="8.75" style="5" customWidth="1"/>
    <col min="2798" max="3040" width="6.625" style="5"/>
    <col min="3041" max="3053" width="8.75" style="5" customWidth="1"/>
    <col min="3054" max="3296" width="6.625" style="5"/>
    <col min="3297" max="3309" width="8.75" style="5" customWidth="1"/>
    <col min="3310" max="3552" width="6.625" style="5"/>
    <col min="3553" max="3565" width="8.75" style="5" customWidth="1"/>
    <col min="3566" max="3808" width="6.625" style="5"/>
    <col min="3809" max="3821" width="8.75" style="5" customWidth="1"/>
    <col min="3822" max="4064" width="6.625" style="5"/>
    <col min="4065" max="4077" width="8.75" style="5" customWidth="1"/>
    <col min="4078" max="4320" width="6.625" style="5"/>
    <col min="4321" max="4333" width="8.75" style="5" customWidth="1"/>
    <col min="4334" max="4576" width="6.625" style="5"/>
    <col min="4577" max="4589" width="8.75" style="5" customWidth="1"/>
    <col min="4590" max="4832" width="6.625" style="5"/>
    <col min="4833" max="4845" width="8.75" style="5" customWidth="1"/>
    <col min="4846" max="5088" width="6.625" style="5"/>
    <col min="5089" max="5101" width="8.75" style="5" customWidth="1"/>
    <col min="5102" max="5344" width="6.625" style="5"/>
    <col min="5345" max="5357" width="8.75" style="5" customWidth="1"/>
    <col min="5358" max="5600" width="6.625" style="5"/>
    <col min="5601" max="5613" width="8.75" style="5" customWidth="1"/>
    <col min="5614" max="5856" width="6.625" style="5"/>
    <col min="5857" max="5869" width="8.75" style="5" customWidth="1"/>
    <col min="5870" max="6112" width="6.625" style="5"/>
    <col min="6113" max="6125" width="8.75" style="5" customWidth="1"/>
    <col min="6126" max="6368" width="6.625" style="5"/>
    <col min="6369" max="6381" width="8.75" style="5" customWidth="1"/>
    <col min="6382" max="6624" width="6.625" style="5"/>
    <col min="6625" max="6637" width="8.75" style="5" customWidth="1"/>
    <col min="6638" max="6880" width="6.625" style="5"/>
    <col min="6881" max="6893" width="8.75" style="5" customWidth="1"/>
    <col min="6894" max="7136" width="6.625" style="5"/>
    <col min="7137" max="7149" width="8.75" style="5" customWidth="1"/>
    <col min="7150" max="7392" width="6.625" style="5"/>
    <col min="7393" max="7405" width="8.75" style="5" customWidth="1"/>
    <col min="7406" max="7648" width="6.625" style="5"/>
    <col min="7649" max="7661" width="8.75" style="5" customWidth="1"/>
    <col min="7662" max="7904" width="6.625" style="5"/>
    <col min="7905" max="7917" width="8.75" style="5" customWidth="1"/>
    <col min="7918" max="8160" width="6.625" style="5"/>
    <col min="8161" max="8173" width="8.75" style="5" customWidth="1"/>
    <col min="8174" max="8416" width="6.625" style="5"/>
    <col min="8417" max="8429" width="8.75" style="5" customWidth="1"/>
    <col min="8430" max="8672" width="6.625" style="5"/>
    <col min="8673" max="8685" width="8.75" style="5" customWidth="1"/>
    <col min="8686" max="8928" width="6.625" style="5"/>
    <col min="8929" max="8941" width="8.75" style="5" customWidth="1"/>
    <col min="8942" max="9184" width="6.625" style="5"/>
    <col min="9185" max="9197" width="8.75" style="5" customWidth="1"/>
    <col min="9198" max="9440" width="6.625" style="5"/>
    <col min="9441" max="9453" width="8.75" style="5" customWidth="1"/>
    <col min="9454" max="9696" width="6.625" style="5"/>
    <col min="9697" max="9709" width="8.75" style="5" customWidth="1"/>
    <col min="9710" max="9952" width="6.625" style="5"/>
    <col min="9953" max="9965" width="8.75" style="5" customWidth="1"/>
    <col min="9966" max="10208" width="6.625" style="5"/>
    <col min="10209" max="10221" width="8.75" style="5" customWidth="1"/>
    <col min="10222" max="10464" width="6.625" style="5"/>
    <col min="10465" max="10477" width="8.75" style="5" customWidth="1"/>
    <col min="10478" max="10720" width="6.625" style="5"/>
    <col min="10721" max="10733" width="8.75" style="5" customWidth="1"/>
    <col min="10734" max="10976" width="6.625" style="5"/>
    <col min="10977" max="10989" width="8.75" style="5" customWidth="1"/>
    <col min="10990" max="11232" width="6.625" style="5"/>
    <col min="11233" max="11245" width="8.75" style="5" customWidth="1"/>
    <col min="11246" max="11488" width="6.625" style="5"/>
    <col min="11489" max="11501" width="8.75" style="5" customWidth="1"/>
    <col min="11502" max="11744" width="6.625" style="5"/>
    <col min="11745" max="11757" width="8.75" style="5" customWidth="1"/>
    <col min="11758" max="12000" width="6.625" style="5"/>
    <col min="12001" max="12013" width="8.75" style="5" customWidth="1"/>
    <col min="12014" max="12256" width="6.625" style="5"/>
    <col min="12257" max="12269" width="8.75" style="5" customWidth="1"/>
    <col min="12270" max="12512" width="6.625" style="5"/>
    <col min="12513" max="12525" width="8.75" style="5" customWidth="1"/>
    <col min="12526" max="12768" width="6.625" style="5"/>
    <col min="12769" max="12781" width="8.75" style="5" customWidth="1"/>
    <col min="12782" max="13024" width="6.625" style="5"/>
    <col min="13025" max="13037" width="8.75" style="5" customWidth="1"/>
    <col min="13038" max="13280" width="6.625" style="5"/>
    <col min="13281" max="13293" width="8.75" style="5" customWidth="1"/>
    <col min="13294" max="13536" width="6.625" style="5"/>
    <col min="13537" max="13549" width="8.75" style="5" customWidth="1"/>
    <col min="13550" max="13792" width="6.625" style="5"/>
    <col min="13793" max="13805" width="8.75" style="5" customWidth="1"/>
    <col min="13806" max="14048" width="6.625" style="5"/>
    <col min="14049" max="14061" width="8.75" style="5" customWidth="1"/>
    <col min="14062" max="14304" width="6.625" style="5"/>
    <col min="14305" max="14317" width="8.75" style="5" customWidth="1"/>
    <col min="14318" max="14560" width="6.625" style="5"/>
    <col min="14561" max="14573" width="8.75" style="5" customWidth="1"/>
    <col min="14574" max="14816" width="6.625" style="5"/>
    <col min="14817" max="14829" width="8.75" style="5" customWidth="1"/>
    <col min="14830" max="15072" width="6.625" style="5"/>
    <col min="15073" max="15085" width="8.75" style="5" customWidth="1"/>
    <col min="15086" max="15328" width="6.625" style="5"/>
    <col min="15329" max="15341" width="8.75" style="5" customWidth="1"/>
    <col min="15342" max="15584" width="6.625" style="5"/>
    <col min="15585" max="15597" width="8.75" style="5" customWidth="1"/>
    <col min="15598" max="15840" width="6.625" style="5"/>
    <col min="15841" max="15853" width="8.75" style="5" customWidth="1"/>
    <col min="15854" max="16096" width="6.625" style="5"/>
    <col min="16097" max="16109" width="8.75" style="5" customWidth="1"/>
    <col min="16110" max="16384" width="6.625" style="5"/>
  </cols>
  <sheetData>
    <row r="1" spans="1:20" x14ac:dyDescent="0.15">
      <c r="A1" s="185" t="s">
        <v>172</v>
      </c>
      <c r="B1" s="186"/>
      <c r="C1" s="186"/>
      <c r="D1" s="186"/>
      <c r="E1" s="186"/>
      <c r="F1" s="187" t="s">
        <v>173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8"/>
    </row>
    <row r="2" spans="1:20" x14ac:dyDescent="0.15">
      <c r="A2" s="189">
        <v>1</v>
      </c>
      <c r="B2" s="175">
        <v>0.56000000000000005</v>
      </c>
      <c r="C2" s="175">
        <v>0.2</v>
      </c>
      <c r="D2" s="175">
        <v>0.03</v>
      </c>
      <c r="E2" s="175">
        <v>0.21</v>
      </c>
      <c r="F2" s="190">
        <v>7.06</v>
      </c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91"/>
    </row>
    <row r="3" spans="1:20" x14ac:dyDescent="0.15">
      <c r="A3" s="189">
        <v>1</v>
      </c>
      <c r="B3" s="175">
        <v>0.57999999999999996</v>
      </c>
      <c r="C3" s="175">
        <v>0.17</v>
      </c>
      <c r="D3" s="175">
        <v>0.03</v>
      </c>
      <c r="E3" s="175">
        <v>0.22</v>
      </c>
      <c r="F3" s="190">
        <v>7.17</v>
      </c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91"/>
    </row>
    <row r="4" spans="1:20" x14ac:dyDescent="0.15">
      <c r="A4" s="189">
        <v>1</v>
      </c>
      <c r="B4" s="175">
        <v>0.52</v>
      </c>
      <c r="C4" s="175">
        <v>0.23</v>
      </c>
      <c r="D4" s="175">
        <v>0.03</v>
      </c>
      <c r="E4" s="175">
        <v>0.22</v>
      </c>
      <c r="F4" s="190">
        <v>6.92</v>
      </c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91"/>
    </row>
    <row r="5" spans="1:20" x14ac:dyDescent="0.15">
      <c r="A5" s="189">
        <v>1</v>
      </c>
      <c r="B5" s="175">
        <v>0.52</v>
      </c>
      <c r="C5" s="175">
        <v>0.18</v>
      </c>
      <c r="D5" s="175">
        <v>0.03</v>
      </c>
      <c r="E5" s="175">
        <v>0.27</v>
      </c>
      <c r="F5" s="190">
        <v>7.35</v>
      </c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91"/>
    </row>
    <row r="6" spans="1:20" x14ac:dyDescent="0.15">
      <c r="A6" s="189">
        <v>1</v>
      </c>
      <c r="B6" s="175">
        <v>0.51</v>
      </c>
      <c r="C6" s="175">
        <v>0.15</v>
      </c>
      <c r="D6" s="175">
        <v>0.03</v>
      </c>
      <c r="E6" s="175">
        <v>0.31</v>
      </c>
      <c r="F6" s="190">
        <v>6.67</v>
      </c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91"/>
    </row>
    <row r="7" spans="1:20" x14ac:dyDescent="0.15">
      <c r="A7" s="189">
        <v>1</v>
      </c>
      <c r="B7" s="175">
        <v>0.51</v>
      </c>
      <c r="C7" s="175">
        <v>0.18</v>
      </c>
      <c r="D7" s="175">
        <v>0.03</v>
      </c>
      <c r="E7" s="175">
        <v>0.28000000000000003</v>
      </c>
      <c r="F7" s="190">
        <v>7.56</v>
      </c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91"/>
    </row>
    <row r="8" spans="1:20" x14ac:dyDescent="0.15">
      <c r="A8" s="189">
        <v>1</v>
      </c>
      <c r="B8" s="175">
        <v>0.51</v>
      </c>
      <c r="C8" s="175">
        <v>0.11</v>
      </c>
      <c r="D8" s="175">
        <v>0.1</v>
      </c>
      <c r="E8" s="175">
        <v>0.28000000000000003</v>
      </c>
      <c r="F8" s="190">
        <v>6.94</v>
      </c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91"/>
    </row>
    <row r="9" spans="1:20" x14ac:dyDescent="0.15">
      <c r="A9" s="189">
        <v>1</v>
      </c>
      <c r="B9" s="175">
        <v>0.51</v>
      </c>
      <c r="C9" s="175">
        <v>0.06</v>
      </c>
      <c r="D9" s="175">
        <v>0.1</v>
      </c>
      <c r="E9" s="175">
        <v>0.33</v>
      </c>
      <c r="F9" s="190">
        <v>7.02</v>
      </c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91"/>
    </row>
    <row r="10" spans="1:20" x14ac:dyDescent="0.15">
      <c r="A10" s="189">
        <v>1</v>
      </c>
      <c r="B10" s="175">
        <v>0.51</v>
      </c>
      <c r="C10" s="175">
        <v>0.18</v>
      </c>
      <c r="D10" s="175">
        <v>0.1</v>
      </c>
      <c r="E10" s="175">
        <v>0.21</v>
      </c>
      <c r="F10" s="190">
        <v>6.78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91"/>
    </row>
    <row r="11" spans="1:20" x14ac:dyDescent="0.15">
      <c r="A11" s="189">
        <v>1</v>
      </c>
      <c r="B11" s="175">
        <v>0.51</v>
      </c>
      <c r="C11" s="175">
        <v>0.18</v>
      </c>
      <c r="D11" s="175">
        <v>0.15</v>
      </c>
      <c r="E11" s="175">
        <v>0.16</v>
      </c>
      <c r="F11" s="190">
        <v>6.94</v>
      </c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91"/>
    </row>
    <row r="12" spans="1:20" x14ac:dyDescent="0.15">
      <c r="A12" s="189">
        <v>1</v>
      </c>
      <c r="B12" s="175">
        <v>0.45</v>
      </c>
      <c r="C12" s="175">
        <v>0.21</v>
      </c>
      <c r="D12" s="175">
        <v>0.03</v>
      </c>
      <c r="E12" s="175">
        <v>0.31</v>
      </c>
      <c r="F12" s="190">
        <v>8.1300000000000008</v>
      </c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91"/>
    </row>
    <row r="13" spans="1:20" x14ac:dyDescent="0.15">
      <c r="A13" s="189">
        <v>1</v>
      </c>
      <c r="B13" s="175">
        <v>0.38</v>
      </c>
      <c r="C13" s="175">
        <v>0.14000000000000001</v>
      </c>
      <c r="D13" s="175">
        <v>0.1</v>
      </c>
      <c r="E13" s="175">
        <v>0.38</v>
      </c>
      <c r="F13" s="190">
        <v>8.08</v>
      </c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91"/>
    </row>
    <row r="14" spans="1:20" x14ac:dyDescent="0.15">
      <c r="A14" s="189">
        <v>1</v>
      </c>
      <c r="B14" s="175">
        <v>0.33</v>
      </c>
      <c r="C14" s="175">
        <v>0.09</v>
      </c>
      <c r="D14" s="175">
        <v>0.15</v>
      </c>
      <c r="E14" s="175">
        <v>0.43</v>
      </c>
      <c r="F14" s="190">
        <v>8.02</v>
      </c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91"/>
    </row>
    <row r="15" spans="1:20" x14ac:dyDescent="0.15">
      <c r="A15" s="189">
        <v>1</v>
      </c>
      <c r="B15" s="175">
        <v>0.38</v>
      </c>
      <c r="C15" s="175">
        <v>0.21</v>
      </c>
      <c r="D15" s="175">
        <v>0.1</v>
      </c>
      <c r="E15" s="175">
        <v>0.31</v>
      </c>
      <c r="F15" s="190">
        <v>7.91</v>
      </c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91"/>
    </row>
    <row r="16" spans="1:20" x14ac:dyDescent="0.15">
      <c r="A16" s="189">
        <v>1</v>
      </c>
      <c r="B16" s="175">
        <v>0.33</v>
      </c>
      <c r="C16" s="175">
        <v>0.21</v>
      </c>
      <c r="D16" s="175">
        <v>0.15</v>
      </c>
      <c r="E16" s="175">
        <v>0.31</v>
      </c>
      <c r="F16" s="190">
        <v>7.56</v>
      </c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91"/>
    </row>
    <row r="17" spans="1:20" x14ac:dyDescent="0.15">
      <c r="A17" s="189">
        <v>1</v>
      </c>
      <c r="B17" s="175">
        <v>0.44</v>
      </c>
      <c r="C17" s="175">
        <v>0.15</v>
      </c>
      <c r="D17" s="175">
        <v>0.03</v>
      </c>
      <c r="E17" s="175">
        <v>0.38</v>
      </c>
      <c r="F17" s="190">
        <v>7.18</v>
      </c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91"/>
    </row>
    <row r="18" spans="1:20" x14ac:dyDescent="0.15">
      <c r="A18" s="189">
        <v>1</v>
      </c>
      <c r="B18" s="175">
        <v>0.44</v>
      </c>
      <c r="C18" s="175">
        <v>0.08</v>
      </c>
      <c r="D18" s="175">
        <v>0.1</v>
      </c>
      <c r="E18" s="175">
        <v>0.38</v>
      </c>
      <c r="F18" s="190">
        <v>7.11</v>
      </c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91"/>
    </row>
    <row r="19" spans="1:20" x14ac:dyDescent="0.15">
      <c r="A19" s="189">
        <v>1</v>
      </c>
      <c r="B19" s="175">
        <v>0.51</v>
      </c>
      <c r="C19" s="175">
        <v>0.03</v>
      </c>
      <c r="D19" s="175">
        <v>0.15</v>
      </c>
      <c r="E19" s="175">
        <v>0.31</v>
      </c>
      <c r="F19" s="190">
        <v>6.82</v>
      </c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91"/>
    </row>
    <row r="20" spans="1:20" x14ac:dyDescent="0.15">
      <c r="A20" s="189">
        <v>1</v>
      </c>
      <c r="B20" s="175">
        <v>0.44</v>
      </c>
      <c r="C20" s="175">
        <v>0.15</v>
      </c>
      <c r="D20" s="175">
        <v>0.1</v>
      </c>
      <c r="E20" s="175">
        <v>0.31</v>
      </c>
      <c r="F20" s="190">
        <v>6.8</v>
      </c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91"/>
    </row>
    <row r="21" spans="1:20" x14ac:dyDescent="0.15">
      <c r="A21" s="189">
        <v>1</v>
      </c>
      <c r="B21" s="175">
        <v>0.54</v>
      </c>
      <c r="C21" s="175">
        <v>0.15</v>
      </c>
      <c r="D21" s="175">
        <v>0.15</v>
      </c>
      <c r="E21" s="175">
        <v>0.16</v>
      </c>
      <c r="F21" s="190">
        <v>6.86</v>
      </c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91"/>
    </row>
    <row r="22" spans="1:20" x14ac:dyDescent="0.15">
      <c r="A22" s="189" t="s">
        <v>174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91"/>
    </row>
    <row r="23" spans="1:20" x14ac:dyDescent="0.15">
      <c r="A23" s="189">
        <f t="array" ref="A23:T27">TRANSPOSE(A2:E21)</f>
        <v>1</v>
      </c>
      <c r="B23" s="175">
        <v>1</v>
      </c>
      <c r="C23" s="175">
        <v>1</v>
      </c>
      <c r="D23" s="175">
        <v>1</v>
      </c>
      <c r="E23" s="175">
        <v>1</v>
      </c>
      <c r="F23" s="175">
        <v>1</v>
      </c>
      <c r="G23" s="175">
        <v>1</v>
      </c>
      <c r="H23" s="175">
        <v>1</v>
      </c>
      <c r="I23" s="175">
        <v>1</v>
      </c>
      <c r="J23" s="175">
        <v>1</v>
      </c>
      <c r="K23" s="175">
        <v>1</v>
      </c>
      <c r="L23" s="175">
        <v>1</v>
      </c>
      <c r="M23" s="175">
        <v>1</v>
      </c>
      <c r="N23" s="175">
        <v>1</v>
      </c>
      <c r="O23" s="175">
        <v>1</v>
      </c>
      <c r="P23" s="175">
        <v>1</v>
      </c>
      <c r="Q23" s="175">
        <v>1</v>
      </c>
      <c r="R23" s="175">
        <v>1</v>
      </c>
      <c r="S23" s="175">
        <v>1</v>
      </c>
      <c r="T23" s="191">
        <v>1</v>
      </c>
    </row>
    <row r="24" spans="1:20" x14ac:dyDescent="0.15">
      <c r="A24" s="189">
        <v>0.56000000000000005</v>
      </c>
      <c r="B24" s="175">
        <v>0.57999999999999996</v>
      </c>
      <c r="C24" s="175">
        <v>0.52</v>
      </c>
      <c r="D24" s="175">
        <v>0.52</v>
      </c>
      <c r="E24" s="175">
        <v>0.51</v>
      </c>
      <c r="F24" s="175">
        <v>0.51</v>
      </c>
      <c r="G24" s="175">
        <v>0.51</v>
      </c>
      <c r="H24" s="175">
        <v>0.51</v>
      </c>
      <c r="I24" s="175">
        <v>0.51</v>
      </c>
      <c r="J24" s="175">
        <v>0.51</v>
      </c>
      <c r="K24" s="175">
        <v>0.45</v>
      </c>
      <c r="L24" s="175">
        <v>0.38</v>
      </c>
      <c r="M24" s="175">
        <v>0.33</v>
      </c>
      <c r="N24" s="175">
        <v>0.38</v>
      </c>
      <c r="O24" s="175">
        <v>0.33</v>
      </c>
      <c r="P24" s="175">
        <v>0.44</v>
      </c>
      <c r="Q24" s="175">
        <v>0.44</v>
      </c>
      <c r="R24" s="175">
        <v>0.51</v>
      </c>
      <c r="S24" s="175">
        <v>0.44</v>
      </c>
      <c r="T24" s="191">
        <v>0.54</v>
      </c>
    </row>
    <row r="25" spans="1:20" x14ac:dyDescent="0.15">
      <c r="A25" s="189">
        <v>0.2</v>
      </c>
      <c r="B25" s="175">
        <v>0.17</v>
      </c>
      <c r="C25" s="175">
        <v>0.23</v>
      </c>
      <c r="D25" s="175">
        <v>0.18</v>
      </c>
      <c r="E25" s="175">
        <v>0.15</v>
      </c>
      <c r="F25" s="175">
        <v>0.18</v>
      </c>
      <c r="G25" s="175">
        <v>0.11</v>
      </c>
      <c r="H25" s="175">
        <v>0.06</v>
      </c>
      <c r="I25" s="175">
        <v>0.18</v>
      </c>
      <c r="J25" s="175">
        <v>0.18</v>
      </c>
      <c r="K25" s="175">
        <v>0.21</v>
      </c>
      <c r="L25" s="175">
        <v>0.14000000000000001</v>
      </c>
      <c r="M25" s="175">
        <v>0.09</v>
      </c>
      <c r="N25" s="175">
        <v>0.21</v>
      </c>
      <c r="O25" s="175">
        <v>0.21</v>
      </c>
      <c r="P25" s="175">
        <v>0.15</v>
      </c>
      <c r="Q25" s="175">
        <v>0.08</v>
      </c>
      <c r="R25" s="175">
        <v>0.03</v>
      </c>
      <c r="S25" s="175">
        <v>0.15</v>
      </c>
      <c r="T25" s="191">
        <v>0.15</v>
      </c>
    </row>
    <row r="26" spans="1:20" x14ac:dyDescent="0.15">
      <c r="A26" s="189">
        <v>0.03</v>
      </c>
      <c r="B26" s="175">
        <v>0.03</v>
      </c>
      <c r="C26" s="175">
        <v>0.03</v>
      </c>
      <c r="D26" s="175">
        <v>0.03</v>
      </c>
      <c r="E26" s="175">
        <v>0.03</v>
      </c>
      <c r="F26" s="175">
        <v>0.03</v>
      </c>
      <c r="G26" s="175">
        <v>0.1</v>
      </c>
      <c r="H26" s="175">
        <v>0.1</v>
      </c>
      <c r="I26" s="175">
        <v>0.1</v>
      </c>
      <c r="J26" s="175">
        <v>0.15</v>
      </c>
      <c r="K26" s="175">
        <v>0.03</v>
      </c>
      <c r="L26" s="175">
        <v>0.1</v>
      </c>
      <c r="M26" s="175">
        <v>0.15</v>
      </c>
      <c r="N26" s="175">
        <v>0.1</v>
      </c>
      <c r="O26" s="175">
        <v>0.15</v>
      </c>
      <c r="P26" s="175">
        <v>0.03</v>
      </c>
      <c r="Q26" s="175">
        <v>0.1</v>
      </c>
      <c r="R26" s="175">
        <v>0.15</v>
      </c>
      <c r="S26" s="175">
        <v>0.1</v>
      </c>
      <c r="T26" s="191">
        <v>0.15</v>
      </c>
    </row>
    <row r="27" spans="1:20" x14ac:dyDescent="0.15">
      <c r="A27" s="189">
        <v>0.21</v>
      </c>
      <c r="B27" s="175">
        <v>0.22</v>
      </c>
      <c r="C27" s="175">
        <v>0.22</v>
      </c>
      <c r="D27" s="175">
        <v>0.27</v>
      </c>
      <c r="E27" s="175">
        <v>0.31</v>
      </c>
      <c r="F27" s="175">
        <v>0.28000000000000003</v>
      </c>
      <c r="G27" s="175">
        <v>0.28000000000000003</v>
      </c>
      <c r="H27" s="175">
        <v>0.33</v>
      </c>
      <c r="I27" s="175">
        <v>0.21</v>
      </c>
      <c r="J27" s="175">
        <v>0.16</v>
      </c>
      <c r="K27" s="175">
        <v>0.31</v>
      </c>
      <c r="L27" s="175">
        <v>0.38</v>
      </c>
      <c r="M27" s="175">
        <v>0.43</v>
      </c>
      <c r="N27" s="175">
        <v>0.31</v>
      </c>
      <c r="O27" s="175">
        <v>0.31</v>
      </c>
      <c r="P27" s="175">
        <v>0.38</v>
      </c>
      <c r="Q27" s="175">
        <v>0.38</v>
      </c>
      <c r="R27" s="175">
        <v>0.31</v>
      </c>
      <c r="S27" s="175">
        <v>0.31</v>
      </c>
      <c r="T27" s="191">
        <v>0.16</v>
      </c>
    </row>
    <row r="28" spans="1:20" x14ac:dyDescent="0.15">
      <c r="A28" s="189" t="s">
        <v>175</v>
      </c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91"/>
    </row>
    <row r="29" spans="1:20" x14ac:dyDescent="0.15">
      <c r="A29" s="189">
        <f t="array" ref="A29:E33">MMULT(A23:T27,A2:E21)</f>
        <v>20</v>
      </c>
      <c r="B29" s="175">
        <v>9.48</v>
      </c>
      <c r="C29" s="175">
        <v>3.0599999999999996</v>
      </c>
      <c r="D29" s="175">
        <v>1.69</v>
      </c>
      <c r="E29" s="175">
        <v>5.77</v>
      </c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91"/>
    </row>
    <row r="30" spans="1:20" x14ac:dyDescent="0.15">
      <c r="A30" s="189">
        <v>9.48</v>
      </c>
      <c r="B30" s="175">
        <v>4.5930000000000009</v>
      </c>
      <c r="C30" s="175">
        <v>1.4524000000000001</v>
      </c>
      <c r="D30" s="175">
        <v>0.77270000000000005</v>
      </c>
      <c r="E30" s="175">
        <v>2.6618999999999997</v>
      </c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91"/>
    </row>
    <row r="31" spans="1:20" x14ac:dyDescent="0.15">
      <c r="A31" s="189">
        <v>3.0599999999999996</v>
      </c>
      <c r="B31" s="175">
        <v>1.4524000000000001</v>
      </c>
      <c r="C31" s="175">
        <v>0.52439999999999987</v>
      </c>
      <c r="D31" s="175">
        <v>0.2361</v>
      </c>
      <c r="E31" s="175">
        <v>0.84709999999999985</v>
      </c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91"/>
    </row>
    <row r="32" spans="1:20" x14ac:dyDescent="0.15">
      <c r="A32" s="189">
        <v>1.69</v>
      </c>
      <c r="B32" s="175">
        <v>0.77270000000000005</v>
      </c>
      <c r="C32" s="175">
        <v>0.2361</v>
      </c>
      <c r="D32" s="175">
        <v>0.18969999999999998</v>
      </c>
      <c r="E32" s="175">
        <v>0.49150000000000005</v>
      </c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91"/>
    </row>
    <row r="33" spans="1:20" x14ac:dyDescent="0.15">
      <c r="A33" s="189">
        <v>5.77</v>
      </c>
      <c r="B33" s="175">
        <v>2.6618999999999997</v>
      </c>
      <c r="C33" s="175">
        <v>0.84709999999999985</v>
      </c>
      <c r="D33" s="175">
        <v>0.49150000000000005</v>
      </c>
      <c r="E33" s="175">
        <v>1.7695000000000005</v>
      </c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91"/>
    </row>
    <row r="34" spans="1:20" x14ac:dyDescent="0.15">
      <c r="A34" s="189" t="s">
        <v>177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91"/>
    </row>
    <row r="35" spans="1:20" x14ac:dyDescent="0.15">
      <c r="A35" s="189">
        <f t="array" ref="A35:E39">MINVERSE(A29:E33)</f>
        <v>496093590622563.13</v>
      </c>
      <c r="B35" s="175">
        <v>-496093590622562.63</v>
      </c>
      <c r="C35" s="175">
        <v>-496093590622564.38</v>
      </c>
      <c r="D35" s="175">
        <v>-496093590622563.5</v>
      </c>
      <c r="E35" s="175">
        <v>-496093590622563.38</v>
      </c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91"/>
    </row>
    <row r="36" spans="1:20" x14ac:dyDescent="0.15">
      <c r="A36" s="189">
        <v>-496093590622564.75</v>
      </c>
      <c r="B36" s="175">
        <v>496093590622567.56</v>
      </c>
      <c r="C36" s="175">
        <v>496093590622561.13</v>
      </c>
      <c r="D36" s="175">
        <v>496093590622563.19</v>
      </c>
      <c r="E36" s="175">
        <v>496093590622562.94</v>
      </c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91"/>
    </row>
    <row r="37" spans="1:20" x14ac:dyDescent="0.15">
      <c r="A37" s="189">
        <v>-496093590622560.31</v>
      </c>
      <c r="B37" s="175">
        <v>496093590622554.75</v>
      </c>
      <c r="C37" s="175">
        <v>496093590622577.38</v>
      </c>
      <c r="D37" s="175">
        <v>496093590622563.44</v>
      </c>
      <c r="E37" s="175">
        <v>496093590622559.5</v>
      </c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91"/>
    </row>
    <row r="38" spans="1:20" x14ac:dyDescent="0.15">
      <c r="A38" s="189">
        <v>-496093590622562.25</v>
      </c>
      <c r="B38" s="175">
        <v>496093590622559.75</v>
      </c>
      <c r="C38" s="175">
        <v>496093590622566.44</v>
      </c>
      <c r="D38" s="175">
        <v>496093590622582.63</v>
      </c>
      <c r="E38" s="175">
        <v>496093590622558.56</v>
      </c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91"/>
    </row>
    <row r="39" spans="1:20" ht="14.25" thickBot="1" x14ac:dyDescent="0.2">
      <c r="A39" s="200">
        <v>-496093590622562.19</v>
      </c>
      <c r="B39" s="198">
        <v>496093590622559.56</v>
      </c>
      <c r="C39" s="198">
        <v>496093590622562.56</v>
      </c>
      <c r="D39" s="198">
        <v>496093590622558.56</v>
      </c>
      <c r="E39" s="198">
        <v>496093590622567.56</v>
      </c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9"/>
    </row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L39"/>
  <sheetViews>
    <sheetView zoomScale="115" zoomScaleNormal="115" workbookViewId="0"/>
  </sheetViews>
  <sheetFormatPr defaultColWidth="9" defaultRowHeight="13.5" x14ac:dyDescent="0.15"/>
  <cols>
    <col min="1" max="1" width="2.625" style="6" customWidth="1"/>
    <col min="2" max="5" width="9" style="6"/>
    <col min="6" max="7" width="15.5" style="6" bestFit="1" customWidth="1"/>
    <col min="8" max="8" width="12.625" style="6" customWidth="1"/>
    <col min="9" max="256" width="9" style="6"/>
    <col min="257" max="257" width="2.625" style="6" customWidth="1"/>
    <col min="258" max="261" width="9" style="6"/>
    <col min="262" max="263" width="15.5" style="6" bestFit="1" customWidth="1"/>
    <col min="264" max="264" width="12.625" style="6" customWidth="1"/>
    <col min="265" max="512" width="9" style="6"/>
    <col min="513" max="513" width="2.625" style="6" customWidth="1"/>
    <col min="514" max="517" width="9" style="6"/>
    <col min="518" max="519" width="15.5" style="6" bestFit="1" customWidth="1"/>
    <col min="520" max="520" width="12.625" style="6" customWidth="1"/>
    <col min="521" max="768" width="9" style="6"/>
    <col min="769" max="769" width="2.625" style="6" customWidth="1"/>
    <col min="770" max="773" width="9" style="6"/>
    <col min="774" max="775" width="15.5" style="6" bestFit="1" customWidth="1"/>
    <col min="776" max="776" width="12.625" style="6" customWidth="1"/>
    <col min="777" max="1024" width="9" style="6"/>
    <col min="1025" max="1025" width="2.625" style="6" customWidth="1"/>
    <col min="1026" max="1029" width="9" style="6"/>
    <col min="1030" max="1031" width="15.5" style="6" bestFit="1" customWidth="1"/>
    <col min="1032" max="1032" width="12.625" style="6" customWidth="1"/>
    <col min="1033" max="1280" width="9" style="6"/>
    <col min="1281" max="1281" width="2.625" style="6" customWidth="1"/>
    <col min="1282" max="1285" width="9" style="6"/>
    <col min="1286" max="1287" width="15.5" style="6" bestFit="1" customWidth="1"/>
    <col min="1288" max="1288" width="12.625" style="6" customWidth="1"/>
    <col min="1289" max="1536" width="9" style="6"/>
    <col min="1537" max="1537" width="2.625" style="6" customWidth="1"/>
    <col min="1538" max="1541" width="9" style="6"/>
    <col min="1542" max="1543" width="15.5" style="6" bestFit="1" customWidth="1"/>
    <col min="1544" max="1544" width="12.625" style="6" customWidth="1"/>
    <col min="1545" max="1792" width="9" style="6"/>
    <col min="1793" max="1793" width="2.625" style="6" customWidth="1"/>
    <col min="1794" max="1797" width="9" style="6"/>
    <col min="1798" max="1799" width="15.5" style="6" bestFit="1" customWidth="1"/>
    <col min="1800" max="1800" width="12.625" style="6" customWidth="1"/>
    <col min="1801" max="2048" width="9" style="6"/>
    <col min="2049" max="2049" width="2.625" style="6" customWidth="1"/>
    <col min="2050" max="2053" width="9" style="6"/>
    <col min="2054" max="2055" width="15.5" style="6" bestFit="1" customWidth="1"/>
    <col min="2056" max="2056" width="12.625" style="6" customWidth="1"/>
    <col min="2057" max="2304" width="9" style="6"/>
    <col min="2305" max="2305" width="2.625" style="6" customWidth="1"/>
    <col min="2306" max="2309" width="9" style="6"/>
    <col min="2310" max="2311" width="15.5" style="6" bestFit="1" customWidth="1"/>
    <col min="2312" max="2312" width="12.625" style="6" customWidth="1"/>
    <col min="2313" max="2560" width="9" style="6"/>
    <col min="2561" max="2561" width="2.625" style="6" customWidth="1"/>
    <col min="2562" max="2565" width="9" style="6"/>
    <col min="2566" max="2567" width="15.5" style="6" bestFit="1" customWidth="1"/>
    <col min="2568" max="2568" width="12.625" style="6" customWidth="1"/>
    <col min="2569" max="2816" width="9" style="6"/>
    <col min="2817" max="2817" width="2.625" style="6" customWidth="1"/>
    <col min="2818" max="2821" width="9" style="6"/>
    <col min="2822" max="2823" width="15.5" style="6" bestFit="1" customWidth="1"/>
    <col min="2824" max="2824" width="12.625" style="6" customWidth="1"/>
    <col min="2825" max="3072" width="9" style="6"/>
    <col min="3073" max="3073" width="2.625" style="6" customWidth="1"/>
    <col min="3074" max="3077" width="9" style="6"/>
    <col min="3078" max="3079" width="15.5" style="6" bestFit="1" customWidth="1"/>
    <col min="3080" max="3080" width="12.625" style="6" customWidth="1"/>
    <col min="3081" max="3328" width="9" style="6"/>
    <col min="3329" max="3329" width="2.625" style="6" customWidth="1"/>
    <col min="3330" max="3333" width="9" style="6"/>
    <col min="3334" max="3335" width="15.5" style="6" bestFit="1" customWidth="1"/>
    <col min="3336" max="3336" width="12.625" style="6" customWidth="1"/>
    <col min="3337" max="3584" width="9" style="6"/>
    <col min="3585" max="3585" width="2.625" style="6" customWidth="1"/>
    <col min="3586" max="3589" width="9" style="6"/>
    <col min="3590" max="3591" width="15.5" style="6" bestFit="1" customWidth="1"/>
    <col min="3592" max="3592" width="12.625" style="6" customWidth="1"/>
    <col min="3593" max="3840" width="9" style="6"/>
    <col min="3841" max="3841" width="2.625" style="6" customWidth="1"/>
    <col min="3842" max="3845" width="9" style="6"/>
    <col min="3846" max="3847" width="15.5" style="6" bestFit="1" customWidth="1"/>
    <col min="3848" max="3848" width="12.625" style="6" customWidth="1"/>
    <col min="3849" max="4096" width="9" style="6"/>
    <col min="4097" max="4097" width="2.625" style="6" customWidth="1"/>
    <col min="4098" max="4101" width="9" style="6"/>
    <col min="4102" max="4103" width="15.5" style="6" bestFit="1" customWidth="1"/>
    <col min="4104" max="4104" width="12.625" style="6" customWidth="1"/>
    <col min="4105" max="4352" width="9" style="6"/>
    <col min="4353" max="4353" width="2.625" style="6" customWidth="1"/>
    <col min="4354" max="4357" width="9" style="6"/>
    <col min="4358" max="4359" width="15.5" style="6" bestFit="1" customWidth="1"/>
    <col min="4360" max="4360" width="12.625" style="6" customWidth="1"/>
    <col min="4361" max="4608" width="9" style="6"/>
    <col min="4609" max="4609" width="2.625" style="6" customWidth="1"/>
    <col min="4610" max="4613" width="9" style="6"/>
    <col min="4614" max="4615" width="15.5" style="6" bestFit="1" customWidth="1"/>
    <col min="4616" max="4616" width="12.625" style="6" customWidth="1"/>
    <col min="4617" max="4864" width="9" style="6"/>
    <col min="4865" max="4865" width="2.625" style="6" customWidth="1"/>
    <col min="4866" max="4869" width="9" style="6"/>
    <col min="4870" max="4871" width="15.5" style="6" bestFit="1" customWidth="1"/>
    <col min="4872" max="4872" width="12.625" style="6" customWidth="1"/>
    <col min="4873" max="5120" width="9" style="6"/>
    <col min="5121" max="5121" width="2.625" style="6" customWidth="1"/>
    <col min="5122" max="5125" width="9" style="6"/>
    <col min="5126" max="5127" width="15.5" style="6" bestFit="1" customWidth="1"/>
    <col min="5128" max="5128" width="12.625" style="6" customWidth="1"/>
    <col min="5129" max="5376" width="9" style="6"/>
    <col min="5377" max="5377" width="2.625" style="6" customWidth="1"/>
    <col min="5378" max="5381" width="9" style="6"/>
    <col min="5382" max="5383" width="15.5" style="6" bestFit="1" customWidth="1"/>
    <col min="5384" max="5384" width="12.625" style="6" customWidth="1"/>
    <col min="5385" max="5632" width="9" style="6"/>
    <col min="5633" max="5633" width="2.625" style="6" customWidth="1"/>
    <col min="5634" max="5637" width="9" style="6"/>
    <col min="5638" max="5639" width="15.5" style="6" bestFit="1" customWidth="1"/>
    <col min="5640" max="5640" width="12.625" style="6" customWidth="1"/>
    <col min="5641" max="5888" width="9" style="6"/>
    <col min="5889" max="5889" width="2.625" style="6" customWidth="1"/>
    <col min="5890" max="5893" width="9" style="6"/>
    <col min="5894" max="5895" width="15.5" style="6" bestFit="1" customWidth="1"/>
    <col min="5896" max="5896" width="12.625" style="6" customWidth="1"/>
    <col min="5897" max="6144" width="9" style="6"/>
    <col min="6145" max="6145" width="2.625" style="6" customWidth="1"/>
    <col min="6146" max="6149" width="9" style="6"/>
    <col min="6150" max="6151" width="15.5" style="6" bestFit="1" customWidth="1"/>
    <col min="6152" max="6152" width="12.625" style="6" customWidth="1"/>
    <col min="6153" max="6400" width="9" style="6"/>
    <col min="6401" max="6401" width="2.625" style="6" customWidth="1"/>
    <col min="6402" max="6405" width="9" style="6"/>
    <col min="6406" max="6407" width="15.5" style="6" bestFit="1" customWidth="1"/>
    <col min="6408" max="6408" width="12.625" style="6" customWidth="1"/>
    <col min="6409" max="6656" width="9" style="6"/>
    <col min="6657" max="6657" width="2.625" style="6" customWidth="1"/>
    <col min="6658" max="6661" width="9" style="6"/>
    <col min="6662" max="6663" width="15.5" style="6" bestFit="1" customWidth="1"/>
    <col min="6664" max="6664" width="12.625" style="6" customWidth="1"/>
    <col min="6665" max="6912" width="9" style="6"/>
    <col min="6913" max="6913" width="2.625" style="6" customWidth="1"/>
    <col min="6914" max="6917" width="9" style="6"/>
    <col min="6918" max="6919" width="15.5" style="6" bestFit="1" customWidth="1"/>
    <col min="6920" max="6920" width="12.625" style="6" customWidth="1"/>
    <col min="6921" max="7168" width="9" style="6"/>
    <col min="7169" max="7169" width="2.625" style="6" customWidth="1"/>
    <col min="7170" max="7173" width="9" style="6"/>
    <col min="7174" max="7175" width="15.5" style="6" bestFit="1" customWidth="1"/>
    <col min="7176" max="7176" width="12.625" style="6" customWidth="1"/>
    <col min="7177" max="7424" width="9" style="6"/>
    <col min="7425" max="7425" width="2.625" style="6" customWidth="1"/>
    <col min="7426" max="7429" width="9" style="6"/>
    <col min="7430" max="7431" width="15.5" style="6" bestFit="1" customWidth="1"/>
    <col min="7432" max="7432" width="12.625" style="6" customWidth="1"/>
    <col min="7433" max="7680" width="9" style="6"/>
    <col min="7681" max="7681" width="2.625" style="6" customWidth="1"/>
    <col min="7682" max="7685" width="9" style="6"/>
    <col min="7686" max="7687" width="15.5" style="6" bestFit="1" customWidth="1"/>
    <col min="7688" max="7688" width="12.625" style="6" customWidth="1"/>
    <col min="7689" max="7936" width="9" style="6"/>
    <col min="7937" max="7937" width="2.625" style="6" customWidth="1"/>
    <col min="7938" max="7941" width="9" style="6"/>
    <col min="7942" max="7943" width="15.5" style="6" bestFit="1" customWidth="1"/>
    <col min="7944" max="7944" width="12.625" style="6" customWidth="1"/>
    <col min="7945" max="8192" width="9" style="6"/>
    <col min="8193" max="8193" width="2.625" style="6" customWidth="1"/>
    <col min="8194" max="8197" width="9" style="6"/>
    <col min="8198" max="8199" width="15.5" style="6" bestFit="1" customWidth="1"/>
    <col min="8200" max="8200" width="12.625" style="6" customWidth="1"/>
    <col min="8201" max="8448" width="9" style="6"/>
    <col min="8449" max="8449" width="2.625" style="6" customWidth="1"/>
    <col min="8450" max="8453" width="9" style="6"/>
    <col min="8454" max="8455" width="15.5" style="6" bestFit="1" customWidth="1"/>
    <col min="8456" max="8456" width="12.625" style="6" customWidth="1"/>
    <col min="8457" max="8704" width="9" style="6"/>
    <col min="8705" max="8705" width="2.625" style="6" customWidth="1"/>
    <col min="8706" max="8709" width="9" style="6"/>
    <col min="8710" max="8711" width="15.5" style="6" bestFit="1" customWidth="1"/>
    <col min="8712" max="8712" width="12.625" style="6" customWidth="1"/>
    <col min="8713" max="8960" width="9" style="6"/>
    <col min="8961" max="8961" width="2.625" style="6" customWidth="1"/>
    <col min="8962" max="8965" width="9" style="6"/>
    <col min="8966" max="8967" width="15.5" style="6" bestFit="1" customWidth="1"/>
    <col min="8968" max="8968" width="12.625" style="6" customWidth="1"/>
    <col min="8969" max="9216" width="9" style="6"/>
    <col min="9217" max="9217" width="2.625" style="6" customWidth="1"/>
    <col min="9218" max="9221" width="9" style="6"/>
    <col min="9222" max="9223" width="15.5" style="6" bestFit="1" customWidth="1"/>
    <col min="9224" max="9224" width="12.625" style="6" customWidth="1"/>
    <col min="9225" max="9472" width="9" style="6"/>
    <col min="9473" max="9473" width="2.625" style="6" customWidth="1"/>
    <col min="9474" max="9477" width="9" style="6"/>
    <col min="9478" max="9479" width="15.5" style="6" bestFit="1" customWidth="1"/>
    <col min="9480" max="9480" width="12.625" style="6" customWidth="1"/>
    <col min="9481" max="9728" width="9" style="6"/>
    <col min="9729" max="9729" width="2.625" style="6" customWidth="1"/>
    <col min="9730" max="9733" width="9" style="6"/>
    <col min="9734" max="9735" width="15.5" style="6" bestFit="1" customWidth="1"/>
    <col min="9736" max="9736" width="12.625" style="6" customWidth="1"/>
    <col min="9737" max="9984" width="9" style="6"/>
    <col min="9985" max="9985" width="2.625" style="6" customWidth="1"/>
    <col min="9986" max="9989" width="9" style="6"/>
    <col min="9990" max="9991" width="15.5" style="6" bestFit="1" customWidth="1"/>
    <col min="9992" max="9992" width="12.625" style="6" customWidth="1"/>
    <col min="9993" max="10240" width="9" style="6"/>
    <col min="10241" max="10241" width="2.625" style="6" customWidth="1"/>
    <col min="10242" max="10245" width="9" style="6"/>
    <col min="10246" max="10247" width="15.5" style="6" bestFit="1" customWidth="1"/>
    <col min="10248" max="10248" width="12.625" style="6" customWidth="1"/>
    <col min="10249" max="10496" width="9" style="6"/>
    <col min="10497" max="10497" width="2.625" style="6" customWidth="1"/>
    <col min="10498" max="10501" width="9" style="6"/>
    <col min="10502" max="10503" width="15.5" style="6" bestFit="1" customWidth="1"/>
    <col min="10504" max="10504" width="12.625" style="6" customWidth="1"/>
    <col min="10505" max="10752" width="9" style="6"/>
    <col min="10753" max="10753" width="2.625" style="6" customWidth="1"/>
    <col min="10754" max="10757" width="9" style="6"/>
    <col min="10758" max="10759" width="15.5" style="6" bestFit="1" customWidth="1"/>
    <col min="10760" max="10760" width="12.625" style="6" customWidth="1"/>
    <col min="10761" max="11008" width="9" style="6"/>
    <col min="11009" max="11009" width="2.625" style="6" customWidth="1"/>
    <col min="11010" max="11013" width="9" style="6"/>
    <col min="11014" max="11015" width="15.5" style="6" bestFit="1" customWidth="1"/>
    <col min="11016" max="11016" width="12.625" style="6" customWidth="1"/>
    <col min="11017" max="11264" width="9" style="6"/>
    <col min="11265" max="11265" width="2.625" style="6" customWidth="1"/>
    <col min="11266" max="11269" width="9" style="6"/>
    <col min="11270" max="11271" width="15.5" style="6" bestFit="1" customWidth="1"/>
    <col min="11272" max="11272" width="12.625" style="6" customWidth="1"/>
    <col min="11273" max="11520" width="9" style="6"/>
    <col min="11521" max="11521" width="2.625" style="6" customWidth="1"/>
    <col min="11522" max="11525" width="9" style="6"/>
    <col min="11526" max="11527" width="15.5" style="6" bestFit="1" customWidth="1"/>
    <col min="11528" max="11528" width="12.625" style="6" customWidth="1"/>
    <col min="11529" max="11776" width="9" style="6"/>
    <col min="11777" max="11777" width="2.625" style="6" customWidth="1"/>
    <col min="11778" max="11781" width="9" style="6"/>
    <col min="11782" max="11783" width="15.5" style="6" bestFit="1" customWidth="1"/>
    <col min="11784" max="11784" width="12.625" style="6" customWidth="1"/>
    <col min="11785" max="12032" width="9" style="6"/>
    <col min="12033" max="12033" width="2.625" style="6" customWidth="1"/>
    <col min="12034" max="12037" width="9" style="6"/>
    <col min="12038" max="12039" width="15.5" style="6" bestFit="1" customWidth="1"/>
    <col min="12040" max="12040" width="12.625" style="6" customWidth="1"/>
    <col min="12041" max="12288" width="9" style="6"/>
    <col min="12289" max="12289" width="2.625" style="6" customWidth="1"/>
    <col min="12290" max="12293" width="9" style="6"/>
    <col min="12294" max="12295" width="15.5" style="6" bestFit="1" customWidth="1"/>
    <col min="12296" max="12296" width="12.625" style="6" customWidth="1"/>
    <col min="12297" max="12544" width="9" style="6"/>
    <col min="12545" max="12545" width="2.625" style="6" customWidth="1"/>
    <col min="12546" max="12549" width="9" style="6"/>
    <col min="12550" max="12551" width="15.5" style="6" bestFit="1" customWidth="1"/>
    <col min="12552" max="12552" width="12.625" style="6" customWidth="1"/>
    <col min="12553" max="12800" width="9" style="6"/>
    <col min="12801" max="12801" width="2.625" style="6" customWidth="1"/>
    <col min="12802" max="12805" width="9" style="6"/>
    <col min="12806" max="12807" width="15.5" style="6" bestFit="1" customWidth="1"/>
    <col min="12808" max="12808" width="12.625" style="6" customWidth="1"/>
    <col min="12809" max="13056" width="9" style="6"/>
    <col min="13057" max="13057" width="2.625" style="6" customWidth="1"/>
    <col min="13058" max="13061" width="9" style="6"/>
    <col min="13062" max="13063" width="15.5" style="6" bestFit="1" customWidth="1"/>
    <col min="13064" max="13064" width="12.625" style="6" customWidth="1"/>
    <col min="13065" max="13312" width="9" style="6"/>
    <col min="13313" max="13313" width="2.625" style="6" customWidth="1"/>
    <col min="13314" max="13317" width="9" style="6"/>
    <col min="13318" max="13319" width="15.5" style="6" bestFit="1" customWidth="1"/>
    <col min="13320" max="13320" width="12.625" style="6" customWidth="1"/>
    <col min="13321" max="13568" width="9" style="6"/>
    <col min="13569" max="13569" width="2.625" style="6" customWidth="1"/>
    <col min="13570" max="13573" width="9" style="6"/>
    <col min="13574" max="13575" width="15.5" style="6" bestFit="1" customWidth="1"/>
    <col min="13576" max="13576" width="12.625" style="6" customWidth="1"/>
    <col min="13577" max="13824" width="9" style="6"/>
    <col min="13825" max="13825" width="2.625" style="6" customWidth="1"/>
    <col min="13826" max="13829" width="9" style="6"/>
    <col min="13830" max="13831" width="15.5" style="6" bestFit="1" customWidth="1"/>
    <col min="13832" max="13832" width="12.625" style="6" customWidth="1"/>
    <col min="13833" max="14080" width="9" style="6"/>
    <col min="14081" max="14081" width="2.625" style="6" customWidth="1"/>
    <col min="14082" max="14085" width="9" style="6"/>
    <col min="14086" max="14087" width="15.5" style="6" bestFit="1" customWidth="1"/>
    <col min="14088" max="14088" width="12.625" style="6" customWidth="1"/>
    <col min="14089" max="14336" width="9" style="6"/>
    <col min="14337" max="14337" width="2.625" style="6" customWidth="1"/>
    <col min="14338" max="14341" width="9" style="6"/>
    <col min="14342" max="14343" width="15.5" style="6" bestFit="1" customWidth="1"/>
    <col min="14344" max="14344" width="12.625" style="6" customWidth="1"/>
    <col min="14345" max="14592" width="9" style="6"/>
    <col min="14593" max="14593" width="2.625" style="6" customWidth="1"/>
    <col min="14594" max="14597" width="9" style="6"/>
    <col min="14598" max="14599" width="15.5" style="6" bestFit="1" customWidth="1"/>
    <col min="14600" max="14600" width="12.625" style="6" customWidth="1"/>
    <col min="14601" max="14848" width="9" style="6"/>
    <col min="14849" max="14849" width="2.625" style="6" customWidth="1"/>
    <col min="14850" max="14853" width="9" style="6"/>
    <col min="14854" max="14855" width="15.5" style="6" bestFit="1" customWidth="1"/>
    <col min="14856" max="14856" width="12.625" style="6" customWidth="1"/>
    <col min="14857" max="15104" width="9" style="6"/>
    <col min="15105" max="15105" width="2.625" style="6" customWidth="1"/>
    <col min="15106" max="15109" width="9" style="6"/>
    <col min="15110" max="15111" width="15.5" style="6" bestFit="1" customWidth="1"/>
    <col min="15112" max="15112" width="12.625" style="6" customWidth="1"/>
    <col min="15113" max="15360" width="9" style="6"/>
    <col min="15361" max="15361" width="2.625" style="6" customWidth="1"/>
    <col min="15362" max="15365" width="9" style="6"/>
    <col min="15366" max="15367" width="15.5" style="6" bestFit="1" customWidth="1"/>
    <col min="15368" max="15368" width="12.625" style="6" customWidth="1"/>
    <col min="15369" max="15616" width="9" style="6"/>
    <col min="15617" max="15617" width="2.625" style="6" customWidth="1"/>
    <col min="15618" max="15621" width="9" style="6"/>
    <col min="15622" max="15623" width="15.5" style="6" bestFit="1" customWidth="1"/>
    <col min="15624" max="15624" width="12.625" style="6" customWidth="1"/>
    <col min="15625" max="15872" width="9" style="6"/>
    <col min="15873" max="15873" width="2.625" style="6" customWidth="1"/>
    <col min="15874" max="15877" width="9" style="6"/>
    <col min="15878" max="15879" width="15.5" style="6" bestFit="1" customWidth="1"/>
    <col min="15880" max="15880" width="12.625" style="6" customWidth="1"/>
    <col min="15881" max="16128" width="9" style="6"/>
    <col min="16129" max="16129" width="2.625" style="6" customWidth="1"/>
    <col min="16130" max="16133" width="9" style="6"/>
    <col min="16134" max="16135" width="15.5" style="6" bestFit="1" customWidth="1"/>
    <col min="16136" max="16136" width="12.625" style="6" customWidth="1"/>
    <col min="16137" max="16384" width="9" style="6"/>
  </cols>
  <sheetData>
    <row r="1" spans="2:9" ht="14.25" thickBot="1" x14ac:dyDescent="0.2"/>
    <row r="2" spans="2:9" ht="14.25" thickBot="1" x14ac:dyDescent="0.2">
      <c r="B2" s="7"/>
      <c r="C2" s="8">
        <v>0.01</v>
      </c>
      <c r="D2" s="9">
        <v>0.02</v>
      </c>
      <c r="E2" s="9">
        <v>0.03</v>
      </c>
      <c r="F2" s="9">
        <v>0.04</v>
      </c>
      <c r="G2" s="9">
        <v>0.05</v>
      </c>
      <c r="H2" s="9">
        <v>0.06</v>
      </c>
      <c r="I2" s="10">
        <v>7.0000000000000007E-2</v>
      </c>
    </row>
    <row r="3" spans="2:9" x14ac:dyDescent="0.15">
      <c r="B3" s="11" t="s">
        <v>12</v>
      </c>
      <c r="C3" s="12">
        <v>98</v>
      </c>
      <c r="D3" s="13">
        <v>97</v>
      </c>
      <c r="E3" s="13">
        <v>82</v>
      </c>
      <c r="F3" s="13">
        <v>50</v>
      </c>
      <c r="G3" s="13">
        <v>17</v>
      </c>
      <c r="H3" s="13">
        <v>3</v>
      </c>
      <c r="I3" s="14">
        <v>1</v>
      </c>
    </row>
    <row r="4" spans="2:9" ht="14.25" thickBot="1" x14ac:dyDescent="0.2">
      <c r="B4" s="15" t="s">
        <v>13</v>
      </c>
      <c r="C4" s="16">
        <f t="shared" ref="C4:I4" si="0">100-C3</f>
        <v>2</v>
      </c>
      <c r="D4" s="17">
        <f t="shared" si="0"/>
        <v>3</v>
      </c>
      <c r="E4" s="17">
        <f t="shared" si="0"/>
        <v>18</v>
      </c>
      <c r="F4" s="17">
        <f t="shared" si="0"/>
        <v>50</v>
      </c>
      <c r="G4" s="17">
        <f t="shared" si="0"/>
        <v>83</v>
      </c>
      <c r="H4" s="17">
        <f t="shared" si="0"/>
        <v>97</v>
      </c>
      <c r="I4" s="18">
        <f t="shared" si="0"/>
        <v>99</v>
      </c>
    </row>
    <row r="5" spans="2:9" ht="14.25" thickBot="1" x14ac:dyDescent="0.2">
      <c r="B5" s="7" t="s">
        <v>14</v>
      </c>
      <c r="C5" s="8">
        <f t="shared" ref="C5:I5" si="1">C4/100</f>
        <v>0.02</v>
      </c>
      <c r="D5" s="9">
        <f t="shared" si="1"/>
        <v>0.03</v>
      </c>
      <c r="E5" s="9">
        <f t="shared" si="1"/>
        <v>0.18</v>
      </c>
      <c r="F5" s="9">
        <f t="shared" si="1"/>
        <v>0.5</v>
      </c>
      <c r="G5" s="9">
        <f t="shared" si="1"/>
        <v>0.83</v>
      </c>
      <c r="H5" s="9">
        <f t="shared" si="1"/>
        <v>0.97</v>
      </c>
      <c r="I5" s="10">
        <f t="shared" si="1"/>
        <v>0.99</v>
      </c>
    </row>
    <row r="8" spans="2:9" x14ac:dyDescent="0.15">
      <c r="C8" s="6" t="s">
        <v>15</v>
      </c>
      <c r="D8" s="6" t="s">
        <v>16</v>
      </c>
    </row>
    <row r="9" spans="2:9" x14ac:dyDescent="0.15">
      <c r="B9" s="6">
        <v>1</v>
      </c>
      <c r="C9" s="6">
        <f>E21*100</f>
        <v>2</v>
      </c>
      <c r="D9" s="6">
        <f>F21*100</f>
        <v>1.7986209962091559</v>
      </c>
    </row>
    <row r="10" spans="2:9" x14ac:dyDescent="0.15">
      <c r="B10" s="6">
        <v>2</v>
      </c>
      <c r="C10" s="6">
        <f t="shared" ref="C10:D15" si="2">E22*100</f>
        <v>3</v>
      </c>
      <c r="D10" s="6">
        <f t="shared" si="2"/>
        <v>4.7425873177566782</v>
      </c>
    </row>
    <row r="11" spans="2:9" x14ac:dyDescent="0.15">
      <c r="B11" s="6">
        <v>3</v>
      </c>
      <c r="C11" s="6">
        <f t="shared" si="2"/>
        <v>18</v>
      </c>
      <c r="D11" s="6">
        <f t="shared" si="2"/>
        <v>11.920292202211755</v>
      </c>
    </row>
    <row r="12" spans="2:9" x14ac:dyDescent="0.15">
      <c r="B12" s="6">
        <v>4</v>
      </c>
      <c r="C12" s="6">
        <f t="shared" si="2"/>
        <v>50</v>
      </c>
      <c r="D12" s="6">
        <f t="shared" si="2"/>
        <v>26.894142136999509</v>
      </c>
    </row>
    <row r="13" spans="2:9" x14ac:dyDescent="0.15">
      <c r="B13" s="6">
        <v>5</v>
      </c>
      <c r="C13" s="6">
        <f t="shared" si="2"/>
        <v>83</v>
      </c>
      <c r="D13" s="6">
        <f t="shared" si="2"/>
        <v>50</v>
      </c>
    </row>
    <row r="14" spans="2:9" x14ac:dyDescent="0.15">
      <c r="B14" s="6">
        <v>6</v>
      </c>
      <c r="C14" s="6">
        <f t="shared" si="2"/>
        <v>97</v>
      </c>
      <c r="D14" s="6">
        <f t="shared" si="2"/>
        <v>73.105857863000494</v>
      </c>
    </row>
    <row r="15" spans="2:9" x14ac:dyDescent="0.15">
      <c r="B15" s="6">
        <v>7</v>
      </c>
      <c r="C15" s="6">
        <f t="shared" si="2"/>
        <v>99</v>
      </c>
      <c r="D15" s="6">
        <f t="shared" si="2"/>
        <v>88.079707797788231</v>
      </c>
    </row>
    <row r="19" spans="2:12" ht="14.25" thickBot="1" x14ac:dyDescent="0.2"/>
    <row r="20" spans="2:12" ht="14.25" thickTop="1" x14ac:dyDescent="0.15">
      <c r="B20" s="19" t="s">
        <v>17</v>
      </c>
      <c r="C20" s="20" t="s">
        <v>18</v>
      </c>
      <c r="D20" s="20" t="s">
        <v>19</v>
      </c>
      <c r="E20" s="20" t="s">
        <v>20</v>
      </c>
      <c r="F20" s="20" t="s">
        <v>21</v>
      </c>
      <c r="G20" s="21" t="s">
        <v>22</v>
      </c>
    </row>
    <row r="21" spans="2:12" x14ac:dyDescent="0.15">
      <c r="B21" s="22">
        <v>1</v>
      </c>
      <c r="C21" s="23">
        <v>2</v>
      </c>
      <c r="D21" s="23">
        <v>100</v>
      </c>
      <c r="E21" s="23">
        <f>C21/D21</f>
        <v>0.02</v>
      </c>
      <c r="F21" s="23">
        <f>1/(1+EXP(-(F$28+F$29*B21)))</f>
        <v>1.7986209962091559E-2</v>
      </c>
      <c r="G21" s="24">
        <f>LN(BINOMDIST($C21,$D21,F21,FALSE))</f>
        <v>-1.3078499362182379</v>
      </c>
    </row>
    <row r="22" spans="2:12" x14ac:dyDescent="0.15">
      <c r="B22" s="25">
        <v>2</v>
      </c>
      <c r="C22" s="26">
        <v>3</v>
      </c>
      <c r="D22" s="26">
        <v>100</v>
      </c>
      <c r="E22" s="23">
        <f t="shared" ref="E22:E27" si="3">C22/D22</f>
        <v>0.03</v>
      </c>
      <c r="F22" s="23">
        <f t="shared" ref="F22:F27" si="4">1/(1+EXP(-(F$28+F$29*B22)))</f>
        <v>4.7425873177566781E-2</v>
      </c>
      <c r="G22" s="24">
        <f t="shared" ref="G22:G27" si="5">LN(BINOMDIST($C22,$D22,F22,FALSE))</f>
        <v>-1.8652371118090074</v>
      </c>
    </row>
    <row r="23" spans="2:12" x14ac:dyDescent="0.15">
      <c r="B23" s="25">
        <v>3</v>
      </c>
      <c r="C23" s="26">
        <v>18</v>
      </c>
      <c r="D23" s="26">
        <v>100</v>
      </c>
      <c r="E23" s="23">
        <f t="shared" si="3"/>
        <v>0.18</v>
      </c>
      <c r="F23" s="23">
        <f t="shared" si="4"/>
        <v>0.11920292202211755</v>
      </c>
      <c r="G23" s="24">
        <f t="shared" si="5"/>
        <v>-3.8231634443972102</v>
      </c>
    </row>
    <row r="24" spans="2:12" x14ac:dyDescent="0.15">
      <c r="B24" s="25">
        <v>4</v>
      </c>
      <c r="C24" s="26">
        <v>50</v>
      </c>
      <c r="D24" s="26">
        <v>100</v>
      </c>
      <c r="E24" s="23">
        <f t="shared" si="3"/>
        <v>0.5</v>
      </c>
      <c r="F24" s="23">
        <f t="shared" si="4"/>
        <v>0.2689414213699951</v>
      </c>
      <c r="G24" s="24">
        <f t="shared" si="5"/>
        <v>-14.542327099804861</v>
      </c>
    </row>
    <row r="25" spans="2:12" x14ac:dyDescent="0.15">
      <c r="B25" s="25">
        <v>5</v>
      </c>
      <c r="C25" s="26">
        <v>83</v>
      </c>
      <c r="D25" s="26">
        <v>100</v>
      </c>
      <c r="E25" s="23">
        <f t="shared" si="3"/>
        <v>0.83</v>
      </c>
      <c r="F25" s="23">
        <f t="shared" si="4"/>
        <v>0.5</v>
      </c>
      <c r="G25" s="24">
        <f t="shared" si="5"/>
        <v>-25.973549245994928</v>
      </c>
      <c r="I25" s="6" t="s">
        <v>23</v>
      </c>
    </row>
    <row r="26" spans="2:12" x14ac:dyDescent="0.15">
      <c r="B26" s="25">
        <v>6</v>
      </c>
      <c r="C26" s="26">
        <v>97</v>
      </c>
      <c r="D26" s="26">
        <v>100</v>
      </c>
      <c r="E26" s="23">
        <f t="shared" si="3"/>
        <v>0.97</v>
      </c>
      <c r="F26" s="23">
        <f t="shared" si="4"/>
        <v>0.7310585786300049</v>
      </c>
      <c r="G26" s="24">
        <f t="shared" si="5"/>
        <v>-22.33267070625708</v>
      </c>
      <c r="J26" s="6" t="s">
        <v>24</v>
      </c>
      <c r="K26" s="6" t="s">
        <v>25</v>
      </c>
      <c r="L26" s="6" t="s">
        <v>26</v>
      </c>
    </row>
    <row r="27" spans="2:12" x14ac:dyDescent="0.15">
      <c r="B27" s="27">
        <v>7</v>
      </c>
      <c r="C27" s="28">
        <v>99</v>
      </c>
      <c r="D27" s="28">
        <v>100</v>
      </c>
      <c r="E27" s="23">
        <f t="shared" si="3"/>
        <v>0.99</v>
      </c>
      <c r="F27" s="23">
        <f t="shared" si="4"/>
        <v>0.88079707797788231</v>
      </c>
      <c r="G27" s="24">
        <f t="shared" si="5"/>
        <v>-10.087630918309173</v>
      </c>
      <c r="J27" s="6" t="s">
        <v>27</v>
      </c>
    </row>
    <row r="28" spans="2:12" x14ac:dyDescent="0.15">
      <c r="B28" s="25"/>
      <c r="C28" s="26"/>
      <c r="D28" s="26" t="s">
        <v>28</v>
      </c>
      <c r="E28" s="26" t="s">
        <v>29</v>
      </c>
      <c r="F28" s="26">
        <v>-5</v>
      </c>
      <c r="G28" s="29"/>
      <c r="I28" s="6" t="s">
        <v>30</v>
      </c>
    </row>
    <row r="29" spans="2:12" x14ac:dyDescent="0.15">
      <c r="B29" s="25"/>
      <c r="C29" s="26"/>
      <c r="D29" s="26"/>
      <c r="E29" s="26" t="s">
        <v>31</v>
      </c>
      <c r="F29" s="26">
        <v>1</v>
      </c>
      <c r="G29" s="29"/>
      <c r="I29" s="6">
        <v>1</v>
      </c>
      <c r="J29" s="6">
        <v>2</v>
      </c>
      <c r="K29" s="6">
        <v>100</v>
      </c>
    </row>
    <row r="30" spans="2:12" ht="14.25" thickBot="1" x14ac:dyDescent="0.2">
      <c r="B30" s="30"/>
      <c r="C30" s="31"/>
      <c r="D30" s="31"/>
      <c r="E30" s="31" t="s">
        <v>32</v>
      </c>
      <c r="F30" s="31"/>
      <c r="G30" s="32">
        <f>SUM(G21:G27)</f>
        <v>-79.932428462790497</v>
      </c>
      <c r="I30" s="6">
        <v>2</v>
      </c>
      <c r="J30" s="6">
        <v>3</v>
      </c>
      <c r="K30" s="6">
        <v>100</v>
      </c>
    </row>
    <row r="31" spans="2:12" ht="14.25" thickTop="1" x14ac:dyDescent="0.15">
      <c r="I31" s="6">
        <v>3</v>
      </c>
      <c r="J31" s="6">
        <v>18</v>
      </c>
      <c r="K31" s="6">
        <v>100</v>
      </c>
    </row>
    <row r="32" spans="2:12" x14ac:dyDescent="0.15">
      <c r="I32" s="6">
        <v>4</v>
      </c>
      <c r="J32" s="6">
        <v>50</v>
      </c>
      <c r="K32" s="6">
        <v>100</v>
      </c>
    </row>
    <row r="33" spans="9:11" x14ac:dyDescent="0.15">
      <c r="I33" s="6">
        <v>5</v>
      </c>
      <c r="J33" s="6">
        <v>83</v>
      </c>
      <c r="K33" s="6">
        <v>100</v>
      </c>
    </row>
    <row r="34" spans="9:11" x14ac:dyDescent="0.15">
      <c r="I34" s="6">
        <v>6</v>
      </c>
      <c r="J34" s="6">
        <v>97</v>
      </c>
      <c r="K34" s="6">
        <v>100</v>
      </c>
    </row>
    <row r="35" spans="9:11" x14ac:dyDescent="0.15">
      <c r="I35" s="6">
        <v>7</v>
      </c>
      <c r="J35" s="6">
        <v>99</v>
      </c>
      <c r="K35" s="6">
        <v>100</v>
      </c>
    </row>
    <row r="36" spans="9:11" x14ac:dyDescent="0.15">
      <c r="I36" s="6" t="s">
        <v>33</v>
      </c>
    </row>
    <row r="37" spans="9:11" x14ac:dyDescent="0.15">
      <c r="I37" s="6" t="s">
        <v>34</v>
      </c>
    </row>
    <row r="38" spans="9:11" x14ac:dyDescent="0.15">
      <c r="J38" s="6" t="s">
        <v>35</v>
      </c>
    </row>
    <row r="39" spans="9:11" x14ac:dyDescent="0.15">
      <c r="I39" s="6" t="s">
        <v>36</v>
      </c>
    </row>
  </sheetData>
  <phoneticPr fontId="1"/>
  <pageMargins left="0.75" right="0.75" top="1" bottom="1" header="0.51200000000000001" footer="0.51200000000000001"/>
  <pageSetup paperSize="9" scale="86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4337" r:id="rId4">
          <objectPr defaultSize="0" autoPict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7</xdr:col>
                <xdr:colOff>209550</xdr:colOff>
                <xdr:row>39</xdr:row>
                <xdr:rowOff>0</xdr:rowOff>
              </to>
            </anchor>
          </objectPr>
        </oleObject>
      </mc:Choice>
      <mc:Fallback>
        <oleObject progId="Paint.Picture" shapeId="14337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1:X34"/>
  <sheetViews>
    <sheetView zoomScale="75" workbookViewId="0">
      <pane ySplit="2" topLeftCell="A3" activePane="bottomLeft" state="frozen"/>
      <selection pane="bottomLeft" activeCell="B2" sqref="B2:H12"/>
    </sheetView>
  </sheetViews>
  <sheetFormatPr defaultColWidth="9" defaultRowHeight="13.5" x14ac:dyDescent="0.15"/>
  <cols>
    <col min="1" max="1" width="2.625" style="35" customWidth="1"/>
    <col min="2" max="2" width="10.75" style="33" customWidth="1"/>
    <col min="3" max="3" width="7.625" style="34" customWidth="1"/>
    <col min="4" max="4" width="11.125" style="35" customWidth="1"/>
    <col min="5" max="5" width="8.625" style="36" customWidth="1"/>
    <col min="6" max="6" width="9" style="37"/>
    <col min="7" max="7" width="11.125" style="38" customWidth="1"/>
    <col min="8" max="8" width="8.625" style="38" customWidth="1"/>
    <col min="9" max="9" width="9" style="35"/>
    <col min="10" max="10" width="9.5" style="35" bestFit="1" customWidth="1"/>
    <col min="11" max="256" width="9" style="35"/>
    <col min="257" max="257" width="2.625" style="35" customWidth="1"/>
    <col min="258" max="258" width="10.75" style="35" customWidth="1"/>
    <col min="259" max="259" width="7.625" style="35" customWidth="1"/>
    <col min="260" max="260" width="11.125" style="35" customWidth="1"/>
    <col min="261" max="261" width="8.625" style="35" customWidth="1"/>
    <col min="262" max="262" width="9" style="35"/>
    <col min="263" max="264" width="8.625" style="35" customWidth="1"/>
    <col min="265" max="265" width="9" style="35"/>
    <col min="266" max="266" width="9.5" style="35" bestFit="1" customWidth="1"/>
    <col min="267" max="512" width="9" style="35"/>
    <col min="513" max="513" width="2.625" style="35" customWidth="1"/>
    <col min="514" max="514" width="10.75" style="35" customWidth="1"/>
    <col min="515" max="515" width="7.625" style="35" customWidth="1"/>
    <col min="516" max="516" width="11.125" style="35" customWidth="1"/>
    <col min="517" max="517" width="8.625" style="35" customWidth="1"/>
    <col min="518" max="518" width="9" style="35"/>
    <col min="519" max="520" width="8.625" style="35" customWidth="1"/>
    <col min="521" max="521" width="9" style="35"/>
    <col min="522" max="522" width="9.5" style="35" bestFit="1" customWidth="1"/>
    <col min="523" max="768" width="9" style="35"/>
    <col min="769" max="769" width="2.625" style="35" customWidth="1"/>
    <col min="770" max="770" width="10.75" style="35" customWidth="1"/>
    <col min="771" max="771" width="7.625" style="35" customWidth="1"/>
    <col min="772" max="772" width="11.125" style="35" customWidth="1"/>
    <col min="773" max="773" width="8.625" style="35" customWidth="1"/>
    <col min="774" max="774" width="9" style="35"/>
    <col min="775" max="776" width="8.625" style="35" customWidth="1"/>
    <col min="777" max="777" width="9" style="35"/>
    <col min="778" max="778" width="9.5" style="35" bestFit="1" customWidth="1"/>
    <col min="779" max="1024" width="9" style="35"/>
    <col min="1025" max="1025" width="2.625" style="35" customWidth="1"/>
    <col min="1026" max="1026" width="10.75" style="35" customWidth="1"/>
    <col min="1027" max="1027" width="7.625" style="35" customWidth="1"/>
    <col min="1028" max="1028" width="11.125" style="35" customWidth="1"/>
    <col min="1029" max="1029" width="8.625" style="35" customWidth="1"/>
    <col min="1030" max="1030" width="9" style="35"/>
    <col min="1031" max="1032" width="8.625" style="35" customWidth="1"/>
    <col min="1033" max="1033" width="9" style="35"/>
    <col min="1034" max="1034" width="9.5" style="35" bestFit="1" customWidth="1"/>
    <col min="1035" max="1280" width="9" style="35"/>
    <col min="1281" max="1281" width="2.625" style="35" customWidth="1"/>
    <col min="1282" max="1282" width="10.75" style="35" customWidth="1"/>
    <col min="1283" max="1283" width="7.625" style="35" customWidth="1"/>
    <col min="1284" max="1284" width="11.125" style="35" customWidth="1"/>
    <col min="1285" max="1285" width="8.625" style="35" customWidth="1"/>
    <col min="1286" max="1286" width="9" style="35"/>
    <col min="1287" max="1288" width="8.625" style="35" customWidth="1"/>
    <col min="1289" max="1289" width="9" style="35"/>
    <col min="1290" max="1290" width="9.5" style="35" bestFit="1" customWidth="1"/>
    <col min="1291" max="1536" width="9" style="35"/>
    <col min="1537" max="1537" width="2.625" style="35" customWidth="1"/>
    <col min="1538" max="1538" width="10.75" style="35" customWidth="1"/>
    <col min="1539" max="1539" width="7.625" style="35" customWidth="1"/>
    <col min="1540" max="1540" width="11.125" style="35" customWidth="1"/>
    <col min="1541" max="1541" width="8.625" style="35" customWidth="1"/>
    <col min="1542" max="1542" width="9" style="35"/>
    <col min="1543" max="1544" width="8.625" style="35" customWidth="1"/>
    <col min="1545" max="1545" width="9" style="35"/>
    <col min="1546" max="1546" width="9.5" style="35" bestFit="1" customWidth="1"/>
    <col min="1547" max="1792" width="9" style="35"/>
    <col min="1793" max="1793" width="2.625" style="35" customWidth="1"/>
    <col min="1794" max="1794" width="10.75" style="35" customWidth="1"/>
    <col min="1795" max="1795" width="7.625" style="35" customWidth="1"/>
    <col min="1796" max="1796" width="11.125" style="35" customWidth="1"/>
    <col min="1797" max="1797" width="8.625" style="35" customWidth="1"/>
    <col min="1798" max="1798" width="9" style="35"/>
    <col min="1799" max="1800" width="8.625" style="35" customWidth="1"/>
    <col min="1801" max="1801" width="9" style="35"/>
    <col min="1802" max="1802" width="9.5" style="35" bestFit="1" customWidth="1"/>
    <col min="1803" max="2048" width="9" style="35"/>
    <col min="2049" max="2049" width="2.625" style="35" customWidth="1"/>
    <col min="2050" max="2050" width="10.75" style="35" customWidth="1"/>
    <col min="2051" max="2051" width="7.625" style="35" customWidth="1"/>
    <col min="2052" max="2052" width="11.125" style="35" customWidth="1"/>
    <col min="2053" max="2053" width="8.625" style="35" customWidth="1"/>
    <col min="2054" max="2054" width="9" style="35"/>
    <col min="2055" max="2056" width="8.625" style="35" customWidth="1"/>
    <col min="2057" max="2057" width="9" style="35"/>
    <col min="2058" max="2058" width="9.5" style="35" bestFit="1" customWidth="1"/>
    <col min="2059" max="2304" width="9" style="35"/>
    <col min="2305" max="2305" width="2.625" style="35" customWidth="1"/>
    <col min="2306" max="2306" width="10.75" style="35" customWidth="1"/>
    <col min="2307" max="2307" width="7.625" style="35" customWidth="1"/>
    <col min="2308" max="2308" width="11.125" style="35" customWidth="1"/>
    <col min="2309" max="2309" width="8.625" style="35" customWidth="1"/>
    <col min="2310" max="2310" width="9" style="35"/>
    <col min="2311" max="2312" width="8.625" style="35" customWidth="1"/>
    <col min="2313" max="2313" width="9" style="35"/>
    <col min="2314" max="2314" width="9.5" style="35" bestFit="1" customWidth="1"/>
    <col min="2315" max="2560" width="9" style="35"/>
    <col min="2561" max="2561" width="2.625" style="35" customWidth="1"/>
    <col min="2562" max="2562" width="10.75" style="35" customWidth="1"/>
    <col min="2563" max="2563" width="7.625" style="35" customWidth="1"/>
    <col min="2564" max="2564" width="11.125" style="35" customWidth="1"/>
    <col min="2565" max="2565" width="8.625" style="35" customWidth="1"/>
    <col min="2566" max="2566" width="9" style="35"/>
    <col min="2567" max="2568" width="8.625" style="35" customWidth="1"/>
    <col min="2569" max="2569" width="9" style="35"/>
    <col min="2570" max="2570" width="9.5" style="35" bestFit="1" customWidth="1"/>
    <col min="2571" max="2816" width="9" style="35"/>
    <col min="2817" max="2817" width="2.625" style="35" customWidth="1"/>
    <col min="2818" max="2818" width="10.75" style="35" customWidth="1"/>
    <col min="2819" max="2819" width="7.625" style="35" customWidth="1"/>
    <col min="2820" max="2820" width="11.125" style="35" customWidth="1"/>
    <col min="2821" max="2821" width="8.625" style="35" customWidth="1"/>
    <col min="2822" max="2822" width="9" style="35"/>
    <col min="2823" max="2824" width="8.625" style="35" customWidth="1"/>
    <col min="2825" max="2825" width="9" style="35"/>
    <col min="2826" max="2826" width="9.5" style="35" bestFit="1" customWidth="1"/>
    <col min="2827" max="3072" width="9" style="35"/>
    <col min="3073" max="3073" width="2.625" style="35" customWidth="1"/>
    <col min="3074" max="3074" width="10.75" style="35" customWidth="1"/>
    <col min="3075" max="3075" width="7.625" style="35" customWidth="1"/>
    <col min="3076" max="3076" width="11.125" style="35" customWidth="1"/>
    <col min="3077" max="3077" width="8.625" style="35" customWidth="1"/>
    <col min="3078" max="3078" width="9" style="35"/>
    <col min="3079" max="3080" width="8.625" style="35" customWidth="1"/>
    <col min="3081" max="3081" width="9" style="35"/>
    <col min="3082" max="3082" width="9.5" style="35" bestFit="1" customWidth="1"/>
    <col min="3083" max="3328" width="9" style="35"/>
    <col min="3329" max="3329" width="2.625" style="35" customWidth="1"/>
    <col min="3330" max="3330" width="10.75" style="35" customWidth="1"/>
    <col min="3331" max="3331" width="7.625" style="35" customWidth="1"/>
    <col min="3332" max="3332" width="11.125" style="35" customWidth="1"/>
    <col min="3333" max="3333" width="8.625" style="35" customWidth="1"/>
    <col min="3334" max="3334" width="9" style="35"/>
    <col min="3335" max="3336" width="8.625" style="35" customWidth="1"/>
    <col min="3337" max="3337" width="9" style="35"/>
    <col min="3338" max="3338" width="9.5" style="35" bestFit="1" customWidth="1"/>
    <col min="3339" max="3584" width="9" style="35"/>
    <col min="3585" max="3585" width="2.625" style="35" customWidth="1"/>
    <col min="3586" max="3586" width="10.75" style="35" customWidth="1"/>
    <col min="3587" max="3587" width="7.625" style="35" customWidth="1"/>
    <col min="3588" max="3588" width="11.125" style="35" customWidth="1"/>
    <col min="3589" max="3589" width="8.625" style="35" customWidth="1"/>
    <col min="3590" max="3590" width="9" style="35"/>
    <col min="3591" max="3592" width="8.625" style="35" customWidth="1"/>
    <col min="3593" max="3593" width="9" style="35"/>
    <col min="3594" max="3594" width="9.5" style="35" bestFit="1" customWidth="1"/>
    <col min="3595" max="3840" width="9" style="35"/>
    <col min="3841" max="3841" width="2.625" style="35" customWidth="1"/>
    <col min="3842" max="3842" width="10.75" style="35" customWidth="1"/>
    <col min="3843" max="3843" width="7.625" style="35" customWidth="1"/>
    <col min="3844" max="3844" width="11.125" style="35" customWidth="1"/>
    <col min="3845" max="3845" width="8.625" style="35" customWidth="1"/>
    <col min="3846" max="3846" width="9" style="35"/>
    <col min="3847" max="3848" width="8.625" style="35" customWidth="1"/>
    <col min="3849" max="3849" width="9" style="35"/>
    <col min="3850" max="3850" width="9.5" style="35" bestFit="1" customWidth="1"/>
    <col min="3851" max="4096" width="9" style="35"/>
    <col min="4097" max="4097" width="2.625" style="35" customWidth="1"/>
    <col min="4098" max="4098" width="10.75" style="35" customWidth="1"/>
    <col min="4099" max="4099" width="7.625" style="35" customWidth="1"/>
    <col min="4100" max="4100" width="11.125" style="35" customWidth="1"/>
    <col min="4101" max="4101" width="8.625" style="35" customWidth="1"/>
    <col min="4102" max="4102" width="9" style="35"/>
    <col min="4103" max="4104" width="8.625" style="35" customWidth="1"/>
    <col min="4105" max="4105" width="9" style="35"/>
    <col min="4106" max="4106" width="9.5" style="35" bestFit="1" customWidth="1"/>
    <col min="4107" max="4352" width="9" style="35"/>
    <col min="4353" max="4353" width="2.625" style="35" customWidth="1"/>
    <col min="4354" max="4354" width="10.75" style="35" customWidth="1"/>
    <col min="4355" max="4355" width="7.625" style="35" customWidth="1"/>
    <col min="4356" max="4356" width="11.125" style="35" customWidth="1"/>
    <col min="4357" max="4357" width="8.625" style="35" customWidth="1"/>
    <col min="4358" max="4358" width="9" style="35"/>
    <col min="4359" max="4360" width="8.625" style="35" customWidth="1"/>
    <col min="4361" max="4361" width="9" style="35"/>
    <col min="4362" max="4362" width="9.5" style="35" bestFit="1" customWidth="1"/>
    <col min="4363" max="4608" width="9" style="35"/>
    <col min="4609" max="4609" width="2.625" style="35" customWidth="1"/>
    <col min="4610" max="4610" width="10.75" style="35" customWidth="1"/>
    <col min="4611" max="4611" width="7.625" style="35" customWidth="1"/>
    <col min="4612" max="4612" width="11.125" style="35" customWidth="1"/>
    <col min="4613" max="4613" width="8.625" style="35" customWidth="1"/>
    <col min="4614" max="4614" width="9" style="35"/>
    <col min="4615" max="4616" width="8.625" style="35" customWidth="1"/>
    <col min="4617" max="4617" width="9" style="35"/>
    <col min="4618" max="4618" width="9.5" style="35" bestFit="1" customWidth="1"/>
    <col min="4619" max="4864" width="9" style="35"/>
    <col min="4865" max="4865" width="2.625" style="35" customWidth="1"/>
    <col min="4866" max="4866" width="10.75" style="35" customWidth="1"/>
    <col min="4867" max="4867" width="7.625" style="35" customWidth="1"/>
    <col min="4868" max="4868" width="11.125" style="35" customWidth="1"/>
    <col min="4869" max="4869" width="8.625" style="35" customWidth="1"/>
    <col min="4870" max="4870" width="9" style="35"/>
    <col min="4871" max="4872" width="8.625" style="35" customWidth="1"/>
    <col min="4873" max="4873" width="9" style="35"/>
    <col min="4874" max="4874" width="9.5" style="35" bestFit="1" customWidth="1"/>
    <col min="4875" max="5120" width="9" style="35"/>
    <col min="5121" max="5121" width="2.625" style="35" customWidth="1"/>
    <col min="5122" max="5122" width="10.75" style="35" customWidth="1"/>
    <col min="5123" max="5123" width="7.625" style="35" customWidth="1"/>
    <col min="5124" max="5124" width="11.125" style="35" customWidth="1"/>
    <col min="5125" max="5125" width="8.625" style="35" customWidth="1"/>
    <col min="5126" max="5126" width="9" style="35"/>
    <col min="5127" max="5128" width="8.625" style="35" customWidth="1"/>
    <col min="5129" max="5129" width="9" style="35"/>
    <col min="5130" max="5130" width="9.5" style="35" bestFit="1" customWidth="1"/>
    <col min="5131" max="5376" width="9" style="35"/>
    <col min="5377" max="5377" width="2.625" style="35" customWidth="1"/>
    <col min="5378" max="5378" width="10.75" style="35" customWidth="1"/>
    <col min="5379" max="5379" width="7.625" style="35" customWidth="1"/>
    <col min="5380" max="5380" width="11.125" style="35" customWidth="1"/>
    <col min="5381" max="5381" width="8.625" style="35" customWidth="1"/>
    <col min="5382" max="5382" width="9" style="35"/>
    <col min="5383" max="5384" width="8.625" style="35" customWidth="1"/>
    <col min="5385" max="5385" width="9" style="35"/>
    <col min="5386" max="5386" width="9.5" style="35" bestFit="1" customWidth="1"/>
    <col min="5387" max="5632" width="9" style="35"/>
    <col min="5633" max="5633" width="2.625" style="35" customWidth="1"/>
    <col min="5634" max="5634" width="10.75" style="35" customWidth="1"/>
    <col min="5635" max="5635" width="7.625" style="35" customWidth="1"/>
    <col min="5636" max="5636" width="11.125" style="35" customWidth="1"/>
    <col min="5637" max="5637" width="8.625" style="35" customWidth="1"/>
    <col min="5638" max="5638" width="9" style="35"/>
    <col min="5639" max="5640" width="8.625" style="35" customWidth="1"/>
    <col min="5641" max="5641" width="9" style="35"/>
    <col min="5642" max="5642" width="9.5" style="35" bestFit="1" customWidth="1"/>
    <col min="5643" max="5888" width="9" style="35"/>
    <col min="5889" max="5889" width="2.625" style="35" customWidth="1"/>
    <col min="5890" max="5890" width="10.75" style="35" customWidth="1"/>
    <col min="5891" max="5891" width="7.625" style="35" customWidth="1"/>
    <col min="5892" max="5892" width="11.125" style="35" customWidth="1"/>
    <col min="5893" max="5893" width="8.625" style="35" customWidth="1"/>
    <col min="5894" max="5894" width="9" style="35"/>
    <col min="5895" max="5896" width="8.625" style="35" customWidth="1"/>
    <col min="5897" max="5897" width="9" style="35"/>
    <col min="5898" max="5898" width="9.5" style="35" bestFit="1" customWidth="1"/>
    <col min="5899" max="6144" width="9" style="35"/>
    <col min="6145" max="6145" width="2.625" style="35" customWidth="1"/>
    <col min="6146" max="6146" width="10.75" style="35" customWidth="1"/>
    <col min="6147" max="6147" width="7.625" style="35" customWidth="1"/>
    <col min="6148" max="6148" width="11.125" style="35" customWidth="1"/>
    <col min="6149" max="6149" width="8.625" style="35" customWidth="1"/>
    <col min="6150" max="6150" width="9" style="35"/>
    <col min="6151" max="6152" width="8.625" style="35" customWidth="1"/>
    <col min="6153" max="6153" width="9" style="35"/>
    <col min="6154" max="6154" width="9.5" style="35" bestFit="1" customWidth="1"/>
    <col min="6155" max="6400" width="9" style="35"/>
    <col min="6401" max="6401" width="2.625" style="35" customWidth="1"/>
    <col min="6402" max="6402" width="10.75" style="35" customWidth="1"/>
    <col min="6403" max="6403" width="7.625" style="35" customWidth="1"/>
    <col min="6404" max="6404" width="11.125" style="35" customWidth="1"/>
    <col min="6405" max="6405" width="8.625" style="35" customWidth="1"/>
    <col min="6406" max="6406" width="9" style="35"/>
    <col min="6407" max="6408" width="8.625" style="35" customWidth="1"/>
    <col min="6409" max="6409" width="9" style="35"/>
    <col min="6410" max="6410" width="9.5" style="35" bestFit="1" customWidth="1"/>
    <col min="6411" max="6656" width="9" style="35"/>
    <col min="6657" max="6657" width="2.625" style="35" customWidth="1"/>
    <col min="6658" max="6658" width="10.75" style="35" customWidth="1"/>
    <col min="6659" max="6659" width="7.625" style="35" customWidth="1"/>
    <col min="6660" max="6660" width="11.125" style="35" customWidth="1"/>
    <col min="6661" max="6661" width="8.625" style="35" customWidth="1"/>
    <col min="6662" max="6662" width="9" style="35"/>
    <col min="6663" max="6664" width="8.625" style="35" customWidth="1"/>
    <col min="6665" max="6665" width="9" style="35"/>
    <col min="6666" max="6666" width="9.5" style="35" bestFit="1" customWidth="1"/>
    <col min="6667" max="6912" width="9" style="35"/>
    <col min="6913" max="6913" width="2.625" style="35" customWidth="1"/>
    <col min="6914" max="6914" width="10.75" style="35" customWidth="1"/>
    <col min="6915" max="6915" width="7.625" style="35" customWidth="1"/>
    <col min="6916" max="6916" width="11.125" style="35" customWidth="1"/>
    <col min="6917" max="6917" width="8.625" style="35" customWidth="1"/>
    <col min="6918" max="6918" width="9" style="35"/>
    <col min="6919" max="6920" width="8.625" style="35" customWidth="1"/>
    <col min="6921" max="6921" width="9" style="35"/>
    <col min="6922" max="6922" width="9.5" style="35" bestFit="1" customWidth="1"/>
    <col min="6923" max="7168" width="9" style="35"/>
    <col min="7169" max="7169" width="2.625" style="35" customWidth="1"/>
    <col min="7170" max="7170" width="10.75" style="35" customWidth="1"/>
    <col min="7171" max="7171" width="7.625" style="35" customWidth="1"/>
    <col min="7172" max="7172" width="11.125" style="35" customWidth="1"/>
    <col min="7173" max="7173" width="8.625" style="35" customWidth="1"/>
    <col min="7174" max="7174" width="9" style="35"/>
    <col min="7175" max="7176" width="8.625" style="35" customWidth="1"/>
    <col min="7177" max="7177" width="9" style="35"/>
    <col min="7178" max="7178" width="9.5" style="35" bestFit="1" customWidth="1"/>
    <col min="7179" max="7424" width="9" style="35"/>
    <col min="7425" max="7425" width="2.625" style="35" customWidth="1"/>
    <col min="7426" max="7426" width="10.75" style="35" customWidth="1"/>
    <col min="7427" max="7427" width="7.625" style="35" customWidth="1"/>
    <col min="7428" max="7428" width="11.125" style="35" customWidth="1"/>
    <col min="7429" max="7429" width="8.625" style="35" customWidth="1"/>
    <col min="7430" max="7430" width="9" style="35"/>
    <col min="7431" max="7432" width="8.625" style="35" customWidth="1"/>
    <col min="7433" max="7433" width="9" style="35"/>
    <col min="7434" max="7434" width="9.5" style="35" bestFit="1" customWidth="1"/>
    <col min="7435" max="7680" width="9" style="35"/>
    <col min="7681" max="7681" width="2.625" style="35" customWidth="1"/>
    <col min="7682" max="7682" width="10.75" style="35" customWidth="1"/>
    <col min="7683" max="7683" width="7.625" style="35" customWidth="1"/>
    <col min="7684" max="7684" width="11.125" style="35" customWidth="1"/>
    <col min="7685" max="7685" width="8.625" style="35" customWidth="1"/>
    <col min="7686" max="7686" width="9" style="35"/>
    <col min="7687" max="7688" width="8.625" style="35" customWidth="1"/>
    <col min="7689" max="7689" width="9" style="35"/>
    <col min="7690" max="7690" width="9.5" style="35" bestFit="1" customWidth="1"/>
    <col min="7691" max="7936" width="9" style="35"/>
    <col min="7937" max="7937" width="2.625" style="35" customWidth="1"/>
    <col min="7938" max="7938" width="10.75" style="35" customWidth="1"/>
    <col min="7939" max="7939" width="7.625" style="35" customWidth="1"/>
    <col min="7940" max="7940" width="11.125" style="35" customWidth="1"/>
    <col min="7941" max="7941" width="8.625" style="35" customWidth="1"/>
    <col min="7942" max="7942" width="9" style="35"/>
    <col min="7943" max="7944" width="8.625" style="35" customWidth="1"/>
    <col min="7945" max="7945" width="9" style="35"/>
    <col min="7946" max="7946" width="9.5" style="35" bestFit="1" customWidth="1"/>
    <col min="7947" max="8192" width="9" style="35"/>
    <col min="8193" max="8193" width="2.625" style="35" customWidth="1"/>
    <col min="8194" max="8194" width="10.75" style="35" customWidth="1"/>
    <col min="8195" max="8195" width="7.625" style="35" customWidth="1"/>
    <col min="8196" max="8196" width="11.125" style="35" customWidth="1"/>
    <col min="8197" max="8197" width="8.625" style="35" customWidth="1"/>
    <col min="8198" max="8198" width="9" style="35"/>
    <col min="8199" max="8200" width="8.625" style="35" customWidth="1"/>
    <col min="8201" max="8201" width="9" style="35"/>
    <col min="8202" max="8202" width="9.5" style="35" bestFit="1" customWidth="1"/>
    <col min="8203" max="8448" width="9" style="35"/>
    <col min="8449" max="8449" width="2.625" style="35" customWidth="1"/>
    <col min="8450" max="8450" width="10.75" style="35" customWidth="1"/>
    <col min="8451" max="8451" width="7.625" style="35" customWidth="1"/>
    <col min="8452" max="8452" width="11.125" style="35" customWidth="1"/>
    <col min="8453" max="8453" width="8.625" style="35" customWidth="1"/>
    <col min="8454" max="8454" width="9" style="35"/>
    <col min="8455" max="8456" width="8.625" style="35" customWidth="1"/>
    <col min="8457" max="8457" width="9" style="35"/>
    <col min="8458" max="8458" width="9.5" style="35" bestFit="1" customWidth="1"/>
    <col min="8459" max="8704" width="9" style="35"/>
    <col min="8705" max="8705" width="2.625" style="35" customWidth="1"/>
    <col min="8706" max="8706" width="10.75" style="35" customWidth="1"/>
    <col min="8707" max="8707" width="7.625" style="35" customWidth="1"/>
    <col min="8708" max="8708" width="11.125" style="35" customWidth="1"/>
    <col min="8709" max="8709" width="8.625" style="35" customWidth="1"/>
    <col min="8710" max="8710" width="9" style="35"/>
    <col min="8711" max="8712" width="8.625" style="35" customWidth="1"/>
    <col min="8713" max="8713" width="9" style="35"/>
    <col min="8714" max="8714" width="9.5" style="35" bestFit="1" customWidth="1"/>
    <col min="8715" max="8960" width="9" style="35"/>
    <col min="8961" max="8961" width="2.625" style="35" customWidth="1"/>
    <col min="8962" max="8962" width="10.75" style="35" customWidth="1"/>
    <col min="8963" max="8963" width="7.625" style="35" customWidth="1"/>
    <col min="8964" max="8964" width="11.125" style="35" customWidth="1"/>
    <col min="8965" max="8965" width="8.625" style="35" customWidth="1"/>
    <col min="8966" max="8966" width="9" style="35"/>
    <col min="8967" max="8968" width="8.625" style="35" customWidth="1"/>
    <col min="8969" max="8969" width="9" style="35"/>
    <col min="8970" max="8970" width="9.5" style="35" bestFit="1" customWidth="1"/>
    <col min="8971" max="9216" width="9" style="35"/>
    <col min="9217" max="9217" width="2.625" style="35" customWidth="1"/>
    <col min="9218" max="9218" width="10.75" style="35" customWidth="1"/>
    <col min="9219" max="9219" width="7.625" style="35" customWidth="1"/>
    <col min="9220" max="9220" width="11.125" style="35" customWidth="1"/>
    <col min="9221" max="9221" width="8.625" style="35" customWidth="1"/>
    <col min="9222" max="9222" width="9" style="35"/>
    <col min="9223" max="9224" width="8.625" style="35" customWidth="1"/>
    <col min="9225" max="9225" width="9" style="35"/>
    <col min="9226" max="9226" width="9.5" style="35" bestFit="1" customWidth="1"/>
    <col min="9227" max="9472" width="9" style="35"/>
    <col min="9473" max="9473" width="2.625" style="35" customWidth="1"/>
    <col min="9474" max="9474" width="10.75" style="35" customWidth="1"/>
    <col min="9475" max="9475" width="7.625" style="35" customWidth="1"/>
    <col min="9476" max="9476" width="11.125" style="35" customWidth="1"/>
    <col min="9477" max="9477" width="8.625" style="35" customWidth="1"/>
    <col min="9478" max="9478" width="9" style="35"/>
    <col min="9479" max="9480" width="8.625" style="35" customWidth="1"/>
    <col min="9481" max="9481" width="9" style="35"/>
    <col min="9482" max="9482" width="9.5" style="35" bestFit="1" customWidth="1"/>
    <col min="9483" max="9728" width="9" style="35"/>
    <col min="9729" max="9729" width="2.625" style="35" customWidth="1"/>
    <col min="9730" max="9730" width="10.75" style="35" customWidth="1"/>
    <col min="9731" max="9731" width="7.625" style="35" customWidth="1"/>
    <col min="9732" max="9732" width="11.125" style="35" customWidth="1"/>
    <col min="9733" max="9733" width="8.625" style="35" customWidth="1"/>
    <col min="9734" max="9734" width="9" style="35"/>
    <col min="9735" max="9736" width="8.625" style="35" customWidth="1"/>
    <col min="9737" max="9737" width="9" style="35"/>
    <col min="9738" max="9738" width="9.5" style="35" bestFit="1" customWidth="1"/>
    <col min="9739" max="9984" width="9" style="35"/>
    <col min="9985" max="9985" width="2.625" style="35" customWidth="1"/>
    <col min="9986" max="9986" width="10.75" style="35" customWidth="1"/>
    <col min="9987" max="9987" width="7.625" style="35" customWidth="1"/>
    <col min="9988" max="9988" width="11.125" style="35" customWidth="1"/>
    <col min="9989" max="9989" width="8.625" style="35" customWidth="1"/>
    <col min="9990" max="9990" width="9" style="35"/>
    <col min="9991" max="9992" width="8.625" style="35" customWidth="1"/>
    <col min="9993" max="9993" width="9" style="35"/>
    <col min="9994" max="9994" width="9.5" style="35" bestFit="1" customWidth="1"/>
    <col min="9995" max="10240" width="9" style="35"/>
    <col min="10241" max="10241" width="2.625" style="35" customWidth="1"/>
    <col min="10242" max="10242" width="10.75" style="35" customWidth="1"/>
    <col min="10243" max="10243" width="7.625" style="35" customWidth="1"/>
    <col min="10244" max="10244" width="11.125" style="35" customWidth="1"/>
    <col min="10245" max="10245" width="8.625" style="35" customWidth="1"/>
    <col min="10246" max="10246" width="9" style="35"/>
    <col min="10247" max="10248" width="8.625" style="35" customWidth="1"/>
    <col min="10249" max="10249" width="9" style="35"/>
    <col min="10250" max="10250" width="9.5" style="35" bestFit="1" customWidth="1"/>
    <col min="10251" max="10496" width="9" style="35"/>
    <col min="10497" max="10497" width="2.625" style="35" customWidth="1"/>
    <col min="10498" max="10498" width="10.75" style="35" customWidth="1"/>
    <col min="10499" max="10499" width="7.625" style="35" customWidth="1"/>
    <col min="10500" max="10500" width="11.125" style="35" customWidth="1"/>
    <col min="10501" max="10501" width="8.625" style="35" customWidth="1"/>
    <col min="10502" max="10502" width="9" style="35"/>
    <col min="10503" max="10504" width="8.625" style="35" customWidth="1"/>
    <col min="10505" max="10505" width="9" style="35"/>
    <col min="10506" max="10506" width="9.5" style="35" bestFit="1" customWidth="1"/>
    <col min="10507" max="10752" width="9" style="35"/>
    <col min="10753" max="10753" width="2.625" style="35" customWidth="1"/>
    <col min="10754" max="10754" width="10.75" style="35" customWidth="1"/>
    <col min="10755" max="10755" width="7.625" style="35" customWidth="1"/>
    <col min="10756" max="10756" width="11.125" style="35" customWidth="1"/>
    <col min="10757" max="10757" width="8.625" style="35" customWidth="1"/>
    <col min="10758" max="10758" width="9" style="35"/>
    <col min="10759" max="10760" width="8.625" style="35" customWidth="1"/>
    <col min="10761" max="10761" width="9" style="35"/>
    <col min="10762" max="10762" width="9.5" style="35" bestFit="1" customWidth="1"/>
    <col min="10763" max="11008" width="9" style="35"/>
    <col min="11009" max="11009" width="2.625" style="35" customWidth="1"/>
    <col min="11010" max="11010" width="10.75" style="35" customWidth="1"/>
    <col min="11011" max="11011" width="7.625" style="35" customWidth="1"/>
    <col min="11012" max="11012" width="11.125" style="35" customWidth="1"/>
    <col min="11013" max="11013" width="8.625" style="35" customWidth="1"/>
    <col min="11014" max="11014" width="9" style="35"/>
    <col min="11015" max="11016" width="8.625" style="35" customWidth="1"/>
    <col min="11017" max="11017" width="9" style="35"/>
    <col min="11018" max="11018" width="9.5" style="35" bestFit="1" customWidth="1"/>
    <col min="11019" max="11264" width="9" style="35"/>
    <col min="11265" max="11265" width="2.625" style="35" customWidth="1"/>
    <col min="11266" max="11266" width="10.75" style="35" customWidth="1"/>
    <col min="11267" max="11267" width="7.625" style="35" customWidth="1"/>
    <col min="11268" max="11268" width="11.125" style="35" customWidth="1"/>
    <col min="11269" max="11269" width="8.625" style="35" customWidth="1"/>
    <col min="11270" max="11270" width="9" style="35"/>
    <col min="11271" max="11272" width="8.625" style="35" customWidth="1"/>
    <col min="11273" max="11273" width="9" style="35"/>
    <col min="11274" max="11274" width="9.5" style="35" bestFit="1" customWidth="1"/>
    <col min="11275" max="11520" width="9" style="35"/>
    <col min="11521" max="11521" width="2.625" style="35" customWidth="1"/>
    <col min="11522" max="11522" width="10.75" style="35" customWidth="1"/>
    <col min="11523" max="11523" width="7.625" style="35" customWidth="1"/>
    <col min="11524" max="11524" width="11.125" style="35" customWidth="1"/>
    <col min="11525" max="11525" width="8.625" style="35" customWidth="1"/>
    <col min="11526" max="11526" width="9" style="35"/>
    <col min="11527" max="11528" width="8.625" style="35" customWidth="1"/>
    <col min="11529" max="11529" width="9" style="35"/>
    <col min="11530" max="11530" width="9.5" style="35" bestFit="1" customWidth="1"/>
    <col min="11531" max="11776" width="9" style="35"/>
    <col min="11777" max="11777" width="2.625" style="35" customWidth="1"/>
    <col min="11778" max="11778" width="10.75" style="35" customWidth="1"/>
    <col min="11779" max="11779" width="7.625" style="35" customWidth="1"/>
    <col min="11780" max="11780" width="11.125" style="35" customWidth="1"/>
    <col min="11781" max="11781" width="8.625" style="35" customWidth="1"/>
    <col min="11782" max="11782" width="9" style="35"/>
    <col min="11783" max="11784" width="8.625" style="35" customWidth="1"/>
    <col min="11785" max="11785" width="9" style="35"/>
    <col min="11786" max="11786" width="9.5" style="35" bestFit="1" customWidth="1"/>
    <col min="11787" max="12032" width="9" style="35"/>
    <col min="12033" max="12033" width="2.625" style="35" customWidth="1"/>
    <col min="12034" max="12034" width="10.75" style="35" customWidth="1"/>
    <col min="12035" max="12035" width="7.625" style="35" customWidth="1"/>
    <col min="12036" max="12036" width="11.125" style="35" customWidth="1"/>
    <col min="12037" max="12037" width="8.625" style="35" customWidth="1"/>
    <col min="12038" max="12038" width="9" style="35"/>
    <col min="12039" max="12040" width="8.625" style="35" customWidth="1"/>
    <col min="12041" max="12041" width="9" style="35"/>
    <col min="12042" max="12042" width="9.5" style="35" bestFit="1" customWidth="1"/>
    <col min="12043" max="12288" width="9" style="35"/>
    <col min="12289" max="12289" width="2.625" style="35" customWidth="1"/>
    <col min="12290" max="12290" width="10.75" style="35" customWidth="1"/>
    <col min="12291" max="12291" width="7.625" style="35" customWidth="1"/>
    <col min="12292" max="12292" width="11.125" style="35" customWidth="1"/>
    <col min="12293" max="12293" width="8.625" style="35" customWidth="1"/>
    <col min="12294" max="12294" width="9" style="35"/>
    <col min="12295" max="12296" width="8.625" style="35" customWidth="1"/>
    <col min="12297" max="12297" width="9" style="35"/>
    <col min="12298" max="12298" width="9.5" style="35" bestFit="1" customWidth="1"/>
    <col min="12299" max="12544" width="9" style="35"/>
    <col min="12545" max="12545" width="2.625" style="35" customWidth="1"/>
    <col min="12546" max="12546" width="10.75" style="35" customWidth="1"/>
    <col min="12547" max="12547" width="7.625" style="35" customWidth="1"/>
    <col min="12548" max="12548" width="11.125" style="35" customWidth="1"/>
    <col min="12549" max="12549" width="8.625" style="35" customWidth="1"/>
    <col min="12550" max="12550" width="9" style="35"/>
    <col min="12551" max="12552" width="8.625" style="35" customWidth="1"/>
    <col min="12553" max="12553" width="9" style="35"/>
    <col min="12554" max="12554" width="9.5" style="35" bestFit="1" customWidth="1"/>
    <col min="12555" max="12800" width="9" style="35"/>
    <col min="12801" max="12801" width="2.625" style="35" customWidth="1"/>
    <col min="12802" max="12802" width="10.75" style="35" customWidth="1"/>
    <col min="12803" max="12803" width="7.625" style="35" customWidth="1"/>
    <col min="12804" max="12804" width="11.125" style="35" customWidth="1"/>
    <col min="12805" max="12805" width="8.625" style="35" customWidth="1"/>
    <col min="12806" max="12806" width="9" style="35"/>
    <col min="12807" max="12808" width="8.625" style="35" customWidth="1"/>
    <col min="12809" max="12809" width="9" style="35"/>
    <col min="12810" max="12810" width="9.5" style="35" bestFit="1" customWidth="1"/>
    <col min="12811" max="13056" width="9" style="35"/>
    <col min="13057" max="13057" width="2.625" style="35" customWidth="1"/>
    <col min="13058" max="13058" width="10.75" style="35" customWidth="1"/>
    <col min="13059" max="13059" width="7.625" style="35" customWidth="1"/>
    <col min="13060" max="13060" width="11.125" style="35" customWidth="1"/>
    <col min="13061" max="13061" width="8.625" style="35" customWidth="1"/>
    <col min="13062" max="13062" width="9" style="35"/>
    <col min="13063" max="13064" width="8.625" style="35" customWidth="1"/>
    <col min="13065" max="13065" width="9" style="35"/>
    <col min="13066" max="13066" width="9.5" style="35" bestFit="1" customWidth="1"/>
    <col min="13067" max="13312" width="9" style="35"/>
    <col min="13313" max="13313" width="2.625" style="35" customWidth="1"/>
    <col min="13314" max="13314" width="10.75" style="35" customWidth="1"/>
    <col min="13315" max="13315" width="7.625" style="35" customWidth="1"/>
    <col min="13316" max="13316" width="11.125" style="35" customWidth="1"/>
    <col min="13317" max="13317" width="8.625" style="35" customWidth="1"/>
    <col min="13318" max="13318" width="9" style="35"/>
    <col min="13319" max="13320" width="8.625" style="35" customWidth="1"/>
    <col min="13321" max="13321" width="9" style="35"/>
    <col min="13322" max="13322" width="9.5" style="35" bestFit="1" customWidth="1"/>
    <col min="13323" max="13568" width="9" style="35"/>
    <col min="13569" max="13569" width="2.625" style="35" customWidth="1"/>
    <col min="13570" max="13570" width="10.75" style="35" customWidth="1"/>
    <col min="13571" max="13571" width="7.625" style="35" customWidth="1"/>
    <col min="13572" max="13572" width="11.125" style="35" customWidth="1"/>
    <col min="13573" max="13573" width="8.625" style="35" customWidth="1"/>
    <col min="13574" max="13574" width="9" style="35"/>
    <col min="13575" max="13576" width="8.625" style="35" customWidth="1"/>
    <col min="13577" max="13577" width="9" style="35"/>
    <col min="13578" max="13578" width="9.5" style="35" bestFit="1" customWidth="1"/>
    <col min="13579" max="13824" width="9" style="35"/>
    <col min="13825" max="13825" width="2.625" style="35" customWidth="1"/>
    <col min="13826" max="13826" width="10.75" style="35" customWidth="1"/>
    <col min="13827" max="13827" width="7.625" style="35" customWidth="1"/>
    <col min="13828" max="13828" width="11.125" style="35" customWidth="1"/>
    <col min="13829" max="13829" width="8.625" style="35" customWidth="1"/>
    <col min="13830" max="13830" width="9" style="35"/>
    <col min="13831" max="13832" width="8.625" style="35" customWidth="1"/>
    <col min="13833" max="13833" width="9" style="35"/>
    <col min="13834" max="13834" width="9.5" style="35" bestFit="1" customWidth="1"/>
    <col min="13835" max="14080" width="9" style="35"/>
    <col min="14081" max="14081" width="2.625" style="35" customWidth="1"/>
    <col min="14082" max="14082" width="10.75" style="35" customWidth="1"/>
    <col min="14083" max="14083" width="7.625" style="35" customWidth="1"/>
    <col min="14084" max="14084" width="11.125" style="35" customWidth="1"/>
    <col min="14085" max="14085" width="8.625" style="35" customWidth="1"/>
    <col min="14086" max="14086" width="9" style="35"/>
    <col min="14087" max="14088" width="8.625" style="35" customWidth="1"/>
    <col min="14089" max="14089" width="9" style="35"/>
    <col min="14090" max="14090" width="9.5" style="35" bestFit="1" customWidth="1"/>
    <col min="14091" max="14336" width="9" style="35"/>
    <col min="14337" max="14337" width="2.625" style="35" customWidth="1"/>
    <col min="14338" max="14338" width="10.75" style="35" customWidth="1"/>
    <col min="14339" max="14339" width="7.625" style="35" customWidth="1"/>
    <col min="14340" max="14340" width="11.125" style="35" customWidth="1"/>
    <col min="14341" max="14341" width="8.625" style="35" customWidth="1"/>
    <col min="14342" max="14342" width="9" style="35"/>
    <col min="14343" max="14344" width="8.625" style="35" customWidth="1"/>
    <col min="14345" max="14345" width="9" style="35"/>
    <col min="14346" max="14346" width="9.5" style="35" bestFit="1" customWidth="1"/>
    <col min="14347" max="14592" width="9" style="35"/>
    <col min="14593" max="14593" width="2.625" style="35" customWidth="1"/>
    <col min="14594" max="14594" width="10.75" style="35" customWidth="1"/>
    <col min="14595" max="14595" width="7.625" style="35" customWidth="1"/>
    <col min="14596" max="14596" width="11.125" style="35" customWidth="1"/>
    <col min="14597" max="14597" width="8.625" style="35" customWidth="1"/>
    <col min="14598" max="14598" width="9" style="35"/>
    <col min="14599" max="14600" width="8.625" style="35" customWidth="1"/>
    <col min="14601" max="14601" width="9" style="35"/>
    <col min="14602" max="14602" width="9.5" style="35" bestFit="1" customWidth="1"/>
    <col min="14603" max="14848" width="9" style="35"/>
    <col min="14849" max="14849" width="2.625" style="35" customWidth="1"/>
    <col min="14850" max="14850" width="10.75" style="35" customWidth="1"/>
    <col min="14851" max="14851" width="7.625" style="35" customWidth="1"/>
    <col min="14852" max="14852" width="11.125" style="35" customWidth="1"/>
    <col min="14853" max="14853" width="8.625" style="35" customWidth="1"/>
    <col min="14854" max="14854" width="9" style="35"/>
    <col min="14855" max="14856" width="8.625" style="35" customWidth="1"/>
    <col min="14857" max="14857" width="9" style="35"/>
    <col min="14858" max="14858" width="9.5" style="35" bestFit="1" customWidth="1"/>
    <col min="14859" max="15104" width="9" style="35"/>
    <col min="15105" max="15105" width="2.625" style="35" customWidth="1"/>
    <col min="15106" max="15106" width="10.75" style="35" customWidth="1"/>
    <col min="15107" max="15107" width="7.625" style="35" customWidth="1"/>
    <col min="15108" max="15108" width="11.125" style="35" customWidth="1"/>
    <col min="15109" max="15109" width="8.625" style="35" customWidth="1"/>
    <col min="15110" max="15110" width="9" style="35"/>
    <col min="15111" max="15112" width="8.625" style="35" customWidth="1"/>
    <col min="15113" max="15113" width="9" style="35"/>
    <col min="15114" max="15114" width="9.5" style="35" bestFit="1" customWidth="1"/>
    <col min="15115" max="15360" width="9" style="35"/>
    <col min="15361" max="15361" width="2.625" style="35" customWidth="1"/>
    <col min="15362" max="15362" width="10.75" style="35" customWidth="1"/>
    <col min="15363" max="15363" width="7.625" style="35" customWidth="1"/>
    <col min="15364" max="15364" width="11.125" style="35" customWidth="1"/>
    <col min="15365" max="15365" width="8.625" style="35" customWidth="1"/>
    <col min="15366" max="15366" width="9" style="35"/>
    <col min="15367" max="15368" width="8.625" style="35" customWidth="1"/>
    <col min="15369" max="15369" width="9" style="35"/>
    <col min="15370" max="15370" width="9.5" style="35" bestFit="1" customWidth="1"/>
    <col min="15371" max="15616" width="9" style="35"/>
    <col min="15617" max="15617" width="2.625" style="35" customWidth="1"/>
    <col min="15618" max="15618" width="10.75" style="35" customWidth="1"/>
    <col min="15619" max="15619" width="7.625" style="35" customWidth="1"/>
    <col min="15620" max="15620" width="11.125" style="35" customWidth="1"/>
    <col min="15621" max="15621" width="8.625" style="35" customWidth="1"/>
    <col min="15622" max="15622" width="9" style="35"/>
    <col min="15623" max="15624" width="8.625" style="35" customWidth="1"/>
    <col min="15625" max="15625" width="9" style="35"/>
    <col min="15626" max="15626" width="9.5" style="35" bestFit="1" customWidth="1"/>
    <col min="15627" max="15872" width="9" style="35"/>
    <col min="15873" max="15873" width="2.625" style="35" customWidth="1"/>
    <col min="15874" max="15874" width="10.75" style="35" customWidth="1"/>
    <col min="15875" max="15875" width="7.625" style="35" customWidth="1"/>
    <col min="15876" max="15876" width="11.125" style="35" customWidth="1"/>
    <col min="15877" max="15877" width="8.625" style="35" customWidth="1"/>
    <col min="15878" max="15878" width="9" style="35"/>
    <col min="15879" max="15880" width="8.625" style="35" customWidth="1"/>
    <col min="15881" max="15881" width="9" style="35"/>
    <col min="15882" max="15882" width="9.5" style="35" bestFit="1" customWidth="1"/>
    <col min="15883" max="16128" width="9" style="35"/>
    <col min="16129" max="16129" width="2.625" style="35" customWidth="1"/>
    <col min="16130" max="16130" width="10.75" style="35" customWidth="1"/>
    <col min="16131" max="16131" width="7.625" style="35" customWidth="1"/>
    <col min="16132" max="16132" width="11.125" style="35" customWidth="1"/>
    <col min="16133" max="16133" width="8.625" style="35" customWidth="1"/>
    <col min="16134" max="16134" width="9" style="35"/>
    <col min="16135" max="16136" width="8.625" style="35" customWidth="1"/>
    <col min="16137" max="16137" width="9" style="35"/>
    <col min="16138" max="16138" width="9.5" style="35" bestFit="1" customWidth="1"/>
    <col min="16139" max="16384" width="9" style="35"/>
  </cols>
  <sheetData>
    <row r="1" spans="2:24" ht="14.25" thickBot="1" x14ac:dyDescent="0.2"/>
    <row r="2" spans="2:24" ht="29.25" customHeight="1" thickTop="1" thickBot="1" x14ac:dyDescent="0.2">
      <c r="B2" s="152" t="s">
        <v>37</v>
      </c>
      <c r="C2" s="153" t="s">
        <v>38</v>
      </c>
      <c r="D2" s="154" t="s">
        <v>39</v>
      </c>
      <c r="E2" s="155" t="s">
        <v>40</v>
      </c>
      <c r="F2" s="155" t="s">
        <v>41</v>
      </c>
      <c r="G2" s="163" t="s">
        <v>156</v>
      </c>
      <c r="H2" s="157" t="s">
        <v>42</v>
      </c>
      <c r="J2" s="39" t="s">
        <v>43</v>
      </c>
      <c r="K2" s="40" t="s">
        <v>44</v>
      </c>
      <c r="M2" s="41" t="s">
        <v>45</v>
      </c>
      <c r="N2" s="41" t="s">
        <v>46</v>
      </c>
      <c r="O2" s="41" t="s">
        <v>47</v>
      </c>
      <c r="P2" s="41" t="s">
        <v>48</v>
      </c>
      <c r="Q2" s="41" t="s">
        <v>49</v>
      </c>
      <c r="R2" s="41" t="s">
        <v>50</v>
      </c>
      <c r="S2" s="41" t="s">
        <v>51</v>
      </c>
      <c r="U2" s="35" t="s">
        <v>52</v>
      </c>
      <c r="V2" s="35" t="s">
        <v>53</v>
      </c>
      <c r="W2" s="35" t="s">
        <v>54</v>
      </c>
      <c r="X2" s="35" t="s">
        <v>55</v>
      </c>
    </row>
    <row r="3" spans="2:24" x14ac:dyDescent="0.15">
      <c r="B3" s="148">
        <v>1</v>
      </c>
      <c r="C3" s="149" t="s">
        <v>56</v>
      </c>
      <c r="D3" s="150">
        <v>0</v>
      </c>
      <c r="E3" s="13">
        <v>3</v>
      </c>
      <c r="F3" s="13">
        <v>2</v>
      </c>
      <c r="G3" s="162">
        <f t="shared" ref="G3:G12" si="0">$D$14+$D$15*E3+$D$16*F3</f>
        <v>-5</v>
      </c>
      <c r="H3" s="151">
        <f t="shared" ref="H3:H12" si="1">D3*G3-LN(1+EXP(G3))</f>
        <v>-6.7153484891179669E-3</v>
      </c>
      <c r="J3" s="44">
        <f>-9.8302+1.4044*E3+1.1024*F3</f>
        <v>-3.412199999999999</v>
      </c>
      <c r="K3" s="45">
        <f>(1+SIGN(J3))*0.5</f>
        <v>0</v>
      </c>
      <c r="M3" s="41">
        <v>0.1</v>
      </c>
      <c r="N3" s="41">
        <f>-1.4044/1.1024</f>
        <v>-1.2739477503628447</v>
      </c>
      <c r="O3" s="41">
        <f>1/1.1024*(9.8301-LN(M3/(1-M3)))</f>
        <v>10.910127519354337</v>
      </c>
      <c r="P3" s="41">
        <v>0</v>
      </c>
      <c r="Q3" s="41">
        <f>N$3*P3+O$3</f>
        <v>10.910127519354337</v>
      </c>
      <c r="R3" s="41">
        <f>N$7*P3+O$7</f>
        <v>8.9169992743105944</v>
      </c>
      <c r="S3" s="41">
        <f>N$11*P3+O$11</f>
        <v>6.9238710292668539</v>
      </c>
      <c r="U3" s="35">
        <f>K3</f>
        <v>0</v>
      </c>
      <c r="V3" s="35">
        <f>D3</f>
        <v>0</v>
      </c>
    </row>
    <row r="4" spans="2:24" x14ac:dyDescent="0.15">
      <c r="B4" s="141">
        <v>2</v>
      </c>
      <c r="C4" s="42" t="s">
        <v>56</v>
      </c>
      <c r="D4" s="43">
        <v>0</v>
      </c>
      <c r="E4" s="158">
        <v>4</v>
      </c>
      <c r="F4" s="158">
        <v>1</v>
      </c>
      <c r="G4" s="159">
        <f t="shared" si="0"/>
        <v>-5</v>
      </c>
      <c r="H4" s="142">
        <f t="shared" si="1"/>
        <v>-6.7153484891179669E-3</v>
      </c>
      <c r="J4" s="44">
        <f t="shared" ref="J4:J12" si="2">-9.8302+1.4044*E4+1.1024*F4</f>
        <v>-3.110199999999999</v>
      </c>
      <c r="K4" s="45">
        <f t="shared" ref="K4:K12" si="3">(1+SIGN(J4))*0.5</f>
        <v>0</v>
      </c>
      <c r="M4" s="41">
        <v>0.2</v>
      </c>
      <c r="N4" s="41">
        <f>-1.4044/1.1024</f>
        <v>-1.2739477503628447</v>
      </c>
      <c r="O4" s="41">
        <f>1/1.1024*(9.8301-LN(M4/(1-M4)))</f>
        <v>10.174523186792353</v>
      </c>
      <c r="P4" s="41">
        <v>1</v>
      </c>
      <c r="Q4" s="41">
        <f>N$3*P4+O$3</f>
        <v>9.6361797689914912</v>
      </c>
      <c r="R4" s="41">
        <f t="shared" ref="R4:R10" si="4">N$7*P4+O$7</f>
        <v>7.6430515239477499</v>
      </c>
      <c r="S4" s="41">
        <f t="shared" ref="S4:S10" si="5">N$11*P4+O$11</f>
        <v>5.6499232789040095</v>
      </c>
      <c r="U4" s="35">
        <f t="shared" ref="U4:U10" si="6">K4</f>
        <v>0</v>
      </c>
      <c r="V4" s="35">
        <f t="shared" ref="V4:V10" si="7">D4</f>
        <v>0</v>
      </c>
    </row>
    <row r="5" spans="2:24" x14ac:dyDescent="0.15">
      <c r="B5" s="141">
        <v>3</v>
      </c>
      <c r="C5" s="42" t="s">
        <v>56</v>
      </c>
      <c r="D5" s="43">
        <v>0</v>
      </c>
      <c r="E5" s="158">
        <v>2</v>
      </c>
      <c r="F5" s="158">
        <v>2</v>
      </c>
      <c r="G5" s="159">
        <f t="shared" si="0"/>
        <v>-6</v>
      </c>
      <c r="H5" s="142">
        <f t="shared" si="1"/>
        <v>-2.4756851377303571E-3</v>
      </c>
      <c r="J5" s="44">
        <f t="shared" si="2"/>
        <v>-4.8165999999999993</v>
      </c>
      <c r="K5" s="45">
        <f t="shared" si="3"/>
        <v>0</v>
      </c>
      <c r="M5" s="41">
        <v>0.3</v>
      </c>
      <c r="N5" s="41">
        <f t="shared" ref="N5:N11" si="8">-1.4044/1.1024</f>
        <v>-1.2739477503628447</v>
      </c>
      <c r="O5" s="41">
        <f t="shared" ref="O5:O11" si="9">1/1.1024*(9.8301-LN(M5/(1-M5)))</f>
        <v>9.6855931244441251</v>
      </c>
      <c r="P5" s="41">
        <v>2</v>
      </c>
      <c r="Q5" s="41">
        <f t="shared" ref="Q5:Q10" si="10">N$3*P5+O$3</f>
        <v>8.3622320186286476</v>
      </c>
      <c r="R5" s="41">
        <f t="shared" si="4"/>
        <v>6.3691037735849054</v>
      </c>
      <c r="S5" s="41">
        <f t="shared" si="5"/>
        <v>4.375975528541165</v>
      </c>
      <c r="U5" s="35">
        <f t="shared" si="6"/>
        <v>0</v>
      </c>
      <c r="V5" s="35">
        <f t="shared" si="7"/>
        <v>0</v>
      </c>
    </row>
    <row r="6" spans="2:24" x14ac:dyDescent="0.15">
      <c r="B6" s="143">
        <v>4</v>
      </c>
      <c r="C6" s="46" t="s">
        <v>56</v>
      </c>
      <c r="D6" s="43">
        <v>0</v>
      </c>
      <c r="E6" s="158">
        <v>2</v>
      </c>
      <c r="F6" s="158">
        <v>3</v>
      </c>
      <c r="G6" s="159">
        <f t="shared" si="0"/>
        <v>-5</v>
      </c>
      <c r="H6" s="142">
        <f t="shared" si="1"/>
        <v>-6.7153484891179669E-3</v>
      </c>
      <c r="J6" s="44">
        <f t="shared" si="2"/>
        <v>-3.7141999999999999</v>
      </c>
      <c r="K6" s="45">
        <f t="shared" si="3"/>
        <v>0</v>
      </c>
      <c r="M6" s="41">
        <v>0.4</v>
      </c>
      <c r="N6" s="41">
        <f t="shared" si="8"/>
        <v>-1.2739477503628447</v>
      </c>
      <c r="O6" s="41">
        <f t="shared" si="9"/>
        <v>9.2848014405915844</v>
      </c>
      <c r="P6" s="41">
        <v>3</v>
      </c>
      <c r="Q6" s="41">
        <f t="shared" si="10"/>
        <v>7.0882842682658023</v>
      </c>
      <c r="R6" s="41">
        <f t="shared" si="4"/>
        <v>5.0951560232220601</v>
      </c>
      <c r="S6" s="41">
        <f t="shared" si="5"/>
        <v>3.1020277781783197</v>
      </c>
      <c r="U6" s="35">
        <f t="shared" si="6"/>
        <v>0</v>
      </c>
      <c r="V6" s="35">
        <f t="shared" si="7"/>
        <v>0</v>
      </c>
    </row>
    <row r="7" spans="2:24" x14ac:dyDescent="0.15">
      <c r="B7" s="143">
        <v>5</v>
      </c>
      <c r="C7" s="46" t="s">
        <v>56</v>
      </c>
      <c r="D7" s="43">
        <v>0</v>
      </c>
      <c r="E7" s="158">
        <v>4</v>
      </c>
      <c r="F7" s="158">
        <v>5</v>
      </c>
      <c r="G7" s="159">
        <f t="shared" si="0"/>
        <v>-1</v>
      </c>
      <c r="H7" s="142">
        <f t="shared" si="1"/>
        <v>-0.31326168751822286</v>
      </c>
      <c r="J7" s="44">
        <f t="shared" si="2"/>
        <v>1.2994000000000012</v>
      </c>
      <c r="K7" s="45">
        <f t="shared" si="3"/>
        <v>1</v>
      </c>
      <c r="M7" s="41">
        <v>0.5</v>
      </c>
      <c r="N7" s="41">
        <f t="shared" si="8"/>
        <v>-1.2739477503628447</v>
      </c>
      <c r="O7" s="41">
        <f t="shared" si="9"/>
        <v>8.9169992743105944</v>
      </c>
      <c r="P7" s="41">
        <v>4</v>
      </c>
      <c r="Q7" s="41">
        <f t="shared" si="10"/>
        <v>5.8143365179029578</v>
      </c>
      <c r="R7" s="41">
        <f t="shared" si="4"/>
        <v>3.8212082728592156</v>
      </c>
      <c r="S7" s="41">
        <f t="shared" si="5"/>
        <v>1.8280800278154752</v>
      </c>
      <c r="U7" s="35">
        <f t="shared" si="6"/>
        <v>1</v>
      </c>
      <c r="V7" s="35">
        <f t="shared" si="7"/>
        <v>0</v>
      </c>
      <c r="W7" s="35" t="s">
        <v>57</v>
      </c>
    </row>
    <row r="8" spans="2:24" x14ac:dyDescent="0.15">
      <c r="B8" s="141">
        <v>6</v>
      </c>
      <c r="C8" s="42" t="s">
        <v>58</v>
      </c>
      <c r="D8" s="43">
        <v>1</v>
      </c>
      <c r="E8" s="158">
        <v>4</v>
      </c>
      <c r="F8" s="158">
        <v>4</v>
      </c>
      <c r="G8" s="159">
        <f t="shared" si="0"/>
        <v>-2</v>
      </c>
      <c r="H8" s="142">
        <f t="shared" si="1"/>
        <v>-2.1269280110429727</v>
      </c>
      <c r="J8" s="44">
        <f t="shared" si="2"/>
        <v>0.19700000000000095</v>
      </c>
      <c r="K8" s="45">
        <f t="shared" si="3"/>
        <v>1</v>
      </c>
      <c r="M8" s="41">
        <v>0.6</v>
      </c>
      <c r="N8" s="41">
        <f t="shared" si="8"/>
        <v>-1.2739477503628447</v>
      </c>
      <c r="O8" s="41">
        <f t="shared" si="9"/>
        <v>8.5491971080296043</v>
      </c>
      <c r="P8" s="41">
        <v>5</v>
      </c>
      <c r="Q8" s="41">
        <f t="shared" si="10"/>
        <v>4.5403887675401133</v>
      </c>
      <c r="R8" s="41">
        <f t="shared" si="4"/>
        <v>2.5472605224963711</v>
      </c>
      <c r="S8" s="41">
        <f t="shared" si="5"/>
        <v>0.55413227745263072</v>
      </c>
      <c r="U8" s="35">
        <f t="shared" si="6"/>
        <v>1</v>
      </c>
      <c r="V8" s="35">
        <f t="shared" si="7"/>
        <v>1</v>
      </c>
    </row>
    <row r="9" spans="2:24" x14ac:dyDescent="0.15">
      <c r="B9" s="141">
        <v>7</v>
      </c>
      <c r="C9" s="46" t="s">
        <v>58</v>
      </c>
      <c r="D9" s="43">
        <v>1</v>
      </c>
      <c r="E9" s="158">
        <v>5</v>
      </c>
      <c r="F9" s="158">
        <v>8</v>
      </c>
      <c r="G9" s="159">
        <f t="shared" si="0"/>
        <v>3</v>
      </c>
      <c r="H9" s="142">
        <f t="shared" si="1"/>
        <v>-4.8587351573742055E-2</v>
      </c>
      <c r="J9" s="44">
        <f t="shared" si="2"/>
        <v>6.011000000000001</v>
      </c>
      <c r="K9" s="45">
        <f t="shared" si="3"/>
        <v>1</v>
      </c>
      <c r="M9" s="41">
        <v>0.7</v>
      </c>
      <c r="N9" s="41">
        <f t="shared" si="8"/>
        <v>-1.2739477503628447</v>
      </c>
      <c r="O9" s="41">
        <f t="shared" si="9"/>
        <v>8.1484054241770654</v>
      </c>
      <c r="P9" s="41">
        <v>6</v>
      </c>
      <c r="Q9" s="41">
        <f t="shared" si="10"/>
        <v>3.266441017177268</v>
      </c>
      <c r="R9" s="41">
        <f t="shared" si="4"/>
        <v>1.2733127721335258</v>
      </c>
      <c r="S9" s="41">
        <f t="shared" si="5"/>
        <v>-0.71981547291021464</v>
      </c>
      <c r="U9" s="35">
        <f t="shared" si="6"/>
        <v>1</v>
      </c>
      <c r="V9" s="35">
        <f t="shared" si="7"/>
        <v>1</v>
      </c>
    </row>
    <row r="10" spans="2:24" x14ac:dyDescent="0.15">
      <c r="B10" s="141">
        <v>8</v>
      </c>
      <c r="C10" s="46" t="s">
        <v>58</v>
      </c>
      <c r="D10" s="43">
        <v>1</v>
      </c>
      <c r="E10" s="158">
        <v>3</v>
      </c>
      <c r="F10" s="158">
        <v>6</v>
      </c>
      <c r="G10" s="159">
        <f t="shared" si="0"/>
        <v>-1</v>
      </c>
      <c r="H10" s="142">
        <f t="shared" si="1"/>
        <v>-1.3132616875182228</v>
      </c>
      <c r="J10" s="44">
        <f t="shared" si="2"/>
        <v>0.99740000000000073</v>
      </c>
      <c r="K10" s="45">
        <f t="shared" si="3"/>
        <v>1</v>
      </c>
      <c r="M10" s="41">
        <v>0.8</v>
      </c>
      <c r="N10" s="41">
        <f t="shared" si="8"/>
        <v>-1.2739477503628447</v>
      </c>
      <c r="O10" s="41">
        <f t="shared" si="9"/>
        <v>7.6594753618288358</v>
      </c>
      <c r="P10" s="41">
        <v>7</v>
      </c>
      <c r="Q10" s="41">
        <f t="shared" si="10"/>
        <v>1.9924932668144244</v>
      </c>
      <c r="R10" s="41">
        <f t="shared" si="4"/>
        <v>-6.3497822931779524E-4</v>
      </c>
      <c r="S10" s="41">
        <f t="shared" si="5"/>
        <v>-1.9937632232730582</v>
      </c>
      <c r="U10" s="35">
        <f t="shared" si="6"/>
        <v>1</v>
      </c>
      <c r="V10" s="35">
        <f t="shared" si="7"/>
        <v>1</v>
      </c>
    </row>
    <row r="11" spans="2:24" x14ac:dyDescent="0.15">
      <c r="B11" s="141">
        <v>9</v>
      </c>
      <c r="C11" s="46" t="s">
        <v>58</v>
      </c>
      <c r="D11" s="43">
        <v>1</v>
      </c>
      <c r="E11" s="158">
        <v>6</v>
      </c>
      <c r="F11" s="158">
        <v>7</v>
      </c>
      <c r="G11" s="159">
        <f t="shared" si="0"/>
        <v>3</v>
      </c>
      <c r="H11" s="142">
        <f t="shared" si="1"/>
        <v>-4.8587351573742055E-2</v>
      </c>
      <c r="J11" s="44">
        <f t="shared" si="2"/>
        <v>6.3130000000000015</v>
      </c>
      <c r="K11" s="45">
        <f t="shared" si="3"/>
        <v>1</v>
      </c>
      <c r="M11" s="41">
        <v>0.9</v>
      </c>
      <c r="N11" s="41">
        <f t="shared" si="8"/>
        <v>-1.2739477503628447</v>
      </c>
      <c r="O11" s="41">
        <f t="shared" si="9"/>
        <v>6.9238710292668539</v>
      </c>
      <c r="U11" s="35">
        <f>K11</f>
        <v>1</v>
      </c>
      <c r="V11" s="35">
        <f>D11</f>
        <v>1</v>
      </c>
    </row>
    <row r="12" spans="2:24" ht="14.25" thickBot="1" x14ac:dyDescent="0.2">
      <c r="B12" s="144">
        <v>10</v>
      </c>
      <c r="C12" s="145" t="s">
        <v>58</v>
      </c>
      <c r="D12" s="146">
        <v>1</v>
      </c>
      <c r="E12" s="160">
        <v>5</v>
      </c>
      <c r="F12" s="160">
        <v>4</v>
      </c>
      <c r="G12" s="161">
        <f t="shared" si="0"/>
        <v>-1</v>
      </c>
      <c r="H12" s="147">
        <f t="shared" si="1"/>
        <v>-1.3132616875182228</v>
      </c>
      <c r="J12" s="47">
        <f t="shared" si="2"/>
        <v>1.6014000000000008</v>
      </c>
      <c r="K12" s="48">
        <f t="shared" si="3"/>
        <v>1</v>
      </c>
      <c r="M12" s="41"/>
      <c r="N12" s="41"/>
      <c r="O12" s="41"/>
      <c r="U12" s="35">
        <f>K12</f>
        <v>1</v>
      </c>
      <c r="V12" s="35">
        <f>D12</f>
        <v>1</v>
      </c>
    </row>
    <row r="13" spans="2:24" x14ac:dyDescent="0.15">
      <c r="C13" s="49"/>
      <c r="E13" s="50"/>
      <c r="M13" s="41"/>
      <c r="N13" s="41"/>
      <c r="O13" s="41"/>
    </row>
    <row r="14" spans="2:24" x14ac:dyDescent="0.15">
      <c r="B14" s="33" t="s">
        <v>59</v>
      </c>
      <c r="C14" s="34" t="s">
        <v>60</v>
      </c>
      <c r="D14" s="35">
        <v>-10</v>
      </c>
      <c r="E14" s="51"/>
      <c r="H14" s="38">
        <f>SUM(H3:H12)</f>
        <v>-5.186509507350209</v>
      </c>
      <c r="M14" s="41"/>
      <c r="N14" s="41"/>
      <c r="O14" s="41"/>
    </row>
    <row r="15" spans="2:24" x14ac:dyDescent="0.15">
      <c r="B15" s="33" t="s">
        <v>61</v>
      </c>
      <c r="C15" s="34" t="s">
        <v>62</v>
      </c>
      <c r="D15" s="35">
        <v>1</v>
      </c>
      <c r="E15" s="51"/>
    </row>
    <row r="16" spans="2:24" x14ac:dyDescent="0.15">
      <c r="C16" s="34" t="s">
        <v>63</v>
      </c>
      <c r="D16" s="35">
        <v>1</v>
      </c>
    </row>
    <row r="26" spans="2:8" ht="14.25" thickBot="1" x14ac:dyDescent="0.2"/>
    <row r="27" spans="2:8" x14ac:dyDescent="0.15">
      <c r="B27" s="52" t="s">
        <v>64</v>
      </c>
      <c r="C27" s="53"/>
      <c r="D27" s="53"/>
      <c r="E27" s="53"/>
      <c r="F27" s="53"/>
      <c r="G27" s="53"/>
      <c r="H27" s="54"/>
    </row>
    <row r="28" spans="2:8" x14ac:dyDescent="0.15">
      <c r="B28" s="55"/>
      <c r="C28" s="56"/>
      <c r="D28" s="56" t="s">
        <v>65</v>
      </c>
      <c r="E28" s="56"/>
      <c r="F28" s="57"/>
      <c r="G28" s="57"/>
      <c r="H28" s="58"/>
    </row>
    <row r="29" spans="2:8" x14ac:dyDescent="0.15">
      <c r="B29" s="55"/>
      <c r="C29" s="56"/>
      <c r="D29" s="56" t="s">
        <v>66</v>
      </c>
      <c r="E29" s="56" t="s">
        <v>67</v>
      </c>
      <c r="F29" s="57"/>
      <c r="G29" s="57"/>
      <c r="H29" s="58"/>
    </row>
    <row r="30" spans="2:8" x14ac:dyDescent="0.15">
      <c r="B30" s="55" t="s">
        <v>68</v>
      </c>
      <c r="C30" s="56" t="s">
        <v>66</v>
      </c>
      <c r="D30" s="59">
        <v>4</v>
      </c>
      <c r="E30" s="59">
        <v>1</v>
      </c>
      <c r="F30" s="57"/>
      <c r="G30" s="57" t="s">
        <v>69</v>
      </c>
      <c r="H30" s="58" t="s">
        <v>70</v>
      </c>
    </row>
    <row r="31" spans="2:8" ht="14.25" thickBot="1" x14ac:dyDescent="0.2">
      <c r="B31" s="60"/>
      <c r="C31" s="61" t="s">
        <v>67</v>
      </c>
      <c r="D31" s="62">
        <v>0</v>
      </c>
      <c r="E31" s="62">
        <v>5</v>
      </c>
      <c r="F31" s="63"/>
      <c r="G31" s="63">
        <f>SUM(D30:E31)</f>
        <v>10</v>
      </c>
      <c r="H31" s="64">
        <f>(D30+D31)/G31*(D30+E30)/G31+(E30+E31)/G31*(D31+E31)/G31</f>
        <v>0.5</v>
      </c>
    </row>
    <row r="32" spans="2:8" x14ac:dyDescent="0.15">
      <c r="B32" s="65" t="s">
        <v>71</v>
      </c>
      <c r="C32" s="66"/>
      <c r="D32" s="66"/>
      <c r="E32" s="66"/>
      <c r="F32" s="66"/>
      <c r="G32" s="66"/>
      <c r="H32" s="67"/>
    </row>
    <row r="33" spans="2:8" x14ac:dyDescent="0.15">
      <c r="B33" s="68" t="s">
        <v>72</v>
      </c>
      <c r="C33" s="69" t="s">
        <v>73</v>
      </c>
      <c r="D33" s="69" t="s">
        <v>74</v>
      </c>
      <c r="E33" s="69" t="s">
        <v>75</v>
      </c>
      <c r="F33" s="69" t="s">
        <v>76</v>
      </c>
      <c r="G33" s="69" t="s">
        <v>77</v>
      </c>
      <c r="H33" s="70"/>
    </row>
    <row r="34" spans="2:8" ht="14.25" thickBot="1" x14ac:dyDescent="0.2">
      <c r="B34" s="71">
        <f>(D30+E31)/G31</f>
        <v>0.9</v>
      </c>
      <c r="C34" s="72">
        <f>E31/(D31+E31)</f>
        <v>1</v>
      </c>
      <c r="D34" s="72">
        <f>D30/(D30+E30)</f>
        <v>0.8</v>
      </c>
      <c r="E34" s="72">
        <f>E31/(E30+E31)</f>
        <v>0.83333333333333337</v>
      </c>
      <c r="F34" s="72">
        <f>D30/(D30+D31)</f>
        <v>1</v>
      </c>
      <c r="G34" s="72">
        <f>(B34-H31)/(1-H31)</f>
        <v>0.8</v>
      </c>
      <c r="H34" s="73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5361" r:id="rId4">
          <objectPr defaultSize="0" autoPict="0" r:id="rId5">
            <anchor moveWithCells="1">
              <from>
                <xdr:col>1</xdr:col>
                <xdr:colOff>19050</xdr:colOff>
                <xdr:row>16</xdr:row>
                <xdr:rowOff>152400</xdr:rowOff>
              </from>
              <to>
                <xdr:col>7</xdr:col>
                <xdr:colOff>523875</xdr:colOff>
                <xdr:row>23</xdr:row>
                <xdr:rowOff>123825</xdr:rowOff>
              </to>
            </anchor>
          </objectPr>
        </oleObject>
      </mc:Choice>
      <mc:Fallback>
        <oleObject progId="Paint.Picture" shapeId="15361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R19"/>
  <sheetViews>
    <sheetView zoomScale="75" workbookViewId="0">
      <selection activeCell="N23" sqref="N23"/>
    </sheetView>
  </sheetViews>
  <sheetFormatPr defaultRowHeight="13.5" x14ac:dyDescent="0.15"/>
  <cols>
    <col min="1" max="1" width="8.875" style="5"/>
    <col min="2" max="4" width="8.625" style="78" customWidth="1"/>
    <col min="5" max="8" width="8.625" style="5" customWidth="1"/>
    <col min="9" max="10" width="8.875" style="5"/>
    <col min="11" max="11" width="9.75" style="5" customWidth="1"/>
    <col min="12" max="12" width="10.75" style="5" customWidth="1"/>
    <col min="13" max="17" width="8.875" style="5"/>
    <col min="18" max="18" width="13.875" style="5" customWidth="1"/>
    <col min="19" max="256" width="8.875" style="5"/>
    <col min="257" max="263" width="8.625" style="5" customWidth="1"/>
    <col min="264" max="512" width="8.875" style="5"/>
    <col min="513" max="519" width="8.625" style="5" customWidth="1"/>
    <col min="520" max="768" width="8.875" style="5"/>
    <col min="769" max="775" width="8.625" style="5" customWidth="1"/>
    <col min="776" max="1024" width="8.875" style="5"/>
    <col min="1025" max="1031" width="8.625" style="5" customWidth="1"/>
    <col min="1032" max="1280" width="8.875" style="5"/>
    <col min="1281" max="1287" width="8.625" style="5" customWidth="1"/>
    <col min="1288" max="1536" width="8.875" style="5"/>
    <col min="1537" max="1543" width="8.625" style="5" customWidth="1"/>
    <col min="1544" max="1792" width="8.875" style="5"/>
    <col min="1793" max="1799" width="8.625" style="5" customWidth="1"/>
    <col min="1800" max="2048" width="8.875" style="5"/>
    <col min="2049" max="2055" width="8.625" style="5" customWidth="1"/>
    <col min="2056" max="2304" width="8.875" style="5"/>
    <col min="2305" max="2311" width="8.625" style="5" customWidth="1"/>
    <col min="2312" max="2560" width="8.875" style="5"/>
    <col min="2561" max="2567" width="8.625" style="5" customWidth="1"/>
    <col min="2568" max="2816" width="8.875" style="5"/>
    <col min="2817" max="2823" width="8.625" style="5" customWidth="1"/>
    <col min="2824" max="3072" width="8.875" style="5"/>
    <col min="3073" max="3079" width="8.625" style="5" customWidth="1"/>
    <col min="3080" max="3328" width="8.875" style="5"/>
    <col min="3329" max="3335" width="8.625" style="5" customWidth="1"/>
    <col min="3336" max="3584" width="8.875" style="5"/>
    <col min="3585" max="3591" width="8.625" style="5" customWidth="1"/>
    <col min="3592" max="3840" width="8.875" style="5"/>
    <col min="3841" max="3847" width="8.625" style="5" customWidth="1"/>
    <col min="3848" max="4096" width="8.875" style="5"/>
    <col min="4097" max="4103" width="8.625" style="5" customWidth="1"/>
    <col min="4104" max="4352" width="8.875" style="5"/>
    <col min="4353" max="4359" width="8.625" style="5" customWidth="1"/>
    <col min="4360" max="4608" width="8.875" style="5"/>
    <col min="4609" max="4615" width="8.625" style="5" customWidth="1"/>
    <col min="4616" max="4864" width="8.875" style="5"/>
    <col min="4865" max="4871" width="8.625" style="5" customWidth="1"/>
    <col min="4872" max="5120" width="8.875" style="5"/>
    <col min="5121" max="5127" width="8.625" style="5" customWidth="1"/>
    <col min="5128" max="5376" width="8.875" style="5"/>
    <col min="5377" max="5383" width="8.625" style="5" customWidth="1"/>
    <col min="5384" max="5632" width="8.875" style="5"/>
    <col min="5633" max="5639" width="8.625" style="5" customWidth="1"/>
    <col min="5640" max="5888" width="8.875" style="5"/>
    <col min="5889" max="5895" width="8.625" style="5" customWidth="1"/>
    <col min="5896" max="6144" width="8.875" style="5"/>
    <col min="6145" max="6151" width="8.625" style="5" customWidth="1"/>
    <col min="6152" max="6400" width="8.875" style="5"/>
    <col min="6401" max="6407" width="8.625" style="5" customWidth="1"/>
    <col min="6408" max="6656" width="8.875" style="5"/>
    <col min="6657" max="6663" width="8.625" style="5" customWidth="1"/>
    <col min="6664" max="6912" width="8.875" style="5"/>
    <col min="6913" max="6919" width="8.625" style="5" customWidth="1"/>
    <col min="6920" max="7168" width="8.875" style="5"/>
    <col min="7169" max="7175" width="8.625" style="5" customWidth="1"/>
    <col min="7176" max="7424" width="8.875" style="5"/>
    <col min="7425" max="7431" width="8.625" style="5" customWidth="1"/>
    <col min="7432" max="7680" width="8.875" style="5"/>
    <col min="7681" max="7687" width="8.625" style="5" customWidth="1"/>
    <col min="7688" max="7936" width="8.875" style="5"/>
    <col min="7937" max="7943" width="8.625" style="5" customWidth="1"/>
    <col min="7944" max="8192" width="8.875" style="5"/>
    <col min="8193" max="8199" width="8.625" style="5" customWidth="1"/>
    <col min="8200" max="8448" width="8.875" style="5"/>
    <col min="8449" max="8455" width="8.625" style="5" customWidth="1"/>
    <col min="8456" max="8704" width="8.875" style="5"/>
    <col min="8705" max="8711" width="8.625" style="5" customWidth="1"/>
    <col min="8712" max="8960" width="8.875" style="5"/>
    <col min="8961" max="8967" width="8.625" style="5" customWidth="1"/>
    <col min="8968" max="9216" width="8.875" style="5"/>
    <col min="9217" max="9223" width="8.625" style="5" customWidth="1"/>
    <col min="9224" max="9472" width="8.875" style="5"/>
    <col min="9473" max="9479" width="8.625" style="5" customWidth="1"/>
    <col min="9480" max="9728" width="8.875" style="5"/>
    <col min="9729" max="9735" width="8.625" style="5" customWidth="1"/>
    <col min="9736" max="9984" width="8.875" style="5"/>
    <col min="9985" max="9991" width="8.625" style="5" customWidth="1"/>
    <col min="9992" max="10240" width="8.875" style="5"/>
    <col min="10241" max="10247" width="8.625" style="5" customWidth="1"/>
    <col min="10248" max="10496" width="8.875" style="5"/>
    <col min="10497" max="10503" width="8.625" style="5" customWidth="1"/>
    <col min="10504" max="10752" width="8.875" style="5"/>
    <col min="10753" max="10759" width="8.625" style="5" customWidth="1"/>
    <col min="10760" max="11008" width="8.875" style="5"/>
    <col min="11009" max="11015" width="8.625" style="5" customWidth="1"/>
    <col min="11016" max="11264" width="8.875" style="5"/>
    <col min="11265" max="11271" width="8.625" style="5" customWidth="1"/>
    <col min="11272" max="11520" width="8.875" style="5"/>
    <col min="11521" max="11527" width="8.625" style="5" customWidth="1"/>
    <col min="11528" max="11776" width="8.875" style="5"/>
    <col min="11777" max="11783" width="8.625" style="5" customWidth="1"/>
    <col min="11784" max="12032" width="8.875" style="5"/>
    <col min="12033" max="12039" width="8.625" style="5" customWidth="1"/>
    <col min="12040" max="12288" width="8.875" style="5"/>
    <col min="12289" max="12295" width="8.625" style="5" customWidth="1"/>
    <col min="12296" max="12544" width="8.875" style="5"/>
    <col min="12545" max="12551" width="8.625" style="5" customWidth="1"/>
    <col min="12552" max="12800" width="8.875" style="5"/>
    <col min="12801" max="12807" width="8.625" style="5" customWidth="1"/>
    <col min="12808" max="13056" width="8.875" style="5"/>
    <col min="13057" max="13063" width="8.625" style="5" customWidth="1"/>
    <col min="13064" max="13312" width="8.875" style="5"/>
    <col min="13313" max="13319" width="8.625" style="5" customWidth="1"/>
    <col min="13320" max="13568" width="8.875" style="5"/>
    <col min="13569" max="13575" width="8.625" style="5" customWidth="1"/>
    <col min="13576" max="13824" width="8.875" style="5"/>
    <col min="13825" max="13831" width="8.625" style="5" customWidth="1"/>
    <col min="13832" max="14080" width="8.875" style="5"/>
    <col min="14081" max="14087" width="8.625" style="5" customWidth="1"/>
    <col min="14088" max="14336" width="8.875" style="5"/>
    <col min="14337" max="14343" width="8.625" style="5" customWidth="1"/>
    <col min="14344" max="14592" width="8.875" style="5"/>
    <col min="14593" max="14599" width="8.625" style="5" customWidth="1"/>
    <col min="14600" max="14848" width="8.875" style="5"/>
    <col min="14849" max="14855" width="8.625" style="5" customWidth="1"/>
    <col min="14856" max="15104" width="8.875" style="5"/>
    <col min="15105" max="15111" width="8.625" style="5" customWidth="1"/>
    <col min="15112" max="15360" width="8.875" style="5"/>
    <col min="15361" max="15367" width="8.625" style="5" customWidth="1"/>
    <col min="15368" max="15616" width="8.875" style="5"/>
    <col min="15617" max="15623" width="8.625" style="5" customWidth="1"/>
    <col min="15624" max="15872" width="8.875" style="5"/>
    <col min="15873" max="15879" width="8.625" style="5" customWidth="1"/>
    <col min="15880" max="16128" width="8.875" style="5"/>
    <col min="16129" max="16135" width="8.625" style="5" customWidth="1"/>
    <col min="16136" max="16384" width="8.875" style="5"/>
  </cols>
  <sheetData>
    <row r="2" spans="2:18" x14ac:dyDescent="0.15">
      <c r="B2" s="74"/>
      <c r="C2" s="75" t="s">
        <v>109</v>
      </c>
      <c r="D2" s="75" t="s">
        <v>110</v>
      </c>
      <c r="F2" s="75"/>
      <c r="G2" s="75" t="s">
        <v>109</v>
      </c>
      <c r="H2" s="75" t="s">
        <v>110</v>
      </c>
      <c r="J2" s="74"/>
      <c r="K2" s="74" t="s">
        <v>78</v>
      </c>
      <c r="L2" s="74" t="s">
        <v>111</v>
      </c>
      <c r="N2" s="75"/>
      <c r="O2" s="75" t="s">
        <v>109</v>
      </c>
      <c r="P2" s="75" t="s">
        <v>112</v>
      </c>
      <c r="Q2" s="290" t="s">
        <v>86</v>
      </c>
      <c r="R2" s="291"/>
    </row>
    <row r="3" spans="2:18" x14ac:dyDescent="0.15">
      <c r="B3" s="75" t="s">
        <v>79</v>
      </c>
      <c r="C3" s="74">
        <v>4</v>
      </c>
      <c r="D3" s="74">
        <v>2</v>
      </c>
      <c r="F3" s="75" t="s">
        <v>79</v>
      </c>
      <c r="G3" s="75">
        <v>1.0954451150103321</v>
      </c>
      <c r="H3" s="75">
        <v>1.0954451150103321</v>
      </c>
      <c r="J3" s="74" t="s">
        <v>79</v>
      </c>
      <c r="K3" s="75">
        <f>1/SQRT(2)*G3+1/SQRT(2)*H3</f>
        <v>1.5491933384829666</v>
      </c>
      <c r="L3" s="75">
        <f>-1/SQRT(2)*G3+1/SQRT(2)*H3</f>
        <v>0</v>
      </c>
      <c r="N3" s="75" t="s">
        <v>79</v>
      </c>
      <c r="O3" s="75">
        <v>1.0954451150103321</v>
      </c>
      <c r="P3" s="75">
        <v>1.0954451150103321</v>
      </c>
      <c r="Q3" s="292" t="s">
        <v>87</v>
      </c>
      <c r="R3" s="293"/>
    </row>
    <row r="4" spans="2:18" x14ac:dyDescent="0.15">
      <c r="B4" s="75" t="s">
        <v>80</v>
      </c>
      <c r="C4" s="74">
        <v>2</v>
      </c>
      <c r="D4" s="74">
        <v>-1</v>
      </c>
      <c r="F4" s="75" t="s">
        <v>80</v>
      </c>
      <c r="G4" s="75">
        <v>0.54772255750516607</v>
      </c>
      <c r="H4" s="75">
        <v>-0.54772255750516607</v>
      </c>
      <c r="J4" s="74" t="s">
        <v>80</v>
      </c>
      <c r="K4" s="75">
        <f>1/SQRT(2)*G4+1/SQRT(2)*H4</f>
        <v>0</v>
      </c>
      <c r="L4" s="75">
        <f>-1/SQRT(2)*G4+1/SQRT(2)*H4</f>
        <v>-0.77459666924148329</v>
      </c>
      <c r="N4" s="75" t="s">
        <v>80</v>
      </c>
      <c r="O4" s="75">
        <v>0.54772255750516607</v>
      </c>
      <c r="P4" s="75">
        <v>-0.54772255750516607</v>
      </c>
      <c r="Q4" s="292" t="s">
        <v>88</v>
      </c>
      <c r="R4" s="293"/>
    </row>
    <row r="5" spans="2:18" x14ac:dyDescent="0.15">
      <c r="B5" s="75" t="s">
        <v>81</v>
      </c>
      <c r="C5" s="74">
        <v>-2</v>
      </c>
      <c r="D5" s="74">
        <v>1</v>
      </c>
      <c r="F5" s="75" t="s">
        <v>81</v>
      </c>
      <c r="G5" s="75">
        <v>-0.54772255750516607</v>
      </c>
      <c r="H5" s="75">
        <v>0.54772255750516607</v>
      </c>
      <c r="J5" s="74" t="s">
        <v>81</v>
      </c>
      <c r="K5" s="75">
        <f>1/SQRT(2)*G5+1/SQRT(2)*H5</f>
        <v>0</v>
      </c>
      <c r="L5" s="75">
        <f>-1/SQRT(2)*G5+1/SQRT(2)*H5</f>
        <v>0.77459666924148329</v>
      </c>
      <c r="N5" s="75" t="s">
        <v>81</v>
      </c>
      <c r="O5" s="75">
        <v>-0.54772255750516607</v>
      </c>
      <c r="P5" s="75">
        <v>0.54772255750516607</v>
      </c>
      <c r="Q5" s="292" t="s">
        <v>89</v>
      </c>
      <c r="R5" s="293"/>
    </row>
    <row r="6" spans="2:18" x14ac:dyDescent="0.15">
      <c r="B6" s="75" t="s">
        <v>82</v>
      </c>
      <c r="C6" s="74">
        <v>-4</v>
      </c>
      <c r="D6" s="74">
        <v>-2</v>
      </c>
      <c r="F6" s="75" t="s">
        <v>82</v>
      </c>
      <c r="G6" s="75">
        <v>-1.0954451150103321</v>
      </c>
      <c r="H6" s="75">
        <v>-1.0954451150103321</v>
      </c>
      <c r="J6" s="74" t="s">
        <v>82</v>
      </c>
      <c r="K6" s="75">
        <f>1/SQRT(2)*G6+1/SQRT(2)*H6</f>
        <v>-1.5491933384829666</v>
      </c>
      <c r="L6" s="75">
        <f>-1/SQRT(2)*G6+1/SQRT(2)*H6</f>
        <v>0</v>
      </c>
      <c r="N6" s="75" t="s">
        <v>82</v>
      </c>
      <c r="O6" s="75">
        <v>-1.0954451150103321</v>
      </c>
      <c r="P6" s="75">
        <v>-1.0954451150103321</v>
      </c>
      <c r="Q6" s="292" t="s">
        <v>90</v>
      </c>
      <c r="R6" s="293"/>
    </row>
    <row r="7" spans="2:18" x14ac:dyDescent="0.15">
      <c r="B7" s="74" t="s">
        <v>11</v>
      </c>
      <c r="C7" s="74">
        <f>AVERAGE(C3:C6)</f>
        <v>0</v>
      </c>
      <c r="D7" s="74">
        <f>AVERAGE(D3:D6)</f>
        <v>0</v>
      </c>
      <c r="F7" s="75" t="s">
        <v>11</v>
      </c>
      <c r="G7" s="75">
        <f>AVERAGE(G3:G6)</f>
        <v>0</v>
      </c>
      <c r="H7" s="75">
        <f>AVERAGE(H3:H6)</f>
        <v>0</v>
      </c>
      <c r="J7" s="74" t="s">
        <v>83</v>
      </c>
      <c r="K7" s="75">
        <f>VAR(K3:K6)</f>
        <v>1.5999999999999996</v>
      </c>
      <c r="L7" s="75">
        <f>VAR(L3:L6)</f>
        <v>0.39999999999999991</v>
      </c>
    </row>
    <row r="8" spans="2:18" x14ac:dyDescent="0.15">
      <c r="B8" s="74" t="s">
        <v>84</v>
      </c>
      <c r="C8" s="75">
        <f>STDEV(C3:C6)</f>
        <v>3.6514837167011076</v>
      </c>
      <c r="D8" s="75">
        <f>STDEV(D3:D6)</f>
        <v>1.8257418583505538</v>
      </c>
      <c r="F8" s="75" t="s">
        <v>84</v>
      </c>
      <c r="G8" s="75">
        <f>STDEV(G3:G6)</f>
        <v>0.99999999999999978</v>
      </c>
      <c r="H8" s="75">
        <f>STDEV(H3:H6)</f>
        <v>0.99999999999999978</v>
      </c>
    </row>
    <row r="9" spans="2:18" x14ac:dyDescent="0.15">
      <c r="B9" s="76"/>
      <c r="C9" s="77"/>
      <c r="D9" s="77"/>
      <c r="F9" s="77"/>
      <c r="G9" s="77"/>
      <c r="H9" s="77"/>
    </row>
    <row r="10" spans="2:18" x14ac:dyDescent="0.15">
      <c r="B10" s="5"/>
      <c r="C10" s="5">
        <f t="shared" ref="C10:D13" si="0">(C3-C$7)/C$8</f>
        <v>1.0954451150103321</v>
      </c>
      <c r="D10" s="5">
        <f t="shared" si="0"/>
        <v>1.0954451150103321</v>
      </c>
    </row>
    <row r="11" spans="2:18" x14ac:dyDescent="0.15">
      <c r="B11" s="5"/>
      <c r="C11" s="5">
        <f t="shared" si="0"/>
        <v>0.54772255750516607</v>
      </c>
      <c r="D11" s="5">
        <f t="shared" si="0"/>
        <v>-0.54772255750516607</v>
      </c>
      <c r="F11" s="75" t="s">
        <v>85</v>
      </c>
      <c r="G11" s="75">
        <f>CORREL(G3:G6,H3:H6)</f>
        <v>0.60000000000000009</v>
      </c>
    </row>
    <row r="12" spans="2:18" x14ac:dyDescent="0.15">
      <c r="B12" s="5"/>
      <c r="C12" s="5">
        <f t="shared" si="0"/>
        <v>-0.54772255750516607</v>
      </c>
      <c r="D12" s="5">
        <f t="shared" si="0"/>
        <v>0.54772255750516607</v>
      </c>
    </row>
    <row r="13" spans="2:18" x14ac:dyDescent="0.15">
      <c r="B13" s="5"/>
      <c r="C13" s="5">
        <f t="shared" si="0"/>
        <v>-1.0954451150103321</v>
      </c>
      <c r="D13" s="5">
        <f t="shared" si="0"/>
        <v>-1.0954451150103321</v>
      </c>
    </row>
    <row r="15" spans="2:18" x14ac:dyDescent="0.15">
      <c r="F15" s="75"/>
      <c r="G15" s="75" t="s">
        <v>109</v>
      </c>
      <c r="H15" s="75" t="s">
        <v>112</v>
      </c>
      <c r="I15" s="290" t="s">
        <v>86</v>
      </c>
      <c r="J15" s="291"/>
    </row>
    <row r="16" spans="2:18" x14ac:dyDescent="0.15">
      <c r="F16" s="75" t="s">
        <v>79</v>
      </c>
      <c r="G16" s="75">
        <v>1.0954451150103321</v>
      </c>
      <c r="H16" s="75">
        <v>1.0954451150103321</v>
      </c>
      <c r="I16" s="292" t="s">
        <v>87</v>
      </c>
      <c r="J16" s="293"/>
    </row>
    <row r="17" spans="6:10" x14ac:dyDescent="0.15">
      <c r="F17" s="75" t="s">
        <v>80</v>
      </c>
      <c r="G17" s="75">
        <v>0.54772255750516607</v>
      </c>
      <c r="H17" s="75">
        <v>-0.54772255750516607</v>
      </c>
      <c r="I17" s="292" t="s">
        <v>88</v>
      </c>
      <c r="J17" s="293"/>
    </row>
    <row r="18" spans="6:10" x14ac:dyDescent="0.15">
      <c r="F18" s="75" t="s">
        <v>81</v>
      </c>
      <c r="G18" s="75">
        <v>-0.54772255750516607</v>
      </c>
      <c r="H18" s="75">
        <v>0.54772255750516607</v>
      </c>
      <c r="I18" s="292" t="s">
        <v>89</v>
      </c>
      <c r="J18" s="293"/>
    </row>
    <row r="19" spans="6:10" x14ac:dyDescent="0.15">
      <c r="F19" s="75" t="s">
        <v>82</v>
      </c>
      <c r="G19" s="75">
        <v>-1.0954451150103321</v>
      </c>
      <c r="H19" s="75">
        <v>-1.0954451150103321</v>
      </c>
      <c r="I19" s="292" t="s">
        <v>90</v>
      </c>
      <c r="J19" s="293"/>
    </row>
  </sheetData>
  <mergeCells count="10">
    <mergeCell ref="I15:J15"/>
    <mergeCell ref="I16:J16"/>
    <mergeCell ref="I17:J17"/>
    <mergeCell ref="I18:J18"/>
    <mergeCell ref="I19:J19"/>
    <mergeCell ref="Q2:R2"/>
    <mergeCell ref="Q3:R3"/>
    <mergeCell ref="Q4:R4"/>
    <mergeCell ref="Q5:R5"/>
    <mergeCell ref="Q6:R6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3"/>
  <sheetViews>
    <sheetView zoomScale="115" zoomScaleNormal="115" workbookViewId="0">
      <selection activeCell="H29" sqref="H29"/>
    </sheetView>
  </sheetViews>
  <sheetFormatPr defaultColWidth="8.875" defaultRowHeight="13.5" x14ac:dyDescent="0.15"/>
  <cols>
    <col min="1" max="1" width="9" style="5" customWidth="1"/>
    <col min="2" max="16384" width="8.875" style="5"/>
  </cols>
  <sheetData>
    <row r="1" spans="1:10" ht="27.75" thickBot="1" x14ac:dyDescent="0.2">
      <c r="A1" s="79"/>
      <c r="B1" s="80" t="s">
        <v>113</v>
      </c>
      <c r="C1" s="81" t="s">
        <v>114</v>
      </c>
      <c r="D1" s="82" t="s">
        <v>91</v>
      </c>
      <c r="E1" s="83" t="s">
        <v>92</v>
      </c>
      <c r="F1" s="84" t="s">
        <v>93</v>
      </c>
      <c r="H1" s="85"/>
      <c r="I1" s="80" t="s">
        <v>113</v>
      </c>
      <c r="J1" s="81" t="s">
        <v>114</v>
      </c>
    </row>
    <row r="2" spans="1:10" x14ac:dyDescent="0.15">
      <c r="A2" s="86" t="s">
        <v>40</v>
      </c>
      <c r="B2" s="87">
        <v>1.0954451150103321</v>
      </c>
      <c r="C2" s="87">
        <v>1.0954451150103321</v>
      </c>
      <c r="D2" s="88">
        <f>SUMPRODUCT(B2:C2,$B$7:$C$7)</f>
        <v>2.4647221930074181E-7</v>
      </c>
      <c r="E2" s="89">
        <v>1.5491933408036935</v>
      </c>
      <c r="F2" s="90">
        <v>1.2088130496579197E-10</v>
      </c>
      <c r="H2" s="86" t="s">
        <v>40</v>
      </c>
      <c r="I2" s="91">
        <v>4</v>
      </c>
      <c r="J2" s="92">
        <v>2</v>
      </c>
    </row>
    <row r="3" spans="1:10" x14ac:dyDescent="0.15">
      <c r="A3" s="93" t="s">
        <v>94</v>
      </c>
      <c r="B3" s="94">
        <v>0.54772255750516607</v>
      </c>
      <c r="C3" s="94">
        <v>-0.54772255750516607</v>
      </c>
      <c r="D3" s="88">
        <f>SUMPRODUCT(B3:C3,$B$7:$C$7)</f>
        <v>-0.77459704011740593</v>
      </c>
      <c r="E3" s="89">
        <v>4.9291345233237749E-7</v>
      </c>
      <c r="F3" s="90">
        <v>-0.77459654360532726</v>
      </c>
      <c r="H3" s="93" t="s">
        <v>94</v>
      </c>
      <c r="I3" s="91">
        <v>2</v>
      </c>
      <c r="J3" s="92">
        <v>-1</v>
      </c>
    </row>
    <row r="4" spans="1:10" x14ac:dyDescent="0.15">
      <c r="A4" s="93" t="s">
        <v>95</v>
      </c>
      <c r="B4" s="94">
        <v>-0.54772255750516607</v>
      </c>
      <c r="C4" s="94">
        <v>0.54772255750516607</v>
      </c>
      <c r="D4" s="88">
        <f>SUMPRODUCT(B4:C4,$B$7:$C$7)</f>
        <v>0.77459704011740593</v>
      </c>
      <c r="E4" s="95">
        <v>-4.9291345233237749E-7</v>
      </c>
      <c r="F4" s="96">
        <v>0.77459654360532726</v>
      </c>
      <c r="H4" s="93" t="s">
        <v>95</v>
      </c>
      <c r="I4" s="91">
        <v>-2</v>
      </c>
      <c r="J4" s="92">
        <v>1</v>
      </c>
    </row>
    <row r="5" spans="1:10" ht="14.25" thickBot="1" x14ac:dyDescent="0.2">
      <c r="A5" s="97" t="s">
        <v>96</v>
      </c>
      <c r="B5" s="98">
        <v>-1.0954451150103321</v>
      </c>
      <c r="C5" s="98">
        <v>-1.0954451150103321</v>
      </c>
      <c r="D5" s="88">
        <f>SUMPRODUCT(B5:C5,$B$7:$C$7)</f>
        <v>-2.4647221930074181E-7</v>
      </c>
      <c r="E5" s="99">
        <v>-1.5491933408036935</v>
      </c>
      <c r="F5" s="100">
        <v>-1.2088130496579197E-10</v>
      </c>
      <c r="H5" s="97" t="s">
        <v>96</v>
      </c>
      <c r="I5" s="101">
        <v>-4</v>
      </c>
      <c r="J5" s="102">
        <v>-2</v>
      </c>
    </row>
    <row r="6" spans="1:10" x14ac:dyDescent="0.15">
      <c r="A6" s="103"/>
      <c r="B6" s="104" t="s">
        <v>97</v>
      </c>
      <c r="C6" s="104" t="s">
        <v>98</v>
      </c>
      <c r="D6" s="105"/>
      <c r="E6" s="104" t="s">
        <v>99</v>
      </c>
      <c r="F6" s="106"/>
    </row>
    <row r="7" spans="1:10" x14ac:dyDescent="0.15">
      <c r="A7" s="107" t="s">
        <v>100</v>
      </c>
      <c r="B7" s="108">
        <v>-0.70710700724973363</v>
      </c>
      <c r="C7" s="109">
        <v>0.70710723224705752</v>
      </c>
      <c r="D7" s="110">
        <f>SUMSQ(B7:C7)</f>
        <v>1.0000009575977691</v>
      </c>
      <c r="E7" s="111"/>
      <c r="F7" s="106"/>
      <c r="H7" s="5" t="s">
        <v>101</v>
      </c>
      <c r="I7" s="112">
        <f>AVERAGE(I2:I5)</f>
        <v>0</v>
      </c>
      <c r="J7" s="112">
        <f>AVERAGE(J2:J5)</f>
        <v>0</v>
      </c>
    </row>
    <row r="8" spans="1:10" x14ac:dyDescent="0.15">
      <c r="A8" s="113" t="s">
        <v>102</v>
      </c>
      <c r="B8" s="114">
        <f>CORREL(B$2:B$5,$D$2:$D$5)</f>
        <v>-0.44721331089846733</v>
      </c>
      <c r="C8" s="114">
        <f>CORREL(C$2:C$5,$D$2:$D$5)</f>
        <v>0.44721388010140339</v>
      </c>
      <c r="D8" s="115">
        <f>SUMSQ(B8:C8)</f>
        <v>0.40000000000012159</v>
      </c>
      <c r="E8" s="116">
        <f>CORREL($D2:$D5,E2:E5)</f>
        <v>1.9849676387203414E-11</v>
      </c>
      <c r="F8" s="106"/>
      <c r="H8" s="5" t="s">
        <v>103</v>
      </c>
      <c r="I8" s="5">
        <f>STDEV(I2:I5)</f>
        <v>3.6514837167011076</v>
      </c>
      <c r="J8" s="5">
        <f>STDEV(J2:J5)</f>
        <v>1.8257418583505538</v>
      </c>
    </row>
    <row r="9" spans="1:10" x14ac:dyDescent="0.15">
      <c r="A9" s="107" t="s">
        <v>92</v>
      </c>
      <c r="B9" s="90">
        <v>0.89442719099991586</v>
      </c>
      <c r="C9" s="90">
        <v>0.89442719099991586</v>
      </c>
      <c r="D9" s="117">
        <v>1.6</v>
      </c>
      <c r="E9" s="111"/>
      <c r="F9" s="106"/>
    </row>
    <row r="10" spans="1:10" x14ac:dyDescent="0.15">
      <c r="A10" s="118" t="s">
        <v>93</v>
      </c>
      <c r="B10" s="119">
        <v>-0.4472135953603763</v>
      </c>
      <c r="C10" s="119">
        <v>0.44721359563953977</v>
      </c>
      <c r="D10" s="120">
        <v>0.4</v>
      </c>
      <c r="E10" s="111"/>
      <c r="F10" s="106"/>
      <c r="I10" s="5">
        <f>(I2-I$7)/I$8</f>
        <v>1.0954451150103321</v>
      </c>
      <c r="J10" s="5">
        <f>(J2-J$7)/J$8</f>
        <v>1.0954451150103321</v>
      </c>
    </row>
    <row r="11" spans="1:10" x14ac:dyDescent="0.15">
      <c r="A11" s="106"/>
      <c r="B11" s="106"/>
      <c r="C11" s="106"/>
      <c r="D11" s="96"/>
      <c r="E11" s="111"/>
      <c r="F11" s="106"/>
      <c r="G11" s="5">
        <f>SQRT(1.6)</f>
        <v>1.2649110640673518</v>
      </c>
      <c r="I11" s="5">
        <f t="shared" ref="I11:J13" si="0">(I3-I$7)/I$8</f>
        <v>0.54772255750516607</v>
      </c>
      <c r="J11" s="5">
        <f t="shared" si="0"/>
        <v>-0.54772255750516607</v>
      </c>
    </row>
    <row r="12" spans="1:10" x14ac:dyDescent="0.15">
      <c r="A12" s="121" t="s">
        <v>104</v>
      </c>
      <c r="B12" s="96">
        <f>D9</f>
        <v>1.6</v>
      </c>
      <c r="C12" s="96">
        <f>D10</f>
        <v>0.4</v>
      </c>
      <c r="D12" s="106"/>
      <c r="E12" s="106"/>
      <c r="F12" s="106"/>
      <c r="G12" s="5">
        <f>B16*G11</f>
        <v>0.8944270459261372</v>
      </c>
      <c r="I12" s="5">
        <f t="shared" si="0"/>
        <v>-0.54772255750516607</v>
      </c>
      <c r="J12" s="5">
        <f t="shared" si="0"/>
        <v>0.54772255750516607</v>
      </c>
    </row>
    <row r="13" spans="1:10" x14ac:dyDescent="0.15">
      <c r="A13" s="121" t="s">
        <v>105</v>
      </c>
      <c r="B13" s="106">
        <f>B12/2*100</f>
        <v>80</v>
      </c>
      <c r="C13" s="106">
        <f>C12/2*100</f>
        <v>20</v>
      </c>
      <c r="D13" s="106"/>
      <c r="E13" s="106"/>
      <c r="F13" s="106"/>
      <c r="I13" s="5">
        <f t="shared" si="0"/>
        <v>-1.0954451150103321</v>
      </c>
      <c r="J13" s="5">
        <f t="shared" si="0"/>
        <v>-1.0954451150103321</v>
      </c>
    </row>
    <row r="14" spans="1:10" x14ac:dyDescent="0.15">
      <c r="A14" s="122" t="s">
        <v>106</v>
      </c>
      <c r="B14" s="106">
        <f>B13</f>
        <v>80</v>
      </c>
      <c r="C14" s="106">
        <f>B13+C13</f>
        <v>100</v>
      </c>
      <c r="D14" s="106"/>
      <c r="E14" s="106"/>
      <c r="F14" s="106"/>
    </row>
    <row r="15" spans="1:10" x14ac:dyDescent="0.15">
      <c r="A15" s="121" t="s">
        <v>107</v>
      </c>
      <c r="B15" s="106"/>
      <c r="C15" s="106"/>
      <c r="D15" s="106"/>
      <c r="E15" s="106"/>
      <c r="F15" s="106"/>
    </row>
    <row r="16" spans="1:10" x14ac:dyDescent="0.15">
      <c r="A16" s="106" t="s">
        <v>113</v>
      </c>
      <c r="B16" s="96">
        <v>0.70710666649565512</v>
      </c>
      <c r="C16" s="96">
        <v>-0.70710666649565501</v>
      </c>
      <c r="D16" s="106"/>
      <c r="E16" s="106"/>
      <c r="F16" s="106"/>
    </row>
    <row r="17" spans="1:6" x14ac:dyDescent="0.15">
      <c r="A17" s="106" t="s">
        <v>114</v>
      </c>
      <c r="B17" s="96">
        <v>0.707106666441778</v>
      </c>
      <c r="C17" s="96">
        <v>0.70710666655212751</v>
      </c>
      <c r="D17" s="106"/>
      <c r="E17" s="106"/>
      <c r="F17" s="106"/>
    </row>
    <row r="18" spans="1:6" x14ac:dyDescent="0.15">
      <c r="A18" s="121" t="s">
        <v>108</v>
      </c>
      <c r="B18" s="106"/>
      <c r="C18" s="106"/>
      <c r="D18" s="106"/>
      <c r="E18" s="106"/>
      <c r="F18" s="106"/>
    </row>
    <row r="19" spans="1:6" x14ac:dyDescent="0.15">
      <c r="A19" s="106" t="s">
        <v>113</v>
      </c>
      <c r="B19" s="90">
        <v>0.89442719099991586</v>
      </c>
      <c r="C19" s="90">
        <v>-0.4472135953603763</v>
      </c>
      <c r="D19" s="106"/>
      <c r="E19" s="106"/>
      <c r="F19" s="106"/>
    </row>
    <row r="20" spans="1:6" x14ac:dyDescent="0.15">
      <c r="A20" s="106" t="s">
        <v>114</v>
      </c>
      <c r="B20" s="90">
        <v>0.89442719099991586</v>
      </c>
      <c r="C20" s="90">
        <v>0.44721359563953977</v>
      </c>
      <c r="D20" s="106"/>
      <c r="E20" s="106"/>
      <c r="F20" s="106"/>
    </row>
    <row r="22" spans="1:6" x14ac:dyDescent="0.15">
      <c r="B22" s="5">
        <f>B16*SQRT(B$12)</f>
        <v>0.8944270459261372</v>
      </c>
      <c r="C22" s="5">
        <f>C16*SQRT(C$12)</f>
        <v>-0.44721352296306849</v>
      </c>
    </row>
    <row r="23" spans="1:6" x14ac:dyDescent="0.15">
      <c r="B23" s="5">
        <f>B17*SQRT(B$12)</f>
        <v>0.89442704585798738</v>
      </c>
      <c r="C23" s="5">
        <f>C17*SQRT(C$12)</f>
        <v>0.44721352299878486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B77C-95E3-4ADD-AD2C-D13D19640033}">
  <dimension ref="A1:I27"/>
  <sheetViews>
    <sheetView zoomScaleNormal="100" workbookViewId="0">
      <selection activeCell="L30" sqref="L30"/>
    </sheetView>
  </sheetViews>
  <sheetFormatPr defaultRowHeight="13.5" x14ac:dyDescent="0.15"/>
  <cols>
    <col min="1" max="7" width="9" style="1"/>
  </cols>
  <sheetData>
    <row r="1" spans="1:9" x14ac:dyDescent="0.15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 x14ac:dyDescent="0.15">
      <c r="A2" s="1" t="s">
        <v>188</v>
      </c>
      <c r="B2" s="1" t="s">
        <v>189</v>
      </c>
      <c r="C2" s="1">
        <v>1</v>
      </c>
      <c r="D2" s="1">
        <v>0.41199999999999998</v>
      </c>
      <c r="E2" s="1">
        <v>5.3460000000000001</v>
      </c>
      <c r="F2" s="1">
        <v>71.7</v>
      </c>
      <c r="G2" s="1">
        <v>2.5510000000000002</v>
      </c>
      <c r="H2" s="1">
        <v>-1.1478084925143792</v>
      </c>
      <c r="I2" s="1">
        <v>-0.76958754397024354</v>
      </c>
    </row>
    <row r="3" spans="1:9" x14ac:dyDescent="0.15">
      <c r="A3" s="1" t="s">
        <v>190</v>
      </c>
      <c r="B3" s="1" t="s">
        <v>189</v>
      </c>
      <c r="C3" s="1">
        <v>1</v>
      </c>
      <c r="D3" s="1">
        <v>0.40300000000000002</v>
      </c>
      <c r="E3" s="1">
        <v>5.3460000000000001</v>
      </c>
      <c r="F3" s="1">
        <v>71.7</v>
      </c>
      <c r="G3" s="1">
        <v>2.5510000000000002</v>
      </c>
      <c r="H3" s="1">
        <v>-1.1366057231252782</v>
      </c>
      <c r="I3" s="1">
        <v>-0.77804041242212241</v>
      </c>
    </row>
    <row r="4" spans="1:9" x14ac:dyDescent="0.15">
      <c r="A4" s="1" t="s">
        <v>191</v>
      </c>
      <c r="B4" s="1" t="s">
        <v>189</v>
      </c>
      <c r="C4" s="1">
        <v>1</v>
      </c>
      <c r="D4" s="1">
        <v>0.39900000000000002</v>
      </c>
      <c r="E4" s="1">
        <v>5.8140000000000001</v>
      </c>
      <c r="F4" s="1">
        <v>71.7</v>
      </c>
      <c r="G4" s="1">
        <v>2.5640000000000001</v>
      </c>
      <c r="H4" s="1">
        <v>-0.75096442353290438</v>
      </c>
      <c r="I4" s="1">
        <v>-1.6319147077874789E-2</v>
      </c>
    </row>
    <row r="5" spans="1:9" x14ac:dyDescent="0.15">
      <c r="A5" s="1" t="s">
        <v>192</v>
      </c>
      <c r="B5" s="1" t="s">
        <v>189</v>
      </c>
      <c r="C5" s="1">
        <v>1</v>
      </c>
      <c r="D5" s="1">
        <v>0.41699999999999998</v>
      </c>
      <c r="E5" s="1">
        <v>6.21</v>
      </c>
      <c r="F5" s="1">
        <v>71.7</v>
      </c>
      <c r="G5" s="1">
        <v>2.5680000000000001</v>
      </c>
      <c r="H5" s="1">
        <v>-0.81806893509473577</v>
      </c>
      <c r="I5" s="1">
        <v>0.44269371123169132</v>
      </c>
    </row>
    <row r="6" spans="1:9" x14ac:dyDescent="0.15">
      <c r="A6" s="1" t="s">
        <v>193</v>
      </c>
      <c r="B6" s="1" t="s">
        <v>189</v>
      </c>
      <c r="C6" s="1">
        <v>1</v>
      </c>
      <c r="D6" s="1">
        <v>0.39900000000000002</v>
      </c>
      <c r="E6" s="1">
        <v>5.8140000000000001</v>
      </c>
      <c r="F6" s="1">
        <v>71.7</v>
      </c>
      <c r="G6" s="1">
        <v>2.5640000000000001</v>
      </c>
      <c r="H6" s="1">
        <v>-0.75096442353290438</v>
      </c>
      <c r="I6" s="1">
        <v>-1.6319147077874789E-2</v>
      </c>
    </row>
    <row r="7" spans="1:9" x14ac:dyDescent="0.15">
      <c r="A7" s="1" t="s">
        <v>194</v>
      </c>
      <c r="B7" s="1" t="s">
        <v>189</v>
      </c>
      <c r="C7" s="1">
        <v>1</v>
      </c>
      <c r="D7" s="1">
        <v>0.40699999999999997</v>
      </c>
      <c r="E7" s="1">
        <v>6.21</v>
      </c>
      <c r="F7" s="1">
        <v>71.7</v>
      </c>
      <c r="G7" s="1">
        <v>2.5680000000000001</v>
      </c>
      <c r="H7" s="1">
        <v>-0.80562141355129013</v>
      </c>
      <c r="I7" s="1">
        <v>0.43330163517404818</v>
      </c>
    </row>
    <row r="8" spans="1:9" x14ac:dyDescent="0.15">
      <c r="A8" s="1" t="s">
        <v>195</v>
      </c>
      <c r="B8" s="1" t="s">
        <v>189</v>
      </c>
      <c r="C8" s="1">
        <v>1</v>
      </c>
      <c r="D8" s="1">
        <v>0.40699999999999997</v>
      </c>
      <c r="E8" s="1">
        <v>5.7430000000000003</v>
      </c>
      <c r="F8" s="1">
        <v>71.7</v>
      </c>
      <c r="G8" s="1">
        <v>2.5510000000000002</v>
      </c>
      <c r="H8" s="1">
        <v>-1.3965246330261163</v>
      </c>
      <c r="I8" s="1">
        <v>-0.44884535321490976</v>
      </c>
    </row>
    <row r="9" spans="1:9" x14ac:dyDescent="0.15">
      <c r="A9" s="1" t="s">
        <v>196</v>
      </c>
      <c r="B9" s="1" t="s">
        <v>189</v>
      </c>
      <c r="C9" s="1">
        <v>1</v>
      </c>
      <c r="D9" s="1">
        <v>0.40200000000000002</v>
      </c>
      <c r="E9" s="1">
        <v>5.7430000000000003</v>
      </c>
      <c r="F9" s="1">
        <v>71.7</v>
      </c>
      <c r="G9" s="1">
        <v>2.5510000000000002</v>
      </c>
      <c r="H9" s="1">
        <v>-1.3903008722543935</v>
      </c>
      <c r="I9" s="1">
        <v>-0.45354139124373127</v>
      </c>
    </row>
    <row r="10" spans="1:9" x14ac:dyDescent="0.15">
      <c r="A10" s="1" t="s">
        <v>197</v>
      </c>
      <c r="B10" s="1" t="s">
        <v>189</v>
      </c>
      <c r="C10" s="1">
        <v>1</v>
      </c>
      <c r="D10" s="1">
        <v>0.41499999999999998</v>
      </c>
      <c r="E10" s="1">
        <v>5.6769999999999996</v>
      </c>
      <c r="F10" s="1">
        <v>71.7</v>
      </c>
      <c r="G10" s="1">
        <v>2.5539999999999998</v>
      </c>
      <c r="H10" s="1">
        <v>-1.2069006225037862</v>
      </c>
      <c r="I10" s="1">
        <v>-0.40731829602137204</v>
      </c>
    </row>
    <row r="11" spans="1:9" x14ac:dyDescent="0.15">
      <c r="A11" s="1" t="s">
        <v>198</v>
      </c>
      <c r="B11" s="1" t="s">
        <v>189</v>
      </c>
      <c r="C11" s="1">
        <v>1</v>
      </c>
      <c r="D11" s="1">
        <v>0.41299999999999998</v>
      </c>
      <c r="E11" s="1">
        <v>6.0069999999999997</v>
      </c>
      <c r="F11" s="1">
        <v>71.7</v>
      </c>
      <c r="G11" s="1">
        <v>2.556</v>
      </c>
      <c r="H11" s="1">
        <v>-1.3115265163486551</v>
      </c>
      <c r="I11" s="1">
        <v>-7.9936988818381571E-2</v>
      </c>
    </row>
    <row r="12" spans="1:9" x14ac:dyDescent="0.15">
      <c r="A12" s="1" t="s">
        <v>199</v>
      </c>
      <c r="B12" s="1" t="s">
        <v>189</v>
      </c>
      <c r="C12" s="1">
        <v>1</v>
      </c>
      <c r="D12" s="1">
        <v>0.41199999999999998</v>
      </c>
      <c r="E12" s="1">
        <v>6.8</v>
      </c>
      <c r="F12" s="1">
        <v>71.7</v>
      </c>
      <c r="G12" s="1">
        <v>2.556</v>
      </c>
      <c r="H12" s="1">
        <v>-1.8195194007630349</v>
      </c>
      <c r="I12" s="1">
        <v>0.56918051749483412</v>
      </c>
    </row>
    <row r="13" spans="1:9" x14ac:dyDescent="0.15">
      <c r="A13" s="1" t="s">
        <v>200</v>
      </c>
      <c r="B13" s="1" t="s">
        <v>189</v>
      </c>
      <c r="C13" s="1">
        <v>1</v>
      </c>
      <c r="D13" s="1">
        <v>0.42799999999999999</v>
      </c>
      <c r="E13" s="1">
        <v>5.6669999999999998</v>
      </c>
      <c r="F13" s="1">
        <v>71.7</v>
      </c>
      <c r="G13" s="1">
        <v>2.5539999999999998</v>
      </c>
      <c r="H13" s="1">
        <v>-1.2166607405283145</v>
      </c>
      <c r="I13" s="1">
        <v>-0.40330603363973944</v>
      </c>
    </row>
    <row r="14" spans="1:9" x14ac:dyDescent="0.15">
      <c r="A14" s="1" t="s">
        <v>201</v>
      </c>
      <c r="B14" s="1" t="s">
        <v>189</v>
      </c>
      <c r="C14" s="1">
        <v>1</v>
      </c>
      <c r="D14" s="1">
        <v>0.42799999999999999</v>
      </c>
      <c r="E14" s="1">
        <v>6.8</v>
      </c>
      <c r="F14" s="1">
        <v>71.7</v>
      </c>
      <c r="G14" s="1">
        <v>2.556</v>
      </c>
      <c r="H14" s="1">
        <v>-1.8394354352325479</v>
      </c>
      <c r="I14" s="1">
        <v>0.58420783918706332</v>
      </c>
    </row>
    <row r="15" spans="1:9" x14ac:dyDescent="0.15">
      <c r="A15" s="1" t="s">
        <v>202</v>
      </c>
      <c r="B15" s="1" t="s">
        <v>203</v>
      </c>
      <c r="C15" s="1">
        <v>0</v>
      </c>
      <c r="D15" s="1">
        <v>0.42699999999999999</v>
      </c>
      <c r="E15" s="1">
        <v>5.8140000000000001</v>
      </c>
      <c r="F15" s="1">
        <v>151.80000000000001</v>
      </c>
      <c r="G15" s="1">
        <v>2.569</v>
      </c>
      <c r="H15" s="1">
        <v>4.3868592630446041E-2</v>
      </c>
      <c r="I15" s="1">
        <v>1.0157195401277326</v>
      </c>
    </row>
    <row r="16" spans="1:9" x14ac:dyDescent="0.15">
      <c r="A16" s="1" t="s">
        <v>204</v>
      </c>
      <c r="B16" s="1" t="s">
        <v>203</v>
      </c>
      <c r="C16" s="1">
        <v>0</v>
      </c>
      <c r="D16" s="1">
        <v>-0.32800000000000001</v>
      </c>
      <c r="E16" s="1">
        <v>5.0449999999999999</v>
      </c>
      <c r="F16" s="1">
        <v>71.7</v>
      </c>
      <c r="G16" s="1">
        <v>2.573</v>
      </c>
      <c r="H16" s="1">
        <v>1.1193932609163084</v>
      </c>
      <c r="I16" s="1">
        <v>-1.0651565111938717</v>
      </c>
    </row>
    <row r="17" spans="1:9" x14ac:dyDescent="0.15">
      <c r="A17" s="1" t="s">
        <v>205</v>
      </c>
      <c r="B17" s="1" t="s">
        <v>203</v>
      </c>
      <c r="C17" s="1">
        <v>0</v>
      </c>
      <c r="D17" s="1">
        <v>8.0000000000000002E-3</v>
      </c>
      <c r="E17" s="1">
        <v>5.0449999999999999</v>
      </c>
      <c r="F17" s="1">
        <v>180.35</v>
      </c>
      <c r="G17" s="1">
        <v>2.58</v>
      </c>
      <c r="H17" s="1">
        <v>1.8379825896346813</v>
      </c>
      <c r="I17" s="1">
        <v>0.62103260217521961</v>
      </c>
    </row>
    <row r="18" spans="1:9" x14ac:dyDescent="0.15">
      <c r="A18" s="1" t="s">
        <v>206</v>
      </c>
      <c r="B18" s="1" t="s">
        <v>203</v>
      </c>
      <c r="C18" s="1">
        <v>0</v>
      </c>
      <c r="D18" s="1">
        <v>-0.24399999999999999</v>
      </c>
      <c r="E18" s="1">
        <v>5.0759999999999996</v>
      </c>
      <c r="F18" s="1">
        <v>71.7</v>
      </c>
      <c r="G18" s="1">
        <v>2.5739999999999998</v>
      </c>
      <c r="H18" s="1">
        <v>1.0473266246327197</v>
      </c>
      <c r="I18" s="1">
        <v>-0.93147886011268566</v>
      </c>
    </row>
    <row r="19" spans="1:9" x14ac:dyDescent="0.15">
      <c r="A19" s="1" t="s">
        <v>207</v>
      </c>
      <c r="B19" s="1" t="s">
        <v>203</v>
      </c>
      <c r="C19" s="1">
        <v>0</v>
      </c>
      <c r="D19" s="1">
        <v>4.3999999999999997E-2</v>
      </c>
      <c r="E19" s="1">
        <v>5.0759999999999996</v>
      </c>
      <c r="F19" s="1">
        <v>240.07</v>
      </c>
      <c r="G19" s="1">
        <v>2.5819999999999999</v>
      </c>
      <c r="H19" s="1">
        <v>2.3013134960359385</v>
      </c>
      <c r="I19" s="1">
        <v>1.3793539842291751</v>
      </c>
    </row>
    <row r="20" spans="1:9" x14ac:dyDescent="0.15">
      <c r="A20" s="1" t="s">
        <v>208</v>
      </c>
      <c r="B20" s="1" t="s">
        <v>203</v>
      </c>
      <c r="C20" s="1">
        <v>0</v>
      </c>
      <c r="D20" s="1">
        <v>0.42299999999999999</v>
      </c>
      <c r="E20" s="1">
        <v>6.21</v>
      </c>
      <c r="F20" s="1">
        <v>211.55</v>
      </c>
      <c r="G20" s="1">
        <v>2.5739999999999998</v>
      </c>
      <c r="H20" s="1">
        <v>0.48001068482790143</v>
      </c>
      <c r="I20" s="1">
        <v>2.1241172050921149</v>
      </c>
    </row>
    <row r="21" spans="1:9" x14ac:dyDescent="0.15">
      <c r="A21" s="1" t="s">
        <v>209</v>
      </c>
      <c r="B21" s="1" t="s">
        <v>203</v>
      </c>
      <c r="C21" s="1">
        <v>0</v>
      </c>
      <c r="D21" s="1">
        <v>-0.52200000000000002</v>
      </c>
      <c r="E21" s="1">
        <v>5.0910000000000002</v>
      </c>
      <c r="F21" s="1">
        <v>240.54</v>
      </c>
      <c r="G21" s="1">
        <v>2.5939999999999999</v>
      </c>
      <c r="H21" s="1">
        <v>3.6283380139628729</v>
      </c>
      <c r="I21" s="1">
        <v>1.2175641638568786</v>
      </c>
    </row>
    <row r="22" spans="1:9" x14ac:dyDescent="0.15">
      <c r="A22" s="1" t="s">
        <v>210</v>
      </c>
      <c r="B22" s="1" t="s">
        <v>203</v>
      </c>
      <c r="C22" s="1">
        <v>0</v>
      </c>
      <c r="D22" s="1">
        <v>0.433</v>
      </c>
      <c r="E22" s="1">
        <v>6.21</v>
      </c>
      <c r="F22" s="1">
        <v>211.59</v>
      </c>
      <c r="G22" s="1">
        <v>2.5739999999999998</v>
      </c>
      <c r="H22" s="1">
        <v>0.46784665273432235</v>
      </c>
      <c r="I22" s="1">
        <v>2.1339381850593235</v>
      </c>
    </row>
    <row r="23" spans="1:9" x14ac:dyDescent="0.15">
      <c r="A23" s="1" t="s">
        <v>211</v>
      </c>
      <c r="B23" s="1" t="s">
        <v>203</v>
      </c>
      <c r="C23" s="1">
        <v>0</v>
      </c>
      <c r="D23" s="1">
        <v>0.41299999999999998</v>
      </c>
      <c r="E23" s="1">
        <v>5.8140000000000001</v>
      </c>
      <c r="F23" s="1">
        <v>152.12</v>
      </c>
      <c r="G23" s="1">
        <v>2.569</v>
      </c>
      <c r="H23" s="1">
        <v>6.356303839020308E-2</v>
      </c>
      <c r="I23" s="1">
        <v>1.0060018649235583</v>
      </c>
    </row>
    <row r="24" spans="1:9" x14ac:dyDescent="0.15">
      <c r="A24" s="1" t="s">
        <v>212</v>
      </c>
      <c r="B24" s="1" t="s">
        <v>203</v>
      </c>
      <c r="C24" s="1">
        <v>0</v>
      </c>
      <c r="D24" s="1">
        <v>0.224</v>
      </c>
      <c r="E24" s="1">
        <v>4.5049999999999999</v>
      </c>
      <c r="F24" s="1">
        <v>71.7</v>
      </c>
      <c r="G24" s="1">
        <v>2.5710000000000002</v>
      </c>
      <c r="H24" s="1">
        <v>0.67426032949266435</v>
      </c>
      <c r="I24" s="1">
        <v>-1.0481198015858539</v>
      </c>
    </row>
    <row r="25" spans="1:9" x14ac:dyDescent="0.15">
      <c r="A25" s="1" t="s">
        <v>213</v>
      </c>
      <c r="B25" s="1" t="s">
        <v>203</v>
      </c>
      <c r="C25" s="1">
        <v>0</v>
      </c>
      <c r="D25" s="1">
        <v>0.33700000000000002</v>
      </c>
      <c r="E25" s="1">
        <v>4.4329999999999998</v>
      </c>
      <c r="F25" s="1">
        <v>71.7</v>
      </c>
      <c r="G25" s="1">
        <v>2.56</v>
      </c>
      <c r="H25" s="1">
        <v>3.4426910422742929E-3</v>
      </c>
      <c r="I25" s="1">
        <v>-1.3241046346314811</v>
      </c>
    </row>
    <row r="26" spans="1:9" x14ac:dyDescent="0.15">
      <c r="A26" s="1" t="s">
        <v>214</v>
      </c>
      <c r="B26" s="1" t="s">
        <v>203</v>
      </c>
      <c r="C26" s="1">
        <v>0</v>
      </c>
      <c r="D26" s="1">
        <v>-1.431</v>
      </c>
      <c r="E26" s="1">
        <v>4.1050000000000004</v>
      </c>
      <c r="F26" s="1">
        <v>92.73</v>
      </c>
      <c r="G26" s="1">
        <v>2.569</v>
      </c>
      <c r="H26" s="1">
        <v>3.0354367412275227</v>
      </c>
      <c r="I26" s="1">
        <v>-2.7636539365392254</v>
      </c>
    </row>
    <row r="27" spans="1:9" x14ac:dyDescent="0.15">
      <c r="A27" s="1" t="s">
        <v>215</v>
      </c>
      <c r="B27" s="1" t="s">
        <v>203</v>
      </c>
      <c r="C27" s="1">
        <v>0</v>
      </c>
      <c r="D27" s="1">
        <v>5.8999999999999997E-2</v>
      </c>
      <c r="E27" s="1">
        <v>4.6550000000000002</v>
      </c>
      <c r="F27" s="1">
        <v>71.7</v>
      </c>
      <c r="G27" s="1">
        <v>2.573</v>
      </c>
      <c r="H27" s="1">
        <v>0.88811891648105612</v>
      </c>
      <c r="I27" s="1">
        <v>-1.0213831910019249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workbookViewId="0"/>
  </sheetViews>
  <sheetFormatPr defaultColWidth="6.625" defaultRowHeight="13.5" x14ac:dyDescent="0.15"/>
  <cols>
    <col min="1" max="1" width="18.375" style="5" customWidth="1"/>
    <col min="2" max="2" width="10.25" style="5" customWidth="1"/>
    <col min="3" max="6" width="14.25" style="5" customWidth="1"/>
    <col min="7" max="227" width="6.625" style="5"/>
    <col min="228" max="240" width="8.75" style="5" customWidth="1"/>
    <col min="241" max="483" width="6.625" style="5"/>
    <col min="484" max="496" width="8.75" style="5" customWidth="1"/>
    <col min="497" max="739" width="6.625" style="5"/>
    <col min="740" max="752" width="8.75" style="5" customWidth="1"/>
    <col min="753" max="995" width="6.625" style="5"/>
    <col min="996" max="1008" width="8.75" style="5" customWidth="1"/>
    <col min="1009" max="1251" width="6.625" style="5"/>
    <col min="1252" max="1264" width="8.75" style="5" customWidth="1"/>
    <col min="1265" max="1507" width="6.625" style="5"/>
    <col min="1508" max="1520" width="8.75" style="5" customWidth="1"/>
    <col min="1521" max="1763" width="6.625" style="5"/>
    <col min="1764" max="1776" width="8.75" style="5" customWidth="1"/>
    <col min="1777" max="2019" width="6.625" style="5"/>
    <col min="2020" max="2032" width="8.75" style="5" customWidth="1"/>
    <col min="2033" max="2275" width="6.625" style="5"/>
    <col min="2276" max="2288" width="8.75" style="5" customWidth="1"/>
    <col min="2289" max="2531" width="6.625" style="5"/>
    <col min="2532" max="2544" width="8.75" style="5" customWidth="1"/>
    <col min="2545" max="2787" width="6.625" style="5"/>
    <col min="2788" max="2800" width="8.75" style="5" customWidth="1"/>
    <col min="2801" max="3043" width="6.625" style="5"/>
    <col min="3044" max="3056" width="8.75" style="5" customWidth="1"/>
    <col min="3057" max="3299" width="6.625" style="5"/>
    <col min="3300" max="3312" width="8.75" style="5" customWidth="1"/>
    <col min="3313" max="3555" width="6.625" style="5"/>
    <col min="3556" max="3568" width="8.75" style="5" customWidth="1"/>
    <col min="3569" max="3811" width="6.625" style="5"/>
    <col min="3812" max="3824" width="8.75" style="5" customWidth="1"/>
    <col min="3825" max="4067" width="6.625" style="5"/>
    <col min="4068" max="4080" width="8.75" style="5" customWidth="1"/>
    <col min="4081" max="4323" width="6.625" style="5"/>
    <col min="4324" max="4336" width="8.75" style="5" customWidth="1"/>
    <col min="4337" max="4579" width="6.625" style="5"/>
    <col min="4580" max="4592" width="8.75" style="5" customWidth="1"/>
    <col min="4593" max="4835" width="6.625" style="5"/>
    <col min="4836" max="4848" width="8.75" style="5" customWidth="1"/>
    <col min="4849" max="5091" width="6.625" style="5"/>
    <col min="5092" max="5104" width="8.75" style="5" customWidth="1"/>
    <col min="5105" max="5347" width="6.625" style="5"/>
    <col min="5348" max="5360" width="8.75" style="5" customWidth="1"/>
    <col min="5361" max="5603" width="6.625" style="5"/>
    <col min="5604" max="5616" width="8.75" style="5" customWidth="1"/>
    <col min="5617" max="5859" width="6.625" style="5"/>
    <col min="5860" max="5872" width="8.75" style="5" customWidth="1"/>
    <col min="5873" max="6115" width="6.625" style="5"/>
    <col min="6116" max="6128" width="8.75" style="5" customWidth="1"/>
    <col min="6129" max="6371" width="6.625" style="5"/>
    <col min="6372" max="6384" width="8.75" style="5" customWidth="1"/>
    <col min="6385" max="6627" width="6.625" style="5"/>
    <col min="6628" max="6640" width="8.75" style="5" customWidth="1"/>
    <col min="6641" max="6883" width="6.625" style="5"/>
    <col min="6884" max="6896" width="8.75" style="5" customWidth="1"/>
    <col min="6897" max="7139" width="6.625" style="5"/>
    <col min="7140" max="7152" width="8.75" style="5" customWidth="1"/>
    <col min="7153" max="7395" width="6.625" style="5"/>
    <col min="7396" max="7408" width="8.75" style="5" customWidth="1"/>
    <col min="7409" max="7651" width="6.625" style="5"/>
    <col min="7652" max="7664" width="8.75" style="5" customWidth="1"/>
    <col min="7665" max="7907" width="6.625" style="5"/>
    <col min="7908" max="7920" width="8.75" style="5" customWidth="1"/>
    <col min="7921" max="8163" width="6.625" style="5"/>
    <col min="8164" max="8176" width="8.75" style="5" customWidth="1"/>
    <col min="8177" max="8419" width="6.625" style="5"/>
    <col min="8420" max="8432" width="8.75" style="5" customWidth="1"/>
    <col min="8433" max="8675" width="6.625" style="5"/>
    <col min="8676" max="8688" width="8.75" style="5" customWidth="1"/>
    <col min="8689" max="8931" width="6.625" style="5"/>
    <col min="8932" max="8944" width="8.75" style="5" customWidth="1"/>
    <col min="8945" max="9187" width="6.625" style="5"/>
    <col min="9188" max="9200" width="8.75" style="5" customWidth="1"/>
    <col min="9201" max="9443" width="6.625" style="5"/>
    <col min="9444" max="9456" width="8.75" style="5" customWidth="1"/>
    <col min="9457" max="9699" width="6.625" style="5"/>
    <col min="9700" max="9712" width="8.75" style="5" customWidth="1"/>
    <col min="9713" max="9955" width="6.625" style="5"/>
    <col min="9956" max="9968" width="8.75" style="5" customWidth="1"/>
    <col min="9969" max="10211" width="6.625" style="5"/>
    <col min="10212" max="10224" width="8.75" style="5" customWidth="1"/>
    <col min="10225" max="10467" width="6.625" style="5"/>
    <col min="10468" max="10480" width="8.75" style="5" customWidth="1"/>
    <col min="10481" max="10723" width="6.625" style="5"/>
    <col min="10724" max="10736" width="8.75" style="5" customWidth="1"/>
    <col min="10737" max="10979" width="6.625" style="5"/>
    <col min="10980" max="10992" width="8.75" style="5" customWidth="1"/>
    <col min="10993" max="11235" width="6.625" style="5"/>
    <col min="11236" max="11248" width="8.75" style="5" customWidth="1"/>
    <col min="11249" max="11491" width="6.625" style="5"/>
    <col min="11492" max="11504" width="8.75" style="5" customWidth="1"/>
    <col min="11505" max="11747" width="6.625" style="5"/>
    <col min="11748" max="11760" width="8.75" style="5" customWidth="1"/>
    <col min="11761" max="12003" width="6.625" style="5"/>
    <col min="12004" max="12016" width="8.75" style="5" customWidth="1"/>
    <col min="12017" max="12259" width="6.625" style="5"/>
    <col min="12260" max="12272" width="8.75" style="5" customWidth="1"/>
    <col min="12273" max="12515" width="6.625" style="5"/>
    <col min="12516" max="12528" width="8.75" style="5" customWidth="1"/>
    <col min="12529" max="12771" width="6.625" style="5"/>
    <col min="12772" max="12784" width="8.75" style="5" customWidth="1"/>
    <col min="12785" max="13027" width="6.625" style="5"/>
    <col min="13028" max="13040" width="8.75" style="5" customWidth="1"/>
    <col min="13041" max="13283" width="6.625" style="5"/>
    <col min="13284" max="13296" width="8.75" style="5" customWidth="1"/>
    <col min="13297" max="13539" width="6.625" style="5"/>
    <col min="13540" max="13552" width="8.75" style="5" customWidth="1"/>
    <col min="13553" max="13795" width="6.625" style="5"/>
    <col min="13796" max="13808" width="8.75" style="5" customWidth="1"/>
    <col min="13809" max="14051" width="6.625" style="5"/>
    <col min="14052" max="14064" width="8.75" style="5" customWidth="1"/>
    <col min="14065" max="14307" width="6.625" style="5"/>
    <col min="14308" max="14320" width="8.75" style="5" customWidth="1"/>
    <col min="14321" max="14563" width="6.625" style="5"/>
    <col min="14564" max="14576" width="8.75" style="5" customWidth="1"/>
    <col min="14577" max="14819" width="6.625" style="5"/>
    <col min="14820" max="14832" width="8.75" style="5" customWidth="1"/>
    <col min="14833" max="15075" width="6.625" style="5"/>
    <col min="15076" max="15088" width="8.75" style="5" customWidth="1"/>
    <col min="15089" max="15331" width="6.625" style="5"/>
    <col min="15332" max="15344" width="8.75" style="5" customWidth="1"/>
    <col min="15345" max="15587" width="6.625" style="5"/>
    <col min="15588" max="15600" width="8.75" style="5" customWidth="1"/>
    <col min="15601" max="15843" width="6.625" style="5"/>
    <col min="15844" max="15856" width="8.75" style="5" customWidth="1"/>
    <col min="15857" max="16099" width="6.625" style="5"/>
    <col min="16100" max="16112" width="8.75" style="5" customWidth="1"/>
    <col min="16113" max="16384" width="6.625" style="5"/>
  </cols>
  <sheetData>
    <row r="1" spans="1:3" ht="14.25" thickBot="1" x14ac:dyDescent="0.2">
      <c r="A1" s="152" t="s">
        <v>216</v>
      </c>
      <c r="B1" s="153" t="s">
        <v>217</v>
      </c>
      <c r="C1" s="157" t="s">
        <v>218</v>
      </c>
    </row>
    <row r="2" spans="1:3" x14ac:dyDescent="0.15">
      <c r="A2" s="148">
        <v>1</v>
      </c>
      <c r="B2" s="149">
        <v>50</v>
      </c>
      <c r="C2" s="151" t="s">
        <v>219</v>
      </c>
    </row>
    <row r="3" spans="1:3" x14ac:dyDescent="0.15">
      <c r="A3" s="141">
        <v>2</v>
      </c>
      <c r="B3" s="42">
        <v>69</v>
      </c>
      <c r="C3" s="142" t="s">
        <v>219</v>
      </c>
    </row>
    <row r="4" spans="1:3" x14ac:dyDescent="0.15">
      <c r="A4" s="141">
        <v>3</v>
      </c>
      <c r="B4" s="42">
        <v>93</v>
      </c>
      <c r="C4" s="142" t="s">
        <v>219</v>
      </c>
    </row>
    <row r="5" spans="1:3" x14ac:dyDescent="0.15">
      <c r="A5" s="143">
        <v>4</v>
      </c>
      <c r="B5" s="46" t="s">
        <v>221</v>
      </c>
      <c r="C5" s="142" t="s">
        <v>219</v>
      </c>
    </row>
    <row r="6" spans="1:3" x14ac:dyDescent="0.15">
      <c r="A6" s="143">
        <v>5</v>
      </c>
      <c r="B6" s="46" t="s">
        <v>222</v>
      </c>
      <c r="C6" s="142" t="s">
        <v>219</v>
      </c>
    </row>
    <row r="7" spans="1:3" x14ac:dyDescent="0.15">
      <c r="A7" s="141">
        <v>6</v>
      </c>
      <c r="B7" s="42">
        <v>43</v>
      </c>
      <c r="C7" s="142" t="s">
        <v>220</v>
      </c>
    </row>
    <row r="8" spans="1:3" x14ac:dyDescent="0.15">
      <c r="A8" s="141">
        <v>7</v>
      </c>
      <c r="B8" s="46" t="s">
        <v>223</v>
      </c>
      <c r="C8" s="142" t="s">
        <v>220</v>
      </c>
    </row>
    <row r="9" spans="1:3" x14ac:dyDescent="0.15">
      <c r="A9" s="141">
        <v>8</v>
      </c>
      <c r="B9" s="46" t="s">
        <v>224</v>
      </c>
      <c r="C9" s="142" t="s">
        <v>220</v>
      </c>
    </row>
    <row r="10" spans="1:3" x14ac:dyDescent="0.15">
      <c r="A10" s="141">
        <v>9</v>
      </c>
      <c r="B10" s="46" t="s">
        <v>225</v>
      </c>
      <c r="C10" s="142" t="s">
        <v>220</v>
      </c>
    </row>
    <row r="11" spans="1:3" ht="14.25" thickBot="1" x14ac:dyDescent="0.2">
      <c r="A11" s="144">
        <v>10</v>
      </c>
      <c r="B11" s="145" t="s">
        <v>226</v>
      </c>
      <c r="C11" s="147" t="s">
        <v>220</v>
      </c>
    </row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3B75-43D3-47AF-994E-2350E472AC3C}">
  <dimension ref="A1:D9"/>
  <sheetViews>
    <sheetView zoomScaleNormal="100" workbookViewId="0"/>
  </sheetViews>
  <sheetFormatPr defaultColWidth="6.625" defaultRowHeight="13.5" x14ac:dyDescent="0.15"/>
  <cols>
    <col min="1" max="1" width="18.375" style="5" customWidth="1"/>
    <col min="2" max="3" width="10.25" style="5" customWidth="1"/>
    <col min="4" max="7" width="14.25" style="5" customWidth="1"/>
    <col min="8" max="228" width="6.625" style="5"/>
    <col min="229" max="241" width="8.75" style="5" customWidth="1"/>
    <col min="242" max="484" width="6.625" style="5"/>
    <col min="485" max="497" width="8.75" style="5" customWidth="1"/>
    <col min="498" max="740" width="6.625" style="5"/>
    <col min="741" max="753" width="8.75" style="5" customWidth="1"/>
    <col min="754" max="996" width="6.625" style="5"/>
    <col min="997" max="1009" width="8.75" style="5" customWidth="1"/>
    <col min="1010" max="1252" width="6.625" style="5"/>
    <col min="1253" max="1265" width="8.75" style="5" customWidth="1"/>
    <col min="1266" max="1508" width="6.625" style="5"/>
    <col min="1509" max="1521" width="8.75" style="5" customWidth="1"/>
    <col min="1522" max="1764" width="6.625" style="5"/>
    <col min="1765" max="1777" width="8.75" style="5" customWidth="1"/>
    <col min="1778" max="2020" width="6.625" style="5"/>
    <col min="2021" max="2033" width="8.75" style="5" customWidth="1"/>
    <col min="2034" max="2276" width="6.625" style="5"/>
    <col min="2277" max="2289" width="8.75" style="5" customWidth="1"/>
    <col min="2290" max="2532" width="6.625" style="5"/>
    <col min="2533" max="2545" width="8.75" style="5" customWidth="1"/>
    <col min="2546" max="2788" width="6.625" style="5"/>
    <col min="2789" max="2801" width="8.75" style="5" customWidth="1"/>
    <col min="2802" max="3044" width="6.625" style="5"/>
    <col min="3045" max="3057" width="8.75" style="5" customWidth="1"/>
    <col min="3058" max="3300" width="6.625" style="5"/>
    <col min="3301" max="3313" width="8.75" style="5" customWidth="1"/>
    <col min="3314" max="3556" width="6.625" style="5"/>
    <col min="3557" max="3569" width="8.75" style="5" customWidth="1"/>
    <col min="3570" max="3812" width="6.625" style="5"/>
    <col min="3813" max="3825" width="8.75" style="5" customWidth="1"/>
    <col min="3826" max="4068" width="6.625" style="5"/>
    <col min="4069" max="4081" width="8.75" style="5" customWidth="1"/>
    <col min="4082" max="4324" width="6.625" style="5"/>
    <col min="4325" max="4337" width="8.75" style="5" customWidth="1"/>
    <col min="4338" max="4580" width="6.625" style="5"/>
    <col min="4581" max="4593" width="8.75" style="5" customWidth="1"/>
    <col min="4594" max="4836" width="6.625" style="5"/>
    <col min="4837" max="4849" width="8.75" style="5" customWidth="1"/>
    <col min="4850" max="5092" width="6.625" style="5"/>
    <col min="5093" max="5105" width="8.75" style="5" customWidth="1"/>
    <col min="5106" max="5348" width="6.625" style="5"/>
    <col min="5349" max="5361" width="8.75" style="5" customWidth="1"/>
    <col min="5362" max="5604" width="6.625" style="5"/>
    <col min="5605" max="5617" width="8.75" style="5" customWidth="1"/>
    <col min="5618" max="5860" width="6.625" style="5"/>
    <col min="5861" max="5873" width="8.75" style="5" customWidth="1"/>
    <col min="5874" max="6116" width="6.625" style="5"/>
    <col min="6117" max="6129" width="8.75" style="5" customWidth="1"/>
    <col min="6130" max="6372" width="6.625" style="5"/>
    <col min="6373" max="6385" width="8.75" style="5" customWidth="1"/>
    <col min="6386" max="6628" width="6.625" style="5"/>
    <col min="6629" max="6641" width="8.75" style="5" customWidth="1"/>
    <col min="6642" max="6884" width="6.625" style="5"/>
    <col min="6885" max="6897" width="8.75" style="5" customWidth="1"/>
    <col min="6898" max="7140" width="6.625" style="5"/>
    <col min="7141" max="7153" width="8.75" style="5" customWidth="1"/>
    <col min="7154" max="7396" width="6.625" style="5"/>
    <col min="7397" max="7409" width="8.75" style="5" customWidth="1"/>
    <col min="7410" max="7652" width="6.625" style="5"/>
    <col min="7653" max="7665" width="8.75" style="5" customWidth="1"/>
    <col min="7666" max="7908" width="6.625" style="5"/>
    <col min="7909" max="7921" width="8.75" style="5" customWidth="1"/>
    <col min="7922" max="8164" width="6.625" style="5"/>
    <col min="8165" max="8177" width="8.75" style="5" customWidth="1"/>
    <col min="8178" max="8420" width="6.625" style="5"/>
    <col min="8421" max="8433" width="8.75" style="5" customWidth="1"/>
    <col min="8434" max="8676" width="6.625" style="5"/>
    <col min="8677" max="8689" width="8.75" style="5" customWidth="1"/>
    <col min="8690" max="8932" width="6.625" style="5"/>
    <col min="8933" max="8945" width="8.75" style="5" customWidth="1"/>
    <col min="8946" max="9188" width="6.625" style="5"/>
    <col min="9189" max="9201" width="8.75" style="5" customWidth="1"/>
    <col min="9202" max="9444" width="6.625" style="5"/>
    <col min="9445" max="9457" width="8.75" style="5" customWidth="1"/>
    <col min="9458" max="9700" width="6.625" style="5"/>
    <col min="9701" max="9713" width="8.75" style="5" customWidth="1"/>
    <col min="9714" max="9956" width="6.625" style="5"/>
    <col min="9957" max="9969" width="8.75" style="5" customWidth="1"/>
    <col min="9970" max="10212" width="6.625" style="5"/>
    <col min="10213" max="10225" width="8.75" style="5" customWidth="1"/>
    <col min="10226" max="10468" width="6.625" style="5"/>
    <col min="10469" max="10481" width="8.75" style="5" customWidth="1"/>
    <col min="10482" max="10724" width="6.625" style="5"/>
    <col min="10725" max="10737" width="8.75" style="5" customWidth="1"/>
    <col min="10738" max="10980" width="6.625" style="5"/>
    <col min="10981" max="10993" width="8.75" style="5" customWidth="1"/>
    <col min="10994" max="11236" width="6.625" style="5"/>
    <col min="11237" max="11249" width="8.75" style="5" customWidth="1"/>
    <col min="11250" max="11492" width="6.625" style="5"/>
    <col min="11493" max="11505" width="8.75" style="5" customWidth="1"/>
    <col min="11506" max="11748" width="6.625" style="5"/>
    <col min="11749" max="11761" width="8.75" style="5" customWidth="1"/>
    <col min="11762" max="12004" width="6.625" style="5"/>
    <col min="12005" max="12017" width="8.75" style="5" customWidth="1"/>
    <col min="12018" max="12260" width="6.625" style="5"/>
    <col min="12261" max="12273" width="8.75" style="5" customWidth="1"/>
    <col min="12274" max="12516" width="6.625" style="5"/>
    <col min="12517" max="12529" width="8.75" style="5" customWidth="1"/>
    <col min="12530" max="12772" width="6.625" style="5"/>
    <col min="12773" max="12785" width="8.75" style="5" customWidth="1"/>
    <col min="12786" max="13028" width="6.625" style="5"/>
    <col min="13029" max="13041" width="8.75" style="5" customWidth="1"/>
    <col min="13042" max="13284" width="6.625" style="5"/>
    <col min="13285" max="13297" width="8.75" style="5" customWidth="1"/>
    <col min="13298" max="13540" width="6.625" style="5"/>
    <col min="13541" max="13553" width="8.75" style="5" customWidth="1"/>
    <col min="13554" max="13796" width="6.625" style="5"/>
    <col min="13797" max="13809" width="8.75" style="5" customWidth="1"/>
    <col min="13810" max="14052" width="6.625" style="5"/>
    <col min="14053" max="14065" width="8.75" style="5" customWidth="1"/>
    <col min="14066" max="14308" width="6.625" style="5"/>
    <col min="14309" max="14321" width="8.75" style="5" customWidth="1"/>
    <col min="14322" max="14564" width="6.625" style="5"/>
    <col min="14565" max="14577" width="8.75" style="5" customWidth="1"/>
    <col min="14578" max="14820" width="6.625" style="5"/>
    <col min="14821" max="14833" width="8.75" style="5" customWidth="1"/>
    <col min="14834" max="15076" width="6.625" style="5"/>
    <col min="15077" max="15089" width="8.75" style="5" customWidth="1"/>
    <col min="15090" max="15332" width="6.625" style="5"/>
    <col min="15333" max="15345" width="8.75" style="5" customWidth="1"/>
    <col min="15346" max="15588" width="6.625" style="5"/>
    <col min="15589" max="15601" width="8.75" style="5" customWidth="1"/>
    <col min="15602" max="15844" width="6.625" style="5"/>
    <col min="15845" max="15857" width="8.75" style="5" customWidth="1"/>
    <col min="15858" max="16100" width="6.625" style="5"/>
    <col min="16101" max="16113" width="8.75" style="5" customWidth="1"/>
    <col min="16114" max="16384" width="6.625" style="5"/>
  </cols>
  <sheetData>
    <row r="1" spans="1:4" ht="14.25" thickBot="1" x14ac:dyDescent="0.2">
      <c r="A1" s="152" t="s">
        <v>216</v>
      </c>
      <c r="B1" s="153" t="s">
        <v>217</v>
      </c>
      <c r="C1" s="153" t="s">
        <v>227</v>
      </c>
      <c r="D1" s="157" t="s">
        <v>218</v>
      </c>
    </row>
    <row r="2" spans="1:4" x14ac:dyDescent="0.15">
      <c r="A2" s="148">
        <v>1</v>
      </c>
      <c r="B2" s="149">
        <v>4</v>
      </c>
      <c r="C2" s="149">
        <v>1</v>
      </c>
      <c r="D2" s="151" t="s">
        <v>219</v>
      </c>
    </row>
    <row r="3" spans="1:4" x14ac:dyDescent="0.15">
      <c r="A3" s="141">
        <v>2</v>
      </c>
      <c r="B3" s="42">
        <v>3</v>
      </c>
      <c r="C3" s="42">
        <v>2</v>
      </c>
      <c r="D3" s="142" t="s">
        <v>219</v>
      </c>
    </row>
    <row r="4" spans="1:4" x14ac:dyDescent="0.15">
      <c r="A4" s="141">
        <v>3</v>
      </c>
      <c r="B4" s="42">
        <v>5</v>
      </c>
      <c r="C4" s="42">
        <v>2</v>
      </c>
      <c r="D4" s="142" t="s">
        <v>219</v>
      </c>
    </row>
    <row r="5" spans="1:4" x14ac:dyDescent="0.15">
      <c r="A5" s="141">
        <v>4</v>
      </c>
      <c r="B5" s="42">
        <v>4</v>
      </c>
      <c r="C5" s="42">
        <v>3</v>
      </c>
      <c r="D5" s="142" t="s">
        <v>219</v>
      </c>
    </row>
    <row r="6" spans="1:4" x14ac:dyDescent="0.15">
      <c r="A6" s="141">
        <v>5</v>
      </c>
      <c r="B6" s="46" t="s">
        <v>228</v>
      </c>
      <c r="C6" s="46" t="s">
        <v>230</v>
      </c>
      <c r="D6" s="142" t="s">
        <v>220</v>
      </c>
    </row>
    <row r="7" spans="1:4" x14ac:dyDescent="0.15">
      <c r="A7" s="141">
        <v>6</v>
      </c>
      <c r="B7" s="46" t="s">
        <v>229</v>
      </c>
      <c r="C7" s="46" t="s">
        <v>231</v>
      </c>
      <c r="D7" s="142" t="s">
        <v>220</v>
      </c>
    </row>
    <row r="8" spans="1:4" x14ac:dyDescent="0.15">
      <c r="A8" s="141">
        <v>7</v>
      </c>
      <c r="B8" s="46" t="s">
        <v>230</v>
      </c>
      <c r="C8" s="46" t="s">
        <v>231</v>
      </c>
      <c r="D8" s="142" t="s">
        <v>220</v>
      </c>
    </row>
    <row r="9" spans="1:4" ht="14.25" thickBot="1" x14ac:dyDescent="0.2">
      <c r="A9" s="144">
        <v>8</v>
      </c>
      <c r="B9" s="145" t="s">
        <v>228</v>
      </c>
      <c r="C9" s="145" t="s">
        <v>232</v>
      </c>
      <c r="D9" s="147" t="s">
        <v>220</v>
      </c>
    </row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zoomScale="90" workbookViewId="0">
      <selection activeCell="L13" sqref="L13"/>
    </sheetView>
  </sheetViews>
  <sheetFormatPr defaultColWidth="6.625" defaultRowHeight="13.5" x14ac:dyDescent="0.15"/>
  <cols>
    <col min="1" max="1" width="19.75" style="5" customWidth="1"/>
    <col min="2" max="2" width="39" style="5" customWidth="1"/>
    <col min="3" max="217" width="6.625" style="5"/>
    <col min="218" max="230" width="8.75" style="5" customWidth="1"/>
    <col min="231" max="473" width="6.625" style="5"/>
    <col min="474" max="486" width="8.75" style="5" customWidth="1"/>
    <col min="487" max="729" width="6.625" style="5"/>
    <col min="730" max="742" width="8.75" style="5" customWidth="1"/>
    <col min="743" max="985" width="6.625" style="5"/>
    <col min="986" max="998" width="8.75" style="5" customWidth="1"/>
    <col min="999" max="1241" width="6.625" style="5"/>
    <col min="1242" max="1254" width="8.75" style="5" customWidth="1"/>
    <col min="1255" max="1497" width="6.625" style="5"/>
    <col min="1498" max="1510" width="8.75" style="5" customWidth="1"/>
    <col min="1511" max="1753" width="6.625" style="5"/>
    <col min="1754" max="1766" width="8.75" style="5" customWidth="1"/>
    <col min="1767" max="2009" width="6.625" style="5"/>
    <col min="2010" max="2022" width="8.75" style="5" customWidth="1"/>
    <col min="2023" max="2265" width="6.625" style="5"/>
    <col min="2266" max="2278" width="8.75" style="5" customWidth="1"/>
    <col min="2279" max="2521" width="6.625" style="5"/>
    <col min="2522" max="2534" width="8.75" style="5" customWidth="1"/>
    <col min="2535" max="2777" width="6.625" style="5"/>
    <col min="2778" max="2790" width="8.75" style="5" customWidth="1"/>
    <col min="2791" max="3033" width="6.625" style="5"/>
    <col min="3034" max="3046" width="8.75" style="5" customWidth="1"/>
    <col min="3047" max="3289" width="6.625" style="5"/>
    <col min="3290" max="3302" width="8.75" style="5" customWidth="1"/>
    <col min="3303" max="3545" width="6.625" style="5"/>
    <col min="3546" max="3558" width="8.75" style="5" customWidth="1"/>
    <col min="3559" max="3801" width="6.625" style="5"/>
    <col min="3802" max="3814" width="8.75" style="5" customWidth="1"/>
    <col min="3815" max="4057" width="6.625" style="5"/>
    <col min="4058" max="4070" width="8.75" style="5" customWidth="1"/>
    <col min="4071" max="4313" width="6.625" style="5"/>
    <col min="4314" max="4326" width="8.75" style="5" customWidth="1"/>
    <col min="4327" max="4569" width="6.625" style="5"/>
    <col min="4570" max="4582" width="8.75" style="5" customWidth="1"/>
    <col min="4583" max="4825" width="6.625" style="5"/>
    <col min="4826" max="4838" width="8.75" style="5" customWidth="1"/>
    <col min="4839" max="5081" width="6.625" style="5"/>
    <col min="5082" max="5094" width="8.75" style="5" customWidth="1"/>
    <col min="5095" max="5337" width="6.625" style="5"/>
    <col min="5338" max="5350" width="8.75" style="5" customWidth="1"/>
    <col min="5351" max="5593" width="6.625" style="5"/>
    <col min="5594" max="5606" width="8.75" style="5" customWidth="1"/>
    <col min="5607" max="5849" width="6.625" style="5"/>
    <col min="5850" max="5862" width="8.75" style="5" customWidth="1"/>
    <col min="5863" max="6105" width="6.625" style="5"/>
    <col min="6106" max="6118" width="8.75" style="5" customWidth="1"/>
    <col min="6119" max="6361" width="6.625" style="5"/>
    <col min="6362" max="6374" width="8.75" style="5" customWidth="1"/>
    <col min="6375" max="6617" width="6.625" style="5"/>
    <col min="6618" max="6630" width="8.75" style="5" customWidth="1"/>
    <col min="6631" max="6873" width="6.625" style="5"/>
    <col min="6874" max="6886" width="8.75" style="5" customWidth="1"/>
    <col min="6887" max="7129" width="6.625" style="5"/>
    <col min="7130" max="7142" width="8.75" style="5" customWidth="1"/>
    <col min="7143" max="7385" width="6.625" style="5"/>
    <col min="7386" max="7398" width="8.75" style="5" customWidth="1"/>
    <col min="7399" max="7641" width="6.625" style="5"/>
    <col min="7642" max="7654" width="8.75" style="5" customWidth="1"/>
    <col min="7655" max="7897" width="6.625" style="5"/>
    <col min="7898" max="7910" width="8.75" style="5" customWidth="1"/>
    <col min="7911" max="8153" width="6.625" style="5"/>
    <col min="8154" max="8166" width="8.75" style="5" customWidth="1"/>
    <col min="8167" max="8409" width="6.625" style="5"/>
    <col min="8410" max="8422" width="8.75" style="5" customWidth="1"/>
    <col min="8423" max="8665" width="6.625" style="5"/>
    <col min="8666" max="8678" width="8.75" style="5" customWidth="1"/>
    <col min="8679" max="8921" width="6.625" style="5"/>
    <col min="8922" max="8934" width="8.75" style="5" customWidth="1"/>
    <col min="8935" max="9177" width="6.625" style="5"/>
    <col min="9178" max="9190" width="8.75" style="5" customWidth="1"/>
    <col min="9191" max="9433" width="6.625" style="5"/>
    <col min="9434" max="9446" width="8.75" style="5" customWidth="1"/>
    <col min="9447" max="9689" width="6.625" style="5"/>
    <col min="9690" max="9702" width="8.75" style="5" customWidth="1"/>
    <col min="9703" max="9945" width="6.625" style="5"/>
    <col min="9946" max="9958" width="8.75" style="5" customWidth="1"/>
    <col min="9959" max="10201" width="6.625" style="5"/>
    <col min="10202" max="10214" width="8.75" style="5" customWidth="1"/>
    <col min="10215" max="10457" width="6.625" style="5"/>
    <col min="10458" max="10470" width="8.75" style="5" customWidth="1"/>
    <col min="10471" max="10713" width="6.625" style="5"/>
    <col min="10714" max="10726" width="8.75" style="5" customWidth="1"/>
    <col min="10727" max="10969" width="6.625" style="5"/>
    <col min="10970" max="10982" width="8.75" style="5" customWidth="1"/>
    <col min="10983" max="11225" width="6.625" style="5"/>
    <col min="11226" max="11238" width="8.75" style="5" customWidth="1"/>
    <col min="11239" max="11481" width="6.625" style="5"/>
    <col min="11482" max="11494" width="8.75" style="5" customWidth="1"/>
    <col min="11495" max="11737" width="6.625" style="5"/>
    <col min="11738" max="11750" width="8.75" style="5" customWidth="1"/>
    <col min="11751" max="11993" width="6.625" style="5"/>
    <col min="11994" max="12006" width="8.75" style="5" customWidth="1"/>
    <col min="12007" max="12249" width="6.625" style="5"/>
    <col min="12250" max="12262" width="8.75" style="5" customWidth="1"/>
    <col min="12263" max="12505" width="6.625" style="5"/>
    <col min="12506" max="12518" width="8.75" style="5" customWidth="1"/>
    <col min="12519" max="12761" width="6.625" style="5"/>
    <col min="12762" max="12774" width="8.75" style="5" customWidth="1"/>
    <col min="12775" max="13017" width="6.625" style="5"/>
    <col min="13018" max="13030" width="8.75" style="5" customWidth="1"/>
    <col min="13031" max="13273" width="6.625" style="5"/>
    <col min="13274" max="13286" width="8.75" style="5" customWidth="1"/>
    <col min="13287" max="13529" width="6.625" style="5"/>
    <col min="13530" max="13542" width="8.75" style="5" customWidth="1"/>
    <col min="13543" max="13785" width="6.625" style="5"/>
    <col min="13786" max="13798" width="8.75" style="5" customWidth="1"/>
    <col min="13799" max="14041" width="6.625" style="5"/>
    <col min="14042" max="14054" width="8.75" style="5" customWidth="1"/>
    <col min="14055" max="14297" width="6.625" style="5"/>
    <col min="14298" max="14310" width="8.75" style="5" customWidth="1"/>
    <col min="14311" max="14553" width="6.625" style="5"/>
    <col min="14554" max="14566" width="8.75" style="5" customWidth="1"/>
    <col min="14567" max="14809" width="6.625" style="5"/>
    <col min="14810" max="14822" width="8.75" style="5" customWidth="1"/>
    <col min="14823" max="15065" width="6.625" style="5"/>
    <col min="15066" max="15078" width="8.75" style="5" customWidth="1"/>
    <col min="15079" max="15321" width="6.625" style="5"/>
    <col min="15322" max="15334" width="8.75" style="5" customWidth="1"/>
    <col min="15335" max="15577" width="6.625" style="5"/>
    <col min="15578" max="15590" width="8.75" style="5" customWidth="1"/>
    <col min="15591" max="15833" width="6.625" style="5"/>
    <col min="15834" max="15846" width="8.75" style="5" customWidth="1"/>
    <col min="15847" max="16089" width="6.625" style="5"/>
    <col min="16090" max="16102" width="8.75" style="5" customWidth="1"/>
    <col min="16103" max="16384" width="6.625" style="5"/>
  </cols>
  <sheetData>
    <row r="1" spans="1:12" ht="20.100000000000001" customHeight="1" thickBot="1" x14ac:dyDescent="0.2">
      <c r="A1" s="37" t="s">
        <v>142</v>
      </c>
    </row>
    <row r="2" spans="1:12" ht="20.100000000000001" customHeight="1" x14ac:dyDescent="0.15">
      <c r="D2" s="129" t="s">
        <v>162</v>
      </c>
      <c r="E2" s="129"/>
    </row>
    <row r="3" spans="1:12" ht="20.100000000000001" customHeight="1" x14ac:dyDescent="0.15">
      <c r="A3" s="5">
        <v>84</v>
      </c>
      <c r="D3"/>
      <c r="E3"/>
    </row>
    <row r="4" spans="1:12" ht="20.100000000000001" customHeight="1" x14ac:dyDescent="0.15">
      <c r="A4" s="5">
        <v>92</v>
      </c>
      <c r="D4" t="s">
        <v>143</v>
      </c>
      <c r="E4">
        <v>92</v>
      </c>
    </row>
    <row r="5" spans="1:12" ht="20.100000000000001" customHeight="1" x14ac:dyDescent="0.15">
      <c r="A5" s="5">
        <v>96</v>
      </c>
      <c r="D5" t="s">
        <v>126</v>
      </c>
      <c r="E5">
        <v>2.9202359113225387</v>
      </c>
    </row>
    <row r="6" spans="1:12" ht="20.100000000000001" customHeight="1" x14ac:dyDescent="0.15">
      <c r="A6" s="5">
        <v>100</v>
      </c>
      <c r="D6" t="s">
        <v>144</v>
      </c>
      <c r="E6">
        <v>92</v>
      </c>
    </row>
    <row r="7" spans="1:12" ht="20.100000000000001" customHeight="1" x14ac:dyDescent="0.15">
      <c r="A7" s="5">
        <v>103</v>
      </c>
      <c r="D7" t="s">
        <v>145</v>
      </c>
      <c r="E7">
        <v>84</v>
      </c>
    </row>
    <row r="8" spans="1:12" ht="20.100000000000001" customHeight="1" x14ac:dyDescent="0.15">
      <c r="A8" s="5">
        <v>88</v>
      </c>
      <c r="D8" t="s">
        <v>146</v>
      </c>
      <c r="E8">
        <v>8.7607077339676156</v>
      </c>
    </row>
    <row r="9" spans="1:12" ht="20.100000000000001" customHeight="1" x14ac:dyDescent="0.15">
      <c r="A9" s="5">
        <v>84</v>
      </c>
      <c r="D9" t="s">
        <v>128</v>
      </c>
      <c r="E9">
        <v>76.75</v>
      </c>
    </row>
    <row r="10" spans="1:12" ht="20.100000000000001" customHeight="1" x14ac:dyDescent="0.15">
      <c r="A10" s="5">
        <v>79</v>
      </c>
      <c r="D10" t="s">
        <v>147</v>
      </c>
      <c r="E10">
        <v>-1.570168990046124</v>
      </c>
    </row>
    <row r="11" spans="1:12" ht="20.100000000000001" customHeight="1" x14ac:dyDescent="0.15">
      <c r="A11" s="5">
        <v>102</v>
      </c>
      <c r="D11" t="s">
        <v>148</v>
      </c>
      <c r="E11">
        <v>-9.035011424435814E-2</v>
      </c>
    </row>
    <row r="12" spans="1:12" ht="20.100000000000001" customHeight="1" x14ac:dyDescent="0.15">
      <c r="D12" t="s">
        <v>149</v>
      </c>
      <c r="E12">
        <v>24</v>
      </c>
    </row>
    <row r="13" spans="1:12" ht="20.100000000000001" customHeight="1" x14ac:dyDescent="0.15">
      <c r="A13" s="5">
        <f>AVERAGE(A2:A11)</f>
        <v>92</v>
      </c>
      <c r="D13" t="s">
        <v>150</v>
      </c>
      <c r="E13">
        <v>79</v>
      </c>
      <c r="L13" s="201" t="s">
        <v>233</v>
      </c>
    </row>
    <row r="14" spans="1:12" ht="20.100000000000001" customHeight="1" x14ac:dyDescent="0.15">
      <c r="A14" s="5">
        <f>STDEV(A2:A11)/SQRT(COUNT(A2:A11))</f>
        <v>2.9202359113225387</v>
      </c>
      <c r="D14" t="s">
        <v>151</v>
      </c>
      <c r="E14">
        <v>103</v>
      </c>
    </row>
    <row r="15" spans="1:12" ht="20.100000000000001" customHeight="1" x14ac:dyDescent="0.15">
      <c r="A15" s="5">
        <f>MEDIAN(A2:A11)</f>
        <v>92</v>
      </c>
      <c r="D15" t="s">
        <v>127</v>
      </c>
      <c r="E15">
        <v>828</v>
      </c>
    </row>
    <row r="16" spans="1:12" ht="20.100000000000001" customHeight="1" thickBot="1" x14ac:dyDescent="0.2">
      <c r="A16" s="5">
        <f>MODE(A2:A11)</f>
        <v>84</v>
      </c>
      <c r="D16" s="128" t="s">
        <v>152</v>
      </c>
      <c r="E16" s="128">
        <v>9</v>
      </c>
    </row>
    <row r="17" spans="1:1" ht="20.100000000000001" customHeight="1" x14ac:dyDescent="0.15">
      <c r="A17" s="5">
        <f>STDEV(A2:A11)</f>
        <v>8.7607077339676156</v>
      </c>
    </row>
    <row r="18" spans="1:1" ht="20.100000000000001" customHeight="1" x14ac:dyDescent="0.15">
      <c r="A18" s="5">
        <f>VAR(A2:A11)</f>
        <v>76.75</v>
      </c>
    </row>
    <row r="19" spans="1:1" ht="20.100000000000001" customHeight="1" x14ac:dyDescent="0.15">
      <c r="A19" s="5">
        <f>KURT(A2:A11)</f>
        <v>-1.570168990046124</v>
      </c>
    </row>
    <row r="20" spans="1:1" ht="20.100000000000001" customHeight="1" x14ac:dyDescent="0.15">
      <c r="A20" s="5">
        <f>SKEW(A2:A11)</f>
        <v>-9.035011424435814E-2</v>
      </c>
    </row>
    <row r="21" spans="1:1" ht="20.100000000000001" customHeight="1" x14ac:dyDescent="0.15">
      <c r="A21" s="5">
        <f>MAX(A2:A11)-MIN(A2:A11)</f>
        <v>24</v>
      </c>
    </row>
    <row r="22" spans="1:1" ht="20.100000000000001" customHeight="1" x14ac:dyDescent="0.15">
      <c r="A22" s="5">
        <f>MIN(A2:A11)</f>
        <v>79</v>
      </c>
    </row>
    <row r="23" spans="1:1" ht="20.100000000000001" customHeight="1" x14ac:dyDescent="0.15">
      <c r="A23" s="5">
        <f>MAX(A2:A11)</f>
        <v>103</v>
      </c>
    </row>
    <row r="24" spans="1:1" ht="20.100000000000001" customHeight="1" x14ac:dyDescent="0.15">
      <c r="A24" s="5">
        <f>SUM(A2:A11)</f>
        <v>828</v>
      </c>
    </row>
    <row r="25" spans="1:1" ht="20.100000000000001" customHeight="1" x14ac:dyDescent="0.15">
      <c r="A25" s="5">
        <f>COUNT(A2:A11)</f>
        <v>9</v>
      </c>
    </row>
    <row r="26" spans="1:1" ht="20.100000000000001" customHeight="1" x14ac:dyDescent="0.15"/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36"/>
  <sheetViews>
    <sheetView zoomScale="130" zoomScaleNormal="130" workbookViewId="0">
      <selection activeCell="L13" sqref="L13"/>
    </sheetView>
  </sheetViews>
  <sheetFormatPr defaultColWidth="6.625" defaultRowHeight="13.5" x14ac:dyDescent="0.15"/>
  <cols>
    <col min="1" max="1" width="9" style="5" customWidth="1"/>
    <col min="2" max="5" width="6.625" style="5"/>
    <col min="6" max="8" width="13.875" style="5" bestFit="1" customWidth="1"/>
    <col min="9" max="213" width="6.625" style="5"/>
    <col min="214" max="226" width="8.75" style="5" customWidth="1"/>
    <col min="227" max="469" width="6.625" style="5"/>
    <col min="470" max="482" width="8.75" style="5" customWidth="1"/>
    <col min="483" max="725" width="6.625" style="5"/>
    <col min="726" max="738" width="8.75" style="5" customWidth="1"/>
    <col min="739" max="981" width="6.625" style="5"/>
    <col min="982" max="994" width="8.75" style="5" customWidth="1"/>
    <col min="995" max="1237" width="6.625" style="5"/>
    <col min="1238" max="1250" width="8.75" style="5" customWidth="1"/>
    <col min="1251" max="1493" width="6.625" style="5"/>
    <col min="1494" max="1506" width="8.75" style="5" customWidth="1"/>
    <col min="1507" max="1749" width="6.625" style="5"/>
    <col min="1750" max="1762" width="8.75" style="5" customWidth="1"/>
    <col min="1763" max="2005" width="6.625" style="5"/>
    <col min="2006" max="2018" width="8.75" style="5" customWidth="1"/>
    <col min="2019" max="2261" width="6.625" style="5"/>
    <col min="2262" max="2274" width="8.75" style="5" customWidth="1"/>
    <col min="2275" max="2517" width="6.625" style="5"/>
    <col min="2518" max="2530" width="8.75" style="5" customWidth="1"/>
    <col min="2531" max="2773" width="6.625" style="5"/>
    <col min="2774" max="2786" width="8.75" style="5" customWidth="1"/>
    <col min="2787" max="3029" width="6.625" style="5"/>
    <col min="3030" max="3042" width="8.75" style="5" customWidth="1"/>
    <col min="3043" max="3285" width="6.625" style="5"/>
    <col min="3286" max="3298" width="8.75" style="5" customWidth="1"/>
    <col min="3299" max="3541" width="6.625" style="5"/>
    <col min="3542" max="3554" width="8.75" style="5" customWidth="1"/>
    <col min="3555" max="3797" width="6.625" style="5"/>
    <col min="3798" max="3810" width="8.75" style="5" customWidth="1"/>
    <col min="3811" max="4053" width="6.625" style="5"/>
    <col min="4054" max="4066" width="8.75" style="5" customWidth="1"/>
    <col min="4067" max="4309" width="6.625" style="5"/>
    <col min="4310" max="4322" width="8.75" style="5" customWidth="1"/>
    <col min="4323" max="4565" width="6.625" style="5"/>
    <col min="4566" max="4578" width="8.75" style="5" customWidth="1"/>
    <col min="4579" max="4821" width="6.625" style="5"/>
    <col min="4822" max="4834" width="8.75" style="5" customWidth="1"/>
    <col min="4835" max="5077" width="6.625" style="5"/>
    <col min="5078" max="5090" width="8.75" style="5" customWidth="1"/>
    <col min="5091" max="5333" width="6.625" style="5"/>
    <col min="5334" max="5346" width="8.75" style="5" customWidth="1"/>
    <col min="5347" max="5589" width="6.625" style="5"/>
    <col min="5590" max="5602" width="8.75" style="5" customWidth="1"/>
    <col min="5603" max="5845" width="6.625" style="5"/>
    <col min="5846" max="5858" width="8.75" style="5" customWidth="1"/>
    <col min="5859" max="6101" width="6.625" style="5"/>
    <col min="6102" max="6114" width="8.75" style="5" customWidth="1"/>
    <col min="6115" max="6357" width="6.625" style="5"/>
    <col min="6358" max="6370" width="8.75" style="5" customWidth="1"/>
    <col min="6371" max="6613" width="6.625" style="5"/>
    <col min="6614" max="6626" width="8.75" style="5" customWidth="1"/>
    <col min="6627" max="6869" width="6.625" style="5"/>
    <col min="6870" max="6882" width="8.75" style="5" customWidth="1"/>
    <col min="6883" max="7125" width="6.625" style="5"/>
    <col min="7126" max="7138" width="8.75" style="5" customWidth="1"/>
    <col min="7139" max="7381" width="6.625" style="5"/>
    <col min="7382" max="7394" width="8.75" style="5" customWidth="1"/>
    <col min="7395" max="7637" width="6.625" style="5"/>
    <col min="7638" max="7650" width="8.75" style="5" customWidth="1"/>
    <col min="7651" max="7893" width="6.625" style="5"/>
    <col min="7894" max="7906" width="8.75" style="5" customWidth="1"/>
    <col min="7907" max="8149" width="6.625" style="5"/>
    <col min="8150" max="8162" width="8.75" style="5" customWidth="1"/>
    <col min="8163" max="8405" width="6.625" style="5"/>
    <col min="8406" max="8418" width="8.75" style="5" customWidth="1"/>
    <col min="8419" max="8661" width="6.625" style="5"/>
    <col min="8662" max="8674" width="8.75" style="5" customWidth="1"/>
    <col min="8675" max="8917" width="6.625" style="5"/>
    <col min="8918" max="8930" width="8.75" style="5" customWidth="1"/>
    <col min="8931" max="9173" width="6.625" style="5"/>
    <col min="9174" max="9186" width="8.75" style="5" customWidth="1"/>
    <col min="9187" max="9429" width="6.625" style="5"/>
    <col min="9430" max="9442" width="8.75" style="5" customWidth="1"/>
    <col min="9443" max="9685" width="6.625" style="5"/>
    <col min="9686" max="9698" width="8.75" style="5" customWidth="1"/>
    <col min="9699" max="9941" width="6.625" style="5"/>
    <col min="9942" max="9954" width="8.75" style="5" customWidth="1"/>
    <col min="9955" max="10197" width="6.625" style="5"/>
    <col min="10198" max="10210" width="8.75" style="5" customWidth="1"/>
    <col min="10211" max="10453" width="6.625" style="5"/>
    <col min="10454" max="10466" width="8.75" style="5" customWidth="1"/>
    <col min="10467" max="10709" width="6.625" style="5"/>
    <col min="10710" max="10722" width="8.75" style="5" customWidth="1"/>
    <col min="10723" max="10965" width="6.625" style="5"/>
    <col min="10966" max="10978" width="8.75" style="5" customWidth="1"/>
    <col min="10979" max="11221" width="6.625" style="5"/>
    <col min="11222" max="11234" width="8.75" style="5" customWidth="1"/>
    <col min="11235" max="11477" width="6.625" style="5"/>
    <col min="11478" max="11490" width="8.75" style="5" customWidth="1"/>
    <col min="11491" max="11733" width="6.625" style="5"/>
    <col min="11734" max="11746" width="8.75" style="5" customWidth="1"/>
    <col min="11747" max="11989" width="6.625" style="5"/>
    <col min="11990" max="12002" width="8.75" style="5" customWidth="1"/>
    <col min="12003" max="12245" width="6.625" style="5"/>
    <col min="12246" max="12258" width="8.75" style="5" customWidth="1"/>
    <col min="12259" max="12501" width="6.625" style="5"/>
    <col min="12502" max="12514" width="8.75" style="5" customWidth="1"/>
    <col min="12515" max="12757" width="6.625" style="5"/>
    <col min="12758" max="12770" width="8.75" style="5" customWidth="1"/>
    <col min="12771" max="13013" width="6.625" style="5"/>
    <col min="13014" max="13026" width="8.75" style="5" customWidth="1"/>
    <col min="13027" max="13269" width="6.625" style="5"/>
    <col min="13270" max="13282" width="8.75" style="5" customWidth="1"/>
    <col min="13283" max="13525" width="6.625" style="5"/>
    <col min="13526" max="13538" width="8.75" style="5" customWidth="1"/>
    <col min="13539" max="13781" width="6.625" style="5"/>
    <col min="13782" max="13794" width="8.75" style="5" customWidth="1"/>
    <col min="13795" max="14037" width="6.625" style="5"/>
    <col min="14038" max="14050" width="8.75" style="5" customWidth="1"/>
    <col min="14051" max="14293" width="6.625" style="5"/>
    <col min="14294" max="14306" width="8.75" style="5" customWidth="1"/>
    <col min="14307" max="14549" width="6.625" style="5"/>
    <col min="14550" max="14562" width="8.75" style="5" customWidth="1"/>
    <col min="14563" max="14805" width="6.625" style="5"/>
    <col min="14806" max="14818" width="8.75" style="5" customWidth="1"/>
    <col min="14819" max="15061" width="6.625" style="5"/>
    <col min="15062" max="15074" width="8.75" style="5" customWidth="1"/>
    <col min="15075" max="15317" width="6.625" style="5"/>
    <col min="15318" max="15330" width="8.75" style="5" customWidth="1"/>
    <col min="15331" max="15573" width="6.625" style="5"/>
    <col min="15574" max="15586" width="8.75" style="5" customWidth="1"/>
    <col min="15587" max="15829" width="6.625" style="5"/>
    <col min="15830" max="15842" width="8.75" style="5" customWidth="1"/>
    <col min="15843" max="16085" width="6.625" style="5"/>
    <col min="16086" max="16098" width="8.75" style="5" customWidth="1"/>
    <col min="16099" max="16384" width="6.625" style="5"/>
  </cols>
  <sheetData>
    <row r="1" spans="1:19" ht="20.100000000000001" customHeight="1" x14ac:dyDescent="0.15">
      <c r="A1" s="169"/>
      <c r="B1" s="169"/>
      <c r="C1" s="169"/>
      <c r="D1" s="169"/>
      <c r="E1" s="169"/>
      <c r="F1" s="174" t="s">
        <v>160</v>
      </c>
      <c r="G1" s="174"/>
      <c r="H1" s="174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</row>
    <row r="2" spans="1:19" ht="20.100000000000001" customHeight="1" x14ac:dyDescent="0.15">
      <c r="A2" s="169"/>
      <c r="B2" s="171">
        <v>9</v>
      </c>
      <c r="C2" s="171">
        <v>8</v>
      </c>
      <c r="D2" s="171">
        <v>1</v>
      </c>
      <c r="E2" s="169"/>
      <c r="F2" s="171">
        <f t="array" ref="F2:H4">MMULT(B2:D4,B8:D10)</f>
        <v>0.99999999999999989</v>
      </c>
      <c r="G2" s="171">
        <v>-5.5511151231257827E-17</v>
      </c>
      <c r="H2" s="171">
        <v>0</v>
      </c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</row>
    <row r="3" spans="1:19" ht="20.100000000000001" customHeight="1" x14ac:dyDescent="0.15">
      <c r="A3" s="169"/>
      <c r="B3" s="171">
        <v>5</v>
      </c>
      <c r="C3" s="171">
        <v>7</v>
      </c>
      <c r="D3" s="171">
        <v>2</v>
      </c>
      <c r="E3" s="169"/>
      <c r="F3" s="171">
        <v>-2.2204460492503131E-16</v>
      </c>
      <c r="G3" s="171">
        <v>1.0000000000000004</v>
      </c>
      <c r="H3" s="171">
        <v>-1.1102230246251565E-16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</row>
    <row r="4" spans="1:19" ht="20.100000000000001" customHeight="1" x14ac:dyDescent="0.15">
      <c r="A4" s="169"/>
      <c r="B4" s="171">
        <v>4</v>
      </c>
      <c r="C4" s="171">
        <v>2</v>
      </c>
      <c r="D4" s="171">
        <v>3</v>
      </c>
      <c r="E4" s="169"/>
      <c r="F4" s="171">
        <v>0</v>
      </c>
      <c r="G4" s="171">
        <v>0</v>
      </c>
      <c r="H4" s="171">
        <v>1</v>
      </c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</row>
    <row r="5" spans="1:19" ht="20.100000000000001" customHeight="1" x14ac:dyDescent="0.15">
      <c r="A5" s="169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</row>
    <row r="6" spans="1:19" ht="20.100000000000001" customHeight="1" x14ac:dyDescent="0.15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</row>
    <row r="7" spans="1:19" ht="20.100000000000001" customHeight="1" x14ac:dyDescent="0.15">
      <c r="A7" s="169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</row>
    <row r="8" spans="1:19" ht="20.100000000000001" customHeight="1" x14ac:dyDescent="0.15">
      <c r="A8" s="169"/>
      <c r="B8" s="170">
        <f t="array" ref="B8:D10">MINVERSE(B2:D4)</f>
        <v>0.21518987341772153</v>
      </c>
      <c r="C8" s="170">
        <v>-0.27848101265822783</v>
      </c>
      <c r="D8" s="170">
        <v>0.1139240506329114</v>
      </c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</row>
    <row r="9" spans="1:19" ht="20.100000000000001" customHeight="1" x14ac:dyDescent="0.15">
      <c r="A9" s="169"/>
      <c r="B9" s="170">
        <v>-8.8607594936708889E-2</v>
      </c>
      <c r="C9" s="170">
        <v>0.29113924050632911</v>
      </c>
      <c r="D9" s="170">
        <v>-0.16455696202531647</v>
      </c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</row>
    <row r="10" spans="1:19" ht="20.100000000000001" customHeight="1" x14ac:dyDescent="0.15">
      <c r="A10" s="169"/>
      <c r="B10" s="170">
        <v>-0.22784810126582278</v>
      </c>
      <c r="C10" s="170">
        <v>0.17721518987341772</v>
      </c>
      <c r="D10" s="170">
        <v>0.29113924050632911</v>
      </c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</row>
    <row r="11" spans="1:19" ht="20.100000000000001" customHeight="1" x14ac:dyDescent="0.15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</row>
    <row r="12" spans="1:19" ht="20.100000000000001" customHeight="1" x14ac:dyDescent="0.15">
      <c r="A12" s="169"/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</row>
    <row r="13" spans="1:19" ht="20.100000000000001" customHeight="1" x14ac:dyDescent="0.15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201" t="s">
        <v>233</v>
      </c>
      <c r="M13" s="169"/>
      <c r="N13" s="169"/>
      <c r="O13" s="169"/>
      <c r="P13" s="169"/>
      <c r="Q13" s="169"/>
      <c r="R13" s="169"/>
      <c r="S13" s="169"/>
    </row>
    <row r="14" spans="1:19" ht="20.100000000000001" customHeight="1" x14ac:dyDescent="0.15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</row>
    <row r="15" spans="1:19" ht="20.100000000000001" customHeight="1" x14ac:dyDescent="0.15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</row>
    <row r="16" spans="1:19" ht="20.100000000000001" customHeight="1" x14ac:dyDescent="0.15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</row>
    <row r="17" spans="1:19" ht="20.100000000000001" customHeight="1" x14ac:dyDescent="0.15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</row>
    <row r="18" spans="1:19" x14ac:dyDescent="0.15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</row>
    <row r="19" spans="1:19" x14ac:dyDescent="0.15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</row>
    <row r="20" spans="1:19" x14ac:dyDescent="0.15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</row>
    <row r="21" spans="1:19" x14ac:dyDescent="0.15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</row>
    <row r="22" spans="1:19" x14ac:dyDescent="0.15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</row>
    <row r="23" spans="1:19" x14ac:dyDescent="0.15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</row>
    <row r="24" spans="1:19" x14ac:dyDescent="0.15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</row>
    <row r="25" spans="1:19" x14ac:dyDescent="0.15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</row>
    <row r="26" spans="1:19" x14ac:dyDescent="0.15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</row>
    <row r="27" spans="1:19" x14ac:dyDescent="0.15">
      <c r="A27" s="169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</row>
    <row r="28" spans="1:19" x14ac:dyDescent="0.15">
      <c r="A28" s="169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</row>
    <row r="29" spans="1:19" x14ac:dyDescent="0.15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</row>
    <row r="30" spans="1:19" x14ac:dyDescent="0.15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</row>
    <row r="31" spans="1:19" x14ac:dyDescent="0.15">
      <c r="A31" s="169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</row>
    <row r="32" spans="1:19" x14ac:dyDescent="0.15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</row>
    <row r="33" spans="1:19" x14ac:dyDescent="0.15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</row>
    <row r="34" spans="1:19" x14ac:dyDescent="0.15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</row>
    <row r="35" spans="1:19" x14ac:dyDescent="0.15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</row>
    <row r="36" spans="1:19" x14ac:dyDescent="0.15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</row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6A27-D1B4-4E3A-A7AE-B8CB57850A85}">
  <dimension ref="A1:L19"/>
  <sheetViews>
    <sheetView zoomScale="70" zoomScaleNormal="70" workbookViewId="0">
      <selection activeCell="L13" sqref="L13"/>
    </sheetView>
  </sheetViews>
  <sheetFormatPr defaultRowHeight="13.5" x14ac:dyDescent="0.15"/>
  <cols>
    <col min="1" max="1" width="9" customWidth="1"/>
    <col min="3" max="3" width="12.25" customWidth="1"/>
    <col min="4" max="4" width="12.5" customWidth="1"/>
  </cols>
  <sheetData>
    <row r="1" spans="1:12" x14ac:dyDescent="0.15">
      <c r="A1" s="1"/>
      <c r="B1" s="1"/>
      <c r="C1" s="1"/>
      <c r="D1" s="1"/>
      <c r="E1" s="1"/>
      <c r="F1" s="1"/>
    </row>
    <row r="2" spans="1:12" x14ac:dyDescent="0.15">
      <c r="A2" s="1"/>
      <c r="B2" s="1" t="s">
        <v>159</v>
      </c>
      <c r="C2" s="1" t="s">
        <v>124</v>
      </c>
      <c r="D2" s="1">
        <v>1</v>
      </c>
      <c r="E2" s="1"/>
      <c r="F2" s="1"/>
    </row>
    <row r="3" spans="1:12" x14ac:dyDescent="0.15">
      <c r="A3" s="1"/>
      <c r="B3" s="1" t="s">
        <v>158</v>
      </c>
      <c r="C3" s="1" t="s">
        <v>125</v>
      </c>
      <c r="D3" s="1">
        <v>40</v>
      </c>
      <c r="E3" s="1"/>
      <c r="F3" s="1"/>
    </row>
    <row r="4" spans="1:12" x14ac:dyDescent="0.15">
      <c r="A4" s="1"/>
      <c r="B4" s="1" t="s">
        <v>167</v>
      </c>
      <c r="C4" s="1" t="s">
        <v>168</v>
      </c>
      <c r="D4" s="1" t="s">
        <v>6</v>
      </c>
      <c r="E4" s="1" t="s">
        <v>8</v>
      </c>
      <c r="F4" s="1"/>
    </row>
    <row r="5" spans="1:12" x14ac:dyDescent="0.15">
      <c r="A5" s="172" t="s">
        <v>163</v>
      </c>
      <c r="B5" s="172">
        <v>1.39</v>
      </c>
      <c r="C5" s="172">
        <v>75.599999999999994</v>
      </c>
      <c r="D5" s="1">
        <f>D$2*B5+D$3</f>
        <v>41.39</v>
      </c>
      <c r="E5" s="1">
        <f>C5-D5</f>
        <v>34.209999999999994</v>
      </c>
      <c r="F5" s="1"/>
    </row>
    <row r="6" spans="1:12" x14ac:dyDescent="0.15">
      <c r="A6" s="172" t="s">
        <v>164</v>
      </c>
      <c r="B6" s="172">
        <v>2.3199999999999998</v>
      </c>
      <c r="C6" s="172">
        <v>85.1</v>
      </c>
      <c r="D6" s="1">
        <f t="shared" ref="D6:D8" si="0">D$2*B6+D$3</f>
        <v>42.32</v>
      </c>
      <c r="E6" s="1">
        <f t="shared" ref="E6:E8" si="1">C6-D6</f>
        <v>42.779999999999994</v>
      </c>
      <c r="F6" s="1"/>
    </row>
    <row r="7" spans="1:12" x14ac:dyDescent="0.15">
      <c r="A7" s="172" t="s">
        <v>165</v>
      </c>
      <c r="B7" s="172">
        <v>3.56</v>
      </c>
      <c r="C7" s="172">
        <v>90.9</v>
      </c>
      <c r="D7" s="1">
        <f t="shared" si="0"/>
        <v>43.56</v>
      </c>
      <c r="E7" s="1">
        <f t="shared" si="1"/>
        <v>47.34</v>
      </c>
      <c r="F7" s="1"/>
    </row>
    <row r="8" spans="1:12" x14ac:dyDescent="0.15">
      <c r="A8" s="172" t="s">
        <v>166</v>
      </c>
      <c r="B8" s="172">
        <v>4.13</v>
      </c>
      <c r="C8" s="172">
        <v>105.7</v>
      </c>
      <c r="D8" s="1">
        <f t="shared" si="0"/>
        <v>44.13</v>
      </c>
      <c r="E8" s="1">
        <f t="shared" si="1"/>
        <v>61.57</v>
      </c>
      <c r="F8" s="1"/>
    </row>
    <row r="9" spans="1:12" x14ac:dyDescent="0.15">
      <c r="A9" s="1"/>
      <c r="B9" s="1"/>
      <c r="C9" s="1"/>
      <c r="D9" s="1"/>
      <c r="E9" s="1"/>
      <c r="F9" s="1"/>
    </row>
    <row r="10" spans="1:12" x14ac:dyDescent="0.15">
      <c r="A10" s="1"/>
      <c r="B10" s="1"/>
      <c r="C10" s="1"/>
      <c r="D10" s="1"/>
      <c r="E10" s="1"/>
      <c r="F10" s="1"/>
    </row>
    <row r="11" spans="1:12" x14ac:dyDescent="0.15">
      <c r="A11" s="1"/>
      <c r="B11" s="1"/>
      <c r="C11" s="1"/>
      <c r="D11" s="1" t="s">
        <v>157</v>
      </c>
      <c r="E11" s="172">
        <f>SUMSQ(E5:E8)</f>
        <v>9032.393</v>
      </c>
      <c r="F11" s="1"/>
    </row>
    <row r="12" spans="1:12" x14ac:dyDescent="0.15">
      <c r="A12" s="1"/>
      <c r="B12" s="1"/>
      <c r="C12" s="1"/>
      <c r="D12" s="1"/>
      <c r="E12" s="1"/>
      <c r="F12" s="1"/>
    </row>
    <row r="13" spans="1:12" x14ac:dyDescent="0.15">
      <c r="A13" s="1"/>
      <c r="B13" s="1"/>
      <c r="C13" s="1"/>
      <c r="D13" s="1"/>
      <c r="E13" s="1"/>
      <c r="F13" s="1"/>
      <c r="L13" s="202"/>
    </row>
    <row r="14" spans="1:12" x14ac:dyDescent="0.15">
      <c r="A14" s="1"/>
      <c r="B14" s="1"/>
      <c r="C14" s="1"/>
      <c r="D14" s="1"/>
      <c r="E14" s="1"/>
      <c r="F14" s="1"/>
    </row>
    <row r="15" spans="1:12" x14ac:dyDescent="0.15">
      <c r="A15" s="1"/>
      <c r="B15" s="1"/>
      <c r="C15" s="1"/>
      <c r="D15" s="1"/>
      <c r="E15" s="1"/>
      <c r="F15" s="1"/>
    </row>
    <row r="16" spans="1:12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</row>
    <row r="19" spans="1:6" x14ac:dyDescent="0.15">
      <c r="A19" s="1"/>
      <c r="B19" s="1"/>
      <c r="C19" s="1"/>
      <c r="D19" s="1"/>
    </row>
  </sheetData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30"/>
  <sheetViews>
    <sheetView zoomScale="220" zoomScaleNormal="220" workbookViewId="0">
      <selection activeCell="L13" sqref="L13"/>
    </sheetView>
  </sheetViews>
  <sheetFormatPr defaultColWidth="8.875" defaultRowHeight="11.25" x14ac:dyDescent="0.15"/>
  <cols>
    <col min="1" max="1" width="3" style="2" customWidth="1"/>
    <col min="2" max="15" width="5.625" style="2" customWidth="1"/>
    <col min="16" max="16384" width="8.875" style="2"/>
  </cols>
  <sheetData>
    <row r="1" spans="1:15" x14ac:dyDescent="0.15">
      <c r="A1" s="3"/>
      <c r="B1" s="3" t="s">
        <v>117</v>
      </c>
      <c r="C1" s="3"/>
      <c r="D1" s="3"/>
      <c r="E1" s="123" t="s">
        <v>118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15">
      <c r="A2" s="3"/>
      <c r="B2" s="124">
        <v>1</v>
      </c>
      <c r="C2" s="124">
        <v>65</v>
      </c>
      <c r="D2" s="3"/>
      <c r="E2" s="125">
        <v>119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/>
      <c r="B3" s="124">
        <v>1</v>
      </c>
      <c r="C3" s="124">
        <v>73</v>
      </c>
      <c r="D3" s="3"/>
      <c r="E3" s="125">
        <v>125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/>
      <c r="B4" s="124">
        <v>1</v>
      </c>
      <c r="C4" s="124">
        <v>75</v>
      </c>
      <c r="D4" s="3"/>
      <c r="E4" s="125">
        <v>135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124">
        <v>1</v>
      </c>
      <c r="C5" s="124">
        <v>81</v>
      </c>
      <c r="D5" s="3"/>
      <c r="E5" s="125">
        <v>140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 t="s">
        <v>119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124">
        <f t="array" ref="B8:E9">TRANSPOSE(B2:C5)</f>
        <v>1</v>
      </c>
      <c r="C8" s="124">
        <v>1</v>
      </c>
      <c r="D8" s="124">
        <v>1</v>
      </c>
      <c r="E8" s="124">
        <v>1</v>
      </c>
      <c r="F8" s="3"/>
      <c r="G8" s="124">
        <f t="array" ref="G8:J9">TRANSPOSE(B2:C5)</f>
        <v>1</v>
      </c>
      <c r="H8" s="124">
        <v>1</v>
      </c>
      <c r="I8" s="124">
        <v>1</v>
      </c>
      <c r="J8" s="124">
        <v>1</v>
      </c>
      <c r="K8" s="3"/>
      <c r="L8" s="3"/>
      <c r="M8" s="3"/>
      <c r="N8" s="3"/>
      <c r="O8" s="3"/>
    </row>
    <row r="9" spans="1:15" x14ac:dyDescent="0.15">
      <c r="A9" s="3"/>
      <c r="B9" s="124">
        <v>65</v>
      </c>
      <c r="C9" s="124">
        <v>73</v>
      </c>
      <c r="D9" s="124">
        <v>75</v>
      </c>
      <c r="E9" s="124">
        <v>81</v>
      </c>
      <c r="F9" s="3"/>
      <c r="G9" s="124">
        <v>65</v>
      </c>
      <c r="H9" s="124">
        <v>73</v>
      </c>
      <c r="I9" s="124">
        <v>75</v>
      </c>
      <c r="J9" s="124">
        <v>81</v>
      </c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 t="s">
        <v>120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124">
        <f t="array" ref="B12:C13">MMULT(B8:E9,B2:C5)</f>
        <v>4</v>
      </c>
      <c r="C12" s="124">
        <v>294</v>
      </c>
      <c r="D12" s="3"/>
      <c r="E12" s="3"/>
      <c r="F12" s="3"/>
      <c r="G12" s="124">
        <f t="array" ref="G12:H13">MMULT(G8:J9,B2:C5)</f>
        <v>4</v>
      </c>
      <c r="H12" s="124">
        <v>294</v>
      </c>
      <c r="I12" s="3"/>
      <c r="J12" s="3"/>
      <c r="K12" s="3"/>
      <c r="L12" s="3"/>
      <c r="M12" s="3"/>
      <c r="N12" s="3"/>
      <c r="O12" s="3"/>
    </row>
    <row r="13" spans="1:15" ht="12" x14ac:dyDescent="0.15">
      <c r="A13" s="3"/>
      <c r="B13" s="124">
        <v>294</v>
      </c>
      <c r="C13" s="124">
        <v>21740</v>
      </c>
      <c r="D13" s="3"/>
      <c r="E13" s="3"/>
      <c r="F13" s="3"/>
      <c r="G13" s="124">
        <v>294</v>
      </c>
      <c r="H13" s="124">
        <v>21740</v>
      </c>
      <c r="I13" s="3"/>
      <c r="J13" s="3"/>
      <c r="K13" s="3"/>
      <c r="L13" s="202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 t="s">
        <v>121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124">
        <f t="array" ref="B16:C17">MINVERSE(B12:C13)</f>
        <v>41.488549618320782</v>
      </c>
      <c r="C16" s="124">
        <v>-0.56106870229007866</v>
      </c>
      <c r="D16" s="3"/>
      <c r="E16" s="3"/>
      <c r="F16" s="3"/>
      <c r="G16" s="124">
        <f t="array" ref="G16:H17">MINVERSE(G12:H13)</f>
        <v>41.488549618320782</v>
      </c>
      <c r="H16" s="124">
        <v>-0.56106870229007866</v>
      </c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124">
        <v>-0.56106870229007866</v>
      </c>
      <c r="C17" s="124">
        <v>7.6335877862595729E-3</v>
      </c>
      <c r="D17" s="3"/>
      <c r="E17" s="3"/>
      <c r="F17" s="3"/>
      <c r="G17" s="124">
        <v>-0.56106870229007866</v>
      </c>
      <c r="H17" s="124">
        <v>7.6335877862595729E-3</v>
      </c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 t="s">
        <v>122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124">
        <f t="array" ref="B20:E21">MMULT(B16:C17,B8:E9)</f>
        <v>5.0190839694656688</v>
      </c>
      <c r="C20" s="124">
        <v>0.5305343511450431</v>
      </c>
      <c r="D20" s="124">
        <v>-0.5916030534351151</v>
      </c>
      <c r="E20" s="124">
        <v>-3.9580152671755897</v>
      </c>
      <c r="F20" s="3"/>
      <c r="G20" s="124">
        <f t="array" ref="G20:J21">MMULT(G16:H17,G8:J9)</f>
        <v>5.0190839694656688</v>
      </c>
      <c r="H20" s="124">
        <v>0.5305343511450431</v>
      </c>
      <c r="I20" s="124">
        <v>-0.5916030534351151</v>
      </c>
      <c r="J20" s="124">
        <v>-3.9580152671755897</v>
      </c>
      <c r="K20" s="3"/>
      <c r="L20" s="3"/>
      <c r="M20" s="3"/>
      <c r="N20" s="3"/>
      <c r="O20" s="3"/>
    </row>
    <row r="21" spans="1:15" x14ac:dyDescent="0.15">
      <c r="A21" s="3"/>
      <c r="B21" s="124">
        <v>-6.4885496183206437E-2</v>
      </c>
      <c r="C21" s="124">
        <v>-3.8167938931298329E-3</v>
      </c>
      <c r="D21" s="124">
        <v>1.1450381679389277E-2</v>
      </c>
      <c r="E21" s="124">
        <v>5.7251908396946716E-2</v>
      </c>
      <c r="F21" s="3"/>
      <c r="G21" s="124">
        <v>-6.4885496183206437E-2</v>
      </c>
      <c r="H21" s="124">
        <v>-3.8167938931298329E-3</v>
      </c>
      <c r="I21" s="124">
        <v>1.1450381679389277E-2</v>
      </c>
      <c r="J21" s="124">
        <v>5.7251908396946716E-2</v>
      </c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 t="s">
        <v>123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124">
        <f t="array" ref="B24:B25">MMULT(B20:E21,E2:E5)</f>
        <v>29.599236641221864</v>
      </c>
      <c r="C24" s="3"/>
      <c r="D24" s="3"/>
      <c r="E24" s="3"/>
      <c r="F24" s="3"/>
      <c r="G24" s="124">
        <f t="array" ref="G24:G25">MMULT(G20:J21,E2:E5)</f>
        <v>29.599236641221864</v>
      </c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124">
        <v>1.3625954198472972</v>
      </c>
      <c r="C25" s="3"/>
      <c r="D25" s="3"/>
      <c r="E25" s="3"/>
      <c r="F25" s="3"/>
      <c r="G25" s="124">
        <v>1.3625954198472972</v>
      </c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124">
        <f t="array" ref="B27:C27">LINEST(E2:E5,C2:C5,TRUE)</f>
        <v>1.3625954198473282</v>
      </c>
      <c r="C27" s="124">
        <v>29.599236641221381</v>
      </c>
      <c r="D27" s="3"/>
      <c r="E27" s="3"/>
      <c r="F27" s="3"/>
      <c r="G27" s="124">
        <f t="array" ref="G27:H27">LINEST(E2:E5,C2:C5)</f>
        <v>1.3625954198473282</v>
      </c>
      <c r="H27" s="124">
        <v>29.599236641221381</v>
      </c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2:L25"/>
  <sheetViews>
    <sheetView zoomScale="75" workbookViewId="0">
      <selection activeCell="L13" sqref="L13"/>
    </sheetView>
  </sheetViews>
  <sheetFormatPr defaultColWidth="9" defaultRowHeight="13.5" x14ac:dyDescent="0.15"/>
  <cols>
    <col min="1" max="1" width="9" style="6" customWidth="1"/>
    <col min="2" max="6" width="9" style="6"/>
    <col min="7" max="7" width="6.875" style="6" customWidth="1"/>
    <col min="8" max="234" width="9" style="6"/>
    <col min="235" max="235" width="2.625" style="6" customWidth="1"/>
    <col min="236" max="239" width="9" style="6"/>
    <col min="240" max="241" width="15.5" style="6" bestFit="1" customWidth="1"/>
    <col min="242" max="242" width="12.625" style="6" customWidth="1"/>
    <col min="243" max="490" width="9" style="6"/>
    <col min="491" max="491" width="2.625" style="6" customWidth="1"/>
    <col min="492" max="495" width="9" style="6"/>
    <col min="496" max="497" width="15.5" style="6" bestFit="1" customWidth="1"/>
    <col min="498" max="498" width="12.625" style="6" customWidth="1"/>
    <col min="499" max="746" width="9" style="6"/>
    <col min="747" max="747" width="2.625" style="6" customWidth="1"/>
    <col min="748" max="751" width="9" style="6"/>
    <col min="752" max="753" width="15.5" style="6" bestFit="1" customWidth="1"/>
    <col min="754" max="754" width="12.625" style="6" customWidth="1"/>
    <col min="755" max="1002" width="9" style="6"/>
    <col min="1003" max="1003" width="2.625" style="6" customWidth="1"/>
    <col min="1004" max="1007" width="9" style="6"/>
    <col min="1008" max="1009" width="15.5" style="6" bestFit="1" customWidth="1"/>
    <col min="1010" max="1010" width="12.625" style="6" customWidth="1"/>
    <col min="1011" max="1258" width="9" style="6"/>
    <col min="1259" max="1259" width="2.625" style="6" customWidth="1"/>
    <col min="1260" max="1263" width="9" style="6"/>
    <col min="1264" max="1265" width="15.5" style="6" bestFit="1" customWidth="1"/>
    <col min="1266" max="1266" width="12.625" style="6" customWidth="1"/>
    <col min="1267" max="1514" width="9" style="6"/>
    <col min="1515" max="1515" width="2.625" style="6" customWidth="1"/>
    <col min="1516" max="1519" width="9" style="6"/>
    <col min="1520" max="1521" width="15.5" style="6" bestFit="1" customWidth="1"/>
    <col min="1522" max="1522" width="12.625" style="6" customWidth="1"/>
    <col min="1523" max="1770" width="9" style="6"/>
    <col min="1771" max="1771" width="2.625" style="6" customWidth="1"/>
    <col min="1772" max="1775" width="9" style="6"/>
    <col min="1776" max="1777" width="15.5" style="6" bestFit="1" customWidth="1"/>
    <col min="1778" max="1778" width="12.625" style="6" customWidth="1"/>
    <col min="1779" max="2026" width="9" style="6"/>
    <col min="2027" max="2027" width="2.625" style="6" customWidth="1"/>
    <col min="2028" max="2031" width="9" style="6"/>
    <col min="2032" max="2033" width="15.5" style="6" bestFit="1" customWidth="1"/>
    <col min="2034" max="2034" width="12.625" style="6" customWidth="1"/>
    <col min="2035" max="2282" width="9" style="6"/>
    <col min="2283" max="2283" width="2.625" style="6" customWidth="1"/>
    <col min="2284" max="2287" width="9" style="6"/>
    <col min="2288" max="2289" width="15.5" style="6" bestFit="1" customWidth="1"/>
    <col min="2290" max="2290" width="12.625" style="6" customWidth="1"/>
    <col min="2291" max="2538" width="9" style="6"/>
    <col min="2539" max="2539" width="2.625" style="6" customWidth="1"/>
    <col min="2540" max="2543" width="9" style="6"/>
    <col min="2544" max="2545" width="15.5" style="6" bestFit="1" customWidth="1"/>
    <col min="2546" max="2546" width="12.625" style="6" customWidth="1"/>
    <col min="2547" max="2794" width="9" style="6"/>
    <col min="2795" max="2795" width="2.625" style="6" customWidth="1"/>
    <col min="2796" max="2799" width="9" style="6"/>
    <col min="2800" max="2801" width="15.5" style="6" bestFit="1" customWidth="1"/>
    <col min="2802" max="2802" width="12.625" style="6" customWidth="1"/>
    <col min="2803" max="3050" width="9" style="6"/>
    <col min="3051" max="3051" width="2.625" style="6" customWidth="1"/>
    <col min="3052" max="3055" width="9" style="6"/>
    <col min="3056" max="3057" width="15.5" style="6" bestFit="1" customWidth="1"/>
    <col min="3058" max="3058" width="12.625" style="6" customWidth="1"/>
    <col min="3059" max="3306" width="9" style="6"/>
    <col min="3307" max="3307" width="2.625" style="6" customWidth="1"/>
    <col min="3308" max="3311" width="9" style="6"/>
    <col min="3312" max="3313" width="15.5" style="6" bestFit="1" customWidth="1"/>
    <col min="3314" max="3314" width="12.625" style="6" customWidth="1"/>
    <col min="3315" max="3562" width="9" style="6"/>
    <col min="3563" max="3563" width="2.625" style="6" customWidth="1"/>
    <col min="3564" max="3567" width="9" style="6"/>
    <col min="3568" max="3569" width="15.5" style="6" bestFit="1" customWidth="1"/>
    <col min="3570" max="3570" width="12.625" style="6" customWidth="1"/>
    <col min="3571" max="3818" width="9" style="6"/>
    <col min="3819" max="3819" width="2.625" style="6" customWidth="1"/>
    <col min="3820" max="3823" width="9" style="6"/>
    <col min="3824" max="3825" width="15.5" style="6" bestFit="1" customWidth="1"/>
    <col min="3826" max="3826" width="12.625" style="6" customWidth="1"/>
    <col min="3827" max="4074" width="9" style="6"/>
    <col min="4075" max="4075" width="2.625" style="6" customWidth="1"/>
    <col min="4076" max="4079" width="9" style="6"/>
    <col min="4080" max="4081" width="15.5" style="6" bestFit="1" customWidth="1"/>
    <col min="4082" max="4082" width="12.625" style="6" customWidth="1"/>
    <col min="4083" max="4330" width="9" style="6"/>
    <col min="4331" max="4331" width="2.625" style="6" customWidth="1"/>
    <col min="4332" max="4335" width="9" style="6"/>
    <col min="4336" max="4337" width="15.5" style="6" bestFit="1" customWidth="1"/>
    <col min="4338" max="4338" width="12.625" style="6" customWidth="1"/>
    <col min="4339" max="4586" width="9" style="6"/>
    <col min="4587" max="4587" width="2.625" style="6" customWidth="1"/>
    <col min="4588" max="4591" width="9" style="6"/>
    <col min="4592" max="4593" width="15.5" style="6" bestFit="1" customWidth="1"/>
    <col min="4594" max="4594" width="12.625" style="6" customWidth="1"/>
    <col min="4595" max="4842" width="9" style="6"/>
    <col min="4843" max="4843" width="2.625" style="6" customWidth="1"/>
    <col min="4844" max="4847" width="9" style="6"/>
    <col min="4848" max="4849" width="15.5" style="6" bestFit="1" customWidth="1"/>
    <col min="4850" max="4850" width="12.625" style="6" customWidth="1"/>
    <col min="4851" max="5098" width="9" style="6"/>
    <col min="5099" max="5099" width="2.625" style="6" customWidth="1"/>
    <col min="5100" max="5103" width="9" style="6"/>
    <col min="5104" max="5105" width="15.5" style="6" bestFit="1" customWidth="1"/>
    <col min="5106" max="5106" width="12.625" style="6" customWidth="1"/>
    <col min="5107" max="5354" width="9" style="6"/>
    <col min="5355" max="5355" width="2.625" style="6" customWidth="1"/>
    <col min="5356" max="5359" width="9" style="6"/>
    <col min="5360" max="5361" width="15.5" style="6" bestFit="1" customWidth="1"/>
    <col min="5362" max="5362" width="12.625" style="6" customWidth="1"/>
    <col min="5363" max="5610" width="9" style="6"/>
    <col min="5611" max="5611" width="2.625" style="6" customWidth="1"/>
    <col min="5612" max="5615" width="9" style="6"/>
    <col min="5616" max="5617" width="15.5" style="6" bestFit="1" customWidth="1"/>
    <col min="5618" max="5618" width="12.625" style="6" customWidth="1"/>
    <col min="5619" max="5866" width="9" style="6"/>
    <col min="5867" max="5867" width="2.625" style="6" customWidth="1"/>
    <col min="5868" max="5871" width="9" style="6"/>
    <col min="5872" max="5873" width="15.5" style="6" bestFit="1" customWidth="1"/>
    <col min="5874" max="5874" width="12.625" style="6" customWidth="1"/>
    <col min="5875" max="6122" width="9" style="6"/>
    <col min="6123" max="6123" width="2.625" style="6" customWidth="1"/>
    <col min="6124" max="6127" width="9" style="6"/>
    <col min="6128" max="6129" width="15.5" style="6" bestFit="1" customWidth="1"/>
    <col min="6130" max="6130" width="12.625" style="6" customWidth="1"/>
    <col min="6131" max="6378" width="9" style="6"/>
    <col min="6379" max="6379" width="2.625" style="6" customWidth="1"/>
    <col min="6380" max="6383" width="9" style="6"/>
    <col min="6384" max="6385" width="15.5" style="6" bestFit="1" customWidth="1"/>
    <col min="6386" max="6386" width="12.625" style="6" customWidth="1"/>
    <col min="6387" max="6634" width="9" style="6"/>
    <col min="6635" max="6635" width="2.625" style="6" customWidth="1"/>
    <col min="6636" max="6639" width="9" style="6"/>
    <col min="6640" max="6641" width="15.5" style="6" bestFit="1" customWidth="1"/>
    <col min="6642" max="6642" width="12.625" style="6" customWidth="1"/>
    <col min="6643" max="6890" width="9" style="6"/>
    <col min="6891" max="6891" width="2.625" style="6" customWidth="1"/>
    <col min="6892" max="6895" width="9" style="6"/>
    <col min="6896" max="6897" width="15.5" style="6" bestFit="1" customWidth="1"/>
    <col min="6898" max="6898" width="12.625" style="6" customWidth="1"/>
    <col min="6899" max="7146" width="9" style="6"/>
    <col min="7147" max="7147" width="2.625" style="6" customWidth="1"/>
    <col min="7148" max="7151" width="9" style="6"/>
    <col min="7152" max="7153" width="15.5" style="6" bestFit="1" customWidth="1"/>
    <col min="7154" max="7154" width="12.625" style="6" customWidth="1"/>
    <col min="7155" max="7402" width="9" style="6"/>
    <col min="7403" max="7403" width="2.625" style="6" customWidth="1"/>
    <col min="7404" max="7407" width="9" style="6"/>
    <col min="7408" max="7409" width="15.5" style="6" bestFit="1" customWidth="1"/>
    <col min="7410" max="7410" width="12.625" style="6" customWidth="1"/>
    <col min="7411" max="7658" width="9" style="6"/>
    <col min="7659" max="7659" width="2.625" style="6" customWidth="1"/>
    <col min="7660" max="7663" width="9" style="6"/>
    <col min="7664" max="7665" width="15.5" style="6" bestFit="1" customWidth="1"/>
    <col min="7666" max="7666" width="12.625" style="6" customWidth="1"/>
    <col min="7667" max="7914" width="9" style="6"/>
    <col min="7915" max="7915" width="2.625" style="6" customWidth="1"/>
    <col min="7916" max="7919" width="9" style="6"/>
    <col min="7920" max="7921" width="15.5" style="6" bestFit="1" customWidth="1"/>
    <col min="7922" max="7922" width="12.625" style="6" customWidth="1"/>
    <col min="7923" max="8170" width="9" style="6"/>
    <col min="8171" max="8171" width="2.625" style="6" customWidth="1"/>
    <col min="8172" max="8175" width="9" style="6"/>
    <col min="8176" max="8177" width="15.5" style="6" bestFit="1" customWidth="1"/>
    <col min="8178" max="8178" width="12.625" style="6" customWidth="1"/>
    <col min="8179" max="8426" width="9" style="6"/>
    <col min="8427" max="8427" width="2.625" style="6" customWidth="1"/>
    <col min="8428" max="8431" width="9" style="6"/>
    <col min="8432" max="8433" width="15.5" style="6" bestFit="1" customWidth="1"/>
    <col min="8434" max="8434" width="12.625" style="6" customWidth="1"/>
    <col min="8435" max="8682" width="9" style="6"/>
    <col min="8683" max="8683" width="2.625" style="6" customWidth="1"/>
    <col min="8684" max="8687" width="9" style="6"/>
    <col min="8688" max="8689" width="15.5" style="6" bestFit="1" customWidth="1"/>
    <col min="8690" max="8690" width="12.625" style="6" customWidth="1"/>
    <col min="8691" max="8938" width="9" style="6"/>
    <col min="8939" max="8939" width="2.625" style="6" customWidth="1"/>
    <col min="8940" max="8943" width="9" style="6"/>
    <col min="8944" max="8945" width="15.5" style="6" bestFit="1" customWidth="1"/>
    <col min="8946" max="8946" width="12.625" style="6" customWidth="1"/>
    <col min="8947" max="9194" width="9" style="6"/>
    <col min="9195" max="9195" width="2.625" style="6" customWidth="1"/>
    <col min="9196" max="9199" width="9" style="6"/>
    <col min="9200" max="9201" width="15.5" style="6" bestFit="1" customWidth="1"/>
    <col min="9202" max="9202" width="12.625" style="6" customWidth="1"/>
    <col min="9203" max="9450" width="9" style="6"/>
    <col min="9451" max="9451" width="2.625" style="6" customWidth="1"/>
    <col min="9452" max="9455" width="9" style="6"/>
    <col min="9456" max="9457" width="15.5" style="6" bestFit="1" customWidth="1"/>
    <col min="9458" max="9458" width="12.625" style="6" customWidth="1"/>
    <col min="9459" max="9706" width="9" style="6"/>
    <col min="9707" max="9707" width="2.625" style="6" customWidth="1"/>
    <col min="9708" max="9711" width="9" style="6"/>
    <col min="9712" max="9713" width="15.5" style="6" bestFit="1" customWidth="1"/>
    <col min="9714" max="9714" width="12.625" style="6" customWidth="1"/>
    <col min="9715" max="9962" width="9" style="6"/>
    <col min="9963" max="9963" width="2.625" style="6" customWidth="1"/>
    <col min="9964" max="9967" width="9" style="6"/>
    <col min="9968" max="9969" width="15.5" style="6" bestFit="1" customWidth="1"/>
    <col min="9970" max="9970" width="12.625" style="6" customWidth="1"/>
    <col min="9971" max="10218" width="9" style="6"/>
    <col min="10219" max="10219" width="2.625" style="6" customWidth="1"/>
    <col min="10220" max="10223" width="9" style="6"/>
    <col min="10224" max="10225" width="15.5" style="6" bestFit="1" customWidth="1"/>
    <col min="10226" max="10226" width="12.625" style="6" customWidth="1"/>
    <col min="10227" max="10474" width="9" style="6"/>
    <col min="10475" max="10475" width="2.625" style="6" customWidth="1"/>
    <col min="10476" max="10479" width="9" style="6"/>
    <col min="10480" max="10481" width="15.5" style="6" bestFit="1" customWidth="1"/>
    <col min="10482" max="10482" width="12.625" style="6" customWidth="1"/>
    <col min="10483" max="10730" width="9" style="6"/>
    <col min="10731" max="10731" width="2.625" style="6" customWidth="1"/>
    <col min="10732" max="10735" width="9" style="6"/>
    <col min="10736" max="10737" width="15.5" style="6" bestFit="1" customWidth="1"/>
    <col min="10738" max="10738" width="12.625" style="6" customWidth="1"/>
    <col min="10739" max="10986" width="9" style="6"/>
    <col min="10987" max="10987" width="2.625" style="6" customWidth="1"/>
    <col min="10988" max="10991" width="9" style="6"/>
    <col min="10992" max="10993" width="15.5" style="6" bestFit="1" customWidth="1"/>
    <col min="10994" max="10994" width="12.625" style="6" customWidth="1"/>
    <col min="10995" max="11242" width="9" style="6"/>
    <col min="11243" max="11243" width="2.625" style="6" customWidth="1"/>
    <col min="11244" max="11247" width="9" style="6"/>
    <col min="11248" max="11249" width="15.5" style="6" bestFit="1" customWidth="1"/>
    <col min="11250" max="11250" width="12.625" style="6" customWidth="1"/>
    <col min="11251" max="11498" width="9" style="6"/>
    <col min="11499" max="11499" width="2.625" style="6" customWidth="1"/>
    <col min="11500" max="11503" width="9" style="6"/>
    <col min="11504" max="11505" width="15.5" style="6" bestFit="1" customWidth="1"/>
    <col min="11506" max="11506" width="12.625" style="6" customWidth="1"/>
    <col min="11507" max="11754" width="9" style="6"/>
    <col min="11755" max="11755" width="2.625" style="6" customWidth="1"/>
    <col min="11756" max="11759" width="9" style="6"/>
    <col min="11760" max="11761" width="15.5" style="6" bestFit="1" customWidth="1"/>
    <col min="11762" max="11762" width="12.625" style="6" customWidth="1"/>
    <col min="11763" max="12010" width="9" style="6"/>
    <col min="12011" max="12011" width="2.625" style="6" customWidth="1"/>
    <col min="12012" max="12015" width="9" style="6"/>
    <col min="12016" max="12017" width="15.5" style="6" bestFit="1" customWidth="1"/>
    <col min="12018" max="12018" width="12.625" style="6" customWidth="1"/>
    <col min="12019" max="12266" width="9" style="6"/>
    <col min="12267" max="12267" width="2.625" style="6" customWidth="1"/>
    <col min="12268" max="12271" width="9" style="6"/>
    <col min="12272" max="12273" width="15.5" style="6" bestFit="1" customWidth="1"/>
    <col min="12274" max="12274" width="12.625" style="6" customWidth="1"/>
    <col min="12275" max="12522" width="9" style="6"/>
    <col min="12523" max="12523" width="2.625" style="6" customWidth="1"/>
    <col min="12524" max="12527" width="9" style="6"/>
    <col min="12528" max="12529" width="15.5" style="6" bestFit="1" customWidth="1"/>
    <col min="12530" max="12530" width="12.625" style="6" customWidth="1"/>
    <col min="12531" max="12778" width="9" style="6"/>
    <col min="12779" max="12779" width="2.625" style="6" customWidth="1"/>
    <col min="12780" max="12783" width="9" style="6"/>
    <col min="12784" max="12785" width="15.5" style="6" bestFit="1" customWidth="1"/>
    <col min="12786" max="12786" width="12.625" style="6" customWidth="1"/>
    <col min="12787" max="13034" width="9" style="6"/>
    <col min="13035" max="13035" width="2.625" style="6" customWidth="1"/>
    <col min="13036" max="13039" width="9" style="6"/>
    <col min="13040" max="13041" width="15.5" style="6" bestFit="1" customWidth="1"/>
    <col min="13042" max="13042" width="12.625" style="6" customWidth="1"/>
    <col min="13043" max="13290" width="9" style="6"/>
    <col min="13291" max="13291" width="2.625" style="6" customWidth="1"/>
    <col min="13292" max="13295" width="9" style="6"/>
    <col min="13296" max="13297" width="15.5" style="6" bestFit="1" customWidth="1"/>
    <col min="13298" max="13298" width="12.625" style="6" customWidth="1"/>
    <col min="13299" max="13546" width="9" style="6"/>
    <col min="13547" max="13547" width="2.625" style="6" customWidth="1"/>
    <col min="13548" max="13551" width="9" style="6"/>
    <col min="13552" max="13553" width="15.5" style="6" bestFit="1" customWidth="1"/>
    <col min="13554" max="13554" width="12.625" style="6" customWidth="1"/>
    <col min="13555" max="13802" width="9" style="6"/>
    <col min="13803" max="13803" width="2.625" style="6" customWidth="1"/>
    <col min="13804" max="13807" width="9" style="6"/>
    <col min="13808" max="13809" width="15.5" style="6" bestFit="1" customWidth="1"/>
    <col min="13810" max="13810" width="12.625" style="6" customWidth="1"/>
    <col min="13811" max="14058" width="9" style="6"/>
    <col min="14059" max="14059" width="2.625" style="6" customWidth="1"/>
    <col min="14060" max="14063" width="9" style="6"/>
    <col min="14064" max="14065" width="15.5" style="6" bestFit="1" customWidth="1"/>
    <col min="14066" max="14066" width="12.625" style="6" customWidth="1"/>
    <col min="14067" max="14314" width="9" style="6"/>
    <col min="14315" max="14315" width="2.625" style="6" customWidth="1"/>
    <col min="14316" max="14319" width="9" style="6"/>
    <col min="14320" max="14321" width="15.5" style="6" bestFit="1" customWidth="1"/>
    <col min="14322" max="14322" width="12.625" style="6" customWidth="1"/>
    <col min="14323" max="14570" width="9" style="6"/>
    <col min="14571" max="14571" width="2.625" style="6" customWidth="1"/>
    <col min="14572" max="14575" width="9" style="6"/>
    <col min="14576" max="14577" width="15.5" style="6" bestFit="1" customWidth="1"/>
    <col min="14578" max="14578" width="12.625" style="6" customWidth="1"/>
    <col min="14579" max="14826" width="9" style="6"/>
    <col min="14827" max="14827" width="2.625" style="6" customWidth="1"/>
    <col min="14828" max="14831" width="9" style="6"/>
    <col min="14832" max="14833" width="15.5" style="6" bestFit="1" customWidth="1"/>
    <col min="14834" max="14834" width="12.625" style="6" customWidth="1"/>
    <col min="14835" max="15082" width="9" style="6"/>
    <col min="15083" max="15083" width="2.625" style="6" customWidth="1"/>
    <col min="15084" max="15087" width="9" style="6"/>
    <col min="15088" max="15089" width="15.5" style="6" bestFit="1" customWidth="1"/>
    <col min="15090" max="15090" width="12.625" style="6" customWidth="1"/>
    <col min="15091" max="15338" width="9" style="6"/>
    <col min="15339" max="15339" width="2.625" style="6" customWidth="1"/>
    <col min="15340" max="15343" width="9" style="6"/>
    <col min="15344" max="15345" width="15.5" style="6" bestFit="1" customWidth="1"/>
    <col min="15346" max="15346" width="12.625" style="6" customWidth="1"/>
    <col min="15347" max="15594" width="9" style="6"/>
    <col min="15595" max="15595" width="2.625" style="6" customWidth="1"/>
    <col min="15596" max="15599" width="9" style="6"/>
    <col min="15600" max="15601" width="15.5" style="6" bestFit="1" customWidth="1"/>
    <col min="15602" max="15602" width="12.625" style="6" customWidth="1"/>
    <col min="15603" max="15850" width="9" style="6"/>
    <col min="15851" max="15851" width="2.625" style="6" customWidth="1"/>
    <col min="15852" max="15855" width="9" style="6"/>
    <col min="15856" max="15857" width="15.5" style="6" bestFit="1" customWidth="1"/>
    <col min="15858" max="15858" width="12.625" style="6" customWidth="1"/>
    <col min="15859" max="16106" width="9" style="6"/>
    <col min="16107" max="16107" width="2.625" style="6" customWidth="1"/>
    <col min="16108" max="16111" width="9" style="6"/>
    <col min="16112" max="16113" width="15.5" style="6" bestFit="1" customWidth="1"/>
    <col min="16114" max="16114" width="12.625" style="6" customWidth="1"/>
    <col min="16115" max="16384" width="9" style="6"/>
  </cols>
  <sheetData>
    <row r="2" spans="1:12" ht="27" x14ac:dyDescent="0.15">
      <c r="A2" s="35" t="s">
        <v>129</v>
      </c>
      <c r="B2" s="35" t="s">
        <v>130</v>
      </c>
      <c r="C2" s="132" t="s">
        <v>131</v>
      </c>
      <c r="D2" s="132" t="s">
        <v>133</v>
      </c>
      <c r="E2" s="133" t="s">
        <v>132</v>
      </c>
      <c r="F2" s="6" t="s">
        <v>137</v>
      </c>
      <c r="G2" s="6" t="s">
        <v>138</v>
      </c>
      <c r="H2" s="6" t="s">
        <v>139</v>
      </c>
      <c r="I2" s="6" t="s">
        <v>140</v>
      </c>
      <c r="J2" s="6" t="s">
        <v>141</v>
      </c>
    </row>
    <row r="3" spans="1:12" x14ac:dyDescent="0.15">
      <c r="A3" s="134">
        <v>1</v>
      </c>
      <c r="B3" s="134">
        <v>27</v>
      </c>
      <c r="C3" s="134">
        <v>410</v>
      </c>
      <c r="D3" s="134">
        <v>2</v>
      </c>
      <c r="E3" s="134">
        <v>0</v>
      </c>
      <c r="F3" s="135">
        <f>SUMPRODUCT(B3:D3,$B$25:$D$25)+$E$25</f>
        <v>-14.657800267344022</v>
      </c>
      <c r="G3" s="135">
        <f>EXP(F3)/(1+EXP(F3))</f>
        <v>4.3072297708792449E-7</v>
      </c>
      <c r="H3" s="135">
        <f>1-G3</f>
        <v>0.99999956927702294</v>
      </c>
      <c r="I3" s="135">
        <f>IF(E3=1,G3,H3)</f>
        <v>0.99999956927702294</v>
      </c>
      <c r="J3" s="135">
        <f>LN(I3)</f>
        <v>-4.3072306982398216E-7</v>
      </c>
    </row>
    <row r="4" spans="1:12" x14ac:dyDescent="0.15">
      <c r="A4" s="35">
        <v>2</v>
      </c>
      <c r="B4" s="35">
        <v>42</v>
      </c>
      <c r="C4" s="35">
        <v>390</v>
      </c>
      <c r="D4" s="35">
        <v>3</v>
      </c>
      <c r="E4" s="35">
        <v>0</v>
      </c>
      <c r="F4" s="6">
        <f t="shared" ref="F4:F22" si="0">SUMPRODUCT(B4:D4,$B$25:$D$25)+$E$25</f>
        <v>-13.576190793244756</v>
      </c>
      <c r="G4" s="6">
        <f t="shared" ref="G4:G22" si="1">EXP(F4)/(1+EXP(F4))</f>
        <v>1.2703830819733974E-6</v>
      </c>
      <c r="H4" s="6">
        <f t="shared" ref="H4:H22" si="2">1-G4</f>
        <v>0.99999872961691805</v>
      </c>
      <c r="I4" s="6">
        <f t="shared" ref="I4:I22" si="3">IF(E4=1,G4,H4)</f>
        <v>0.99999872961691805</v>
      </c>
      <c r="J4" s="6">
        <f t="shared" ref="J4:J22" si="4">LN(I4)</f>
        <v>-1.2703838888899794E-6</v>
      </c>
    </row>
    <row r="5" spans="1:12" x14ac:dyDescent="0.15">
      <c r="A5" s="35">
        <v>3</v>
      </c>
      <c r="B5" s="35">
        <v>26</v>
      </c>
      <c r="C5" s="35">
        <v>340</v>
      </c>
      <c r="D5" s="35">
        <v>6</v>
      </c>
      <c r="E5" s="35">
        <v>1</v>
      </c>
      <c r="F5" s="6">
        <f t="shared" si="0"/>
        <v>17.509233943418934</v>
      </c>
      <c r="G5" s="6">
        <f t="shared" si="1"/>
        <v>0.99999997512080607</v>
      </c>
      <c r="H5" s="6">
        <f t="shared" si="2"/>
        <v>2.4879193927240806E-8</v>
      </c>
      <c r="I5" s="6">
        <f t="shared" si="3"/>
        <v>0.99999997512080607</v>
      </c>
      <c r="J5" s="6">
        <f t="shared" si="4"/>
        <v>-2.4879194236727957E-8</v>
      </c>
    </row>
    <row r="6" spans="1:12" x14ac:dyDescent="0.15">
      <c r="A6" s="35">
        <v>4</v>
      </c>
      <c r="B6" s="35">
        <v>25</v>
      </c>
      <c r="C6" s="35">
        <v>360</v>
      </c>
      <c r="D6" s="35">
        <v>3</v>
      </c>
      <c r="E6" s="35">
        <v>0</v>
      </c>
      <c r="F6" s="6">
        <f t="shared" si="0"/>
        <v>-4.6118678390477896E-2</v>
      </c>
      <c r="G6" s="6">
        <f t="shared" si="1"/>
        <v>0.48847237353689915</v>
      </c>
      <c r="H6" s="6">
        <f t="shared" si="2"/>
        <v>0.51152762646310079</v>
      </c>
      <c r="I6" s="6">
        <f t="shared" si="3"/>
        <v>0.51152762646310079</v>
      </c>
      <c r="J6" s="6">
        <f t="shared" si="4"/>
        <v>-0.67035368436843124</v>
      </c>
    </row>
    <row r="7" spans="1:12" x14ac:dyDescent="0.15">
      <c r="A7" s="35">
        <v>5</v>
      </c>
      <c r="B7" s="35">
        <v>19</v>
      </c>
      <c r="C7" s="35">
        <v>380</v>
      </c>
      <c r="D7" s="35">
        <v>4</v>
      </c>
      <c r="E7" s="35">
        <v>1</v>
      </c>
      <c r="F7" s="6">
        <f t="shared" si="0"/>
        <v>4.1850509735559243</v>
      </c>
      <c r="G7" s="6">
        <f t="shared" si="1"/>
        <v>0.98500678809424891</v>
      </c>
      <c r="H7" s="6">
        <f t="shared" si="2"/>
        <v>1.4993211905751092E-2</v>
      </c>
      <c r="I7" s="6">
        <f t="shared" si="3"/>
        <v>0.98500678809424891</v>
      </c>
      <c r="J7" s="6">
        <f t="shared" si="4"/>
        <v>-1.5106746367551669E-2</v>
      </c>
    </row>
    <row r="8" spans="1:12" x14ac:dyDescent="0.15">
      <c r="A8" s="35">
        <v>6</v>
      </c>
      <c r="B8" s="35">
        <v>19</v>
      </c>
      <c r="C8" s="35">
        <v>410</v>
      </c>
      <c r="D8" s="35">
        <v>1</v>
      </c>
      <c r="E8" s="35">
        <v>0</v>
      </c>
      <c r="F8" s="6">
        <f t="shared" si="0"/>
        <v>-15.615782261852708</v>
      </c>
      <c r="G8" s="6">
        <f t="shared" si="1"/>
        <v>1.6525395466290651E-7</v>
      </c>
      <c r="H8" s="6">
        <f t="shared" si="2"/>
        <v>0.99999983474604537</v>
      </c>
      <c r="I8" s="6">
        <f t="shared" si="3"/>
        <v>0.99999983474604537</v>
      </c>
      <c r="J8" s="6">
        <f t="shared" si="4"/>
        <v>-1.6525396828595308E-7</v>
      </c>
    </row>
    <row r="9" spans="1:12" x14ac:dyDescent="0.15">
      <c r="A9" s="35">
        <v>7</v>
      </c>
      <c r="B9" s="35">
        <v>20</v>
      </c>
      <c r="C9" s="35">
        <v>330</v>
      </c>
      <c r="D9" s="35">
        <v>2</v>
      </c>
      <c r="E9" s="35">
        <v>1</v>
      </c>
      <c r="F9" s="6">
        <f t="shared" si="0"/>
        <v>2.8207853361599504</v>
      </c>
      <c r="G9" s="6">
        <f t="shared" si="1"/>
        <v>0.94378874425131565</v>
      </c>
      <c r="H9" s="6">
        <f t="shared" si="2"/>
        <v>5.6211255748684352E-2</v>
      </c>
      <c r="I9" s="6">
        <f t="shared" si="3"/>
        <v>0.94378874425131565</v>
      </c>
      <c r="J9" s="6">
        <f t="shared" si="4"/>
        <v>-5.7852925750247086E-2</v>
      </c>
    </row>
    <row r="10" spans="1:12" x14ac:dyDescent="0.15">
      <c r="A10" s="35">
        <v>8</v>
      </c>
      <c r="B10" s="35">
        <v>21</v>
      </c>
      <c r="C10" s="35">
        <v>350</v>
      </c>
      <c r="D10" s="35">
        <v>2</v>
      </c>
      <c r="E10" s="35">
        <v>0</v>
      </c>
      <c r="F10" s="6">
        <f t="shared" si="0"/>
        <v>-1.1849165857487165</v>
      </c>
      <c r="G10" s="6">
        <f t="shared" si="1"/>
        <v>0.2341693328645445</v>
      </c>
      <c r="H10" s="6">
        <f t="shared" si="2"/>
        <v>0.76583066713545556</v>
      </c>
      <c r="I10" s="6">
        <f t="shared" si="3"/>
        <v>0.76583066713545556</v>
      </c>
      <c r="J10" s="6">
        <f t="shared" si="4"/>
        <v>-0.26679419486003758</v>
      </c>
    </row>
    <row r="11" spans="1:12" x14ac:dyDescent="0.15">
      <c r="A11" s="35">
        <v>9</v>
      </c>
      <c r="B11" s="35">
        <v>28</v>
      </c>
      <c r="C11" s="35">
        <v>420</v>
      </c>
      <c r="D11" s="35">
        <v>4</v>
      </c>
      <c r="E11" s="35">
        <v>0</v>
      </c>
      <c r="F11" s="6">
        <f t="shared" si="0"/>
        <v>-7.2231680072897504</v>
      </c>
      <c r="G11" s="6">
        <f t="shared" si="1"/>
        <v>7.2895596745598348E-4</v>
      </c>
      <c r="H11" s="6">
        <f t="shared" si="2"/>
        <v>0.99927104403254396</v>
      </c>
      <c r="I11" s="6">
        <f t="shared" si="3"/>
        <v>0.99927104403254396</v>
      </c>
      <c r="J11" s="6">
        <f t="shared" si="4"/>
        <v>-7.2922178504467537E-4</v>
      </c>
    </row>
    <row r="12" spans="1:12" x14ac:dyDescent="0.15">
      <c r="A12" s="35">
        <v>10</v>
      </c>
      <c r="B12" s="35">
        <v>31</v>
      </c>
      <c r="C12" s="35">
        <v>380</v>
      </c>
      <c r="D12" s="35">
        <v>3</v>
      </c>
      <c r="E12" s="35">
        <v>0</v>
      </c>
      <c r="F12" s="6">
        <f t="shared" si="0"/>
        <v>-6.4781171267479394</v>
      </c>
      <c r="G12" s="6">
        <f t="shared" si="1"/>
        <v>1.5343435431489697E-3</v>
      </c>
      <c r="H12" s="6">
        <f t="shared" si="2"/>
        <v>0.99846565645685104</v>
      </c>
      <c r="I12" s="6">
        <f t="shared" si="3"/>
        <v>0.99846565645685104</v>
      </c>
      <c r="J12" s="6">
        <f t="shared" si="4"/>
        <v>-1.5355218536461375E-3</v>
      </c>
    </row>
    <row r="13" spans="1:12" x14ac:dyDescent="0.15">
      <c r="A13" s="35">
        <v>11</v>
      </c>
      <c r="B13" s="35">
        <v>34</v>
      </c>
      <c r="C13" s="35">
        <v>360</v>
      </c>
      <c r="D13" s="35">
        <v>4</v>
      </c>
      <c r="E13" s="35">
        <v>1</v>
      </c>
      <c r="F13" s="6">
        <f t="shared" si="0"/>
        <v>0.42660401082844857</v>
      </c>
      <c r="G13" s="6">
        <f t="shared" si="1"/>
        <v>0.60506244668326403</v>
      </c>
      <c r="H13" s="6">
        <f t="shared" si="2"/>
        <v>0.39493755331673597</v>
      </c>
      <c r="I13" s="6">
        <f t="shared" si="3"/>
        <v>0.60506244668326403</v>
      </c>
      <c r="J13" s="6">
        <f t="shared" si="4"/>
        <v>-0.50242360861958391</v>
      </c>
      <c r="L13" s="202"/>
    </row>
    <row r="14" spans="1:12" x14ac:dyDescent="0.15">
      <c r="A14" s="35">
        <v>12</v>
      </c>
      <c r="B14" s="35">
        <v>23</v>
      </c>
      <c r="C14" s="35">
        <v>370</v>
      </c>
      <c r="D14" s="35">
        <v>3</v>
      </c>
      <c r="E14" s="35">
        <v>1</v>
      </c>
      <c r="F14" s="6">
        <f t="shared" si="0"/>
        <v>-0.83582137612041407</v>
      </c>
      <c r="G14" s="6">
        <f t="shared" si="1"/>
        <v>0.30241557965552884</v>
      </c>
      <c r="H14" s="6">
        <f t="shared" si="2"/>
        <v>0.69758442034447121</v>
      </c>
      <c r="I14" s="6">
        <f t="shared" si="3"/>
        <v>0.30241557965552884</v>
      </c>
      <c r="J14" s="6">
        <f t="shared" si="4"/>
        <v>-1.1959531159789731</v>
      </c>
    </row>
    <row r="15" spans="1:12" x14ac:dyDescent="0.15">
      <c r="A15" s="35">
        <v>13</v>
      </c>
      <c r="B15" s="35">
        <v>27</v>
      </c>
      <c r="C15" s="35">
        <v>360</v>
      </c>
      <c r="D15" s="35">
        <v>2</v>
      </c>
      <c r="E15" s="35">
        <v>0</v>
      </c>
      <c r="F15" s="6">
        <f t="shared" si="0"/>
        <v>-5.8566937257967382</v>
      </c>
      <c r="G15" s="6">
        <f t="shared" si="1"/>
        <v>2.8525260951604184E-3</v>
      </c>
      <c r="H15" s="6">
        <f t="shared" si="2"/>
        <v>0.9971474739048396</v>
      </c>
      <c r="I15" s="6">
        <f t="shared" si="3"/>
        <v>0.9971474739048396</v>
      </c>
      <c r="J15" s="6">
        <f t="shared" si="4"/>
        <v>-2.8566023012237558E-3</v>
      </c>
    </row>
    <row r="16" spans="1:12" x14ac:dyDescent="0.15">
      <c r="A16" s="35">
        <v>14</v>
      </c>
      <c r="B16" s="35">
        <v>23</v>
      </c>
      <c r="C16" s="35">
        <v>380</v>
      </c>
      <c r="D16" s="35">
        <v>4</v>
      </c>
      <c r="E16" s="35">
        <v>1</v>
      </c>
      <c r="F16" s="6">
        <f t="shared" si="0"/>
        <v>2.2440137523968886</v>
      </c>
      <c r="G16" s="6">
        <f t="shared" si="1"/>
        <v>0.90413292139795676</v>
      </c>
      <c r="H16" s="6">
        <f t="shared" si="2"/>
        <v>9.5867078602043243E-2</v>
      </c>
      <c r="I16" s="6">
        <f t="shared" si="3"/>
        <v>0.90413292139795676</v>
      </c>
      <c r="J16" s="6">
        <f t="shared" si="4"/>
        <v>-0.10077889245419015</v>
      </c>
    </row>
    <row r="17" spans="1:10" x14ac:dyDescent="0.15">
      <c r="A17" s="35">
        <v>15</v>
      </c>
      <c r="B17" s="35">
        <v>33</v>
      </c>
      <c r="C17" s="35">
        <v>350</v>
      </c>
      <c r="D17" s="35">
        <v>4</v>
      </c>
      <c r="E17" s="35">
        <v>1</v>
      </c>
      <c r="F17" s="6">
        <f t="shared" si="0"/>
        <v>2.6720846244276757</v>
      </c>
      <c r="G17" s="6">
        <f t="shared" si="1"/>
        <v>0.93535918719193545</v>
      </c>
      <c r="H17" s="6">
        <f t="shared" si="2"/>
        <v>6.4640812808064552E-2</v>
      </c>
      <c r="I17" s="6">
        <f t="shared" si="3"/>
        <v>0.93535918719193545</v>
      </c>
      <c r="J17" s="6">
        <f t="shared" si="4"/>
        <v>-6.6824666038491423E-2</v>
      </c>
    </row>
    <row r="18" spans="1:10" x14ac:dyDescent="0.15">
      <c r="A18" s="35">
        <v>16</v>
      </c>
      <c r="B18" s="35">
        <v>29</v>
      </c>
      <c r="C18" s="35">
        <v>370</v>
      </c>
      <c r="D18" s="35">
        <v>4</v>
      </c>
      <c r="E18" s="35">
        <v>0</v>
      </c>
      <c r="F18" s="6">
        <f t="shared" si="0"/>
        <v>1.0926792289677891</v>
      </c>
      <c r="G18" s="6">
        <f t="shared" si="1"/>
        <v>0.74888590207193995</v>
      </c>
      <c r="H18" s="6">
        <f t="shared" si="2"/>
        <v>0.25111409792806005</v>
      </c>
      <c r="I18" s="6">
        <f t="shared" si="3"/>
        <v>0.25111409792806005</v>
      </c>
      <c r="J18" s="6">
        <f t="shared" si="4"/>
        <v>-1.3818478697189838</v>
      </c>
    </row>
    <row r="19" spans="1:10" x14ac:dyDescent="0.15">
      <c r="A19" s="35">
        <v>17</v>
      </c>
      <c r="B19" s="35">
        <v>25</v>
      </c>
      <c r="C19" s="35">
        <v>350</v>
      </c>
      <c r="D19" s="35">
        <v>3</v>
      </c>
      <c r="E19" s="35">
        <v>1</v>
      </c>
      <c r="F19" s="6">
        <f t="shared" si="0"/>
        <v>1.7141026299189903</v>
      </c>
      <c r="G19" s="6">
        <f t="shared" si="1"/>
        <v>0.84736765731660946</v>
      </c>
      <c r="H19" s="6">
        <f t="shared" si="2"/>
        <v>0.15263234268339054</v>
      </c>
      <c r="I19" s="6">
        <f t="shared" si="3"/>
        <v>0.84736765731660946</v>
      </c>
      <c r="J19" s="6">
        <f t="shared" si="4"/>
        <v>-0.16562060847980947</v>
      </c>
    </row>
    <row r="20" spans="1:10" x14ac:dyDescent="0.15">
      <c r="A20" s="35">
        <v>18</v>
      </c>
      <c r="B20" s="35">
        <v>40</v>
      </c>
      <c r="C20" s="35">
        <v>400</v>
      </c>
      <c r="D20" s="35">
        <v>4</v>
      </c>
      <c r="E20" s="35">
        <v>0</v>
      </c>
      <c r="F20" s="6">
        <f t="shared" si="0"/>
        <v>-9.5258370541479351</v>
      </c>
      <c r="G20" s="6">
        <f t="shared" si="1"/>
        <v>7.2937328872825819E-5</v>
      </c>
      <c r="H20" s="6">
        <f t="shared" si="2"/>
        <v>0.99992706267112719</v>
      </c>
      <c r="I20" s="6">
        <f t="shared" si="3"/>
        <v>0.99992706267112719</v>
      </c>
      <c r="J20" s="6">
        <f t="shared" si="4"/>
        <v>-7.2939988929130277E-5</v>
      </c>
    </row>
    <row r="21" spans="1:10" x14ac:dyDescent="0.15">
      <c r="A21" s="35">
        <v>19</v>
      </c>
      <c r="B21" s="35">
        <v>24</v>
      </c>
      <c r="C21" s="35">
        <v>370</v>
      </c>
      <c r="D21" s="35">
        <v>5</v>
      </c>
      <c r="E21" s="35">
        <v>1</v>
      </c>
      <c r="F21" s="6">
        <f t="shared" si="0"/>
        <v>8.3590321922433262</v>
      </c>
      <c r="G21" s="6">
        <f t="shared" si="1"/>
        <v>0.99976578391668991</v>
      </c>
      <c r="H21" s="6">
        <f t="shared" si="2"/>
        <v>2.3421608331009036E-4</v>
      </c>
      <c r="I21" s="6">
        <f t="shared" si="3"/>
        <v>0.99976578391668991</v>
      </c>
      <c r="J21" s="6">
        <f t="shared" si="4"/>
        <v>-2.3424351618049418E-4</v>
      </c>
    </row>
    <row r="22" spans="1:10" x14ac:dyDescent="0.15">
      <c r="A22" s="130">
        <v>20</v>
      </c>
      <c r="B22" s="130">
        <v>30</v>
      </c>
      <c r="C22" s="130">
        <v>380</v>
      </c>
      <c r="D22" s="130">
        <v>3</v>
      </c>
      <c r="E22" s="130">
        <v>0</v>
      </c>
      <c r="F22" s="136">
        <f t="shared" si="0"/>
        <v>-5.9928578214581805</v>
      </c>
      <c r="G22" s="136">
        <f t="shared" si="1"/>
        <v>2.4903021522793599E-3</v>
      </c>
      <c r="H22" s="136">
        <f t="shared" si="2"/>
        <v>0.99750969784772059</v>
      </c>
      <c r="I22" s="136">
        <f t="shared" si="3"/>
        <v>0.99750969784772059</v>
      </c>
      <c r="J22" s="136">
        <f t="shared" si="4"/>
        <v>-2.4934081122750073E-3</v>
      </c>
    </row>
    <row r="24" spans="1:10" x14ac:dyDescent="0.15">
      <c r="B24" s="131" t="s">
        <v>134</v>
      </c>
      <c r="C24" s="131" t="s">
        <v>135</v>
      </c>
      <c r="D24" s="131" t="s">
        <v>136</v>
      </c>
      <c r="E24" s="131" t="s">
        <v>7</v>
      </c>
      <c r="J24" s="6">
        <f>SUM(J3:J22)</f>
        <v>-4.4314801414337195</v>
      </c>
    </row>
    <row r="25" spans="1:10" x14ac:dyDescent="0.15">
      <c r="B25" s="131">
        <v>-0.48525930528975891</v>
      </c>
      <c r="C25" s="131">
        <v>-0.17602213083094587</v>
      </c>
      <c r="D25" s="131">
        <v>4.8400564368267487</v>
      </c>
      <c r="E25" s="131">
        <v>60.933161742513768</v>
      </c>
    </row>
  </sheetData>
  <phoneticPr fontId="1"/>
  <pageMargins left="0.75" right="0.75" top="1" bottom="1" header="0.51200000000000001" footer="0.51200000000000001"/>
  <pageSetup paperSize="9" scale="86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E5E8-17D6-47F9-8FF9-C3EEF5BC9A27}">
  <dimension ref="A1:E39"/>
  <sheetViews>
    <sheetView topLeftCell="A4" zoomScale="75" workbookViewId="0"/>
  </sheetViews>
  <sheetFormatPr defaultColWidth="10.625" defaultRowHeight="13.5" x14ac:dyDescent="0.15"/>
  <cols>
    <col min="1" max="16384" width="10.625" style="6"/>
  </cols>
  <sheetData>
    <row r="1" spans="1:5" ht="14.25" thickBot="1" x14ac:dyDescent="0.2">
      <c r="A1" s="121" t="s">
        <v>233</v>
      </c>
      <c r="B1" s="121"/>
      <c r="C1" s="121"/>
    </row>
    <row r="2" spans="1:5" ht="14.25" thickBot="1" x14ac:dyDescent="0.2">
      <c r="A2" s="203"/>
      <c r="B2" s="204" t="s">
        <v>234</v>
      </c>
      <c r="C2" s="205" t="s">
        <v>235</v>
      </c>
    </row>
    <row r="3" spans="1:5" x14ac:dyDescent="0.15">
      <c r="A3" s="206" t="s">
        <v>236</v>
      </c>
      <c r="B3" s="207">
        <v>5</v>
      </c>
      <c r="C3" s="208">
        <v>1</v>
      </c>
    </row>
    <row r="4" spans="1:5" x14ac:dyDescent="0.15">
      <c r="A4" s="206" t="s">
        <v>237</v>
      </c>
      <c r="B4" s="176">
        <v>4</v>
      </c>
      <c r="C4" s="209">
        <v>2</v>
      </c>
    </row>
    <row r="5" spans="1:5" x14ac:dyDescent="0.15">
      <c r="A5" s="206" t="s">
        <v>238</v>
      </c>
      <c r="B5" s="176">
        <v>1</v>
      </c>
      <c r="C5" s="209">
        <v>5</v>
      </c>
    </row>
    <row r="6" spans="1:5" x14ac:dyDescent="0.15">
      <c r="A6" s="206" t="s">
        <v>239</v>
      </c>
      <c r="B6" s="176">
        <v>5</v>
      </c>
      <c r="C6" s="209">
        <v>4</v>
      </c>
    </row>
    <row r="7" spans="1:5" ht="14.25" thickBot="1" x14ac:dyDescent="0.2">
      <c r="A7" s="210" t="s">
        <v>240</v>
      </c>
      <c r="B7" s="211">
        <v>5</v>
      </c>
      <c r="C7" s="212">
        <v>5</v>
      </c>
    </row>
    <row r="8" spans="1:5" ht="14.25" thickBot="1" x14ac:dyDescent="0.2">
      <c r="A8" s="121"/>
      <c r="B8" s="121"/>
      <c r="C8" s="121"/>
    </row>
    <row r="9" spans="1:5" x14ac:dyDescent="0.15">
      <c r="A9" s="213" t="s">
        <v>241</v>
      </c>
      <c r="B9" s="214"/>
      <c r="C9" s="214"/>
      <c r="D9" s="214"/>
      <c r="E9" s="215"/>
    </row>
    <row r="10" spans="1:5" x14ac:dyDescent="0.15">
      <c r="A10" s="216"/>
      <c r="B10" s="158" t="s">
        <v>242</v>
      </c>
      <c r="C10" s="158" t="s">
        <v>243</v>
      </c>
      <c r="D10" s="158" t="s">
        <v>244</v>
      </c>
      <c r="E10" s="164" t="s">
        <v>245</v>
      </c>
    </row>
    <row r="11" spans="1:5" x14ac:dyDescent="0.15">
      <c r="A11" s="216" t="s">
        <v>242</v>
      </c>
      <c r="B11" s="158"/>
      <c r="C11" s="158"/>
      <c r="D11" s="158"/>
      <c r="E11" s="164"/>
    </row>
    <row r="12" spans="1:5" x14ac:dyDescent="0.15">
      <c r="A12" s="216" t="s">
        <v>243</v>
      </c>
      <c r="B12" s="158">
        <f>SQRT((B3-B4)^2+(C3-C4)^2)</f>
        <v>1.4142135623730951</v>
      </c>
      <c r="C12" s="158"/>
      <c r="D12" s="158"/>
      <c r="E12" s="164"/>
    </row>
    <row r="13" spans="1:5" x14ac:dyDescent="0.15">
      <c r="A13" s="216" t="s">
        <v>244</v>
      </c>
      <c r="B13" s="158">
        <f>SQRT((B3-B5)^2+(C3-C5)^2)</f>
        <v>5.6568542494923806</v>
      </c>
      <c r="C13" s="158">
        <f>SQRT((B4-B5)^2+(C4-C5)^2)</f>
        <v>4.2426406871192848</v>
      </c>
      <c r="D13" s="158"/>
      <c r="E13" s="164"/>
    </row>
    <row r="14" spans="1:5" x14ac:dyDescent="0.15">
      <c r="A14" s="216" t="s">
        <v>245</v>
      </c>
      <c r="B14" s="158">
        <f>SQRT((B3-B6)^2+(C3-C6)^2)</f>
        <v>3</v>
      </c>
      <c r="C14" s="158">
        <f>SQRT((B4-B6)^2+(C4-C6)^2)</f>
        <v>2.2360679774997898</v>
      </c>
      <c r="D14" s="158">
        <f>SQRT((B5-B6)^2+(C5-C6)^2)</f>
        <v>4.1231056256176606</v>
      </c>
      <c r="E14" s="164"/>
    </row>
    <row r="15" spans="1:5" ht="14.25" thickBot="1" x14ac:dyDescent="0.2">
      <c r="A15" s="217" t="s">
        <v>246</v>
      </c>
      <c r="B15" s="160">
        <f>SQRT((B3-B7)^2+(C3-C7)^2)</f>
        <v>4</v>
      </c>
      <c r="C15" s="160">
        <f>SQRT((B4-B7)^2+(C4-C7)^2)</f>
        <v>3.1622776601683795</v>
      </c>
      <c r="D15" s="160">
        <f>SQRT((B5-B7)^2+(C5-C7)^2)</f>
        <v>4</v>
      </c>
      <c r="E15" s="218">
        <f>SQRT((B6-B7)^2+(C6-C7)^2)</f>
        <v>1</v>
      </c>
    </row>
    <row r="16" spans="1:5" ht="14.25" thickBot="1" x14ac:dyDescent="0.2">
      <c r="A16" s="121"/>
      <c r="B16" s="121"/>
      <c r="C16" s="121"/>
      <c r="D16" s="121"/>
    </row>
    <row r="17" spans="1:4" x14ac:dyDescent="0.15">
      <c r="A17" s="213" t="s">
        <v>247</v>
      </c>
      <c r="B17" s="214"/>
      <c r="C17" s="214"/>
      <c r="D17" s="215"/>
    </row>
    <row r="18" spans="1:4" x14ac:dyDescent="0.15">
      <c r="A18" s="216"/>
      <c r="B18" s="158" t="s">
        <v>242</v>
      </c>
      <c r="C18" s="158" t="s">
        <v>243</v>
      </c>
      <c r="D18" s="164" t="s">
        <v>244</v>
      </c>
    </row>
    <row r="19" spans="1:4" x14ac:dyDescent="0.15">
      <c r="A19" s="216" t="s">
        <v>242</v>
      </c>
      <c r="B19" s="158"/>
      <c r="C19" s="158"/>
      <c r="D19" s="164"/>
    </row>
    <row r="20" spans="1:4" x14ac:dyDescent="0.15">
      <c r="A20" s="216" t="s">
        <v>243</v>
      </c>
      <c r="B20" s="219">
        <f>B12</f>
        <v>1.4142135623730951</v>
      </c>
      <c r="C20" s="158"/>
      <c r="D20" s="164"/>
    </row>
    <row r="21" spans="1:4" x14ac:dyDescent="0.15">
      <c r="A21" s="216" t="s">
        <v>244</v>
      </c>
      <c r="B21" s="158">
        <f>B13</f>
        <v>5.6568542494923806</v>
      </c>
      <c r="C21" s="158">
        <f>C13</f>
        <v>4.2426406871192848</v>
      </c>
      <c r="D21" s="164"/>
    </row>
    <row r="22" spans="1:4" ht="14.25" thickBot="1" x14ac:dyDescent="0.2">
      <c r="A22" s="217" t="s">
        <v>248</v>
      </c>
      <c r="B22" s="160">
        <f>MIN(B14,B15)</f>
        <v>3</v>
      </c>
      <c r="C22" s="160">
        <f>MIN(C14,C15)</f>
        <v>2.2360679774997898</v>
      </c>
      <c r="D22" s="165">
        <f>MIN(D14:D15)</f>
        <v>4</v>
      </c>
    </row>
    <row r="23" spans="1:4" ht="14.25" thickBot="1" x14ac:dyDescent="0.2">
      <c r="A23" s="121"/>
      <c r="B23" s="121"/>
      <c r="C23" s="121"/>
    </row>
    <row r="24" spans="1:4" x14ac:dyDescent="0.15">
      <c r="A24" s="213" t="s">
        <v>249</v>
      </c>
      <c r="B24" s="214"/>
      <c r="C24" s="215"/>
    </row>
    <row r="25" spans="1:4" x14ac:dyDescent="0.15">
      <c r="A25" s="216"/>
      <c r="B25" s="158" t="s">
        <v>250</v>
      </c>
      <c r="C25" s="164" t="s">
        <v>244</v>
      </c>
    </row>
    <row r="26" spans="1:4" x14ac:dyDescent="0.15">
      <c r="A26" s="216" t="s">
        <v>250</v>
      </c>
      <c r="B26" s="158"/>
      <c r="C26" s="164"/>
    </row>
    <row r="27" spans="1:4" x14ac:dyDescent="0.15">
      <c r="A27" s="216" t="s">
        <v>244</v>
      </c>
      <c r="B27" s="158">
        <f>MIN(B21:C21)</f>
        <v>4.2426406871192848</v>
      </c>
      <c r="C27" s="164"/>
    </row>
    <row r="28" spans="1:4" ht="14.25" thickBot="1" x14ac:dyDescent="0.2">
      <c r="A28" s="217" t="s">
        <v>248</v>
      </c>
      <c r="B28" s="220">
        <f>MIN(B22:C22)</f>
        <v>2.2360679774997898</v>
      </c>
      <c r="C28" s="165">
        <f>D22</f>
        <v>4</v>
      </c>
    </row>
    <row r="29" spans="1:4" ht="14.25" thickBot="1" x14ac:dyDescent="0.2">
      <c r="A29" s="121"/>
      <c r="B29" s="121"/>
      <c r="C29" s="121"/>
    </row>
    <row r="30" spans="1:4" x14ac:dyDescent="0.15">
      <c r="A30" s="213" t="s">
        <v>251</v>
      </c>
      <c r="B30" s="214"/>
      <c r="C30" s="215"/>
    </row>
    <row r="31" spans="1:4" x14ac:dyDescent="0.15">
      <c r="A31" s="216"/>
      <c r="B31" s="158" t="s">
        <v>252</v>
      </c>
      <c r="C31" s="164"/>
    </row>
    <row r="32" spans="1:4" x14ac:dyDescent="0.15">
      <c r="A32" s="216" t="s">
        <v>252</v>
      </c>
      <c r="B32" s="158"/>
      <c r="C32" s="164"/>
    </row>
    <row r="33" spans="1:4" ht="14.25" thickBot="1" x14ac:dyDescent="0.2">
      <c r="A33" s="217" t="s">
        <v>244</v>
      </c>
      <c r="B33" s="220">
        <f>C28</f>
        <v>4</v>
      </c>
      <c r="C33" s="165"/>
    </row>
    <row r="34" spans="1:4" ht="14.25" thickBot="1" x14ac:dyDescent="0.2"/>
    <row r="35" spans="1:4" x14ac:dyDescent="0.15">
      <c r="A35" s="213" t="s">
        <v>253</v>
      </c>
      <c r="B35" s="214" t="s">
        <v>254</v>
      </c>
      <c r="C35" s="214" t="s">
        <v>255</v>
      </c>
      <c r="D35" s="215" t="s">
        <v>256</v>
      </c>
    </row>
    <row r="36" spans="1:4" x14ac:dyDescent="0.15">
      <c r="A36" s="216">
        <v>1</v>
      </c>
      <c r="B36" s="158">
        <f>E15</f>
        <v>1</v>
      </c>
      <c r="C36" s="158">
        <v>4</v>
      </c>
      <c r="D36" s="164">
        <v>5</v>
      </c>
    </row>
    <row r="37" spans="1:4" x14ac:dyDescent="0.15">
      <c r="A37" s="216">
        <v>2</v>
      </c>
      <c r="B37" s="158">
        <f>B20</f>
        <v>1.4142135623730951</v>
      </c>
      <c r="C37" s="158">
        <v>1</v>
      </c>
      <c r="D37" s="164">
        <v>2</v>
      </c>
    </row>
    <row r="38" spans="1:4" x14ac:dyDescent="0.15">
      <c r="A38" s="216">
        <v>3</v>
      </c>
      <c r="B38" s="158">
        <f>B28</f>
        <v>2.2360679774997898</v>
      </c>
      <c r="C38" s="43">
        <v>1</v>
      </c>
      <c r="D38" s="221">
        <v>4</v>
      </c>
    </row>
    <row r="39" spans="1:4" ht="14.25" thickBot="1" x14ac:dyDescent="0.2">
      <c r="A39" s="217">
        <v>4</v>
      </c>
      <c r="B39" s="160">
        <f>B33</f>
        <v>4</v>
      </c>
      <c r="C39" s="160">
        <v>1</v>
      </c>
      <c r="D39" s="165">
        <v>3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87041" r:id="rId4">
          <objectPr defaultSize="0" autoPict="0" r:id="rId5">
            <anchor moveWithCells="1">
              <from>
                <xdr:col>5</xdr:col>
                <xdr:colOff>800100</xdr:colOff>
                <xdr:row>31</xdr:row>
                <xdr:rowOff>47625</xdr:rowOff>
              </from>
              <to>
                <xdr:col>10</xdr:col>
                <xdr:colOff>333375</xdr:colOff>
                <xdr:row>51</xdr:row>
                <xdr:rowOff>142875</xdr:rowOff>
              </to>
            </anchor>
          </objectPr>
        </oleObject>
      </mc:Choice>
      <mc:Fallback>
        <oleObject progId="Paint.Picture" shapeId="87041" r:id="rId4"/>
      </mc:Fallback>
    </mc:AlternateContent>
  </oleObjec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11BD-7EB6-4E32-8F93-2609D45D2D5C}">
  <dimension ref="A1:F50"/>
  <sheetViews>
    <sheetView topLeftCell="A13" zoomScale="65" workbookViewId="0"/>
  </sheetViews>
  <sheetFormatPr defaultColWidth="10.625" defaultRowHeight="13.5" x14ac:dyDescent="0.15"/>
  <cols>
    <col min="1" max="16384" width="10.625" style="6"/>
  </cols>
  <sheetData>
    <row r="1" spans="1:6" ht="14.25" thickBot="1" x14ac:dyDescent="0.2">
      <c r="A1" s="121" t="s">
        <v>233</v>
      </c>
      <c r="B1" s="121"/>
    </row>
    <row r="2" spans="1:6" ht="14.25" thickBot="1" x14ac:dyDescent="0.2">
      <c r="A2" s="222"/>
      <c r="B2" s="222" t="s">
        <v>234</v>
      </c>
    </row>
    <row r="3" spans="1:6" x14ac:dyDescent="0.15">
      <c r="A3" s="223" t="s">
        <v>236</v>
      </c>
      <c r="B3" s="223">
        <v>1</v>
      </c>
    </row>
    <row r="4" spans="1:6" x14ac:dyDescent="0.15">
      <c r="A4" s="223" t="s">
        <v>237</v>
      </c>
      <c r="B4" s="224">
        <v>2</v>
      </c>
    </row>
    <row r="5" spans="1:6" x14ac:dyDescent="0.15">
      <c r="A5" s="223" t="s">
        <v>238</v>
      </c>
      <c r="B5" s="224">
        <v>3</v>
      </c>
    </row>
    <row r="6" spans="1:6" x14ac:dyDescent="0.15">
      <c r="A6" s="223" t="s">
        <v>239</v>
      </c>
      <c r="B6" s="224">
        <v>7</v>
      </c>
    </row>
    <row r="7" spans="1:6" x14ac:dyDescent="0.15">
      <c r="A7" s="223" t="s">
        <v>240</v>
      </c>
      <c r="B7" s="224">
        <v>8</v>
      </c>
    </row>
    <row r="8" spans="1:6" ht="14.25" thickBot="1" x14ac:dyDescent="0.2">
      <c r="A8" s="225" t="s">
        <v>257</v>
      </c>
      <c r="B8" s="226">
        <v>9</v>
      </c>
    </row>
    <row r="9" spans="1:6" ht="14.25" thickBot="1" x14ac:dyDescent="0.2">
      <c r="A9" s="34"/>
      <c r="B9" s="34"/>
    </row>
    <row r="10" spans="1:6" x14ac:dyDescent="0.15">
      <c r="A10" s="213" t="s">
        <v>258</v>
      </c>
      <c r="B10" s="214"/>
      <c r="C10" s="214"/>
      <c r="D10" s="214"/>
      <c r="E10" s="214"/>
      <c r="F10" s="215"/>
    </row>
    <row r="11" spans="1:6" x14ac:dyDescent="0.15">
      <c r="A11" s="216"/>
      <c r="B11" s="158" t="s">
        <v>242</v>
      </c>
      <c r="C11" s="158" t="s">
        <v>243</v>
      </c>
      <c r="D11" s="158" t="s">
        <v>244</v>
      </c>
      <c r="E11" s="158" t="s">
        <v>245</v>
      </c>
      <c r="F11" s="164" t="s">
        <v>246</v>
      </c>
    </row>
    <row r="12" spans="1:6" x14ac:dyDescent="0.15">
      <c r="A12" s="216" t="s">
        <v>242</v>
      </c>
      <c r="B12" s="158"/>
      <c r="C12" s="158"/>
      <c r="D12" s="158"/>
      <c r="E12" s="158"/>
      <c r="F12" s="164"/>
    </row>
    <row r="13" spans="1:6" x14ac:dyDescent="0.15">
      <c r="A13" s="216" t="s">
        <v>243</v>
      </c>
      <c r="B13" s="219">
        <f>DEVSQ(B3:B4)</f>
        <v>0.5</v>
      </c>
      <c r="C13" s="158"/>
      <c r="D13" s="158"/>
      <c r="E13" s="158"/>
      <c r="F13" s="164"/>
    </row>
    <row r="14" spans="1:6" x14ac:dyDescent="0.15">
      <c r="A14" s="216" t="s">
        <v>244</v>
      </c>
      <c r="B14" s="158">
        <f>DEVSQ(B3,B5)</f>
        <v>2</v>
      </c>
      <c r="C14" s="158">
        <f>DEVSQ(B4:B5)</f>
        <v>0.5</v>
      </c>
      <c r="D14" s="158"/>
      <c r="E14" s="158"/>
      <c r="F14" s="164"/>
    </row>
    <row r="15" spans="1:6" x14ac:dyDescent="0.15">
      <c r="A15" s="216" t="s">
        <v>245</v>
      </c>
      <c r="B15" s="158">
        <f>DEVSQ(B3,B6)</f>
        <v>18</v>
      </c>
      <c r="C15" s="158">
        <f>DEVSQ(B4,B6)</f>
        <v>12.5</v>
      </c>
      <c r="D15" s="158">
        <f>DEVSQ(B5:B6)</f>
        <v>8</v>
      </c>
      <c r="E15" s="158"/>
      <c r="F15" s="164"/>
    </row>
    <row r="16" spans="1:6" x14ac:dyDescent="0.15">
      <c r="A16" s="216" t="s">
        <v>246</v>
      </c>
      <c r="B16" s="158">
        <f>DEVSQ(B3,B7)</f>
        <v>24.5</v>
      </c>
      <c r="C16" s="158">
        <f>DEVSQ(B4,B7)</f>
        <v>18</v>
      </c>
      <c r="D16" s="158">
        <f>DEVSQ(B5,B7)</f>
        <v>12.5</v>
      </c>
      <c r="E16" s="158">
        <f>DEVSQ(B6:B7)</f>
        <v>0.5</v>
      </c>
      <c r="F16" s="164"/>
    </row>
    <row r="17" spans="1:6" ht="14.25" thickBot="1" x14ac:dyDescent="0.2">
      <c r="A17" s="217" t="s">
        <v>259</v>
      </c>
      <c r="B17" s="160">
        <f>DEVSQ(B3,B8)</f>
        <v>32</v>
      </c>
      <c r="C17" s="160">
        <f>DEVSQ(B4,B8)</f>
        <v>24.5</v>
      </c>
      <c r="D17" s="160">
        <f>DEVSQ(B5,B8)</f>
        <v>18</v>
      </c>
      <c r="E17" s="160">
        <f>DEVSQ(B6,B8)</f>
        <v>2</v>
      </c>
      <c r="F17" s="165">
        <f>DEVSQ(B7:B8)</f>
        <v>0.5</v>
      </c>
    </row>
    <row r="18" spans="1:6" ht="14.25" thickBot="1" x14ac:dyDescent="0.2"/>
    <row r="19" spans="1:6" x14ac:dyDescent="0.15">
      <c r="A19" s="213" t="s">
        <v>260</v>
      </c>
      <c r="B19" s="214"/>
      <c r="C19" s="214"/>
      <c r="D19" s="214"/>
      <c r="E19" s="215"/>
    </row>
    <row r="20" spans="1:6" x14ac:dyDescent="0.15">
      <c r="A20" s="216"/>
      <c r="B20" s="158" t="s">
        <v>250</v>
      </c>
      <c r="C20" s="158" t="s">
        <v>261</v>
      </c>
      <c r="D20" s="158" t="s">
        <v>262</v>
      </c>
      <c r="E20" s="164" t="s">
        <v>263</v>
      </c>
    </row>
    <row r="21" spans="1:6" x14ac:dyDescent="0.15">
      <c r="A21" s="216" t="s">
        <v>250</v>
      </c>
      <c r="B21" s="158"/>
      <c r="C21" s="158"/>
      <c r="D21" s="158"/>
      <c r="E21" s="164"/>
    </row>
    <row r="22" spans="1:6" x14ac:dyDescent="0.15">
      <c r="A22" s="216" t="s">
        <v>261</v>
      </c>
      <c r="B22" s="158">
        <f>DEVSQ(B3:B5)-DEVSQ(B3:B4)</f>
        <v>1.5</v>
      </c>
      <c r="C22" s="158"/>
      <c r="D22" s="158"/>
      <c r="E22" s="164"/>
    </row>
    <row r="23" spans="1:6" x14ac:dyDescent="0.15">
      <c r="A23" s="216" t="s">
        <v>262</v>
      </c>
      <c r="B23" s="158">
        <f>DEVSQ(B3:B4,B6)-DEVSQ(B3:B4)</f>
        <v>20.166666666666664</v>
      </c>
      <c r="C23" s="158">
        <f>DEVSQ(B5:B6)</f>
        <v>8</v>
      </c>
      <c r="D23" s="158"/>
      <c r="E23" s="164"/>
    </row>
    <row r="24" spans="1:6" x14ac:dyDescent="0.15">
      <c r="A24" s="216" t="s">
        <v>263</v>
      </c>
      <c r="B24" s="158">
        <f>DEVSQ(B3:B4,B7)-DEVSQ(B3:B4)</f>
        <v>28.166666666666671</v>
      </c>
      <c r="C24" s="158">
        <f>DEVSQ(B5,B7)</f>
        <v>12.5</v>
      </c>
      <c r="D24" s="219">
        <f>DEVSQ(B6:B7)</f>
        <v>0.5</v>
      </c>
      <c r="E24" s="164"/>
    </row>
    <row r="25" spans="1:6" ht="14.25" thickBot="1" x14ac:dyDescent="0.2">
      <c r="A25" s="217" t="s">
        <v>264</v>
      </c>
      <c r="B25" s="160">
        <f>DEVSQ(B3:B4,B8)-DEVSQ(B3:B4)</f>
        <v>37.5</v>
      </c>
      <c r="C25" s="160">
        <f>DEVSQ(B5,B8)</f>
        <v>18</v>
      </c>
      <c r="D25" s="160">
        <f>DEVSQ(B6,B8)</f>
        <v>2</v>
      </c>
      <c r="E25" s="165">
        <f>DEVSQ(B7:B8)</f>
        <v>0.5</v>
      </c>
    </row>
    <row r="26" spans="1:6" ht="14.25" thickBot="1" x14ac:dyDescent="0.2">
      <c r="E26" s="227"/>
    </row>
    <row r="27" spans="1:6" x14ac:dyDescent="0.15">
      <c r="A27" s="213" t="s">
        <v>265</v>
      </c>
      <c r="B27" s="214"/>
      <c r="C27" s="214"/>
      <c r="D27" s="215"/>
    </row>
    <row r="28" spans="1:6" x14ac:dyDescent="0.15">
      <c r="A28" s="216"/>
      <c r="B28" s="158" t="s">
        <v>250</v>
      </c>
      <c r="C28" s="158" t="s">
        <v>261</v>
      </c>
      <c r="D28" s="164" t="s">
        <v>248</v>
      </c>
    </row>
    <row r="29" spans="1:6" x14ac:dyDescent="0.15">
      <c r="A29" s="216" t="s">
        <v>250</v>
      </c>
      <c r="B29" s="158"/>
      <c r="C29" s="158"/>
      <c r="D29" s="164"/>
    </row>
    <row r="30" spans="1:6" x14ac:dyDescent="0.15">
      <c r="A30" s="216" t="s">
        <v>261</v>
      </c>
      <c r="B30" s="219">
        <f>DEVSQ(B3:B5)-DEVSQ(B3:B4)</f>
        <v>1.5</v>
      </c>
      <c r="C30" s="158"/>
      <c r="D30" s="164"/>
    </row>
    <row r="31" spans="1:6" x14ac:dyDescent="0.15">
      <c r="A31" s="216" t="s">
        <v>248</v>
      </c>
      <c r="B31" s="158">
        <f>DEVSQ(B3:B4,B6:B7)-DEVSQ(B3:B4)-DEVSQ(B6:B7)</f>
        <v>36</v>
      </c>
      <c r="C31" s="158">
        <f>DEVSQ(B5:B7)-DEVSQ(B6:B7)</f>
        <v>13.5</v>
      </c>
      <c r="D31" s="164"/>
    </row>
    <row r="32" spans="1:6" ht="14.25" thickBot="1" x14ac:dyDescent="0.2">
      <c r="A32" s="217" t="s">
        <v>264</v>
      </c>
      <c r="B32" s="160">
        <f>DEVSQ(B3:B4,B8)-DEVSQ(B3:B4)</f>
        <v>37.5</v>
      </c>
      <c r="C32" s="160">
        <f>DEVSQ(B5,B8)</f>
        <v>18</v>
      </c>
      <c r="D32" s="165">
        <f>DEVSQ(B6:B8)-DEVSQ(B6:B7)</f>
        <v>1.5</v>
      </c>
    </row>
    <row r="33" spans="1:5" ht="14.25" thickBot="1" x14ac:dyDescent="0.2"/>
    <row r="34" spans="1:5" x14ac:dyDescent="0.15">
      <c r="A34" s="213" t="s">
        <v>266</v>
      </c>
      <c r="B34" s="214"/>
      <c r="C34" s="214"/>
      <c r="D34" s="215"/>
    </row>
    <row r="35" spans="1:5" x14ac:dyDescent="0.15">
      <c r="A35" s="216"/>
      <c r="B35" s="158" t="s">
        <v>267</v>
      </c>
      <c r="C35" s="158" t="s">
        <v>248</v>
      </c>
      <c r="D35" s="164"/>
    </row>
    <row r="36" spans="1:5" x14ac:dyDescent="0.15">
      <c r="A36" s="216" t="s">
        <v>267</v>
      </c>
      <c r="B36" s="158"/>
      <c r="C36" s="158"/>
      <c r="D36" s="164"/>
    </row>
    <row r="37" spans="1:5" x14ac:dyDescent="0.15">
      <c r="A37" s="216" t="s">
        <v>248</v>
      </c>
      <c r="B37" s="158">
        <f>DEVSQ(B3:B7)-DEVSQ(B3:B5)-DEVSQ(B6:B7)</f>
        <v>36.300000000000004</v>
      </c>
      <c r="C37" s="158"/>
      <c r="D37" s="164"/>
    </row>
    <row r="38" spans="1:5" ht="14.25" thickBot="1" x14ac:dyDescent="0.2">
      <c r="A38" s="217" t="s">
        <v>264</v>
      </c>
      <c r="B38" s="160">
        <f>DEVSQ(B3:B5,B8)-DEVSQ(B3:B5)</f>
        <v>36.75</v>
      </c>
      <c r="C38" s="220">
        <f>DEVSQ(B6:B8)-DEVSQ(B6:B7)</f>
        <v>1.5</v>
      </c>
      <c r="D38" s="165"/>
    </row>
    <row r="39" spans="1:5" ht="14.25" thickBot="1" x14ac:dyDescent="0.2">
      <c r="B39" s="227"/>
    </row>
    <row r="40" spans="1:5" x14ac:dyDescent="0.15">
      <c r="A40" s="213" t="s">
        <v>268</v>
      </c>
      <c r="B40" s="214"/>
      <c r="C40" s="214"/>
      <c r="D40" s="215"/>
    </row>
    <row r="41" spans="1:5" x14ac:dyDescent="0.15">
      <c r="A41" s="216"/>
      <c r="B41" s="158" t="s">
        <v>267</v>
      </c>
      <c r="C41" s="158"/>
      <c r="D41" s="164"/>
    </row>
    <row r="42" spans="1:5" x14ac:dyDescent="0.15">
      <c r="A42" s="216" t="s">
        <v>267</v>
      </c>
      <c r="B42" s="158"/>
      <c r="C42" s="158"/>
      <c r="D42" s="164"/>
    </row>
    <row r="43" spans="1:5" ht="14.25" thickBot="1" x14ac:dyDescent="0.2">
      <c r="A43" s="217" t="s">
        <v>269</v>
      </c>
      <c r="B43" s="220">
        <f>DEVSQ(B3:B8)-DEVSQ(B3:B5)-DEVSQ(B6:B8)</f>
        <v>54</v>
      </c>
      <c r="C43" s="160"/>
      <c r="D43" s="165"/>
    </row>
    <row r="44" spans="1:5" ht="14.25" thickBot="1" x14ac:dyDescent="0.2"/>
    <row r="45" spans="1:5" x14ac:dyDescent="0.15">
      <c r="A45" s="213" t="s">
        <v>253</v>
      </c>
      <c r="B45" s="214" t="s">
        <v>270</v>
      </c>
      <c r="C45" s="214" t="s">
        <v>254</v>
      </c>
      <c r="D45" s="214" t="s">
        <v>255</v>
      </c>
      <c r="E45" s="215" t="s">
        <v>256</v>
      </c>
    </row>
    <row r="46" spans="1:5" x14ac:dyDescent="0.15">
      <c r="A46" s="216">
        <v>1</v>
      </c>
      <c r="B46" s="158">
        <f>B13</f>
        <v>0.5</v>
      </c>
      <c r="C46" s="158">
        <f>SQRT(B46)</f>
        <v>0.70710678118654757</v>
      </c>
      <c r="D46" s="158">
        <v>1</v>
      </c>
      <c r="E46" s="164">
        <v>2</v>
      </c>
    </row>
    <row r="47" spans="1:5" x14ac:dyDescent="0.15">
      <c r="A47" s="216">
        <v>2</v>
      </c>
      <c r="B47" s="158">
        <f>D24</f>
        <v>0.5</v>
      </c>
      <c r="C47" s="158">
        <f>SQRT(B47)</f>
        <v>0.70710678118654757</v>
      </c>
      <c r="D47" s="158">
        <v>4</v>
      </c>
      <c r="E47" s="164">
        <v>5</v>
      </c>
    </row>
    <row r="48" spans="1:5" x14ac:dyDescent="0.15">
      <c r="A48" s="216">
        <v>3</v>
      </c>
      <c r="B48" s="158">
        <f>B30</f>
        <v>1.5</v>
      </c>
      <c r="C48" s="158">
        <f>SQRT(B48)</f>
        <v>1.2247448713915889</v>
      </c>
      <c r="D48" s="43">
        <v>1</v>
      </c>
      <c r="E48" s="221">
        <v>3</v>
      </c>
    </row>
    <row r="49" spans="1:5" x14ac:dyDescent="0.15">
      <c r="A49" s="216">
        <v>4</v>
      </c>
      <c r="B49" s="158">
        <f>C38</f>
        <v>1.5</v>
      </c>
      <c r="C49" s="158">
        <f>SQRT(B49)</f>
        <v>1.2247448713915889</v>
      </c>
      <c r="D49" s="158">
        <v>4</v>
      </c>
      <c r="E49" s="164">
        <v>6</v>
      </c>
    </row>
    <row r="50" spans="1:5" ht="14.25" thickBot="1" x14ac:dyDescent="0.2">
      <c r="A50" s="217">
        <v>4</v>
      </c>
      <c r="B50" s="160">
        <f>B43</f>
        <v>54</v>
      </c>
      <c r="C50" s="160">
        <f>SQRT(B50)</f>
        <v>7.3484692283495345</v>
      </c>
      <c r="D50" s="160">
        <v>1</v>
      </c>
      <c r="E50" s="165">
        <v>4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88065" r:id="rId4">
          <objectPr defaultSize="0" autoPict="0" r:id="rId5">
            <anchor moveWithCells="1">
              <from>
                <xdr:col>6</xdr:col>
                <xdr:colOff>428625</xdr:colOff>
                <xdr:row>19</xdr:row>
                <xdr:rowOff>161925</xdr:rowOff>
              </from>
              <to>
                <xdr:col>12</xdr:col>
                <xdr:colOff>714375</xdr:colOff>
                <xdr:row>49</xdr:row>
                <xdr:rowOff>57150</xdr:rowOff>
              </to>
            </anchor>
          </objectPr>
        </oleObject>
      </mc:Choice>
      <mc:Fallback>
        <oleObject progId="Paint.Picture" shapeId="88065" r:id="rId4"/>
      </mc:Fallback>
    </mc:AlternateContent>
  </oleObjec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F4DF-37BD-4FC2-8BA0-1C06CF27CFBC}">
  <dimension ref="A1:E39"/>
  <sheetViews>
    <sheetView zoomScale="75" workbookViewId="0"/>
  </sheetViews>
  <sheetFormatPr defaultColWidth="10.625" defaultRowHeight="13.5" x14ac:dyDescent="0.15"/>
  <cols>
    <col min="1" max="16384" width="10.625" style="6"/>
  </cols>
  <sheetData>
    <row r="1" spans="1:5" x14ac:dyDescent="0.15">
      <c r="A1" s="213" t="s">
        <v>233</v>
      </c>
      <c r="B1" s="214"/>
      <c r="C1" s="215"/>
    </row>
    <row r="2" spans="1:5" x14ac:dyDescent="0.15">
      <c r="A2" s="228"/>
      <c r="B2" s="42" t="s">
        <v>234</v>
      </c>
      <c r="C2" s="209" t="s">
        <v>235</v>
      </c>
    </row>
    <row r="3" spans="1:5" x14ac:dyDescent="0.15">
      <c r="A3" s="228" t="s">
        <v>236</v>
      </c>
      <c r="B3" s="42">
        <v>5</v>
      </c>
      <c r="C3" s="209">
        <v>1</v>
      </c>
    </row>
    <row r="4" spans="1:5" x14ac:dyDescent="0.15">
      <c r="A4" s="228" t="s">
        <v>237</v>
      </c>
      <c r="B4" s="42">
        <v>4</v>
      </c>
      <c r="C4" s="209">
        <v>2</v>
      </c>
    </row>
    <row r="5" spans="1:5" x14ac:dyDescent="0.15">
      <c r="A5" s="228" t="s">
        <v>238</v>
      </c>
      <c r="B5" s="42">
        <v>1</v>
      </c>
      <c r="C5" s="209">
        <v>5</v>
      </c>
    </row>
    <row r="6" spans="1:5" x14ac:dyDescent="0.15">
      <c r="A6" s="228" t="s">
        <v>239</v>
      </c>
      <c r="B6" s="42">
        <v>5</v>
      </c>
      <c r="C6" s="209">
        <v>4</v>
      </c>
    </row>
    <row r="7" spans="1:5" ht="14.25" thickBot="1" x14ac:dyDescent="0.2">
      <c r="A7" s="229" t="s">
        <v>240</v>
      </c>
      <c r="B7" s="230">
        <v>5</v>
      </c>
      <c r="C7" s="212">
        <v>5</v>
      </c>
    </row>
    <row r="8" spans="1:5" ht="14.25" thickBot="1" x14ac:dyDescent="0.2"/>
    <row r="9" spans="1:5" x14ac:dyDescent="0.15">
      <c r="A9" s="213" t="s">
        <v>271</v>
      </c>
      <c r="B9" s="214"/>
      <c r="C9" s="214"/>
      <c r="D9" s="214"/>
      <c r="E9" s="215"/>
    </row>
    <row r="10" spans="1:5" x14ac:dyDescent="0.15">
      <c r="A10" s="216"/>
      <c r="B10" s="158" t="s">
        <v>242</v>
      </c>
      <c r="C10" s="158" t="s">
        <v>243</v>
      </c>
      <c r="D10" s="158" t="s">
        <v>244</v>
      </c>
      <c r="E10" s="164" t="s">
        <v>245</v>
      </c>
    </row>
    <row r="11" spans="1:5" x14ac:dyDescent="0.15">
      <c r="A11" s="216" t="s">
        <v>242</v>
      </c>
      <c r="B11" s="158"/>
      <c r="C11" s="158"/>
      <c r="D11" s="158"/>
      <c r="E11" s="164"/>
    </row>
    <row r="12" spans="1:5" x14ac:dyDescent="0.15">
      <c r="A12" s="216" t="s">
        <v>243</v>
      </c>
      <c r="B12" s="158">
        <f>DEVSQ(B3:B4)+DEVSQ(C3:C4)</f>
        <v>1</v>
      </c>
      <c r="C12" s="158"/>
      <c r="D12" s="158"/>
      <c r="E12" s="164"/>
    </row>
    <row r="13" spans="1:5" x14ac:dyDescent="0.15">
      <c r="A13" s="216" t="s">
        <v>244</v>
      </c>
      <c r="B13" s="158">
        <f>DEVSQ(B3,B5)+DEVSQ(C3,C5)</f>
        <v>16</v>
      </c>
      <c r="C13" s="158">
        <f>DEVSQ(B4:B5)+DEVSQ(C4:C5)</f>
        <v>9</v>
      </c>
      <c r="D13" s="158"/>
      <c r="E13" s="164"/>
    </row>
    <row r="14" spans="1:5" x14ac:dyDescent="0.15">
      <c r="A14" s="216" t="s">
        <v>245</v>
      </c>
      <c r="B14" s="158">
        <f>DEVSQ(B3,B6)+DEVSQ(C3,C6)</f>
        <v>4.5</v>
      </c>
      <c r="C14" s="158">
        <f>DEVSQ(B4,B6)+DEVSQ(C4,C6)</f>
        <v>2.5</v>
      </c>
      <c r="D14" s="158">
        <f>DEVSQ(B5:B6)+DEVSQ(C5:C6)</f>
        <v>8.5</v>
      </c>
      <c r="E14" s="164"/>
    </row>
    <row r="15" spans="1:5" ht="14.25" thickBot="1" x14ac:dyDescent="0.2">
      <c r="A15" s="217" t="s">
        <v>246</v>
      </c>
      <c r="B15" s="160">
        <f>DEVSQ(B3,B7)+DEVSQ(C3,C7)</f>
        <v>8</v>
      </c>
      <c r="C15" s="160">
        <f>DEVSQ(B4,B7)+DEVSQ(C4,C7)</f>
        <v>5</v>
      </c>
      <c r="D15" s="160">
        <f>DEVSQ(B5,B7)+DEVSQ(C5,C7)</f>
        <v>8</v>
      </c>
      <c r="E15" s="218">
        <f>DEVSQ(B6:B7)+DEVSQ(C6:C7)</f>
        <v>0.5</v>
      </c>
    </row>
    <row r="16" spans="1:5" ht="14.25" thickBot="1" x14ac:dyDescent="0.2"/>
    <row r="17" spans="1:5" x14ac:dyDescent="0.15">
      <c r="A17" s="213" t="s">
        <v>272</v>
      </c>
      <c r="B17" s="214"/>
      <c r="C17" s="214"/>
      <c r="D17" s="215"/>
    </row>
    <row r="18" spans="1:5" x14ac:dyDescent="0.15">
      <c r="A18" s="216"/>
      <c r="B18" s="158" t="s">
        <v>242</v>
      </c>
      <c r="C18" s="158" t="s">
        <v>243</v>
      </c>
      <c r="D18" s="164" t="s">
        <v>244</v>
      </c>
    </row>
    <row r="19" spans="1:5" x14ac:dyDescent="0.15">
      <c r="A19" s="216" t="s">
        <v>242</v>
      </c>
      <c r="B19" s="158"/>
      <c r="C19" s="158"/>
      <c r="D19" s="164"/>
    </row>
    <row r="20" spans="1:5" x14ac:dyDescent="0.15">
      <c r="A20" s="216" t="s">
        <v>243</v>
      </c>
      <c r="B20" s="219">
        <f>B12</f>
        <v>1</v>
      </c>
      <c r="C20" s="158"/>
      <c r="D20" s="164"/>
    </row>
    <row r="21" spans="1:5" x14ac:dyDescent="0.15">
      <c r="A21" s="216" t="s">
        <v>244</v>
      </c>
      <c r="B21" s="158">
        <f>B13</f>
        <v>16</v>
      </c>
      <c r="C21" s="158">
        <f>C13</f>
        <v>9</v>
      </c>
      <c r="D21" s="164"/>
    </row>
    <row r="22" spans="1:5" ht="14.25" thickBot="1" x14ac:dyDescent="0.2">
      <c r="A22" s="217" t="s">
        <v>248</v>
      </c>
      <c r="B22" s="160">
        <f>DEVSQ(B3,B6:B7)+DEVSQ(C3,C6:C7)-E15</f>
        <v>8.1666666666666679</v>
      </c>
      <c r="C22" s="160">
        <f>DEVSQ(B4,B6:B7)+DEVSQ(C4,C6:C7)-E15</f>
        <v>4.833333333333333</v>
      </c>
      <c r="D22" s="165">
        <f>DEVSQ(B5:B7)+DEVSQ(C5:C7)-E15</f>
        <v>10.833333333333334</v>
      </c>
    </row>
    <row r="23" spans="1:5" ht="14.25" thickBot="1" x14ac:dyDescent="0.2">
      <c r="E23" s="227"/>
    </row>
    <row r="24" spans="1:5" x14ac:dyDescent="0.15">
      <c r="A24" s="213" t="s">
        <v>273</v>
      </c>
      <c r="B24" s="214"/>
      <c r="C24" s="214"/>
      <c r="D24" s="215"/>
    </row>
    <row r="25" spans="1:5" x14ac:dyDescent="0.15">
      <c r="A25" s="216"/>
      <c r="B25" s="158" t="s">
        <v>250</v>
      </c>
      <c r="C25" s="158" t="s">
        <v>244</v>
      </c>
      <c r="D25" s="164"/>
    </row>
    <row r="26" spans="1:5" x14ac:dyDescent="0.15">
      <c r="A26" s="216" t="s">
        <v>250</v>
      </c>
      <c r="B26" s="158"/>
      <c r="C26" s="158"/>
      <c r="D26" s="164"/>
    </row>
    <row r="27" spans="1:5" x14ac:dyDescent="0.15">
      <c r="A27" s="216" t="s">
        <v>244</v>
      </c>
      <c r="B27" s="158">
        <f>DEVSQ(B3:B5)+DEVSQ(C3:C5)-B20</f>
        <v>16.333333333333336</v>
      </c>
      <c r="C27" s="158"/>
      <c r="D27" s="164"/>
    </row>
    <row r="28" spans="1:5" ht="14.25" thickBot="1" x14ac:dyDescent="0.2">
      <c r="A28" s="217" t="s">
        <v>248</v>
      </c>
      <c r="B28" s="220">
        <f>DEVSQ(B3:B4,B6:B7)+DEVSQ(C3:C4,C6:C7)-B20-E15</f>
        <v>9.25</v>
      </c>
      <c r="C28" s="160">
        <f>MIN(D22)</f>
        <v>10.833333333333334</v>
      </c>
      <c r="D28" s="165"/>
    </row>
    <row r="29" spans="1:5" ht="14.25" thickBot="1" x14ac:dyDescent="0.2"/>
    <row r="30" spans="1:5" x14ac:dyDescent="0.15">
      <c r="A30" s="213" t="s">
        <v>274</v>
      </c>
      <c r="B30" s="214"/>
      <c r="C30" s="215"/>
    </row>
    <row r="31" spans="1:5" x14ac:dyDescent="0.15">
      <c r="A31" s="216"/>
      <c r="B31" s="158" t="s">
        <v>252</v>
      </c>
      <c r="C31" s="164"/>
    </row>
    <row r="32" spans="1:5" x14ac:dyDescent="0.15">
      <c r="A32" s="216" t="s">
        <v>252</v>
      </c>
      <c r="B32" s="158">
        <v>0</v>
      </c>
      <c r="C32" s="164"/>
    </row>
    <row r="33" spans="1:5" ht="14.25" thickBot="1" x14ac:dyDescent="0.2">
      <c r="A33" s="217" t="s">
        <v>244</v>
      </c>
      <c r="B33" s="220">
        <f>DEVSQ(B3:B7)+DEVSQ(C3:C7)-E15-B20-B28</f>
        <v>14.450000000000003</v>
      </c>
      <c r="C33" s="165"/>
    </row>
    <row r="34" spans="1:5" ht="14.25" thickBot="1" x14ac:dyDescent="0.2"/>
    <row r="35" spans="1:5" x14ac:dyDescent="0.15">
      <c r="A35" s="213" t="s">
        <v>253</v>
      </c>
      <c r="B35" s="214" t="s">
        <v>270</v>
      </c>
      <c r="C35" s="214" t="s">
        <v>254</v>
      </c>
      <c r="D35" s="214" t="s">
        <v>255</v>
      </c>
      <c r="E35" s="215" t="s">
        <v>256</v>
      </c>
    </row>
    <row r="36" spans="1:5" x14ac:dyDescent="0.15">
      <c r="A36" s="216">
        <v>1</v>
      </c>
      <c r="B36" s="158">
        <f>E15</f>
        <v>0.5</v>
      </c>
      <c r="C36" s="158">
        <f>SQRT(B36)</f>
        <v>0.70710678118654757</v>
      </c>
      <c r="D36" s="158">
        <v>4</v>
      </c>
      <c r="E36" s="164">
        <v>5</v>
      </c>
    </row>
    <row r="37" spans="1:5" x14ac:dyDescent="0.15">
      <c r="A37" s="216">
        <v>2</v>
      </c>
      <c r="B37" s="158">
        <f>B20</f>
        <v>1</v>
      </c>
      <c r="C37" s="158">
        <f>SQRT(B37)</f>
        <v>1</v>
      </c>
      <c r="D37" s="158">
        <v>1</v>
      </c>
      <c r="E37" s="164">
        <v>2</v>
      </c>
    </row>
    <row r="38" spans="1:5" x14ac:dyDescent="0.15">
      <c r="A38" s="216">
        <v>3</v>
      </c>
      <c r="B38" s="158">
        <f>B28</f>
        <v>9.25</v>
      </c>
      <c r="C38" s="158">
        <f>SQRT(B38)</f>
        <v>3.0413812651491097</v>
      </c>
      <c r="D38" s="43">
        <v>1</v>
      </c>
      <c r="E38" s="221">
        <v>4</v>
      </c>
    </row>
    <row r="39" spans="1:5" ht="14.25" thickBot="1" x14ac:dyDescent="0.2">
      <c r="A39" s="217">
        <v>4</v>
      </c>
      <c r="B39" s="160">
        <f>B33</f>
        <v>14.450000000000003</v>
      </c>
      <c r="C39" s="160">
        <f>SQRT(B39)</f>
        <v>3.801315561749643</v>
      </c>
      <c r="D39" s="160">
        <v>1</v>
      </c>
      <c r="E39" s="165">
        <v>3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89089" r:id="rId4">
          <objectPr defaultSize="0" autoPict="0" r:id="rId5">
            <anchor moveWithCells="1">
              <from>
                <xdr:col>6</xdr:col>
                <xdr:colOff>609600</xdr:colOff>
                <xdr:row>31</xdr:row>
                <xdr:rowOff>66675</xdr:rowOff>
              </from>
              <to>
                <xdr:col>11</xdr:col>
                <xdr:colOff>219075</xdr:colOff>
                <xdr:row>51</xdr:row>
                <xdr:rowOff>142875</xdr:rowOff>
              </to>
            </anchor>
          </objectPr>
        </oleObject>
      </mc:Choice>
      <mc:Fallback>
        <oleObject progId="Paint.Picture" shapeId="89089" r:id="rId4"/>
      </mc:Fallback>
    </mc:AlternateContent>
  </oleObjec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BC8-EB55-4D80-9157-34A9E61CB649}">
  <dimension ref="B1:AC31"/>
  <sheetViews>
    <sheetView zoomScale="60" workbookViewId="0"/>
  </sheetViews>
  <sheetFormatPr defaultColWidth="6.625" defaultRowHeight="12" x14ac:dyDescent="0.15"/>
  <cols>
    <col min="1" max="1" width="2.625" style="231" customWidth="1"/>
    <col min="2" max="256" width="6.625" style="231"/>
    <col min="257" max="257" width="2.625" style="231" customWidth="1"/>
    <col min="258" max="512" width="6.625" style="231"/>
    <col min="513" max="513" width="2.625" style="231" customWidth="1"/>
    <col min="514" max="768" width="6.625" style="231"/>
    <col min="769" max="769" width="2.625" style="231" customWidth="1"/>
    <col min="770" max="1024" width="6.625" style="231"/>
    <col min="1025" max="1025" width="2.625" style="231" customWidth="1"/>
    <col min="1026" max="1280" width="6.625" style="231"/>
    <col min="1281" max="1281" width="2.625" style="231" customWidth="1"/>
    <col min="1282" max="1536" width="6.625" style="231"/>
    <col min="1537" max="1537" width="2.625" style="231" customWidth="1"/>
    <col min="1538" max="1792" width="6.625" style="231"/>
    <col min="1793" max="1793" width="2.625" style="231" customWidth="1"/>
    <col min="1794" max="2048" width="6.625" style="231"/>
    <col min="2049" max="2049" width="2.625" style="231" customWidth="1"/>
    <col min="2050" max="2304" width="6.625" style="231"/>
    <col min="2305" max="2305" width="2.625" style="231" customWidth="1"/>
    <col min="2306" max="2560" width="6.625" style="231"/>
    <col min="2561" max="2561" width="2.625" style="231" customWidth="1"/>
    <col min="2562" max="2816" width="6.625" style="231"/>
    <col min="2817" max="2817" width="2.625" style="231" customWidth="1"/>
    <col min="2818" max="3072" width="6.625" style="231"/>
    <col min="3073" max="3073" width="2.625" style="231" customWidth="1"/>
    <col min="3074" max="3328" width="6.625" style="231"/>
    <col min="3329" max="3329" width="2.625" style="231" customWidth="1"/>
    <col min="3330" max="3584" width="6.625" style="231"/>
    <col min="3585" max="3585" width="2.625" style="231" customWidth="1"/>
    <col min="3586" max="3840" width="6.625" style="231"/>
    <col min="3841" max="3841" width="2.625" style="231" customWidth="1"/>
    <col min="3842" max="4096" width="6.625" style="231"/>
    <col min="4097" max="4097" width="2.625" style="231" customWidth="1"/>
    <col min="4098" max="4352" width="6.625" style="231"/>
    <col min="4353" max="4353" width="2.625" style="231" customWidth="1"/>
    <col min="4354" max="4608" width="6.625" style="231"/>
    <col min="4609" max="4609" width="2.625" style="231" customWidth="1"/>
    <col min="4610" max="4864" width="6.625" style="231"/>
    <col min="4865" max="4865" width="2.625" style="231" customWidth="1"/>
    <col min="4866" max="5120" width="6.625" style="231"/>
    <col min="5121" max="5121" width="2.625" style="231" customWidth="1"/>
    <col min="5122" max="5376" width="6.625" style="231"/>
    <col min="5377" max="5377" width="2.625" style="231" customWidth="1"/>
    <col min="5378" max="5632" width="6.625" style="231"/>
    <col min="5633" max="5633" width="2.625" style="231" customWidth="1"/>
    <col min="5634" max="5888" width="6.625" style="231"/>
    <col min="5889" max="5889" width="2.625" style="231" customWidth="1"/>
    <col min="5890" max="6144" width="6.625" style="231"/>
    <col min="6145" max="6145" width="2.625" style="231" customWidth="1"/>
    <col min="6146" max="6400" width="6.625" style="231"/>
    <col min="6401" max="6401" width="2.625" style="231" customWidth="1"/>
    <col min="6402" max="6656" width="6.625" style="231"/>
    <col min="6657" max="6657" width="2.625" style="231" customWidth="1"/>
    <col min="6658" max="6912" width="6.625" style="231"/>
    <col min="6913" max="6913" width="2.625" style="231" customWidth="1"/>
    <col min="6914" max="7168" width="6.625" style="231"/>
    <col min="7169" max="7169" width="2.625" style="231" customWidth="1"/>
    <col min="7170" max="7424" width="6.625" style="231"/>
    <col min="7425" max="7425" width="2.625" style="231" customWidth="1"/>
    <col min="7426" max="7680" width="6.625" style="231"/>
    <col min="7681" max="7681" width="2.625" style="231" customWidth="1"/>
    <col min="7682" max="7936" width="6.625" style="231"/>
    <col min="7937" max="7937" width="2.625" style="231" customWidth="1"/>
    <col min="7938" max="8192" width="6.625" style="231"/>
    <col min="8193" max="8193" width="2.625" style="231" customWidth="1"/>
    <col min="8194" max="8448" width="6.625" style="231"/>
    <col min="8449" max="8449" width="2.625" style="231" customWidth="1"/>
    <col min="8450" max="8704" width="6.625" style="231"/>
    <col min="8705" max="8705" width="2.625" style="231" customWidth="1"/>
    <col min="8706" max="8960" width="6.625" style="231"/>
    <col min="8961" max="8961" width="2.625" style="231" customWidth="1"/>
    <col min="8962" max="9216" width="6.625" style="231"/>
    <col min="9217" max="9217" width="2.625" style="231" customWidth="1"/>
    <col min="9218" max="9472" width="6.625" style="231"/>
    <col min="9473" max="9473" width="2.625" style="231" customWidth="1"/>
    <col min="9474" max="9728" width="6.625" style="231"/>
    <col min="9729" max="9729" width="2.625" style="231" customWidth="1"/>
    <col min="9730" max="9984" width="6.625" style="231"/>
    <col min="9985" max="9985" width="2.625" style="231" customWidth="1"/>
    <col min="9986" max="10240" width="6.625" style="231"/>
    <col min="10241" max="10241" width="2.625" style="231" customWidth="1"/>
    <col min="10242" max="10496" width="6.625" style="231"/>
    <col min="10497" max="10497" width="2.625" style="231" customWidth="1"/>
    <col min="10498" max="10752" width="6.625" style="231"/>
    <col min="10753" max="10753" width="2.625" style="231" customWidth="1"/>
    <col min="10754" max="11008" width="6.625" style="231"/>
    <col min="11009" max="11009" width="2.625" style="231" customWidth="1"/>
    <col min="11010" max="11264" width="6.625" style="231"/>
    <col min="11265" max="11265" width="2.625" style="231" customWidth="1"/>
    <col min="11266" max="11520" width="6.625" style="231"/>
    <col min="11521" max="11521" width="2.625" style="231" customWidth="1"/>
    <col min="11522" max="11776" width="6.625" style="231"/>
    <col min="11777" max="11777" width="2.625" style="231" customWidth="1"/>
    <col min="11778" max="12032" width="6.625" style="231"/>
    <col min="12033" max="12033" width="2.625" style="231" customWidth="1"/>
    <col min="12034" max="12288" width="6.625" style="231"/>
    <col min="12289" max="12289" width="2.625" style="231" customWidth="1"/>
    <col min="12290" max="12544" width="6.625" style="231"/>
    <col min="12545" max="12545" width="2.625" style="231" customWidth="1"/>
    <col min="12546" max="12800" width="6.625" style="231"/>
    <col min="12801" max="12801" width="2.625" style="231" customWidth="1"/>
    <col min="12802" max="13056" width="6.625" style="231"/>
    <col min="13057" max="13057" width="2.625" style="231" customWidth="1"/>
    <col min="13058" max="13312" width="6.625" style="231"/>
    <col min="13313" max="13313" width="2.625" style="231" customWidth="1"/>
    <col min="13314" max="13568" width="6.625" style="231"/>
    <col min="13569" max="13569" width="2.625" style="231" customWidth="1"/>
    <col min="13570" max="13824" width="6.625" style="231"/>
    <col min="13825" max="13825" width="2.625" style="231" customWidth="1"/>
    <col min="13826" max="14080" width="6.625" style="231"/>
    <col min="14081" max="14081" width="2.625" style="231" customWidth="1"/>
    <col min="14082" max="14336" width="6.625" style="231"/>
    <col min="14337" max="14337" width="2.625" style="231" customWidth="1"/>
    <col min="14338" max="14592" width="6.625" style="231"/>
    <col min="14593" max="14593" width="2.625" style="231" customWidth="1"/>
    <col min="14594" max="14848" width="6.625" style="231"/>
    <col min="14849" max="14849" width="2.625" style="231" customWidth="1"/>
    <col min="14850" max="15104" width="6.625" style="231"/>
    <col min="15105" max="15105" width="2.625" style="231" customWidth="1"/>
    <col min="15106" max="15360" width="6.625" style="231"/>
    <col min="15361" max="15361" width="2.625" style="231" customWidth="1"/>
    <col min="15362" max="15616" width="6.625" style="231"/>
    <col min="15617" max="15617" width="2.625" style="231" customWidth="1"/>
    <col min="15618" max="15872" width="6.625" style="231"/>
    <col min="15873" max="15873" width="2.625" style="231" customWidth="1"/>
    <col min="15874" max="16128" width="6.625" style="231"/>
    <col min="16129" max="16129" width="2.625" style="231" customWidth="1"/>
    <col min="16130" max="16384" width="6.625" style="231"/>
  </cols>
  <sheetData>
    <row r="1" spans="2:16" ht="12.75" thickBot="1" x14ac:dyDescent="0.2">
      <c r="F1" s="231" t="s">
        <v>275</v>
      </c>
    </row>
    <row r="2" spans="2:16" ht="12.75" thickBot="1" x14ac:dyDescent="0.2">
      <c r="B2" s="232"/>
      <c r="C2" s="233" t="s">
        <v>276</v>
      </c>
      <c r="D2" s="234" t="s">
        <v>277</v>
      </c>
      <c r="F2" s="232"/>
      <c r="G2" s="233" t="s">
        <v>276</v>
      </c>
      <c r="H2" s="234" t="s">
        <v>277</v>
      </c>
      <c r="I2" s="233" t="s">
        <v>276</v>
      </c>
      <c r="J2" s="234" t="s">
        <v>277</v>
      </c>
      <c r="K2" s="233" t="s">
        <v>276</v>
      </c>
      <c r="L2" s="234" t="s">
        <v>277</v>
      </c>
      <c r="N2" s="235" t="s">
        <v>278</v>
      </c>
      <c r="O2" s="232" t="s">
        <v>279</v>
      </c>
      <c r="P2" s="236" t="s">
        <v>280</v>
      </c>
    </row>
    <row r="3" spans="2:16" x14ac:dyDescent="0.15">
      <c r="B3" s="237">
        <v>1</v>
      </c>
      <c r="C3" s="238">
        <v>4</v>
      </c>
      <c r="D3" s="239">
        <v>4</v>
      </c>
      <c r="F3" s="237">
        <v>1</v>
      </c>
      <c r="G3" s="238">
        <v>4</v>
      </c>
      <c r="H3" s="239">
        <v>4</v>
      </c>
      <c r="I3" s="238">
        <v>2</v>
      </c>
      <c r="J3" s="239">
        <v>2</v>
      </c>
      <c r="K3" s="238">
        <v>-1</v>
      </c>
      <c r="L3" s="239">
        <v>-1</v>
      </c>
      <c r="N3" s="240">
        <v>1</v>
      </c>
      <c r="O3" s="237">
        <v>4</v>
      </c>
      <c r="P3" s="241">
        <f>G12</f>
        <v>0.70710678118654757</v>
      </c>
    </row>
    <row r="4" spans="2:16" x14ac:dyDescent="0.15">
      <c r="B4" s="237">
        <v>2</v>
      </c>
      <c r="C4" s="238">
        <v>4</v>
      </c>
      <c r="D4" s="239">
        <v>3</v>
      </c>
      <c r="F4" s="237">
        <v>2</v>
      </c>
      <c r="G4" s="238">
        <v>4</v>
      </c>
      <c r="H4" s="239">
        <v>3</v>
      </c>
      <c r="I4" s="238">
        <v>2</v>
      </c>
      <c r="J4" s="239">
        <v>1</v>
      </c>
      <c r="K4" s="238">
        <v>-1</v>
      </c>
      <c r="L4" s="239">
        <v>-3</v>
      </c>
      <c r="N4" s="240">
        <v>2</v>
      </c>
      <c r="O4" s="237">
        <v>4</v>
      </c>
      <c r="P4" s="241">
        <f>I12</f>
        <v>0.70710678118654757</v>
      </c>
    </row>
    <row r="5" spans="2:16" ht="12.75" thickBot="1" x14ac:dyDescent="0.2">
      <c r="B5" s="237">
        <v>3</v>
      </c>
      <c r="C5" s="238">
        <v>3</v>
      </c>
      <c r="D5" s="239">
        <v>4</v>
      </c>
      <c r="F5" s="237">
        <v>3</v>
      </c>
      <c r="G5" s="238">
        <v>3</v>
      </c>
      <c r="H5" s="239">
        <v>4</v>
      </c>
      <c r="I5" s="238">
        <v>1</v>
      </c>
      <c r="J5" s="239">
        <v>2</v>
      </c>
      <c r="K5" s="238">
        <v>-3</v>
      </c>
      <c r="L5" s="239">
        <v>-1</v>
      </c>
      <c r="N5" s="242">
        <v>3</v>
      </c>
      <c r="O5" s="243">
        <v>4</v>
      </c>
      <c r="P5" s="244">
        <f>K12</f>
        <v>1.4142135623730951</v>
      </c>
    </row>
    <row r="6" spans="2:16" ht="12.75" thickBot="1" x14ac:dyDescent="0.2">
      <c r="B6" s="237">
        <v>4</v>
      </c>
      <c r="C6" s="238">
        <v>3</v>
      </c>
      <c r="D6" s="239">
        <v>3</v>
      </c>
      <c r="F6" s="243">
        <v>4</v>
      </c>
      <c r="G6" s="245">
        <v>3</v>
      </c>
      <c r="H6" s="246">
        <v>3</v>
      </c>
      <c r="I6" s="245">
        <v>1</v>
      </c>
      <c r="J6" s="246">
        <v>1</v>
      </c>
      <c r="K6" s="245">
        <v>-3</v>
      </c>
      <c r="L6" s="246">
        <v>-3</v>
      </c>
    </row>
    <row r="7" spans="2:16" ht="12.75" thickBot="1" x14ac:dyDescent="0.2">
      <c r="B7" s="237">
        <v>5</v>
      </c>
      <c r="C7" s="238">
        <v>2</v>
      </c>
      <c r="D7" s="239">
        <v>2</v>
      </c>
      <c r="N7" s="235" t="s">
        <v>11</v>
      </c>
      <c r="O7" s="232" t="s">
        <v>281</v>
      </c>
      <c r="P7" s="236" t="s">
        <v>282</v>
      </c>
    </row>
    <row r="8" spans="2:16" x14ac:dyDescent="0.15">
      <c r="B8" s="237">
        <v>6</v>
      </c>
      <c r="C8" s="238">
        <v>2</v>
      </c>
      <c r="D8" s="239">
        <v>1</v>
      </c>
      <c r="F8" s="231" t="s">
        <v>283</v>
      </c>
      <c r="G8" s="231">
        <f t="shared" ref="G8:L8" si="0">AVERAGE(G3:G6)</f>
        <v>3.5</v>
      </c>
      <c r="H8" s="231">
        <f t="shared" si="0"/>
        <v>3.5</v>
      </c>
      <c r="I8" s="231">
        <f t="shared" si="0"/>
        <v>1.5</v>
      </c>
      <c r="J8" s="231">
        <f t="shared" si="0"/>
        <v>1.5</v>
      </c>
      <c r="K8" s="231">
        <f t="shared" si="0"/>
        <v>-2</v>
      </c>
      <c r="L8" s="231">
        <f t="shared" si="0"/>
        <v>-2</v>
      </c>
      <c r="N8" s="240">
        <v>1</v>
      </c>
      <c r="O8" s="247">
        <f>G8</f>
        <v>3.5</v>
      </c>
      <c r="P8" s="248">
        <f>H8</f>
        <v>3.5</v>
      </c>
    </row>
    <row r="9" spans="2:16" x14ac:dyDescent="0.15">
      <c r="B9" s="237">
        <v>7</v>
      </c>
      <c r="C9" s="238">
        <v>1</v>
      </c>
      <c r="D9" s="239">
        <v>2</v>
      </c>
      <c r="F9" s="231" t="s">
        <v>103</v>
      </c>
      <c r="G9" s="231">
        <f t="shared" ref="G9:L9" si="1">STDEV(G3:G6)</f>
        <v>0.57735026918962573</v>
      </c>
      <c r="H9" s="231">
        <f t="shared" si="1"/>
        <v>0.57735026918962573</v>
      </c>
      <c r="I9" s="231">
        <f t="shared" si="1"/>
        <v>0.57735026918962573</v>
      </c>
      <c r="J9" s="231">
        <f t="shared" si="1"/>
        <v>0.57735026918962573</v>
      </c>
      <c r="K9" s="231">
        <f t="shared" si="1"/>
        <v>1.1547005383792515</v>
      </c>
      <c r="L9" s="231">
        <f t="shared" si="1"/>
        <v>1.1547005383792515</v>
      </c>
      <c r="N9" s="240">
        <v>2</v>
      </c>
      <c r="O9" s="247">
        <f>I8</f>
        <v>1.5</v>
      </c>
      <c r="P9" s="248">
        <f>J8</f>
        <v>1.5</v>
      </c>
    </row>
    <row r="10" spans="2:16" ht="12.75" thickBot="1" x14ac:dyDescent="0.2">
      <c r="B10" s="237">
        <v>8</v>
      </c>
      <c r="C10" s="238">
        <v>1</v>
      </c>
      <c r="D10" s="239">
        <v>1</v>
      </c>
      <c r="N10" s="242">
        <v>3</v>
      </c>
      <c r="O10" s="249">
        <f>K8</f>
        <v>-2</v>
      </c>
      <c r="P10" s="250">
        <f>L8</f>
        <v>-2</v>
      </c>
    </row>
    <row r="11" spans="2:16" ht="12.75" thickBot="1" x14ac:dyDescent="0.2">
      <c r="B11" s="237">
        <v>9</v>
      </c>
      <c r="C11" s="238">
        <v>-1</v>
      </c>
      <c r="D11" s="239">
        <v>-1</v>
      </c>
      <c r="G11" s="231">
        <f>(G3-G5)*SQRT(2)</f>
        <v>1.4142135623730951</v>
      </c>
      <c r="I11" s="231">
        <f>(I3-I5)*SQRT(2)</f>
        <v>1.4142135623730951</v>
      </c>
      <c r="K11" s="231">
        <f>(K3-K5)*SQRT(2)</f>
        <v>2.8284271247461903</v>
      </c>
      <c r="N11" s="235" t="s">
        <v>284</v>
      </c>
      <c r="O11" s="232" t="s">
        <v>281</v>
      </c>
      <c r="P11" s="236" t="s">
        <v>282</v>
      </c>
    </row>
    <row r="12" spans="2:16" x14ac:dyDescent="0.15">
      <c r="B12" s="237">
        <v>10</v>
      </c>
      <c r="C12" s="238">
        <v>-1</v>
      </c>
      <c r="D12" s="239">
        <v>-3</v>
      </c>
      <c r="G12" s="231">
        <f>G11/2</f>
        <v>0.70710678118654757</v>
      </c>
      <c r="I12" s="231">
        <f>I11/2</f>
        <v>0.70710678118654757</v>
      </c>
      <c r="K12" s="231">
        <f>K11/2</f>
        <v>1.4142135623730951</v>
      </c>
      <c r="N12" s="240">
        <v>1</v>
      </c>
      <c r="O12" s="251">
        <f>G9</f>
        <v>0.57735026918962573</v>
      </c>
      <c r="P12" s="241">
        <f>H9</f>
        <v>0.57735026918962573</v>
      </c>
    </row>
    <row r="13" spans="2:16" x14ac:dyDescent="0.15">
      <c r="B13" s="237">
        <v>11</v>
      </c>
      <c r="C13" s="238">
        <v>-3</v>
      </c>
      <c r="D13" s="239">
        <v>-1</v>
      </c>
      <c r="N13" s="240">
        <v>2</v>
      </c>
      <c r="O13" s="251">
        <f>I9</f>
        <v>0.57735026918962573</v>
      </c>
      <c r="P13" s="241">
        <f>J9</f>
        <v>0.57735026918962573</v>
      </c>
    </row>
    <row r="14" spans="2:16" ht="12.75" thickBot="1" x14ac:dyDescent="0.2">
      <c r="B14" s="243">
        <v>12</v>
      </c>
      <c r="C14" s="245">
        <v>-3</v>
      </c>
      <c r="D14" s="246">
        <v>-3</v>
      </c>
      <c r="N14" s="242">
        <v>3</v>
      </c>
      <c r="O14" s="252">
        <f>K9</f>
        <v>1.1547005383792515</v>
      </c>
      <c r="P14" s="244">
        <f>L9</f>
        <v>1.1547005383792515</v>
      </c>
    </row>
    <row r="15" spans="2:16" ht="12.75" thickBot="1" x14ac:dyDescent="0.2">
      <c r="F15" s="231" t="s">
        <v>285</v>
      </c>
    </row>
    <row r="16" spans="2:16" ht="12.75" thickBot="1" x14ac:dyDescent="0.2">
      <c r="B16" s="231" t="s">
        <v>283</v>
      </c>
      <c r="C16" s="231">
        <f>AVERAGE(C3:C14)</f>
        <v>1</v>
      </c>
      <c r="D16" s="231">
        <f>AVERAGE(D3:D14)</f>
        <v>1</v>
      </c>
      <c r="F16" s="232"/>
      <c r="G16" s="233" t="s">
        <v>276</v>
      </c>
      <c r="H16" s="234" t="s">
        <v>277</v>
      </c>
      <c r="I16" s="233" t="s">
        <v>276</v>
      </c>
      <c r="J16" s="234" t="s">
        <v>277</v>
      </c>
      <c r="K16" s="233" t="s">
        <v>276</v>
      </c>
      <c r="L16" s="234" t="s">
        <v>277</v>
      </c>
      <c r="N16" s="235" t="s">
        <v>278</v>
      </c>
      <c r="O16" s="232" t="s">
        <v>279</v>
      </c>
      <c r="P16" s="236" t="s">
        <v>280</v>
      </c>
    </row>
    <row r="17" spans="2:29" x14ac:dyDescent="0.15">
      <c r="B17" s="231" t="s">
        <v>103</v>
      </c>
      <c r="C17" s="231">
        <f>STDEV(C3:C14)</f>
        <v>2.4863262420322441</v>
      </c>
      <c r="D17" s="231">
        <f>STDEV(D3:D14)</f>
        <v>2.4863262420322441</v>
      </c>
      <c r="F17" s="237">
        <v>1</v>
      </c>
      <c r="G17" s="253">
        <f>C20</f>
        <v>1.6087993330796875</v>
      </c>
      <c r="H17" s="254">
        <f>D20</f>
        <v>1.6087993330796875</v>
      </c>
      <c r="I17" s="255">
        <f>C24</f>
        <v>0.80439966653984374</v>
      </c>
      <c r="J17" s="254">
        <f>D24</f>
        <v>0.80439966653984374</v>
      </c>
      <c r="K17" s="253">
        <f>C28</f>
        <v>-0.40219983326992187</v>
      </c>
      <c r="L17" s="254">
        <f>D28</f>
        <v>-0.40219983326992187</v>
      </c>
      <c r="N17" s="240">
        <v>1</v>
      </c>
      <c r="O17" s="237">
        <v>4</v>
      </c>
      <c r="P17" s="241">
        <f>G26</f>
        <v>0.28439822949726062</v>
      </c>
    </row>
    <row r="18" spans="2:29" x14ac:dyDescent="0.15">
      <c r="F18" s="237">
        <v>2</v>
      </c>
      <c r="G18" s="253">
        <f t="shared" ref="G18:H20" si="2">C21</f>
        <v>1.6087993330796875</v>
      </c>
      <c r="H18" s="254">
        <f t="shared" si="2"/>
        <v>1.2065994998097656</v>
      </c>
      <c r="I18" s="253">
        <f t="shared" ref="I18:J20" si="3">C25</f>
        <v>0.80439966653984374</v>
      </c>
      <c r="J18" s="254">
        <f t="shared" si="3"/>
        <v>0.40219983326992187</v>
      </c>
      <c r="K18" s="253">
        <f t="shared" ref="K18:L20" si="4">C29</f>
        <v>-0.40219983326992187</v>
      </c>
      <c r="L18" s="254">
        <f t="shared" si="4"/>
        <v>-1.2065994998097656</v>
      </c>
      <c r="N18" s="240">
        <v>2</v>
      </c>
      <c r="O18" s="237">
        <v>4</v>
      </c>
      <c r="P18" s="241">
        <f>I26</f>
        <v>0.28439822949726057</v>
      </c>
    </row>
    <row r="19" spans="2:29" ht="12.75" thickBot="1" x14ac:dyDescent="0.2">
      <c r="C19" s="231" t="s">
        <v>276</v>
      </c>
      <c r="D19" s="231" t="s">
        <v>277</v>
      </c>
      <c r="F19" s="237">
        <v>3</v>
      </c>
      <c r="G19" s="253">
        <f t="shared" si="2"/>
        <v>1.2065994998097656</v>
      </c>
      <c r="H19" s="254">
        <f t="shared" si="2"/>
        <v>1.6087993330796875</v>
      </c>
      <c r="I19" s="253">
        <f t="shared" si="3"/>
        <v>0.40219983326992187</v>
      </c>
      <c r="J19" s="254">
        <f t="shared" si="3"/>
        <v>0.80439966653984374</v>
      </c>
      <c r="K19" s="253">
        <f t="shared" si="4"/>
        <v>-1.2065994998097656</v>
      </c>
      <c r="L19" s="254">
        <f t="shared" si="4"/>
        <v>-0.40219983326992187</v>
      </c>
      <c r="N19" s="242">
        <v>3</v>
      </c>
      <c r="O19" s="243">
        <v>4</v>
      </c>
      <c r="P19" s="244">
        <f>K26</f>
        <v>0.56879645899452103</v>
      </c>
    </row>
    <row r="20" spans="2:29" ht="12.75" thickBot="1" x14ac:dyDescent="0.2">
      <c r="C20" s="231">
        <f>C3/C$17</f>
        <v>1.6087993330796875</v>
      </c>
      <c r="D20" s="231">
        <f>D3/D$17</f>
        <v>1.6087993330796875</v>
      </c>
      <c r="F20" s="243">
        <v>4</v>
      </c>
      <c r="G20" s="256">
        <f t="shared" si="2"/>
        <v>1.2065994998097656</v>
      </c>
      <c r="H20" s="257">
        <f t="shared" si="2"/>
        <v>1.2065994998097656</v>
      </c>
      <c r="I20" s="256">
        <f t="shared" si="3"/>
        <v>0.40219983326992187</v>
      </c>
      <c r="J20" s="257">
        <f t="shared" si="3"/>
        <v>0.40219983326992187</v>
      </c>
      <c r="K20" s="256">
        <f t="shared" si="4"/>
        <v>-1.2065994998097656</v>
      </c>
      <c r="L20" s="257">
        <f t="shared" si="4"/>
        <v>-1.2065994998097656</v>
      </c>
    </row>
    <row r="21" spans="2:29" ht="12.75" thickBot="1" x14ac:dyDescent="0.2">
      <c r="C21" s="231">
        <f t="shared" ref="C21:D31" si="5">C4/C$17</f>
        <v>1.6087993330796875</v>
      </c>
      <c r="D21" s="231">
        <f t="shared" si="5"/>
        <v>1.2065994998097656</v>
      </c>
      <c r="N21" s="235" t="s">
        <v>11</v>
      </c>
      <c r="O21" s="232" t="s">
        <v>281</v>
      </c>
      <c r="P21" s="236" t="s">
        <v>282</v>
      </c>
    </row>
    <row r="22" spans="2:29" x14ac:dyDescent="0.15">
      <c r="C22" s="231">
        <f t="shared" si="5"/>
        <v>1.2065994998097656</v>
      </c>
      <c r="D22" s="231">
        <f t="shared" si="5"/>
        <v>1.6087993330796875</v>
      </c>
      <c r="F22" s="231" t="s">
        <v>283</v>
      </c>
      <c r="G22" s="231">
        <f t="shared" ref="G22:L22" si="6">AVERAGE(G17:G20)</f>
        <v>1.4076994164447265</v>
      </c>
      <c r="H22" s="231">
        <f t="shared" si="6"/>
        <v>1.4076994164447265</v>
      </c>
      <c r="I22" s="231">
        <f t="shared" si="6"/>
        <v>0.60329974990488278</v>
      </c>
      <c r="J22" s="231">
        <f t="shared" si="6"/>
        <v>0.60329974990488278</v>
      </c>
      <c r="K22" s="231">
        <f t="shared" si="6"/>
        <v>-0.80439966653984363</v>
      </c>
      <c r="L22" s="231">
        <f t="shared" si="6"/>
        <v>-0.80439966653984363</v>
      </c>
      <c r="N22" s="240">
        <v>1</v>
      </c>
      <c r="O22" s="247">
        <f>G22</f>
        <v>1.4076994164447265</v>
      </c>
      <c r="P22" s="248">
        <f>H22</f>
        <v>1.4076994164447265</v>
      </c>
    </row>
    <row r="23" spans="2:29" x14ac:dyDescent="0.15">
      <c r="C23" s="231">
        <f t="shared" si="5"/>
        <v>1.2065994998097656</v>
      </c>
      <c r="D23" s="231">
        <f t="shared" si="5"/>
        <v>1.2065994998097656</v>
      </c>
      <c r="F23" s="231" t="s">
        <v>103</v>
      </c>
      <c r="G23" s="231">
        <f t="shared" ref="G23:L23" si="7">STDEV(G17:G20)</f>
        <v>0.23221018200641158</v>
      </c>
      <c r="H23" s="231">
        <f t="shared" si="7"/>
        <v>0.23221018200641158</v>
      </c>
      <c r="I23" s="231">
        <f t="shared" si="7"/>
        <v>0.23221018200641222</v>
      </c>
      <c r="J23" s="231">
        <f t="shared" si="7"/>
        <v>0.23221018200641222</v>
      </c>
      <c r="K23" s="231">
        <f t="shared" si="7"/>
        <v>0.46442036401282427</v>
      </c>
      <c r="L23" s="231">
        <f t="shared" si="7"/>
        <v>0.46442036401282427</v>
      </c>
      <c r="N23" s="240">
        <v>2</v>
      </c>
      <c r="O23" s="247">
        <f>I22</f>
        <v>0.60329974990488278</v>
      </c>
      <c r="P23" s="248">
        <f>J22</f>
        <v>0.60329974990488278</v>
      </c>
      <c r="AC23" s="258"/>
    </row>
    <row r="24" spans="2:29" ht="12.75" thickBot="1" x14ac:dyDescent="0.2">
      <c r="C24" s="231">
        <f t="shared" si="5"/>
        <v>0.80439966653984374</v>
      </c>
      <c r="D24" s="231">
        <f t="shared" si="5"/>
        <v>0.80439966653984374</v>
      </c>
      <c r="N24" s="242">
        <v>3</v>
      </c>
      <c r="O24" s="249">
        <f>K22</f>
        <v>-0.80439966653984363</v>
      </c>
      <c r="P24" s="250">
        <f>L22</f>
        <v>-0.80439966653984363</v>
      </c>
    </row>
    <row r="25" spans="2:29" ht="12.75" thickBot="1" x14ac:dyDescent="0.2">
      <c r="C25" s="231">
        <f t="shared" si="5"/>
        <v>0.80439966653984374</v>
      </c>
      <c r="D25" s="231">
        <f t="shared" si="5"/>
        <v>0.40219983326992187</v>
      </c>
      <c r="G25" s="231">
        <f>(G17-G19)*SQRT(2)</f>
        <v>0.56879645899452125</v>
      </c>
      <c r="I25" s="231">
        <f>(I17-I19)*SQRT(2)</f>
        <v>0.56879645899452114</v>
      </c>
      <c r="K25" s="231">
        <f>(K17-K19)*SQRT(2)</f>
        <v>1.1375929179890421</v>
      </c>
      <c r="N25" s="235" t="s">
        <v>284</v>
      </c>
      <c r="O25" s="232" t="s">
        <v>281</v>
      </c>
      <c r="P25" s="236" t="s">
        <v>282</v>
      </c>
    </row>
    <row r="26" spans="2:29" x14ac:dyDescent="0.15">
      <c r="C26" s="231">
        <f t="shared" si="5"/>
        <v>0.40219983326992187</v>
      </c>
      <c r="D26" s="231">
        <f t="shared" si="5"/>
        <v>0.80439966653984374</v>
      </c>
      <c r="G26" s="231">
        <f>G25/2</f>
        <v>0.28439822949726062</v>
      </c>
      <c r="I26" s="231">
        <f>I25/2</f>
        <v>0.28439822949726057</v>
      </c>
      <c r="K26" s="231">
        <f>K25/2</f>
        <v>0.56879645899452103</v>
      </c>
      <c r="N26" s="240">
        <v>1</v>
      </c>
      <c r="O26" s="251">
        <f>G23</f>
        <v>0.23221018200641158</v>
      </c>
      <c r="P26" s="241">
        <f>H23</f>
        <v>0.23221018200641158</v>
      </c>
    </row>
    <row r="27" spans="2:29" x14ac:dyDescent="0.15">
      <c r="C27" s="231">
        <f t="shared" si="5"/>
        <v>0.40219983326992187</v>
      </c>
      <c r="D27" s="231">
        <f t="shared" si="5"/>
        <v>0.40219983326992187</v>
      </c>
      <c r="N27" s="240">
        <v>2</v>
      </c>
      <c r="O27" s="251">
        <f>I23</f>
        <v>0.23221018200641222</v>
      </c>
      <c r="P27" s="241">
        <f>J23</f>
        <v>0.23221018200641222</v>
      </c>
    </row>
    <row r="28" spans="2:29" ht="12.75" thickBot="1" x14ac:dyDescent="0.2">
      <c r="C28" s="231">
        <f t="shared" si="5"/>
        <v>-0.40219983326992187</v>
      </c>
      <c r="D28" s="231">
        <f t="shared" si="5"/>
        <v>-0.40219983326992187</v>
      </c>
      <c r="N28" s="242">
        <v>3</v>
      </c>
      <c r="O28" s="252">
        <f>K23</f>
        <v>0.46442036401282427</v>
      </c>
      <c r="P28" s="244">
        <f>L23</f>
        <v>0.46442036401282427</v>
      </c>
    </row>
    <row r="29" spans="2:29" x14ac:dyDescent="0.15">
      <c r="C29" s="231">
        <f t="shared" si="5"/>
        <v>-0.40219983326992187</v>
      </c>
      <c r="D29" s="231">
        <f t="shared" si="5"/>
        <v>-1.2065994998097656</v>
      </c>
    </row>
    <row r="30" spans="2:29" x14ac:dyDescent="0.15">
      <c r="C30" s="231">
        <f t="shared" si="5"/>
        <v>-1.2065994998097656</v>
      </c>
      <c r="D30" s="231">
        <f t="shared" si="5"/>
        <v>-0.40219983326992187</v>
      </c>
    </row>
    <row r="31" spans="2:29" x14ac:dyDescent="0.15">
      <c r="C31" s="231">
        <f t="shared" si="5"/>
        <v>-1.2065994998097656</v>
      </c>
      <c r="D31" s="231">
        <f t="shared" si="5"/>
        <v>-1.2065994998097656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90113" r:id="rId4">
          <objectPr defaultSize="0" autoPict="0" r:id="rId5">
            <anchor moveWithCells="1">
              <from>
                <xdr:col>18</xdr:col>
                <xdr:colOff>209550</xdr:colOff>
                <xdr:row>0</xdr:row>
                <xdr:rowOff>123825</xdr:rowOff>
              </from>
              <to>
                <xdr:col>24</xdr:col>
                <xdr:colOff>19050</xdr:colOff>
                <xdr:row>30</xdr:row>
                <xdr:rowOff>95250</xdr:rowOff>
              </to>
            </anchor>
          </objectPr>
        </oleObject>
      </mc:Choice>
      <mc:Fallback>
        <oleObject progId="Paint.Picture" shapeId="90113" r:id="rId4"/>
      </mc:Fallback>
    </mc:AlternateContent>
    <mc:AlternateContent xmlns:mc="http://schemas.openxmlformats.org/markup-compatibility/2006">
      <mc:Choice Requires="x14">
        <oleObject progId="Paint.Picture" shapeId="90114" r:id="rId6">
          <objectPr defaultSize="0" autoPict="0" r:id="rId7">
            <anchor moveWithCells="1">
              <from>
                <xdr:col>18</xdr:col>
                <xdr:colOff>209550</xdr:colOff>
                <xdr:row>31</xdr:row>
                <xdr:rowOff>19050</xdr:rowOff>
              </from>
              <to>
                <xdr:col>23</xdr:col>
                <xdr:colOff>476250</xdr:colOff>
                <xdr:row>50</xdr:row>
                <xdr:rowOff>114300</xdr:rowOff>
              </to>
            </anchor>
          </objectPr>
        </oleObject>
      </mc:Choice>
      <mc:Fallback>
        <oleObject progId="Paint.Picture" shapeId="90114" r:id="rId6"/>
      </mc:Fallback>
    </mc:AlternateContent>
    <mc:AlternateContent xmlns:mc="http://schemas.openxmlformats.org/markup-compatibility/2006">
      <mc:Choice Requires="x14">
        <oleObject progId="Paint.Picture" shapeId="90115" r:id="rId8">
          <objectPr defaultSize="0" autoPict="0" r:id="rId9">
            <anchor moveWithCells="1">
              <from>
                <xdr:col>6</xdr:col>
                <xdr:colOff>114300</xdr:colOff>
                <xdr:row>31</xdr:row>
                <xdr:rowOff>123825</xdr:rowOff>
              </from>
              <to>
                <xdr:col>17</xdr:col>
                <xdr:colOff>352425</xdr:colOff>
                <xdr:row>48</xdr:row>
                <xdr:rowOff>123825</xdr:rowOff>
              </to>
            </anchor>
          </objectPr>
        </oleObject>
      </mc:Choice>
      <mc:Fallback>
        <oleObject progId="Paint.Picture" shapeId="90115" r:id="rId8"/>
      </mc:Fallback>
    </mc:AlternateContent>
  </oleObjec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8A38-F6A7-4D5C-8C66-D3DDEDC0983B}">
  <dimension ref="B1:AC33"/>
  <sheetViews>
    <sheetView zoomScale="60" workbookViewId="0"/>
  </sheetViews>
  <sheetFormatPr defaultColWidth="6.625" defaultRowHeight="12" x14ac:dyDescent="0.15"/>
  <cols>
    <col min="1" max="1" width="2.625" style="231" customWidth="1"/>
    <col min="2" max="256" width="6.625" style="231"/>
    <col min="257" max="257" width="2.625" style="231" customWidth="1"/>
    <col min="258" max="512" width="6.625" style="231"/>
    <col min="513" max="513" width="2.625" style="231" customWidth="1"/>
    <col min="514" max="768" width="6.625" style="231"/>
    <col min="769" max="769" width="2.625" style="231" customWidth="1"/>
    <col min="770" max="1024" width="6.625" style="231"/>
    <col min="1025" max="1025" width="2.625" style="231" customWidth="1"/>
    <col min="1026" max="1280" width="6.625" style="231"/>
    <col min="1281" max="1281" width="2.625" style="231" customWidth="1"/>
    <col min="1282" max="1536" width="6.625" style="231"/>
    <col min="1537" max="1537" width="2.625" style="231" customWidth="1"/>
    <col min="1538" max="1792" width="6.625" style="231"/>
    <col min="1793" max="1793" width="2.625" style="231" customWidth="1"/>
    <col min="1794" max="2048" width="6.625" style="231"/>
    <col min="2049" max="2049" width="2.625" style="231" customWidth="1"/>
    <col min="2050" max="2304" width="6.625" style="231"/>
    <col min="2305" max="2305" width="2.625" style="231" customWidth="1"/>
    <col min="2306" max="2560" width="6.625" style="231"/>
    <col min="2561" max="2561" width="2.625" style="231" customWidth="1"/>
    <col min="2562" max="2816" width="6.625" style="231"/>
    <col min="2817" max="2817" width="2.625" style="231" customWidth="1"/>
    <col min="2818" max="3072" width="6.625" style="231"/>
    <col min="3073" max="3073" width="2.625" style="231" customWidth="1"/>
    <col min="3074" max="3328" width="6.625" style="231"/>
    <col min="3329" max="3329" width="2.625" style="231" customWidth="1"/>
    <col min="3330" max="3584" width="6.625" style="231"/>
    <col min="3585" max="3585" width="2.625" style="231" customWidth="1"/>
    <col min="3586" max="3840" width="6.625" style="231"/>
    <col min="3841" max="3841" width="2.625" style="231" customWidth="1"/>
    <col min="3842" max="4096" width="6.625" style="231"/>
    <col min="4097" max="4097" width="2.625" style="231" customWidth="1"/>
    <col min="4098" max="4352" width="6.625" style="231"/>
    <col min="4353" max="4353" width="2.625" style="231" customWidth="1"/>
    <col min="4354" max="4608" width="6.625" style="231"/>
    <col min="4609" max="4609" width="2.625" style="231" customWidth="1"/>
    <col min="4610" max="4864" width="6.625" style="231"/>
    <col min="4865" max="4865" width="2.625" style="231" customWidth="1"/>
    <col min="4866" max="5120" width="6.625" style="231"/>
    <col min="5121" max="5121" width="2.625" style="231" customWidth="1"/>
    <col min="5122" max="5376" width="6.625" style="231"/>
    <col min="5377" max="5377" width="2.625" style="231" customWidth="1"/>
    <col min="5378" max="5632" width="6.625" style="231"/>
    <col min="5633" max="5633" width="2.625" style="231" customWidth="1"/>
    <col min="5634" max="5888" width="6.625" style="231"/>
    <col min="5889" max="5889" width="2.625" style="231" customWidth="1"/>
    <col min="5890" max="6144" width="6.625" style="231"/>
    <col min="6145" max="6145" width="2.625" style="231" customWidth="1"/>
    <col min="6146" max="6400" width="6.625" style="231"/>
    <col min="6401" max="6401" width="2.625" style="231" customWidth="1"/>
    <col min="6402" max="6656" width="6.625" style="231"/>
    <col min="6657" max="6657" width="2.625" style="231" customWidth="1"/>
    <col min="6658" max="6912" width="6.625" style="231"/>
    <col min="6913" max="6913" width="2.625" style="231" customWidth="1"/>
    <col min="6914" max="7168" width="6.625" style="231"/>
    <col min="7169" max="7169" width="2.625" style="231" customWidth="1"/>
    <col min="7170" max="7424" width="6.625" style="231"/>
    <col min="7425" max="7425" width="2.625" style="231" customWidth="1"/>
    <col min="7426" max="7680" width="6.625" style="231"/>
    <col min="7681" max="7681" width="2.625" style="231" customWidth="1"/>
    <col min="7682" max="7936" width="6.625" style="231"/>
    <col min="7937" max="7937" width="2.625" style="231" customWidth="1"/>
    <col min="7938" max="8192" width="6.625" style="231"/>
    <col min="8193" max="8193" width="2.625" style="231" customWidth="1"/>
    <col min="8194" max="8448" width="6.625" style="231"/>
    <col min="8449" max="8449" width="2.625" style="231" customWidth="1"/>
    <col min="8450" max="8704" width="6.625" style="231"/>
    <col min="8705" max="8705" width="2.625" style="231" customWidth="1"/>
    <col min="8706" max="8960" width="6.625" style="231"/>
    <col min="8961" max="8961" width="2.625" style="231" customWidth="1"/>
    <col min="8962" max="9216" width="6.625" style="231"/>
    <col min="9217" max="9217" width="2.625" style="231" customWidth="1"/>
    <col min="9218" max="9472" width="6.625" style="231"/>
    <col min="9473" max="9473" width="2.625" style="231" customWidth="1"/>
    <col min="9474" max="9728" width="6.625" style="231"/>
    <col min="9729" max="9729" width="2.625" style="231" customWidth="1"/>
    <col min="9730" max="9984" width="6.625" style="231"/>
    <col min="9985" max="9985" width="2.625" style="231" customWidth="1"/>
    <col min="9986" max="10240" width="6.625" style="231"/>
    <col min="10241" max="10241" width="2.625" style="231" customWidth="1"/>
    <col min="10242" max="10496" width="6.625" style="231"/>
    <col min="10497" max="10497" width="2.625" style="231" customWidth="1"/>
    <col min="10498" max="10752" width="6.625" style="231"/>
    <col min="10753" max="10753" width="2.625" style="231" customWidth="1"/>
    <col min="10754" max="11008" width="6.625" style="231"/>
    <col min="11009" max="11009" width="2.625" style="231" customWidth="1"/>
    <col min="11010" max="11264" width="6.625" style="231"/>
    <col min="11265" max="11265" width="2.625" style="231" customWidth="1"/>
    <col min="11266" max="11520" width="6.625" style="231"/>
    <col min="11521" max="11521" width="2.625" style="231" customWidth="1"/>
    <col min="11522" max="11776" width="6.625" style="231"/>
    <col min="11777" max="11777" width="2.625" style="231" customWidth="1"/>
    <col min="11778" max="12032" width="6.625" style="231"/>
    <col min="12033" max="12033" width="2.625" style="231" customWidth="1"/>
    <col min="12034" max="12288" width="6.625" style="231"/>
    <col min="12289" max="12289" width="2.625" style="231" customWidth="1"/>
    <col min="12290" max="12544" width="6.625" style="231"/>
    <col min="12545" max="12545" width="2.625" style="231" customWidth="1"/>
    <col min="12546" max="12800" width="6.625" style="231"/>
    <col min="12801" max="12801" width="2.625" style="231" customWidth="1"/>
    <col min="12802" max="13056" width="6.625" style="231"/>
    <col min="13057" max="13057" width="2.625" style="231" customWidth="1"/>
    <col min="13058" max="13312" width="6.625" style="231"/>
    <col min="13313" max="13313" width="2.625" style="231" customWidth="1"/>
    <col min="13314" max="13568" width="6.625" style="231"/>
    <col min="13569" max="13569" width="2.625" style="231" customWidth="1"/>
    <col min="13570" max="13824" width="6.625" style="231"/>
    <col min="13825" max="13825" width="2.625" style="231" customWidth="1"/>
    <col min="13826" max="14080" width="6.625" style="231"/>
    <col min="14081" max="14081" width="2.625" style="231" customWidth="1"/>
    <col min="14082" max="14336" width="6.625" style="231"/>
    <col min="14337" max="14337" width="2.625" style="231" customWidth="1"/>
    <col min="14338" max="14592" width="6.625" style="231"/>
    <col min="14593" max="14593" width="2.625" style="231" customWidth="1"/>
    <col min="14594" max="14848" width="6.625" style="231"/>
    <col min="14849" max="14849" width="2.625" style="231" customWidth="1"/>
    <col min="14850" max="15104" width="6.625" style="231"/>
    <col min="15105" max="15105" width="2.625" style="231" customWidth="1"/>
    <col min="15106" max="15360" width="6.625" style="231"/>
    <col min="15361" max="15361" width="2.625" style="231" customWidth="1"/>
    <col min="15362" max="15616" width="6.625" style="231"/>
    <col min="15617" max="15617" width="2.625" style="231" customWidth="1"/>
    <col min="15618" max="15872" width="6.625" style="231"/>
    <col min="15873" max="15873" width="2.625" style="231" customWidth="1"/>
    <col min="15874" max="16128" width="6.625" style="231"/>
    <col min="16129" max="16129" width="2.625" style="231" customWidth="1"/>
    <col min="16130" max="16384" width="6.625" style="231"/>
  </cols>
  <sheetData>
    <row r="1" spans="2:16" ht="12.75" thickBot="1" x14ac:dyDescent="0.2">
      <c r="F1" s="231" t="s">
        <v>286</v>
      </c>
    </row>
    <row r="2" spans="2:16" ht="12.75" thickBot="1" x14ac:dyDescent="0.2">
      <c r="B2" s="232"/>
      <c r="C2" s="233" t="s">
        <v>276</v>
      </c>
      <c r="D2" s="234" t="s">
        <v>277</v>
      </c>
      <c r="F2" s="232"/>
      <c r="G2" s="233" t="s">
        <v>276</v>
      </c>
      <c r="H2" s="234" t="s">
        <v>277</v>
      </c>
      <c r="I2" s="233" t="s">
        <v>276</v>
      </c>
      <c r="J2" s="234" t="s">
        <v>277</v>
      </c>
      <c r="N2" s="235" t="s">
        <v>278</v>
      </c>
      <c r="O2" s="232" t="s">
        <v>279</v>
      </c>
      <c r="P2" s="236" t="s">
        <v>280</v>
      </c>
    </row>
    <row r="3" spans="2:16" x14ac:dyDescent="0.15">
      <c r="B3" s="237">
        <v>1</v>
      </c>
      <c r="C3" s="238">
        <v>4</v>
      </c>
      <c r="D3" s="239">
        <v>4</v>
      </c>
      <c r="F3" s="237">
        <v>1</v>
      </c>
      <c r="G3" s="238">
        <v>4</v>
      </c>
      <c r="H3" s="239">
        <v>4</v>
      </c>
      <c r="I3" s="238">
        <v>-1</v>
      </c>
      <c r="J3" s="239">
        <v>-1</v>
      </c>
      <c r="N3" s="240">
        <v>1</v>
      </c>
      <c r="O3" s="237">
        <v>8</v>
      </c>
      <c r="P3" s="241">
        <f>G16</f>
        <v>2.1213203435596428</v>
      </c>
    </row>
    <row r="4" spans="2:16" x14ac:dyDescent="0.15">
      <c r="B4" s="237">
        <v>2</v>
      </c>
      <c r="C4" s="238">
        <v>4</v>
      </c>
      <c r="D4" s="239">
        <v>3</v>
      </c>
      <c r="F4" s="237">
        <v>2</v>
      </c>
      <c r="G4" s="238">
        <v>4</v>
      </c>
      <c r="H4" s="239">
        <v>3</v>
      </c>
      <c r="I4" s="238">
        <v>-1</v>
      </c>
      <c r="J4" s="239">
        <v>-3</v>
      </c>
      <c r="N4" s="240">
        <v>2</v>
      </c>
      <c r="O4" s="237">
        <v>4</v>
      </c>
      <c r="P4" s="241">
        <f>I16</f>
        <v>1.4142135623730951</v>
      </c>
    </row>
    <row r="5" spans="2:16" ht="12.75" thickBot="1" x14ac:dyDescent="0.2">
      <c r="B5" s="237">
        <v>3</v>
      </c>
      <c r="C5" s="238">
        <v>3</v>
      </c>
      <c r="D5" s="239">
        <v>4</v>
      </c>
      <c r="F5" s="237">
        <v>3</v>
      </c>
      <c r="G5" s="238">
        <v>3</v>
      </c>
      <c r="H5" s="239">
        <v>4</v>
      </c>
      <c r="I5" s="238">
        <v>-3</v>
      </c>
      <c r="J5" s="239">
        <v>-1</v>
      </c>
      <c r="N5" s="242">
        <v>3</v>
      </c>
      <c r="O5" s="243">
        <v>0</v>
      </c>
      <c r="P5" s="244">
        <f>K18</f>
        <v>0</v>
      </c>
    </row>
    <row r="6" spans="2:16" ht="12.75" thickBot="1" x14ac:dyDescent="0.2">
      <c r="B6" s="237">
        <v>4</v>
      </c>
      <c r="C6" s="238">
        <v>3</v>
      </c>
      <c r="D6" s="239">
        <v>3</v>
      </c>
      <c r="F6" s="237">
        <v>4</v>
      </c>
      <c r="G6" s="238">
        <v>3</v>
      </c>
      <c r="H6" s="239">
        <v>3</v>
      </c>
      <c r="I6" s="245">
        <v>-3</v>
      </c>
      <c r="J6" s="246">
        <v>-3</v>
      </c>
    </row>
    <row r="7" spans="2:16" ht="12.75" thickBot="1" x14ac:dyDescent="0.2">
      <c r="B7" s="237">
        <v>5</v>
      </c>
      <c r="C7" s="238">
        <v>2</v>
      </c>
      <c r="D7" s="239">
        <v>2</v>
      </c>
      <c r="F7" s="237">
        <v>5</v>
      </c>
      <c r="G7" s="238">
        <v>2</v>
      </c>
      <c r="H7" s="239">
        <v>2</v>
      </c>
      <c r="I7" s="259"/>
      <c r="J7" s="259"/>
      <c r="N7" s="235" t="s">
        <v>11</v>
      </c>
      <c r="O7" s="232" t="s">
        <v>281</v>
      </c>
      <c r="P7" s="236" t="s">
        <v>282</v>
      </c>
    </row>
    <row r="8" spans="2:16" x14ac:dyDescent="0.15">
      <c r="B8" s="237">
        <v>6</v>
      </c>
      <c r="C8" s="238">
        <v>2</v>
      </c>
      <c r="D8" s="239">
        <v>1</v>
      </c>
      <c r="F8" s="237">
        <v>6</v>
      </c>
      <c r="G8" s="238">
        <v>2</v>
      </c>
      <c r="H8" s="239">
        <v>1</v>
      </c>
      <c r="I8" s="259"/>
      <c r="J8" s="259"/>
      <c r="N8" s="240">
        <v>1</v>
      </c>
      <c r="O8" s="247">
        <f>G12</f>
        <v>2.5</v>
      </c>
      <c r="P8" s="248">
        <f>H12</f>
        <v>2.5</v>
      </c>
    </row>
    <row r="9" spans="2:16" x14ac:dyDescent="0.15">
      <c r="B9" s="237">
        <v>7</v>
      </c>
      <c r="C9" s="238">
        <v>1</v>
      </c>
      <c r="D9" s="239">
        <v>2</v>
      </c>
      <c r="F9" s="237">
        <v>7</v>
      </c>
      <c r="G9" s="238">
        <v>1</v>
      </c>
      <c r="H9" s="239">
        <v>2</v>
      </c>
      <c r="I9" s="259"/>
      <c r="J9" s="259"/>
      <c r="N9" s="240">
        <v>2</v>
      </c>
      <c r="O9" s="247">
        <f>I12</f>
        <v>-2</v>
      </c>
      <c r="P9" s="248">
        <f>J12</f>
        <v>-2</v>
      </c>
    </row>
    <row r="10" spans="2:16" ht="12.75" thickBot="1" x14ac:dyDescent="0.2">
      <c r="B10" s="237">
        <v>8</v>
      </c>
      <c r="C10" s="238">
        <v>1</v>
      </c>
      <c r="D10" s="239">
        <v>1</v>
      </c>
      <c r="F10" s="243">
        <v>8</v>
      </c>
      <c r="G10" s="245">
        <v>1</v>
      </c>
      <c r="H10" s="246">
        <v>1</v>
      </c>
      <c r="I10" s="259"/>
      <c r="J10" s="259"/>
      <c r="N10" s="242">
        <v>3</v>
      </c>
      <c r="O10" s="249">
        <f>K14</f>
        <v>0</v>
      </c>
      <c r="P10" s="250">
        <f>L14</f>
        <v>0</v>
      </c>
    </row>
    <row r="11" spans="2:16" ht="12.75" thickBot="1" x14ac:dyDescent="0.2">
      <c r="B11" s="237">
        <v>9</v>
      </c>
      <c r="C11" s="238">
        <v>-1</v>
      </c>
      <c r="D11" s="239">
        <v>-1</v>
      </c>
      <c r="N11" s="235" t="s">
        <v>284</v>
      </c>
      <c r="O11" s="232" t="s">
        <v>281</v>
      </c>
      <c r="P11" s="236" t="s">
        <v>282</v>
      </c>
    </row>
    <row r="12" spans="2:16" x14ac:dyDescent="0.15">
      <c r="B12" s="237">
        <v>10</v>
      </c>
      <c r="C12" s="238">
        <v>-1</v>
      </c>
      <c r="D12" s="239">
        <v>-3</v>
      </c>
      <c r="F12" s="231" t="s">
        <v>283</v>
      </c>
      <c r="G12" s="231">
        <f>AVERAGE(G3:G10)</f>
        <v>2.5</v>
      </c>
      <c r="H12" s="231">
        <f>AVERAGE(H3:H10)</f>
        <v>2.5</v>
      </c>
      <c r="I12" s="231">
        <f>AVERAGE(I3:I6)</f>
        <v>-2</v>
      </c>
      <c r="J12" s="231">
        <f>AVERAGE(J3:J6)</f>
        <v>-2</v>
      </c>
      <c r="N12" s="240">
        <v>1</v>
      </c>
      <c r="O12" s="251">
        <f>G13</f>
        <v>1.1952286093343936</v>
      </c>
      <c r="P12" s="241">
        <f>H13</f>
        <v>1.1952286093343936</v>
      </c>
    </row>
    <row r="13" spans="2:16" x14ac:dyDescent="0.15">
      <c r="B13" s="237">
        <v>11</v>
      </c>
      <c r="C13" s="238">
        <v>-3</v>
      </c>
      <c r="D13" s="239">
        <v>-1</v>
      </c>
      <c r="F13" s="231" t="s">
        <v>103</v>
      </c>
      <c r="G13" s="231">
        <f>STDEV(G3:G10)</f>
        <v>1.1952286093343936</v>
      </c>
      <c r="H13" s="231">
        <f>STDEV(H3:H10)</f>
        <v>1.1952286093343936</v>
      </c>
      <c r="I13" s="231">
        <f>STDEV(I3:I6)</f>
        <v>1.1547005383792515</v>
      </c>
      <c r="J13" s="231">
        <f>STDEV(J3:J6)</f>
        <v>1.1547005383792515</v>
      </c>
      <c r="N13" s="240">
        <v>2</v>
      </c>
      <c r="O13" s="251">
        <f>I13</f>
        <v>1.1547005383792515</v>
      </c>
      <c r="P13" s="241">
        <f>J13</f>
        <v>1.1547005383792515</v>
      </c>
    </row>
    <row r="14" spans="2:16" ht="12.75" thickBot="1" x14ac:dyDescent="0.2">
      <c r="B14" s="243">
        <v>12</v>
      </c>
      <c r="C14" s="245">
        <v>-3</v>
      </c>
      <c r="D14" s="246">
        <v>-3</v>
      </c>
      <c r="N14" s="242">
        <v>3</v>
      </c>
      <c r="O14" s="252">
        <f>K15</f>
        <v>0</v>
      </c>
      <c r="P14" s="244">
        <f>L15</f>
        <v>0</v>
      </c>
    </row>
    <row r="15" spans="2:16" x14ac:dyDescent="0.15">
      <c r="G15" s="231">
        <f>(G3-G9)*SQRT(2)</f>
        <v>4.2426406871192857</v>
      </c>
      <c r="I15" s="231">
        <f>(I3-I5)*SQRT(2)</f>
        <v>2.8284271247461903</v>
      </c>
    </row>
    <row r="16" spans="2:16" x14ac:dyDescent="0.15">
      <c r="B16" s="231" t="s">
        <v>283</v>
      </c>
      <c r="C16" s="231">
        <f>AVERAGE(C3:C14)</f>
        <v>1</v>
      </c>
      <c r="D16" s="231">
        <f>AVERAGE(D3:D14)</f>
        <v>1</v>
      </c>
      <c r="G16" s="231">
        <f>G15/2</f>
        <v>2.1213203435596428</v>
      </c>
      <c r="I16" s="231">
        <f>I15/2</f>
        <v>1.4142135623730951</v>
      </c>
    </row>
    <row r="17" spans="2:29" x14ac:dyDescent="0.15">
      <c r="B17" s="231" t="s">
        <v>103</v>
      </c>
      <c r="C17" s="231">
        <f>STDEV(C3:C14)</f>
        <v>2.4863262420322441</v>
      </c>
      <c r="D17" s="231">
        <f>STDEV(D3:D14)</f>
        <v>2.4863262420322441</v>
      </c>
    </row>
    <row r="18" spans="2:29" ht="12.75" thickBot="1" x14ac:dyDescent="0.2">
      <c r="F18" s="231" t="s">
        <v>287</v>
      </c>
    </row>
    <row r="19" spans="2:29" ht="12.75" thickBot="1" x14ac:dyDescent="0.2">
      <c r="C19" s="231" t="s">
        <v>276</v>
      </c>
      <c r="D19" s="231" t="s">
        <v>277</v>
      </c>
      <c r="F19" s="260"/>
      <c r="G19" s="261" t="s">
        <v>276</v>
      </c>
      <c r="H19" s="261" t="s">
        <v>277</v>
      </c>
      <c r="I19" s="262" t="s">
        <v>276</v>
      </c>
      <c r="J19" s="263" t="s">
        <v>277</v>
      </c>
      <c r="N19" s="262" t="s">
        <v>278</v>
      </c>
      <c r="O19" s="260" t="s">
        <v>279</v>
      </c>
      <c r="P19" s="263" t="s">
        <v>280</v>
      </c>
    </row>
    <row r="20" spans="2:29" x14ac:dyDescent="0.15">
      <c r="B20" s="231">
        <v>1</v>
      </c>
      <c r="C20" s="231">
        <f t="shared" ref="C20:D31" si="0">C3/C$17</f>
        <v>1.6087993330796875</v>
      </c>
      <c r="D20" s="231">
        <f t="shared" si="0"/>
        <v>1.6087993330796875</v>
      </c>
      <c r="F20" s="264">
        <v>1</v>
      </c>
      <c r="G20" s="265">
        <f>C20</f>
        <v>1.6087993330796875</v>
      </c>
      <c r="H20" s="266">
        <f>D20</f>
        <v>1.6087993330796875</v>
      </c>
      <c r="I20" s="265">
        <f>C28</f>
        <v>-0.40219983326992187</v>
      </c>
      <c r="J20" s="266">
        <f>D28</f>
        <v>-0.40219983326992187</v>
      </c>
      <c r="N20" s="267">
        <v>1</v>
      </c>
      <c r="O20" s="264">
        <v>8</v>
      </c>
      <c r="P20" s="268">
        <f>G33</f>
        <v>0.85319468849178159</v>
      </c>
    </row>
    <row r="21" spans="2:29" x14ac:dyDescent="0.15">
      <c r="B21" s="231">
        <v>2</v>
      </c>
      <c r="C21" s="231">
        <f t="shared" si="0"/>
        <v>1.6087993330796875</v>
      </c>
      <c r="D21" s="231">
        <f t="shared" si="0"/>
        <v>1.2065994998097656</v>
      </c>
      <c r="F21" s="264">
        <v>2</v>
      </c>
      <c r="G21" s="269">
        <f t="shared" ref="G21:H27" si="1">C21</f>
        <v>1.6087993330796875</v>
      </c>
      <c r="H21" s="268">
        <f t="shared" si="1"/>
        <v>1.2065994998097656</v>
      </c>
      <c r="I21" s="269">
        <f t="shared" ref="I21:J23" si="2">C29</f>
        <v>-0.40219983326992187</v>
      </c>
      <c r="J21" s="268">
        <f t="shared" si="2"/>
        <v>-1.2065994998097656</v>
      </c>
      <c r="N21" s="267">
        <v>2</v>
      </c>
      <c r="O21" s="264">
        <v>4</v>
      </c>
      <c r="P21" s="268">
        <f>I33</f>
        <v>0.56879645899452103</v>
      </c>
    </row>
    <row r="22" spans="2:29" ht="12.75" thickBot="1" x14ac:dyDescent="0.2">
      <c r="B22" s="231">
        <v>3</v>
      </c>
      <c r="C22" s="231">
        <f t="shared" si="0"/>
        <v>1.2065994998097656</v>
      </c>
      <c r="D22" s="231">
        <f t="shared" si="0"/>
        <v>1.6087993330796875</v>
      </c>
      <c r="F22" s="264">
        <v>3</v>
      </c>
      <c r="G22" s="269">
        <f t="shared" si="1"/>
        <v>1.2065994998097656</v>
      </c>
      <c r="H22" s="268">
        <f t="shared" si="1"/>
        <v>1.6087993330796875</v>
      </c>
      <c r="I22" s="269">
        <f t="shared" si="2"/>
        <v>-1.2065994998097656</v>
      </c>
      <c r="J22" s="268">
        <f t="shared" si="2"/>
        <v>-0.40219983326992187</v>
      </c>
      <c r="N22" s="270">
        <v>3</v>
      </c>
      <c r="O22" s="271">
        <v>0</v>
      </c>
      <c r="P22" s="272">
        <f>K38</f>
        <v>0</v>
      </c>
    </row>
    <row r="23" spans="2:29" ht="12.75" thickBot="1" x14ac:dyDescent="0.2">
      <c r="B23" s="231">
        <v>4</v>
      </c>
      <c r="C23" s="231">
        <f t="shared" si="0"/>
        <v>1.2065994998097656</v>
      </c>
      <c r="D23" s="231">
        <f t="shared" si="0"/>
        <v>1.2065994998097656</v>
      </c>
      <c r="F23" s="264">
        <v>4</v>
      </c>
      <c r="G23" s="269">
        <f t="shared" si="1"/>
        <v>1.2065994998097656</v>
      </c>
      <c r="H23" s="268">
        <f t="shared" si="1"/>
        <v>1.2065994998097656</v>
      </c>
      <c r="I23" s="273">
        <f t="shared" si="2"/>
        <v>-1.2065994998097656</v>
      </c>
      <c r="J23" s="272">
        <f t="shared" si="2"/>
        <v>-1.2065994998097656</v>
      </c>
      <c r="AC23" s="258"/>
    </row>
    <row r="24" spans="2:29" ht="12.75" thickBot="1" x14ac:dyDescent="0.2">
      <c r="B24" s="231">
        <v>5</v>
      </c>
      <c r="C24" s="231">
        <f t="shared" si="0"/>
        <v>0.80439966653984374</v>
      </c>
      <c r="D24" s="231">
        <f t="shared" si="0"/>
        <v>0.80439966653984374</v>
      </c>
      <c r="F24" s="264">
        <v>5</v>
      </c>
      <c r="G24" s="269">
        <f t="shared" si="1"/>
        <v>0.80439966653984374</v>
      </c>
      <c r="H24" s="268">
        <f t="shared" si="1"/>
        <v>0.80439966653984374</v>
      </c>
      <c r="N24" s="262" t="s">
        <v>11</v>
      </c>
      <c r="O24" s="260" t="s">
        <v>281</v>
      </c>
      <c r="P24" s="263" t="s">
        <v>282</v>
      </c>
    </row>
    <row r="25" spans="2:29" x14ac:dyDescent="0.15">
      <c r="B25" s="231">
        <v>6</v>
      </c>
      <c r="C25" s="231">
        <f t="shared" si="0"/>
        <v>0.80439966653984374</v>
      </c>
      <c r="D25" s="231">
        <f t="shared" si="0"/>
        <v>0.40219983326992187</v>
      </c>
      <c r="F25" s="264">
        <v>6</v>
      </c>
      <c r="G25" s="269">
        <f t="shared" si="1"/>
        <v>0.80439966653984374</v>
      </c>
      <c r="H25" s="268">
        <f t="shared" si="1"/>
        <v>0.40219983326992187</v>
      </c>
      <c r="N25" s="267">
        <v>1</v>
      </c>
      <c r="O25" s="274">
        <f>G29</f>
        <v>1.0054995831748046</v>
      </c>
      <c r="P25" s="275">
        <f>H29</f>
        <v>1.0054995831748046</v>
      </c>
    </row>
    <row r="26" spans="2:29" x14ac:dyDescent="0.15">
      <c r="B26" s="231">
        <v>7</v>
      </c>
      <c r="C26" s="231">
        <f t="shared" si="0"/>
        <v>0.40219983326992187</v>
      </c>
      <c r="D26" s="231">
        <f t="shared" si="0"/>
        <v>0.80439966653984374</v>
      </c>
      <c r="F26" s="264">
        <v>7</v>
      </c>
      <c r="G26" s="269">
        <f t="shared" si="1"/>
        <v>0.40219983326992187</v>
      </c>
      <c r="H26" s="268">
        <f t="shared" si="1"/>
        <v>0.80439966653984374</v>
      </c>
      <c r="N26" s="267">
        <v>2</v>
      </c>
      <c r="O26" s="274">
        <f>G30</f>
        <v>0.48072074739373361</v>
      </c>
      <c r="P26" s="275">
        <f>H30</f>
        <v>0.48072074739373361</v>
      </c>
    </row>
    <row r="27" spans="2:29" ht="12.75" thickBot="1" x14ac:dyDescent="0.2">
      <c r="B27" s="231">
        <v>8</v>
      </c>
      <c r="C27" s="231">
        <f t="shared" si="0"/>
        <v>0.40219983326992187</v>
      </c>
      <c r="D27" s="231">
        <f t="shared" si="0"/>
        <v>0.40219983326992187</v>
      </c>
      <c r="F27" s="271">
        <v>8</v>
      </c>
      <c r="G27" s="273">
        <f t="shared" si="1"/>
        <v>0.40219983326992187</v>
      </c>
      <c r="H27" s="272">
        <f t="shared" si="1"/>
        <v>0.40219983326992187</v>
      </c>
      <c r="N27" s="270">
        <v>3</v>
      </c>
      <c r="O27" s="276">
        <f>K34</f>
        <v>0</v>
      </c>
      <c r="P27" s="277">
        <f>L34</f>
        <v>0</v>
      </c>
    </row>
    <row r="28" spans="2:29" ht="12.75" thickBot="1" x14ac:dyDescent="0.2">
      <c r="B28" s="231">
        <v>9</v>
      </c>
      <c r="C28" s="231">
        <f t="shared" si="0"/>
        <v>-0.40219983326992187</v>
      </c>
      <c r="D28" s="231">
        <f t="shared" si="0"/>
        <v>-0.40219983326992187</v>
      </c>
      <c r="N28" s="262" t="s">
        <v>284</v>
      </c>
      <c r="O28" s="260" t="s">
        <v>281</v>
      </c>
      <c r="P28" s="263" t="s">
        <v>282</v>
      </c>
    </row>
    <row r="29" spans="2:29" x14ac:dyDescent="0.15">
      <c r="B29" s="231">
        <v>10</v>
      </c>
      <c r="C29" s="231">
        <f t="shared" si="0"/>
        <v>-0.40219983326992187</v>
      </c>
      <c r="D29" s="231">
        <f t="shared" si="0"/>
        <v>-1.2065994998097656</v>
      </c>
      <c r="F29" s="231" t="s">
        <v>283</v>
      </c>
      <c r="G29" s="231">
        <f>AVERAGE(G20:G27)</f>
        <v>1.0054995831748046</v>
      </c>
      <c r="H29" s="231">
        <f>AVERAGE(H20:H27)</f>
        <v>1.0054995831748046</v>
      </c>
      <c r="I29" s="231">
        <f>AVERAGE(I20:I23)</f>
        <v>-0.80439966653984363</v>
      </c>
      <c r="J29" s="231">
        <f>AVERAGE(J20:J23)</f>
        <v>-0.80439966653984363</v>
      </c>
      <c r="N29" s="267">
        <v>1</v>
      </c>
      <c r="O29" s="278">
        <f>I29</f>
        <v>-0.80439966653984363</v>
      </c>
      <c r="P29" s="268">
        <f>J29</f>
        <v>-0.80439966653984363</v>
      </c>
    </row>
    <row r="30" spans="2:29" x14ac:dyDescent="0.15">
      <c r="B30" s="231">
        <v>11</v>
      </c>
      <c r="C30" s="231">
        <f t="shared" si="0"/>
        <v>-1.2065994998097656</v>
      </c>
      <c r="D30" s="231">
        <f t="shared" si="0"/>
        <v>-0.40219983326992187</v>
      </c>
      <c r="F30" s="231" t="s">
        <v>103</v>
      </c>
      <c r="G30" s="231">
        <f>STDEV(G20:G27)</f>
        <v>0.48072074739373361</v>
      </c>
      <c r="H30" s="231">
        <f>STDEV(H20:H27)</f>
        <v>0.48072074739373361</v>
      </c>
      <c r="I30" s="231">
        <f>STDEV(I20:I23)</f>
        <v>0.46442036401282427</v>
      </c>
      <c r="J30" s="231">
        <f>STDEV(J20:J23)</f>
        <v>0.46442036401282427</v>
      </c>
      <c r="N30" s="267">
        <v>2</v>
      </c>
      <c r="O30" s="278">
        <f>I30</f>
        <v>0.46442036401282427</v>
      </c>
      <c r="P30" s="268">
        <f>J30</f>
        <v>0.46442036401282427</v>
      </c>
    </row>
    <row r="31" spans="2:29" ht="12.75" thickBot="1" x14ac:dyDescent="0.2">
      <c r="B31" s="231">
        <v>12</v>
      </c>
      <c r="C31" s="231">
        <f t="shared" si="0"/>
        <v>-1.2065994998097656</v>
      </c>
      <c r="D31" s="231">
        <f t="shared" si="0"/>
        <v>-1.2065994998097656</v>
      </c>
      <c r="N31" s="270">
        <v>3</v>
      </c>
      <c r="O31" s="279">
        <f>K35</f>
        <v>0</v>
      </c>
      <c r="P31" s="272">
        <f>L35</f>
        <v>0</v>
      </c>
    </row>
    <row r="32" spans="2:29" x14ac:dyDescent="0.15">
      <c r="G32" s="231">
        <f>(G20-G26)*SQRT(2)</f>
        <v>1.7063893769835632</v>
      </c>
      <c r="I32" s="231">
        <f>(I20-I22)*SQRT(2)</f>
        <v>1.1375929179890421</v>
      </c>
    </row>
    <row r="33" spans="7:9" x14ac:dyDescent="0.15">
      <c r="G33" s="231">
        <f>G32/2</f>
        <v>0.85319468849178159</v>
      </c>
      <c r="I33" s="231">
        <f>I32/2</f>
        <v>0.56879645899452103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91137" r:id="rId4">
          <objectPr defaultSize="0" autoPict="0" r:id="rId5">
            <anchor moveWithCells="1">
              <from>
                <xdr:col>16</xdr:col>
                <xdr:colOff>485775</xdr:colOff>
                <xdr:row>1</xdr:row>
                <xdr:rowOff>28575</xdr:rowOff>
              </from>
              <to>
                <xdr:col>22</xdr:col>
                <xdr:colOff>257175</xdr:colOff>
                <xdr:row>28</xdr:row>
                <xdr:rowOff>142875</xdr:rowOff>
              </to>
            </anchor>
          </objectPr>
        </oleObject>
      </mc:Choice>
      <mc:Fallback>
        <oleObject progId="Paint.Picture" shapeId="91137" r:id="rId4"/>
      </mc:Fallback>
    </mc:AlternateContent>
    <mc:AlternateContent xmlns:mc="http://schemas.openxmlformats.org/markup-compatibility/2006">
      <mc:Choice Requires="x14">
        <oleObject progId="Paint.Picture" shapeId="91138" r:id="rId6">
          <objectPr defaultSize="0" autoPict="0" r:id="rId7">
            <anchor moveWithCells="1">
              <from>
                <xdr:col>16</xdr:col>
                <xdr:colOff>485775</xdr:colOff>
                <xdr:row>29</xdr:row>
                <xdr:rowOff>66675</xdr:rowOff>
              </from>
              <to>
                <xdr:col>22</xdr:col>
                <xdr:colOff>257175</xdr:colOff>
                <xdr:row>58</xdr:row>
                <xdr:rowOff>28575</xdr:rowOff>
              </to>
            </anchor>
          </objectPr>
        </oleObject>
      </mc:Choice>
      <mc:Fallback>
        <oleObject progId="Paint.Picture" shapeId="91138" r:id="rId6"/>
      </mc:Fallback>
    </mc:AlternateContent>
    <mc:AlternateContent xmlns:mc="http://schemas.openxmlformats.org/markup-compatibility/2006">
      <mc:Choice Requires="x14">
        <oleObject progId="Paint.Picture" shapeId="91139" r:id="rId8">
          <objectPr defaultSize="0" autoPict="0" r:id="rId9">
            <anchor moveWithCells="1">
              <from>
                <xdr:col>6</xdr:col>
                <xdr:colOff>447675</xdr:colOff>
                <xdr:row>34</xdr:row>
                <xdr:rowOff>47625</xdr:rowOff>
              </from>
              <to>
                <xdr:col>16</xdr:col>
                <xdr:colOff>447675</xdr:colOff>
                <xdr:row>48</xdr:row>
                <xdr:rowOff>142875</xdr:rowOff>
              </to>
            </anchor>
          </objectPr>
        </oleObject>
      </mc:Choice>
      <mc:Fallback>
        <oleObject progId="Paint.Picture" shapeId="91139" r:id="rId8"/>
      </mc:Fallback>
    </mc:AlternateContent>
  </oleObjec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6C2D-3628-4D7B-AA97-C8DC1C003F8C}">
  <dimension ref="B1:R23"/>
  <sheetViews>
    <sheetView zoomScale="75" workbookViewId="0"/>
  </sheetViews>
  <sheetFormatPr defaultColWidth="6.625" defaultRowHeight="12" x14ac:dyDescent="0.15"/>
  <cols>
    <col min="1" max="1" width="2.625" style="231" customWidth="1"/>
    <col min="2" max="256" width="6.625" style="231"/>
    <col min="257" max="257" width="2.625" style="231" customWidth="1"/>
    <col min="258" max="512" width="6.625" style="231"/>
    <col min="513" max="513" width="2.625" style="231" customWidth="1"/>
    <col min="514" max="768" width="6.625" style="231"/>
    <col min="769" max="769" width="2.625" style="231" customWidth="1"/>
    <col min="770" max="1024" width="6.625" style="231"/>
    <col min="1025" max="1025" width="2.625" style="231" customWidth="1"/>
    <col min="1026" max="1280" width="6.625" style="231"/>
    <col min="1281" max="1281" width="2.625" style="231" customWidth="1"/>
    <col min="1282" max="1536" width="6.625" style="231"/>
    <col min="1537" max="1537" width="2.625" style="231" customWidth="1"/>
    <col min="1538" max="1792" width="6.625" style="231"/>
    <col min="1793" max="1793" width="2.625" style="231" customWidth="1"/>
    <col min="1794" max="2048" width="6.625" style="231"/>
    <col min="2049" max="2049" width="2.625" style="231" customWidth="1"/>
    <col min="2050" max="2304" width="6.625" style="231"/>
    <col min="2305" max="2305" width="2.625" style="231" customWidth="1"/>
    <col min="2306" max="2560" width="6.625" style="231"/>
    <col min="2561" max="2561" width="2.625" style="231" customWidth="1"/>
    <col min="2562" max="2816" width="6.625" style="231"/>
    <col min="2817" max="2817" width="2.625" style="231" customWidth="1"/>
    <col min="2818" max="3072" width="6.625" style="231"/>
    <col min="3073" max="3073" width="2.625" style="231" customWidth="1"/>
    <col min="3074" max="3328" width="6.625" style="231"/>
    <col min="3329" max="3329" width="2.625" style="231" customWidth="1"/>
    <col min="3330" max="3584" width="6.625" style="231"/>
    <col min="3585" max="3585" width="2.625" style="231" customWidth="1"/>
    <col min="3586" max="3840" width="6.625" style="231"/>
    <col min="3841" max="3841" width="2.625" style="231" customWidth="1"/>
    <col min="3842" max="4096" width="6.625" style="231"/>
    <col min="4097" max="4097" width="2.625" style="231" customWidth="1"/>
    <col min="4098" max="4352" width="6.625" style="231"/>
    <col min="4353" max="4353" width="2.625" style="231" customWidth="1"/>
    <col min="4354" max="4608" width="6.625" style="231"/>
    <col min="4609" max="4609" width="2.625" style="231" customWidth="1"/>
    <col min="4610" max="4864" width="6.625" style="231"/>
    <col min="4865" max="4865" width="2.625" style="231" customWidth="1"/>
    <col min="4866" max="5120" width="6.625" style="231"/>
    <col min="5121" max="5121" width="2.625" style="231" customWidth="1"/>
    <col min="5122" max="5376" width="6.625" style="231"/>
    <col min="5377" max="5377" width="2.625" style="231" customWidth="1"/>
    <col min="5378" max="5632" width="6.625" style="231"/>
    <col min="5633" max="5633" width="2.625" style="231" customWidth="1"/>
    <col min="5634" max="5888" width="6.625" style="231"/>
    <col min="5889" max="5889" width="2.625" style="231" customWidth="1"/>
    <col min="5890" max="6144" width="6.625" style="231"/>
    <col min="6145" max="6145" width="2.625" style="231" customWidth="1"/>
    <col min="6146" max="6400" width="6.625" style="231"/>
    <col min="6401" max="6401" width="2.625" style="231" customWidth="1"/>
    <col min="6402" max="6656" width="6.625" style="231"/>
    <col min="6657" max="6657" width="2.625" style="231" customWidth="1"/>
    <col min="6658" max="6912" width="6.625" style="231"/>
    <col min="6913" max="6913" width="2.625" style="231" customWidth="1"/>
    <col min="6914" max="7168" width="6.625" style="231"/>
    <col min="7169" max="7169" width="2.625" style="231" customWidth="1"/>
    <col min="7170" max="7424" width="6.625" style="231"/>
    <col min="7425" max="7425" width="2.625" style="231" customWidth="1"/>
    <col min="7426" max="7680" width="6.625" style="231"/>
    <col min="7681" max="7681" width="2.625" style="231" customWidth="1"/>
    <col min="7682" max="7936" width="6.625" style="231"/>
    <col min="7937" max="7937" width="2.625" style="231" customWidth="1"/>
    <col min="7938" max="8192" width="6.625" style="231"/>
    <col min="8193" max="8193" width="2.625" style="231" customWidth="1"/>
    <col min="8194" max="8448" width="6.625" style="231"/>
    <col min="8449" max="8449" width="2.625" style="231" customWidth="1"/>
    <col min="8450" max="8704" width="6.625" style="231"/>
    <col min="8705" max="8705" width="2.625" style="231" customWidth="1"/>
    <col min="8706" max="8960" width="6.625" style="231"/>
    <col min="8961" max="8961" width="2.625" style="231" customWidth="1"/>
    <col min="8962" max="9216" width="6.625" style="231"/>
    <col min="9217" max="9217" width="2.625" style="231" customWidth="1"/>
    <col min="9218" max="9472" width="6.625" style="231"/>
    <col min="9473" max="9473" width="2.625" style="231" customWidth="1"/>
    <col min="9474" max="9728" width="6.625" style="231"/>
    <col min="9729" max="9729" width="2.625" style="231" customWidth="1"/>
    <col min="9730" max="9984" width="6.625" style="231"/>
    <col min="9985" max="9985" width="2.625" style="231" customWidth="1"/>
    <col min="9986" max="10240" width="6.625" style="231"/>
    <col min="10241" max="10241" width="2.625" style="231" customWidth="1"/>
    <col min="10242" max="10496" width="6.625" style="231"/>
    <col min="10497" max="10497" width="2.625" style="231" customWidth="1"/>
    <col min="10498" max="10752" width="6.625" style="231"/>
    <col min="10753" max="10753" width="2.625" style="231" customWidth="1"/>
    <col min="10754" max="11008" width="6.625" style="231"/>
    <col min="11009" max="11009" width="2.625" style="231" customWidth="1"/>
    <col min="11010" max="11264" width="6.625" style="231"/>
    <col min="11265" max="11265" width="2.625" style="231" customWidth="1"/>
    <col min="11266" max="11520" width="6.625" style="231"/>
    <col min="11521" max="11521" width="2.625" style="231" customWidth="1"/>
    <col min="11522" max="11776" width="6.625" style="231"/>
    <col min="11777" max="11777" width="2.625" style="231" customWidth="1"/>
    <col min="11778" max="12032" width="6.625" style="231"/>
    <col min="12033" max="12033" width="2.625" style="231" customWidth="1"/>
    <col min="12034" max="12288" width="6.625" style="231"/>
    <col min="12289" max="12289" width="2.625" style="231" customWidth="1"/>
    <col min="12290" max="12544" width="6.625" style="231"/>
    <col min="12545" max="12545" width="2.625" style="231" customWidth="1"/>
    <col min="12546" max="12800" width="6.625" style="231"/>
    <col min="12801" max="12801" width="2.625" style="231" customWidth="1"/>
    <col min="12802" max="13056" width="6.625" style="231"/>
    <col min="13057" max="13057" width="2.625" style="231" customWidth="1"/>
    <col min="13058" max="13312" width="6.625" style="231"/>
    <col min="13313" max="13313" width="2.625" style="231" customWidth="1"/>
    <col min="13314" max="13568" width="6.625" style="231"/>
    <col min="13569" max="13569" width="2.625" style="231" customWidth="1"/>
    <col min="13570" max="13824" width="6.625" style="231"/>
    <col min="13825" max="13825" width="2.625" style="231" customWidth="1"/>
    <col min="13826" max="14080" width="6.625" style="231"/>
    <col min="14081" max="14081" width="2.625" style="231" customWidth="1"/>
    <col min="14082" max="14336" width="6.625" style="231"/>
    <col min="14337" max="14337" width="2.625" style="231" customWidth="1"/>
    <col min="14338" max="14592" width="6.625" style="231"/>
    <col min="14593" max="14593" width="2.625" style="231" customWidth="1"/>
    <col min="14594" max="14848" width="6.625" style="231"/>
    <col min="14849" max="14849" width="2.625" style="231" customWidth="1"/>
    <col min="14850" max="15104" width="6.625" style="231"/>
    <col min="15105" max="15105" width="2.625" style="231" customWidth="1"/>
    <col min="15106" max="15360" width="6.625" style="231"/>
    <col min="15361" max="15361" width="2.625" style="231" customWidth="1"/>
    <col min="15362" max="15616" width="6.625" style="231"/>
    <col min="15617" max="15617" width="2.625" style="231" customWidth="1"/>
    <col min="15618" max="15872" width="6.625" style="231"/>
    <col min="15873" max="15873" width="2.625" style="231" customWidth="1"/>
    <col min="15874" max="16128" width="6.625" style="231"/>
    <col min="16129" max="16129" width="2.625" style="231" customWidth="1"/>
    <col min="16130" max="16384" width="6.625" style="231"/>
  </cols>
  <sheetData>
    <row r="1" spans="2:18" ht="12.75" thickBot="1" x14ac:dyDescent="0.2"/>
    <row r="2" spans="2:18" ht="12.75" thickBot="1" x14ac:dyDescent="0.2">
      <c r="B2" s="232"/>
      <c r="C2" s="233" t="s">
        <v>276</v>
      </c>
      <c r="D2" s="234" t="s">
        <v>277</v>
      </c>
      <c r="F2" s="231" t="s">
        <v>288</v>
      </c>
    </row>
    <row r="3" spans="2:18" ht="12.75" thickBot="1" x14ac:dyDescent="0.2">
      <c r="B3" s="237">
        <v>1</v>
      </c>
      <c r="C3" s="238">
        <v>-3</v>
      </c>
      <c r="D3" s="239">
        <v>1</v>
      </c>
      <c r="F3" s="232"/>
      <c r="G3" s="233" t="s">
        <v>276</v>
      </c>
      <c r="H3" s="234" t="s">
        <v>277</v>
      </c>
      <c r="I3" s="233" t="s">
        <v>276</v>
      </c>
      <c r="J3" s="234" t="s">
        <v>277</v>
      </c>
      <c r="K3" s="233" t="s">
        <v>276</v>
      </c>
      <c r="L3" s="234" t="s">
        <v>277</v>
      </c>
      <c r="M3" s="233" t="s">
        <v>276</v>
      </c>
      <c r="N3" s="234" t="s">
        <v>277</v>
      </c>
      <c r="P3" s="235" t="s">
        <v>278</v>
      </c>
      <c r="Q3" s="232" t="s">
        <v>279</v>
      </c>
      <c r="R3" s="236" t="s">
        <v>280</v>
      </c>
    </row>
    <row r="4" spans="2:18" x14ac:dyDescent="0.15">
      <c r="B4" s="237">
        <v>2</v>
      </c>
      <c r="C4" s="238">
        <v>-3</v>
      </c>
      <c r="D4" s="239">
        <v>-1</v>
      </c>
      <c r="F4" s="237">
        <v>1</v>
      </c>
      <c r="G4" s="238">
        <v>-3</v>
      </c>
      <c r="H4" s="239">
        <v>1</v>
      </c>
      <c r="I4" s="238">
        <v>-1</v>
      </c>
      <c r="J4" s="239">
        <v>-3</v>
      </c>
      <c r="K4" s="238">
        <v>3</v>
      </c>
      <c r="L4" s="239">
        <v>-1</v>
      </c>
      <c r="M4" s="238">
        <v>1</v>
      </c>
      <c r="N4" s="239">
        <v>3</v>
      </c>
      <c r="P4" s="240">
        <v>1</v>
      </c>
      <c r="Q4" s="237">
        <v>2</v>
      </c>
      <c r="R4" s="241">
        <f>G10</f>
        <v>1</v>
      </c>
    </row>
    <row r="5" spans="2:18" ht="12.75" thickBot="1" x14ac:dyDescent="0.2">
      <c r="B5" s="237">
        <v>3</v>
      </c>
      <c r="C5" s="238">
        <v>-1</v>
      </c>
      <c r="D5" s="239">
        <v>-3</v>
      </c>
      <c r="F5" s="243">
        <v>2</v>
      </c>
      <c r="G5" s="245">
        <v>-3</v>
      </c>
      <c r="H5" s="246">
        <v>-1</v>
      </c>
      <c r="I5" s="245">
        <v>1</v>
      </c>
      <c r="J5" s="246">
        <v>-3</v>
      </c>
      <c r="K5" s="245">
        <v>3</v>
      </c>
      <c r="L5" s="246">
        <v>1</v>
      </c>
      <c r="M5" s="245">
        <v>-1</v>
      </c>
      <c r="N5" s="246">
        <v>3</v>
      </c>
      <c r="P5" s="240">
        <v>2</v>
      </c>
      <c r="Q5" s="237">
        <v>2</v>
      </c>
      <c r="R5" s="241">
        <f>I10</f>
        <v>1</v>
      </c>
    </row>
    <row r="6" spans="2:18" x14ac:dyDescent="0.15">
      <c r="B6" s="237">
        <v>4</v>
      </c>
      <c r="C6" s="238">
        <v>1</v>
      </c>
      <c r="D6" s="239">
        <v>-3</v>
      </c>
      <c r="P6" s="240">
        <v>3</v>
      </c>
      <c r="Q6" s="237">
        <v>2</v>
      </c>
      <c r="R6" s="241">
        <f>K10</f>
        <v>1</v>
      </c>
    </row>
    <row r="7" spans="2:18" ht="12.75" thickBot="1" x14ac:dyDescent="0.2">
      <c r="B7" s="237">
        <v>5</v>
      </c>
      <c r="C7" s="238">
        <v>3</v>
      </c>
      <c r="D7" s="239">
        <v>-1</v>
      </c>
      <c r="F7" s="231" t="s">
        <v>283</v>
      </c>
      <c r="G7" s="231">
        <f t="shared" ref="G7:N7" si="0">AVERAGE(G4:G5)</f>
        <v>-3</v>
      </c>
      <c r="H7" s="231">
        <f t="shared" si="0"/>
        <v>0</v>
      </c>
      <c r="I7" s="231">
        <f t="shared" si="0"/>
        <v>0</v>
      </c>
      <c r="J7" s="231">
        <f t="shared" si="0"/>
        <v>-3</v>
      </c>
      <c r="K7" s="231">
        <f t="shared" si="0"/>
        <v>3</v>
      </c>
      <c r="L7" s="231">
        <f t="shared" si="0"/>
        <v>0</v>
      </c>
      <c r="M7" s="231">
        <f t="shared" si="0"/>
        <v>0</v>
      </c>
      <c r="N7" s="231">
        <f t="shared" si="0"/>
        <v>3</v>
      </c>
      <c r="P7" s="242">
        <v>4</v>
      </c>
      <c r="Q7" s="243">
        <v>2</v>
      </c>
      <c r="R7" s="244">
        <f>M10</f>
        <v>1</v>
      </c>
    </row>
    <row r="8" spans="2:18" ht="12.75" thickBot="1" x14ac:dyDescent="0.2">
      <c r="B8" s="237">
        <v>6</v>
      </c>
      <c r="C8" s="238">
        <v>3</v>
      </c>
      <c r="D8" s="239">
        <v>1</v>
      </c>
      <c r="F8" s="231" t="s">
        <v>103</v>
      </c>
      <c r="G8" s="231">
        <f t="shared" ref="G8:N8" si="1">STDEV(G4:G5)</f>
        <v>0</v>
      </c>
      <c r="H8" s="231">
        <f t="shared" si="1"/>
        <v>1.4142135623730951</v>
      </c>
      <c r="I8" s="231">
        <f t="shared" si="1"/>
        <v>1.4142135623730951</v>
      </c>
      <c r="J8" s="231">
        <f t="shared" si="1"/>
        <v>0</v>
      </c>
      <c r="K8" s="231">
        <f t="shared" si="1"/>
        <v>0</v>
      </c>
      <c r="L8" s="231">
        <f t="shared" si="1"/>
        <v>1.4142135623730951</v>
      </c>
      <c r="M8" s="231">
        <f t="shared" si="1"/>
        <v>1.4142135623730951</v>
      </c>
      <c r="N8" s="231">
        <f t="shared" si="1"/>
        <v>0</v>
      </c>
    </row>
    <row r="9" spans="2:18" ht="12.75" thickBot="1" x14ac:dyDescent="0.2">
      <c r="B9" s="237">
        <v>7</v>
      </c>
      <c r="C9" s="238">
        <v>1</v>
      </c>
      <c r="D9" s="239">
        <v>3</v>
      </c>
      <c r="P9" s="235" t="s">
        <v>11</v>
      </c>
      <c r="Q9" s="232" t="s">
        <v>281</v>
      </c>
      <c r="R9" s="236" t="s">
        <v>282</v>
      </c>
    </row>
    <row r="10" spans="2:18" ht="12.75" thickBot="1" x14ac:dyDescent="0.2">
      <c r="B10" s="243">
        <v>8</v>
      </c>
      <c r="C10" s="245">
        <v>-1</v>
      </c>
      <c r="D10" s="246">
        <v>3</v>
      </c>
      <c r="G10" s="231">
        <f>SQRT((G4-G5)^2+(H4-H5)^2)/2</f>
        <v>1</v>
      </c>
      <c r="I10" s="231">
        <f>SQRT((I4-I5)^2+(J4-J5)^2)/2</f>
        <v>1</v>
      </c>
      <c r="K10" s="231">
        <f>SQRT((K4-K5)^2+(L4-L5)^2)/2</f>
        <v>1</v>
      </c>
      <c r="M10" s="231">
        <f>SQRT((M4-M5)^2+(N4-N5)^2)/2</f>
        <v>1</v>
      </c>
      <c r="P10" s="240">
        <v>1</v>
      </c>
      <c r="Q10" s="247">
        <f>G7</f>
        <v>-3</v>
      </c>
      <c r="R10" s="248">
        <f>H7</f>
        <v>0</v>
      </c>
    </row>
    <row r="11" spans="2:18" x14ac:dyDescent="0.15">
      <c r="P11" s="240">
        <v>2</v>
      </c>
      <c r="Q11" s="247">
        <f>I7</f>
        <v>0</v>
      </c>
      <c r="R11" s="248">
        <f>J7</f>
        <v>-3</v>
      </c>
    </row>
    <row r="12" spans="2:18" x14ac:dyDescent="0.15">
      <c r="B12" s="231" t="s">
        <v>283</v>
      </c>
      <c r="C12" s="231">
        <f>AVERAGE(C3:C10)</f>
        <v>0</v>
      </c>
      <c r="D12" s="231">
        <f>AVERAGE(D3:D10)</f>
        <v>0</v>
      </c>
      <c r="P12" s="240">
        <v>3</v>
      </c>
      <c r="Q12" s="247">
        <f>K7</f>
        <v>3</v>
      </c>
      <c r="R12" s="248">
        <f>L7</f>
        <v>0</v>
      </c>
    </row>
    <row r="13" spans="2:18" ht="12.75" thickBot="1" x14ac:dyDescent="0.2">
      <c r="B13" s="231" t="s">
        <v>103</v>
      </c>
      <c r="C13" s="231">
        <f>STDEV(C3:C10)</f>
        <v>2.3904572186687871</v>
      </c>
      <c r="D13" s="231">
        <f>STDEV(D3:D10)</f>
        <v>2.3904572186687871</v>
      </c>
      <c r="P13" s="242">
        <v>4</v>
      </c>
      <c r="Q13" s="249">
        <f>M7</f>
        <v>0</v>
      </c>
      <c r="R13" s="250">
        <f>N7</f>
        <v>3</v>
      </c>
    </row>
    <row r="14" spans="2:18" ht="12.75" thickBot="1" x14ac:dyDescent="0.2">
      <c r="F14" s="231" t="s">
        <v>289</v>
      </c>
      <c r="P14" s="235" t="s">
        <v>284</v>
      </c>
      <c r="Q14" s="232" t="s">
        <v>281</v>
      </c>
      <c r="R14" s="236" t="s">
        <v>282</v>
      </c>
    </row>
    <row r="15" spans="2:18" ht="12.75" thickBot="1" x14ac:dyDescent="0.2">
      <c r="C15" s="231" t="s">
        <v>276</v>
      </c>
      <c r="D15" s="231" t="s">
        <v>277</v>
      </c>
      <c r="F15" s="232"/>
      <c r="G15" s="233" t="s">
        <v>276</v>
      </c>
      <c r="H15" s="234" t="s">
        <v>277</v>
      </c>
      <c r="I15" s="233" t="s">
        <v>276</v>
      </c>
      <c r="J15" s="234" t="s">
        <v>277</v>
      </c>
      <c r="K15" s="233" t="s">
        <v>276</v>
      </c>
      <c r="L15" s="234" t="s">
        <v>277</v>
      </c>
      <c r="M15" s="233" t="s">
        <v>276</v>
      </c>
      <c r="N15" s="234" t="s">
        <v>277</v>
      </c>
      <c r="P15" s="240">
        <v>1</v>
      </c>
      <c r="Q15" s="251">
        <f>G8</f>
        <v>0</v>
      </c>
      <c r="R15" s="241">
        <f>H8</f>
        <v>1.4142135623730951</v>
      </c>
    </row>
    <row r="16" spans="2:18" x14ac:dyDescent="0.15">
      <c r="C16" s="231">
        <f t="shared" ref="C16:D23" si="2">C3/C$13</f>
        <v>-1.2549900398011133</v>
      </c>
      <c r="D16" s="231">
        <f t="shared" si="2"/>
        <v>0.41833001326703778</v>
      </c>
      <c r="F16" s="237">
        <v>1</v>
      </c>
      <c r="G16" s="280">
        <f>C16</f>
        <v>-1.2549900398011133</v>
      </c>
      <c r="H16" s="281">
        <f>D16</f>
        <v>0.41833001326703778</v>
      </c>
      <c r="I16" s="280">
        <f>C18</f>
        <v>-0.41833001326703778</v>
      </c>
      <c r="J16" s="281">
        <f>D18</f>
        <v>-1.2549900398011133</v>
      </c>
      <c r="K16" s="280">
        <f>C20</f>
        <v>1.2549900398011133</v>
      </c>
      <c r="L16" s="281">
        <f>D20</f>
        <v>-0.41833001326703778</v>
      </c>
      <c r="M16" s="280">
        <f>C22</f>
        <v>0.41833001326703778</v>
      </c>
      <c r="N16" s="281">
        <f>D22</f>
        <v>1.2549900398011133</v>
      </c>
      <c r="P16" s="240">
        <v>2</v>
      </c>
      <c r="Q16" s="251">
        <f>I8</f>
        <v>1.4142135623730951</v>
      </c>
      <c r="R16" s="241">
        <f>J8</f>
        <v>0</v>
      </c>
    </row>
    <row r="17" spans="3:18" ht="12.75" thickBot="1" x14ac:dyDescent="0.2">
      <c r="C17" s="231">
        <f t="shared" si="2"/>
        <v>-1.2549900398011133</v>
      </c>
      <c r="D17" s="231">
        <f t="shared" si="2"/>
        <v>-0.41833001326703778</v>
      </c>
      <c r="F17" s="243">
        <v>2</v>
      </c>
      <c r="G17" s="282">
        <f>C17</f>
        <v>-1.2549900398011133</v>
      </c>
      <c r="H17" s="283">
        <f>D17</f>
        <v>-0.41833001326703778</v>
      </c>
      <c r="I17" s="282">
        <f>C19</f>
        <v>0.41833001326703778</v>
      </c>
      <c r="J17" s="283">
        <f>D19</f>
        <v>-1.2549900398011133</v>
      </c>
      <c r="K17" s="282">
        <f>C21</f>
        <v>1.2549900398011133</v>
      </c>
      <c r="L17" s="283">
        <f>D21</f>
        <v>0.41833001326703778</v>
      </c>
      <c r="M17" s="282">
        <f>C23</f>
        <v>-0.41833001326703778</v>
      </c>
      <c r="N17" s="283">
        <f>D23</f>
        <v>1.2549900398011133</v>
      </c>
      <c r="P17" s="240">
        <v>2</v>
      </c>
      <c r="Q17" s="251">
        <f>K8</f>
        <v>0</v>
      </c>
      <c r="R17" s="241">
        <f>L8</f>
        <v>1.4142135623730951</v>
      </c>
    </row>
    <row r="18" spans="3:18" ht="12.75" thickBot="1" x14ac:dyDescent="0.2">
      <c r="C18" s="231">
        <f t="shared" si="2"/>
        <v>-0.41833001326703778</v>
      </c>
      <c r="D18" s="231">
        <f t="shared" si="2"/>
        <v>-1.2549900398011133</v>
      </c>
      <c r="P18" s="242">
        <v>3</v>
      </c>
      <c r="Q18" s="252">
        <f>M8</f>
        <v>1.4142135623730951</v>
      </c>
      <c r="R18" s="244">
        <f>N8</f>
        <v>0</v>
      </c>
    </row>
    <row r="19" spans="3:18" x14ac:dyDescent="0.15">
      <c r="C19" s="231">
        <f t="shared" si="2"/>
        <v>0.41833001326703778</v>
      </c>
      <c r="D19" s="231">
        <f t="shared" si="2"/>
        <v>-1.2549900398011133</v>
      </c>
      <c r="F19" s="231" t="s">
        <v>283</v>
      </c>
      <c r="G19" s="231">
        <f t="shared" ref="G19:N19" si="3">AVERAGE(G16:G17)</f>
        <v>-1.2549900398011133</v>
      </c>
      <c r="H19" s="231">
        <f t="shared" si="3"/>
        <v>0</v>
      </c>
      <c r="I19" s="231">
        <f t="shared" si="3"/>
        <v>0</v>
      </c>
      <c r="J19" s="231">
        <f t="shared" si="3"/>
        <v>-1.2549900398011133</v>
      </c>
      <c r="K19" s="231">
        <f t="shared" si="3"/>
        <v>1.2549900398011133</v>
      </c>
      <c r="L19" s="231">
        <f t="shared" si="3"/>
        <v>0</v>
      </c>
      <c r="M19" s="231">
        <f t="shared" si="3"/>
        <v>0</v>
      </c>
      <c r="N19" s="231">
        <f t="shared" si="3"/>
        <v>1.2549900398011133</v>
      </c>
    </row>
    <row r="20" spans="3:18" x14ac:dyDescent="0.15">
      <c r="C20" s="231">
        <f t="shared" si="2"/>
        <v>1.2549900398011133</v>
      </c>
      <c r="D20" s="231">
        <f t="shared" si="2"/>
        <v>-0.41833001326703778</v>
      </c>
      <c r="F20" s="231" t="s">
        <v>103</v>
      </c>
      <c r="G20" s="231">
        <f t="shared" ref="G20:N20" si="4">STDEV(G16:G17)</f>
        <v>0</v>
      </c>
      <c r="H20" s="231">
        <f t="shared" si="4"/>
        <v>0.59160797830996159</v>
      </c>
      <c r="I20" s="231">
        <f t="shared" si="4"/>
        <v>0.59160797830996159</v>
      </c>
      <c r="J20" s="231">
        <f t="shared" si="4"/>
        <v>0</v>
      </c>
      <c r="K20" s="231">
        <f t="shared" si="4"/>
        <v>0</v>
      </c>
      <c r="L20" s="231">
        <f t="shared" si="4"/>
        <v>0.59160797830996159</v>
      </c>
      <c r="M20" s="231">
        <f t="shared" si="4"/>
        <v>0.59160797830996159</v>
      </c>
      <c r="N20" s="231">
        <f t="shared" si="4"/>
        <v>0</v>
      </c>
    </row>
    <row r="21" spans="3:18" x14ac:dyDescent="0.15">
      <c r="C21" s="231">
        <f t="shared" si="2"/>
        <v>1.2549900398011133</v>
      </c>
      <c r="D21" s="231">
        <f t="shared" si="2"/>
        <v>0.41833001326703778</v>
      </c>
    </row>
    <row r="22" spans="3:18" x14ac:dyDescent="0.15">
      <c r="C22" s="231">
        <f t="shared" si="2"/>
        <v>0.41833001326703778</v>
      </c>
      <c r="D22" s="231">
        <f t="shared" si="2"/>
        <v>1.2549900398011133</v>
      </c>
      <c r="G22" s="231">
        <f>SQRT((G16-G17)^2+(H16-H17)^2)/2</f>
        <v>0.41833001326703778</v>
      </c>
      <c r="I22" s="231">
        <f>SQRT((I16-I17)^2+(J16-J17)^2)/2</f>
        <v>0.41833001326703778</v>
      </c>
      <c r="K22" s="231">
        <f>SQRT((K16-K17)^2+(L16-L17)^2)/2</f>
        <v>0.41833001326703778</v>
      </c>
      <c r="M22" s="231">
        <f>SQRT((M16-M17)^2+(N16-N17)^2)/2</f>
        <v>0.41833001326703778</v>
      </c>
    </row>
    <row r="23" spans="3:18" x14ac:dyDescent="0.15">
      <c r="C23" s="231">
        <f t="shared" si="2"/>
        <v>-0.41833001326703778</v>
      </c>
      <c r="D23" s="231">
        <f t="shared" si="2"/>
        <v>1.2549900398011133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92161" r:id="rId4">
          <objectPr defaultSize="0" autoPict="0" r:id="rId5">
            <anchor moveWithCells="1">
              <from>
                <xdr:col>18</xdr:col>
                <xdr:colOff>180975</xdr:colOff>
                <xdr:row>1</xdr:row>
                <xdr:rowOff>142875</xdr:rowOff>
              </from>
              <to>
                <xdr:col>22</xdr:col>
                <xdr:colOff>352425</xdr:colOff>
                <xdr:row>21</xdr:row>
                <xdr:rowOff>114300</xdr:rowOff>
              </to>
            </anchor>
          </objectPr>
        </oleObject>
      </mc:Choice>
      <mc:Fallback>
        <oleObject progId="Paint.Picture" shapeId="92161" r:id="rId4"/>
      </mc:Fallback>
    </mc:AlternateContent>
    <mc:AlternateContent xmlns:mc="http://schemas.openxmlformats.org/markup-compatibility/2006">
      <mc:Choice Requires="x14">
        <oleObject progId="Paint.Picture" shapeId="92162" r:id="rId6">
          <objectPr defaultSize="0" autoPict="0" r:id="rId7">
            <anchor moveWithCells="1">
              <from>
                <xdr:col>18</xdr:col>
                <xdr:colOff>200025</xdr:colOff>
                <xdr:row>22</xdr:row>
                <xdr:rowOff>66675</xdr:rowOff>
              </from>
              <to>
                <xdr:col>22</xdr:col>
                <xdr:colOff>371475</xdr:colOff>
                <xdr:row>32</xdr:row>
                <xdr:rowOff>9525</xdr:rowOff>
              </to>
            </anchor>
          </objectPr>
        </oleObject>
      </mc:Choice>
      <mc:Fallback>
        <oleObject progId="Paint.Picture" shapeId="92162" r:id="rId6"/>
      </mc:Fallback>
    </mc:AlternateContent>
    <mc:AlternateContent xmlns:mc="http://schemas.openxmlformats.org/markup-compatibility/2006">
      <mc:Choice Requires="x14">
        <oleObject progId="Paint.Picture" shapeId="92163" r:id="rId8">
          <objectPr defaultSize="0" r:id="rId9">
            <anchor moveWithCells="1">
              <from>
                <xdr:col>5</xdr:col>
                <xdr:colOff>66675</xdr:colOff>
                <xdr:row>23</xdr:row>
                <xdr:rowOff>0</xdr:rowOff>
              </from>
              <to>
                <xdr:col>10</xdr:col>
                <xdr:colOff>104775</xdr:colOff>
                <xdr:row>39</xdr:row>
                <xdr:rowOff>47625</xdr:rowOff>
              </to>
            </anchor>
          </objectPr>
        </oleObject>
      </mc:Choice>
      <mc:Fallback>
        <oleObject progId="Paint.Picture" shapeId="92163" r:id="rId8"/>
      </mc:Fallback>
    </mc:AlternateContent>
    <mc:AlternateContent xmlns:mc="http://schemas.openxmlformats.org/markup-compatibility/2006">
      <mc:Choice Requires="x14">
        <oleObject progId="Paint.Picture" shapeId="92164" r:id="rId10">
          <objectPr defaultSize="0" autoPict="0" r:id="rId11">
            <anchor moveWithCells="1">
              <from>
                <xdr:col>10</xdr:col>
                <xdr:colOff>371475</xdr:colOff>
                <xdr:row>23</xdr:row>
                <xdr:rowOff>38100</xdr:rowOff>
              </from>
              <to>
                <xdr:col>16</xdr:col>
                <xdr:colOff>104775</xdr:colOff>
                <xdr:row>42</xdr:row>
                <xdr:rowOff>47625</xdr:rowOff>
              </to>
            </anchor>
          </objectPr>
        </oleObject>
      </mc:Choice>
      <mc:Fallback>
        <oleObject progId="Paint.Picture" shapeId="92164" r:id="rId10"/>
      </mc:Fallback>
    </mc:AlternateContent>
  </oleObjec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53E1-3BCF-4CF8-BC35-CDB99C9F501A}">
  <dimension ref="B1:R23"/>
  <sheetViews>
    <sheetView zoomScale="75" workbookViewId="0"/>
  </sheetViews>
  <sheetFormatPr defaultColWidth="6.625" defaultRowHeight="12" x14ac:dyDescent="0.15"/>
  <cols>
    <col min="1" max="1" width="2.625" style="231" customWidth="1"/>
    <col min="2" max="256" width="6.625" style="231"/>
    <col min="257" max="257" width="2.625" style="231" customWidth="1"/>
    <col min="258" max="512" width="6.625" style="231"/>
    <col min="513" max="513" width="2.625" style="231" customWidth="1"/>
    <col min="514" max="768" width="6.625" style="231"/>
    <col min="769" max="769" width="2.625" style="231" customWidth="1"/>
    <col min="770" max="1024" width="6.625" style="231"/>
    <col min="1025" max="1025" width="2.625" style="231" customWidth="1"/>
    <col min="1026" max="1280" width="6.625" style="231"/>
    <col min="1281" max="1281" width="2.625" style="231" customWidth="1"/>
    <col min="1282" max="1536" width="6.625" style="231"/>
    <col min="1537" max="1537" width="2.625" style="231" customWidth="1"/>
    <col min="1538" max="1792" width="6.625" style="231"/>
    <col min="1793" max="1793" width="2.625" style="231" customWidth="1"/>
    <col min="1794" max="2048" width="6.625" style="231"/>
    <col min="2049" max="2049" width="2.625" style="231" customWidth="1"/>
    <col min="2050" max="2304" width="6.625" style="231"/>
    <col min="2305" max="2305" width="2.625" style="231" customWidth="1"/>
    <col min="2306" max="2560" width="6.625" style="231"/>
    <col min="2561" max="2561" width="2.625" style="231" customWidth="1"/>
    <col min="2562" max="2816" width="6.625" style="231"/>
    <col min="2817" max="2817" width="2.625" style="231" customWidth="1"/>
    <col min="2818" max="3072" width="6.625" style="231"/>
    <col min="3073" max="3073" width="2.625" style="231" customWidth="1"/>
    <col min="3074" max="3328" width="6.625" style="231"/>
    <col min="3329" max="3329" width="2.625" style="231" customWidth="1"/>
    <col min="3330" max="3584" width="6.625" style="231"/>
    <col min="3585" max="3585" width="2.625" style="231" customWidth="1"/>
    <col min="3586" max="3840" width="6.625" style="231"/>
    <col min="3841" max="3841" width="2.625" style="231" customWidth="1"/>
    <col min="3842" max="4096" width="6.625" style="231"/>
    <col min="4097" max="4097" width="2.625" style="231" customWidth="1"/>
    <col min="4098" max="4352" width="6.625" style="231"/>
    <col min="4353" max="4353" width="2.625" style="231" customWidth="1"/>
    <col min="4354" max="4608" width="6.625" style="231"/>
    <col min="4609" max="4609" width="2.625" style="231" customWidth="1"/>
    <col min="4610" max="4864" width="6.625" style="231"/>
    <col min="4865" max="4865" width="2.625" style="231" customWidth="1"/>
    <col min="4866" max="5120" width="6.625" style="231"/>
    <col min="5121" max="5121" width="2.625" style="231" customWidth="1"/>
    <col min="5122" max="5376" width="6.625" style="231"/>
    <col min="5377" max="5377" width="2.625" style="231" customWidth="1"/>
    <col min="5378" max="5632" width="6.625" style="231"/>
    <col min="5633" max="5633" width="2.625" style="231" customWidth="1"/>
    <col min="5634" max="5888" width="6.625" style="231"/>
    <col min="5889" max="5889" width="2.625" style="231" customWidth="1"/>
    <col min="5890" max="6144" width="6.625" style="231"/>
    <col min="6145" max="6145" width="2.625" style="231" customWidth="1"/>
    <col min="6146" max="6400" width="6.625" style="231"/>
    <col min="6401" max="6401" width="2.625" style="231" customWidth="1"/>
    <col min="6402" max="6656" width="6.625" style="231"/>
    <col min="6657" max="6657" width="2.625" style="231" customWidth="1"/>
    <col min="6658" max="6912" width="6.625" style="231"/>
    <col min="6913" max="6913" width="2.625" style="231" customWidth="1"/>
    <col min="6914" max="7168" width="6.625" style="231"/>
    <col min="7169" max="7169" width="2.625" style="231" customWidth="1"/>
    <col min="7170" max="7424" width="6.625" style="231"/>
    <col min="7425" max="7425" width="2.625" style="231" customWidth="1"/>
    <col min="7426" max="7680" width="6.625" style="231"/>
    <col min="7681" max="7681" width="2.625" style="231" customWidth="1"/>
    <col min="7682" max="7936" width="6.625" style="231"/>
    <col min="7937" max="7937" width="2.625" style="231" customWidth="1"/>
    <col min="7938" max="8192" width="6.625" style="231"/>
    <col min="8193" max="8193" width="2.625" style="231" customWidth="1"/>
    <col min="8194" max="8448" width="6.625" style="231"/>
    <col min="8449" max="8449" width="2.625" style="231" customWidth="1"/>
    <col min="8450" max="8704" width="6.625" style="231"/>
    <col min="8705" max="8705" width="2.625" style="231" customWidth="1"/>
    <col min="8706" max="8960" width="6.625" style="231"/>
    <col min="8961" max="8961" width="2.625" style="231" customWidth="1"/>
    <col min="8962" max="9216" width="6.625" style="231"/>
    <col min="9217" max="9217" width="2.625" style="231" customWidth="1"/>
    <col min="9218" max="9472" width="6.625" style="231"/>
    <col min="9473" max="9473" width="2.625" style="231" customWidth="1"/>
    <col min="9474" max="9728" width="6.625" style="231"/>
    <col min="9729" max="9729" width="2.625" style="231" customWidth="1"/>
    <col min="9730" max="9984" width="6.625" style="231"/>
    <col min="9985" max="9985" width="2.625" style="231" customWidth="1"/>
    <col min="9986" max="10240" width="6.625" style="231"/>
    <col min="10241" max="10241" width="2.625" style="231" customWidth="1"/>
    <col min="10242" max="10496" width="6.625" style="231"/>
    <col min="10497" max="10497" width="2.625" style="231" customWidth="1"/>
    <col min="10498" max="10752" width="6.625" style="231"/>
    <col min="10753" max="10753" width="2.625" style="231" customWidth="1"/>
    <col min="10754" max="11008" width="6.625" style="231"/>
    <col min="11009" max="11009" width="2.625" style="231" customWidth="1"/>
    <col min="11010" max="11264" width="6.625" style="231"/>
    <col min="11265" max="11265" width="2.625" style="231" customWidth="1"/>
    <col min="11266" max="11520" width="6.625" style="231"/>
    <col min="11521" max="11521" width="2.625" style="231" customWidth="1"/>
    <col min="11522" max="11776" width="6.625" style="231"/>
    <col min="11777" max="11777" width="2.625" style="231" customWidth="1"/>
    <col min="11778" max="12032" width="6.625" style="231"/>
    <col min="12033" max="12033" width="2.625" style="231" customWidth="1"/>
    <col min="12034" max="12288" width="6.625" style="231"/>
    <col min="12289" max="12289" width="2.625" style="231" customWidth="1"/>
    <col min="12290" max="12544" width="6.625" style="231"/>
    <col min="12545" max="12545" width="2.625" style="231" customWidth="1"/>
    <col min="12546" max="12800" width="6.625" style="231"/>
    <col min="12801" max="12801" width="2.625" style="231" customWidth="1"/>
    <col min="12802" max="13056" width="6.625" style="231"/>
    <col min="13057" max="13057" width="2.625" style="231" customWidth="1"/>
    <col min="13058" max="13312" width="6.625" style="231"/>
    <col min="13313" max="13313" width="2.625" style="231" customWidth="1"/>
    <col min="13314" max="13568" width="6.625" style="231"/>
    <col min="13569" max="13569" width="2.625" style="231" customWidth="1"/>
    <col min="13570" max="13824" width="6.625" style="231"/>
    <col min="13825" max="13825" width="2.625" style="231" customWidth="1"/>
    <col min="13826" max="14080" width="6.625" style="231"/>
    <col min="14081" max="14081" width="2.625" style="231" customWidth="1"/>
    <col min="14082" max="14336" width="6.625" style="231"/>
    <col min="14337" max="14337" width="2.625" style="231" customWidth="1"/>
    <col min="14338" max="14592" width="6.625" style="231"/>
    <col min="14593" max="14593" width="2.625" style="231" customWidth="1"/>
    <col min="14594" max="14848" width="6.625" style="231"/>
    <col min="14849" max="14849" width="2.625" style="231" customWidth="1"/>
    <col min="14850" max="15104" width="6.625" style="231"/>
    <col min="15105" max="15105" width="2.625" style="231" customWidth="1"/>
    <col min="15106" max="15360" width="6.625" style="231"/>
    <col min="15361" max="15361" width="2.625" style="231" customWidth="1"/>
    <col min="15362" max="15616" width="6.625" style="231"/>
    <col min="15617" max="15617" width="2.625" style="231" customWidth="1"/>
    <col min="15618" max="15872" width="6.625" style="231"/>
    <col min="15873" max="15873" width="2.625" style="231" customWidth="1"/>
    <col min="15874" max="16128" width="6.625" style="231"/>
    <col min="16129" max="16129" width="2.625" style="231" customWidth="1"/>
    <col min="16130" max="16384" width="6.625" style="231"/>
  </cols>
  <sheetData>
    <row r="1" spans="2:18" ht="12.75" thickBot="1" x14ac:dyDescent="0.2"/>
    <row r="2" spans="2:18" ht="12.75" thickBot="1" x14ac:dyDescent="0.2">
      <c r="B2" s="232"/>
      <c r="C2" s="233" t="s">
        <v>276</v>
      </c>
      <c r="D2" s="234" t="s">
        <v>277</v>
      </c>
      <c r="F2" s="231" t="s">
        <v>290</v>
      </c>
    </row>
    <row r="3" spans="2:18" ht="12.75" thickBot="1" x14ac:dyDescent="0.2">
      <c r="B3" s="237">
        <v>1</v>
      </c>
      <c r="C3" s="238">
        <v>-3</v>
      </c>
      <c r="D3" s="239">
        <v>1</v>
      </c>
      <c r="F3" s="232"/>
      <c r="G3" s="233" t="s">
        <v>276</v>
      </c>
      <c r="H3" s="234" t="s">
        <v>277</v>
      </c>
      <c r="I3" s="233" t="s">
        <v>276</v>
      </c>
      <c r="J3" s="234" t="s">
        <v>277</v>
      </c>
      <c r="K3" s="233" t="s">
        <v>276</v>
      </c>
      <c r="L3" s="234" t="s">
        <v>277</v>
      </c>
      <c r="M3" s="233" t="s">
        <v>276</v>
      </c>
      <c r="N3" s="234" t="s">
        <v>277</v>
      </c>
      <c r="P3" s="235" t="s">
        <v>278</v>
      </c>
      <c r="Q3" s="232" t="s">
        <v>279</v>
      </c>
      <c r="R3" s="236" t="s">
        <v>280</v>
      </c>
    </row>
    <row r="4" spans="2:18" x14ac:dyDescent="0.15">
      <c r="B4" s="237">
        <v>2</v>
      </c>
      <c r="C4" s="238">
        <v>-3</v>
      </c>
      <c r="D4" s="239">
        <v>-1</v>
      </c>
      <c r="F4" s="237">
        <v>1</v>
      </c>
      <c r="G4" s="238">
        <v>-1</v>
      </c>
      <c r="H4" s="239">
        <v>-3</v>
      </c>
      <c r="I4" s="238">
        <v>3</v>
      </c>
      <c r="J4" s="239">
        <v>-1</v>
      </c>
      <c r="K4" s="238">
        <v>1</v>
      </c>
      <c r="L4" s="239">
        <v>3</v>
      </c>
      <c r="M4" s="238">
        <v>-3</v>
      </c>
      <c r="N4" s="239">
        <v>1</v>
      </c>
      <c r="P4" s="240">
        <v>1</v>
      </c>
      <c r="Q4" s="237">
        <v>2</v>
      </c>
      <c r="R4" s="241">
        <f>G10</f>
        <v>1.4142135623730951</v>
      </c>
    </row>
    <row r="5" spans="2:18" ht="12.75" thickBot="1" x14ac:dyDescent="0.2">
      <c r="B5" s="237">
        <v>3</v>
      </c>
      <c r="C5" s="238">
        <v>-1</v>
      </c>
      <c r="D5" s="239">
        <v>-3</v>
      </c>
      <c r="F5" s="243">
        <v>2</v>
      </c>
      <c r="G5" s="245">
        <v>-3</v>
      </c>
      <c r="H5" s="246">
        <v>-1</v>
      </c>
      <c r="I5" s="245">
        <v>1</v>
      </c>
      <c r="J5" s="246">
        <v>-3</v>
      </c>
      <c r="K5" s="245">
        <v>3</v>
      </c>
      <c r="L5" s="246">
        <v>1</v>
      </c>
      <c r="M5" s="245">
        <v>-1</v>
      </c>
      <c r="N5" s="246">
        <v>3</v>
      </c>
      <c r="P5" s="240">
        <v>2</v>
      </c>
      <c r="Q5" s="237">
        <v>2</v>
      </c>
      <c r="R5" s="241">
        <f>I10</f>
        <v>1.4142135623730951</v>
      </c>
    </row>
    <row r="6" spans="2:18" x14ac:dyDescent="0.15">
      <c r="B6" s="237">
        <v>4</v>
      </c>
      <c r="C6" s="238">
        <v>1</v>
      </c>
      <c r="D6" s="239">
        <v>-3</v>
      </c>
      <c r="P6" s="240">
        <v>3</v>
      </c>
      <c r="Q6" s="237">
        <v>2</v>
      </c>
      <c r="R6" s="241">
        <f>K10</f>
        <v>1.4142135623730951</v>
      </c>
    </row>
    <row r="7" spans="2:18" ht="12.75" thickBot="1" x14ac:dyDescent="0.2">
      <c r="B7" s="237">
        <v>5</v>
      </c>
      <c r="C7" s="238">
        <v>3</v>
      </c>
      <c r="D7" s="239">
        <v>-1</v>
      </c>
      <c r="F7" s="231" t="s">
        <v>283</v>
      </c>
      <c r="G7" s="231">
        <f t="shared" ref="G7:N7" si="0">AVERAGE(G4:G5)</f>
        <v>-2</v>
      </c>
      <c r="H7" s="231">
        <f t="shared" si="0"/>
        <v>-2</v>
      </c>
      <c r="I7" s="231">
        <f t="shared" si="0"/>
        <v>2</v>
      </c>
      <c r="J7" s="231">
        <f t="shared" si="0"/>
        <v>-2</v>
      </c>
      <c r="K7" s="231">
        <f t="shared" si="0"/>
        <v>2</v>
      </c>
      <c r="L7" s="231">
        <f t="shared" si="0"/>
        <v>2</v>
      </c>
      <c r="M7" s="231">
        <f t="shared" si="0"/>
        <v>-2</v>
      </c>
      <c r="N7" s="231">
        <f t="shared" si="0"/>
        <v>2</v>
      </c>
      <c r="P7" s="242">
        <v>4</v>
      </c>
      <c r="Q7" s="243">
        <v>2</v>
      </c>
      <c r="R7" s="244">
        <f>M10</f>
        <v>1.4142135623730951</v>
      </c>
    </row>
    <row r="8" spans="2:18" ht="12.75" thickBot="1" x14ac:dyDescent="0.2">
      <c r="B8" s="237">
        <v>6</v>
      </c>
      <c r="C8" s="238">
        <v>3</v>
      </c>
      <c r="D8" s="239">
        <v>1</v>
      </c>
      <c r="F8" s="231" t="s">
        <v>103</v>
      </c>
      <c r="G8" s="231">
        <f t="shared" ref="G8:N8" si="1">STDEV(G4:G5)</f>
        <v>1.4142135623730951</v>
      </c>
      <c r="H8" s="231">
        <f t="shared" si="1"/>
        <v>1.4142135623730951</v>
      </c>
      <c r="I8" s="231">
        <f t="shared" si="1"/>
        <v>1.4142135623730951</v>
      </c>
      <c r="J8" s="231">
        <f t="shared" si="1"/>
        <v>1.4142135623730951</v>
      </c>
      <c r="K8" s="231">
        <f t="shared" si="1"/>
        <v>1.4142135623730951</v>
      </c>
      <c r="L8" s="231">
        <f t="shared" si="1"/>
        <v>1.4142135623730951</v>
      </c>
      <c r="M8" s="231">
        <f t="shared" si="1"/>
        <v>1.4142135623730951</v>
      </c>
      <c r="N8" s="231">
        <f t="shared" si="1"/>
        <v>1.4142135623730951</v>
      </c>
    </row>
    <row r="9" spans="2:18" ht="12.75" thickBot="1" x14ac:dyDescent="0.2">
      <c r="B9" s="237">
        <v>7</v>
      </c>
      <c r="C9" s="238">
        <v>1</v>
      </c>
      <c r="D9" s="239">
        <v>3</v>
      </c>
      <c r="P9" s="235" t="s">
        <v>11</v>
      </c>
      <c r="Q9" s="232" t="s">
        <v>281</v>
      </c>
      <c r="R9" s="236" t="s">
        <v>282</v>
      </c>
    </row>
    <row r="10" spans="2:18" ht="12.75" thickBot="1" x14ac:dyDescent="0.2">
      <c r="B10" s="243">
        <v>8</v>
      </c>
      <c r="C10" s="245">
        <v>-1</v>
      </c>
      <c r="D10" s="246">
        <v>3</v>
      </c>
      <c r="G10" s="231">
        <f>SQRT((G4-G5)^2+(H4-H5)^2)/2</f>
        <v>1.4142135623730951</v>
      </c>
      <c r="I10" s="231">
        <f>SQRT((I4-I5)^2+(J4-J5)^2)/2</f>
        <v>1.4142135623730951</v>
      </c>
      <c r="K10" s="231">
        <f>SQRT((K4-K5)^2+(L4-L5)^2)/2</f>
        <v>1.4142135623730951</v>
      </c>
      <c r="M10" s="231">
        <f>SQRT((M4-M5)^2+(N4-N5)^2)/2</f>
        <v>1.4142135623730951</v>
      </c>
      <c r="P10" s="240">
        <v>1</v>
      </c>
      <c r="Q10" s="247">
        <f>G7</f>
        <v>-2</v>
      </c>
      <c r="R10" s="248">
        <f>H7</f>
        <v>-2</v>
      </c>
    </row>
    <row r="11" spans="2:18" x14ac:dyDescent="0.15">
      <c r="P11" s="240">
        <v>2</v>
      </c>
      <c r="Q11" s="247">
        <f>I7</f>
        <v>2</v>
      </c>
      <c r="R11" s="248">
        <f>J7</f>
        <v>-2</v>
      </c>
    </row>
    <row r="12" spans="2:18" x14ac:dyDescent="0.15">
      <c r="B12" s="231" t="s">
        <v>283</v>
      </c>
      <c r="C12" s="231">
        <f>AVERAGE(C3:C10)</f>
        <v>0</v>
      </c>
      <c r="D12" s="231">
        <f>AVERAGE(D3:D10)</f>
        <v>0</v>
      </c>
      <c r="P12" s="240">
        <v>3</v>
      </c>
      <c r="Q12" s="247">
        <f>K7</f>
        <v>2</v>
      </c>
      <c r="R12" s="248">
        <f>L7</f>
        <v>2</v>
      </c>
    </row>
    <row r="13" spans="2:18" ht="12.75" thickBot="1" x14ac:dyDescent="0.2">
      <c r="B13" s="231" t="s">
        <v>103</v>
      </c>
      <c r="C13" s="231">
        <f>STDEV(C3:C10)</f>
        <v>2.3904572186687871</v>
      </c>
      <c r="D13" s="231">
        <f>STDEV(D3:D10)</f>
        <v>2.3904572186687871</v>
      </c>
      <c r="P13" s="242">
        <v>4</v>
      </c>
      <c r="Q13" s="249">
        <f>M7</f>
        <v>-2</v>
      </c>
      <c r="R13" s="250">
        <f>N7</f>
        <v>2</v>
      </c>
    </row>
    <row r="14" spans="2:18" ht="12.75" thickBot="1" x14ac:dyDescent="0.2">
      <c r="F14" s="231" t="s">
        <v>290</v>
      </c>
      <c r="P14" s="235" t="s">
        <v>284</v>
      </c>
      <c r="Q14" s="232" t="s">
        <v>281</v>
      </c>
      <c r="R14" s="236" t="s">
        <v>282</v>
      </c>
    </row>
    <row r="15" spans="2:18" ht="12.75" thickBot="1" x14ac:dyDescent="0.2">
      <c r="C15" s="231" t="s">
        <v>276</v>
      </c>
      <c r="D15" s="231" t="s">
        <v>277</v>
      </c>
      <c r="F15" s="232"/>
      <c r="G15" s="233" t="s">
        <v>276</v>
      </c>
      <c r="H15" s="234" t="s">
        <v>277</v>
      </c>
      <c r="I15" s="233" t="s">
        <v>276</v>
      </c>
      <c r="J15" s="234" t="s">
        <v>277</v>
      </c>
      <c r="K15" s="233" t="s">
        <v>276</v>
      </c>
      <c r="L15" s="234" t="s">
        <v>277</v>
      </c>
      <c r="M15" s="233" t="s">
        <v>276</v>
      </c>
      <c r="N15" s="234" t="s">
        <v>277</v>
      </c>
      <c r="P15" s="240">
        <v>1</v>
      </c>
      <c r="Q15" s="251">
        <f>G8</f>
        <v>1.4142135623730951</v>
      </c>
      <c r="R15" s="241">
        <f>H8</f>
        <v>1.4142135623730951</v>
      </c>
    </row>
    <row r="16" spans="2:18" x14ac:dyDescent="0.15">
      <c r="C16" s="231">
        <f t="shared" ref="C16:D23" si="2">C3/C$13</f>
        <v>-1.2549900398011133</v>
      </c>
      <c r="D16" s="231">
        <f t="shared" si="2"/>
        <v>0.41833001326703778</v>
      </c>
      <c r="F16" s="237">
        <v>1</v>
      </c>
      <c r="G16" s="280">
        <f>C18</f>
        <v>-0.41833001326703778</v>
      </c>
      <c r="H16" s="281">
        <f>D18</f>
        <v>-1.2549900398011133</v>
      </c>
      <c r="I16" s="280">
        <f>C20</f>
        <v>1.2549900398011133</v>
      </c>
      <c r="J16" s="281">
        <f>D20</f>
        <v>-0.41833001326703778</v>
      </c>
      <c r="K16" s="280">
        <f>C22</f>
        <v>0.41833001326703778</v>
      </c>
      <c r="L16" s="281">
        <f>D22</f>
        <v>1.2549900398011133</v>
      </c>
      <c r="M16" s="280">
        <f>C16</f>
        <v>-1.2549900398011133</v>
      </c>
      <c r="N16" s="281">
        <f>D16</f>
        <v>0.41833001326703778</v>
      </c>
      <c r="P16" s="240">
        <v>2</v>
      </c>
      <c r="Q16" s="251">
        <f>I8</f>
        <v>1.4142135623730951</v>
      </c>
      <c r="R16" s="241">
        <f>J8</f>
        <v>1.4142135623730951</v>
      </c>
    </row>
    <row r="17" spans="3:18" ht="12.75" thickBot="1" x14ac:dyDescent="0.2">
      <c r="C17" s="231">
        <f t="shared" si="2"/>
        <v>-1.2549900398011133</v>
      </c>
      <c r="D17" s="231">
        <f t="shared" si="2"/>
        <v>-0.41833001326703778</v>
      </c>
      <c r="F17" s="243">
        <v>2</v>
      </c>
      <c r="G17" s="282">
        <f>C17</f>
        <v>-1.2549900398011133</v>
      </c>
      <c r="H17" s="283">
        <f>D17</f>
        <v>-0.41833001326703778</v>
      </c>
      <c r="I17" s="282">
        <f>C19</f>
        <v>0.41833001326703778</v>
      </c>
      <c r="J17" s="283">
        <f>D19</f>
        <v>-1.2549900398011133</v>
      </c>
      <c r="K17" s="282">
        <f>C21</f>
        <v>1.2549900398011133</v>
      </c>
      <c r="L17" s="283">
        <f>D21</f>
        <v>0.41833001326703778</v>
      </c>
      <c r="M17" s="282">
        <f>C23</f>
        <v>-0.41833001326703778</v>
      </c>
      <c r="N17" s="283">
        <f>D23</f>
        <v>1.2549900398011133</v>
      </c>
      <c r="P17" s="240">
        <v>2</v>
      </c>
      <c r="Q17" s="251">
        <f>K8</f>
        <v>1.4142135623730951</v>
      </c>
      <c r="R17" s="241">
        <f>L8</f>
        <v>1.4142135623730951</v>
      </c>
    </row>
    <row r="18" spans="3:18" ht="12.75" thickBot="1" x14ac:dyDescent="0.2">
      <c r="C18" s="231">
        <f t="shared" si="2"/>
        <v>-0.41833001326703778</v>
      </c>
      <c r="D18" s="231">
        <f t="shared" si="2"/>
        <v>-1.2549900398011133</v>
      </c>
      <c r="P18" s="242">
        <v>3</v>
      </c>
      <c r="Q18" s="252">
        <f>M8</f>
        <v>1.4142135623730951</v>
      </c>
      <c r="R18" s="244">
        <f>N8</f>
        <v>1.4142135623730951</v>
      </c>
    </row>
    <row r="19" spans="3:18" x14ac:dyDescent="0.15">
      <c r="C19" s="231">
        <f t="shared" si="2"/>
        <v>0.41833001326703778</v>
      </c>
      <c r="D19" s="231">
        <f t="shared" si="2"/>
        <v>-1.2549900398011133</v>
      </c>
      <c r="F19" s="231" t="s">
        <v>283</v>
      </c>
      <c r="G19" s="231">
        <f t="shared" ref="G19:N19" si="3">AVERAGE(G16:G17)</f>
        <v>-0.83666002653407556</v>
      </c>
      <c r="H19" s="231">
        <f t="shared" si="3"/>
        <v>-0.83666002653407556</v>
      </c>
      <c r="I19" s="231">
        <f t="shared" si="3"/>
        <v>0.83666002653407556</v>
      </c>
      <c r="J19" s="231">
        <f t="shared" si="3"/>
        <v>-0.83666002653407556</v>
      </c>
      <c r="K19" s="231">
        <f t="shared" si="3"/>
        <v>0.83666002653407556</v>
      </c>
      <c r="L19" s="231">
        <f t="shared" si="3"/>
        <v>0.83666002653407556</v>
      </c>
      <c r="M19" s="231">
        <f t="shared" si="3"/>
        <v>-0.83666002653407556</v>
      </c>
      <c r="N19" s="231">
        <f t="shared" si="3"/>
        <v>0.83666002653407556</v>
      </c>
    </row>
    <row r="20" spans="3:18" x14ac:dyDescent="0.15">
      <c r="C20" s="231">
        <f t="shared" si="2"/>
        <v>1.2549900398011133</v>
      </c>
      <c r="D20" s="231">
        <f t="shared" si="2"/>
        <v>-0.41833001326703778</v>
      </c>
      <c r="F20" s="231" t="s">
        <v>103</v>
      </c>
      <c r="G20" s="231">
        <f t="shared" ref="G20:N20" si="4">STDEV(G16:G17)</f>
        <v>0.59160797830996148</v>
      </c>
      <c r="H20" s="231">
        <f t="shared" si="4"/>
        <v>0.59160797830996148</v>
      </c>
      <c r="I20" s="231">
        <f t="shared" si="4"/>
        <v>0.59160797830996148</v>
      </c>
      <c r="J20" s="231">
        <f t="shared" si="4"/>
        <v>0.59160797830996148</v>
      </c>
      <c r="K20" s="231">
        <f t="shared" si="4"/>
        <v>0.59160797830996148</v>
      </c>
      <c r="L20" s="231">
        <f t="shared" si="4"/>
        <v>0.59160797830996148</v>
      </c>
      <c r="M20" s="231">
        <f t="shared" si="4"/>
        <v>0.59160797830996148</v>
      </c>
      <c r="N20" s="231">
        <f t="shared" si="4"/>
        <v>0.59160797830996148</v>
      </c>
    </row>
    <row r="21" spans="3:18" x14ac:dyDescent="0.15">
      <c r="C21" s="231">
        <f t="shared" si="2"/>
        <v>1.2549900398011133</v>
      </c>
      <c r="D21" s="231">
        <f t="shared" si="2"/>
        <v>0.41833001326703778</v>
      </c>
    </row>
    <row r="22" spans="3:18" x14ac:dyDescent="0.15">
      <c r="C22" s="231">
        <f t="shared" si="2"/>
        <v>0.41833001326703778</v>
      </c>
      <c r="D22" s="231">
        <f t="shared" si="2"/>
        <v>1.2549900398011133</v>
      </c>
      <c r="G22" s="231">
        <f>SQRT((G16-G17)^2+(H16-H17)^2)/2</f>
        <v>0.59160797830996159</v>
      </c>
      <c r="I22" s="231">
        <f>SQRT((I16-I17)^2+(J16-J17)^2)/2</f>
        <v>0.59160797830996159</v>
      </c>
      <c r="K22" s="231">
        <f>SQRT((K16-K17)^2+(L16-L17)^2)/2</f>
        <v>0.59160797830996159</v>
      </c>
      <c r="M22" s="231">
        <f>SQRT((M16-M17)^2+(N16-N17)^2)/2</f>
        <v>0.59160797830996159</v>
      </c>
    </row>
    <row r="23" spans="3:18" x14ac:dyDescent="0.15">
      <c r="C23" s="231">
        <f t="shared" si="2"/>
        <v>-0.41833001326703778</v>
      </c>
      <c r="D23" s="231">
        <f t="shared" si="2"/>
        <v>1.2549900398011133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93185" r:id="rId4">
          <objectPr defaultSize="0" r:id="rId5">
            <anchor moveWithCells="1">
              <from>
                <xdr:col>5</xdr:col>
                <xdr:colOff>66675</xdr:colOff>
                <xdr:row>23</xdr:row>
                <xdr:rowOff>0</xdr:rowOff>
              </from>
              <to>
                <xdr:col>10</xdr:col>
                <xdr:colOff>104775</xdr:colOff>
                <xdr:row>39</xdr:row>
                <xdr:rowOff>47625</xdr:rowOff>
              </to>
            </anchor>
          </objectPr>
        </oleObject>
      </mc:Choice>
      <mc:Fallback>
        <oleObject progId="Paint.Picture" shapeId="93185" r:id="rId4"/>
      </mc:Fallback>
    </mc:AlternateContent>
    <mc:AlternateContent xmlns:mc="http://schemas.openxmlformats.org/markup-compatibility/2006">
      <mc:Choice Requires="x14">
        <oleObject progId="Paint.Picture" shapeId="93186" r:id="rId6">
          <objectPr defaultSize="0" autoPict="0" r:id="rId7">
            <anchor moveWithCells="1">
              <from>
                <xdr:col>18</xdr:col>
                <xdr:colOff>219075</xdr:colOff>
                <xdr:row>2</xdr:row>
                <xdr:rowOff>28575</xdr:rowOff>
              </from>
              <to>
                <xdr:col>23</xdr:col>
                <xdr:colOff>123825</xdr:colOff>
                <xdr:row>24</xdr:row>
                <xdr:rowOff>66675</xdr:rowOff>
              </to>
            </anchor>
          </objectPr>
        </oleObject>
      </mc:Choice>
      <mc:Fallback>
        <oleObject progId="Paint.Picture" shapeId="93186" r:id="rId6"/>
      </mc:Fallback>
    </mc:AlternateContent>
    <mc:AlternateContent xmlns:mc="http://schemas.openxmlformats.org/markup-compatibility/2006">
      <mc:Choice Requires="x14">
        <oleObject progId="Paint.Picture" shapeId="93187" r:id="rId8">
          <objectPr defaultSize="0" autoPict="0" r:id="rId9">
            <anchor moveWithCells="1">
              <from>
                <xdr:col>18</xdr:col>
                <xdr:colOff>238125</xdr:colOff>
                <xdr:row>24</xdr:row>
                <xdr:rowOff>142875</xdr:rowOff>
              </from>
              <to>
                <xdr:col>22</xdr:col>
                <xdr:colOff>428625</xdr:colOff>
                <xdr:row>35</xdr:row>
                <xdr:rowOff>114300</xdr:rowOff>
              </to>
            </anchor>
          </objectPr>
        </oleObject>
      </mc:Choice>
      <mc:Fallback>
        <oleObject progId="Paint.Picture" shapeId="93187" r:id="rId8"/>
      </mc:Fallback>
    </mc:AlternateContent>
    <mc:AlternateContent xmlns:mc="http://schemas.openxmlformats.org/markup-compatibility/2006">
      <mc:Choice Requires="x14">
        <oleObject progId="Paint.Picture" shapeId="93188" r:id="rId10">
          <objectPr defaultSize="0" autoPict="0" r:id="rId11">
            <anchor moveWithCells="1">
              <from>
                <xdr:col>10</xdr:col>
                <xdr:colOff>266700</xdr:colOff>
                <xdr:row>23</xdr:row>
                <xdr:rowOff>9525</xdr:rowOff>
              </from>
              <to>
                <xdr:col>16</xdr:col>
                <xdr:colOff>257175</xdr:colOff>
                <xdr:row>44</xdr:row>
                <xdr:rowOff>28575</xdr:rowOff>
              </to>
            </anchor>
          </objectPr>
        </oleObject>
      </mc:Choice>
      <mc:Fallback>
        <oleObject progId="Paint.Picture" shapeId="93188" r:id="rId10"/>
      </mc:Fallback>
    </mc:AlternateContent>
  </oleObjec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7B03-355A-421A-B09A-7731F649E5F6}">
  <dimension ref="A1:D16"/>
  <sheetViews>
    <sheetView zoomScaleNormal="100" workbookViewId="0"/>
  </sheetViews>
  <sheetFormatPr defaultColWidth="6.625" defaultRowHeight="13.5" x14ac:dyDescent="0.15"/>
  <cols>
    <col min="1" max="1" width="8" style="37" customWidth="1"/>
    <col min="2" max="2" width="12.25" style="37" customWidth="1"/>
    <col min="3" max="3" width="10.25" style="37" customWidth="1"/>
    <col min="4" max="4" width="14.25" style="37" customWidth="1"/>
    <col min="5" max="7" width="14.25" style="5" customWidth="1"/>
    <col min="8" max="222" width="6.625" style="5"/>
    <col min="223" max="235" width="8.75" style="5" customWidth="1"/>
    <col min="236" max="478" width="6.625" style="5"/>
    <col min="479" max="491" width="8.75" style="5" customWidth="1"/>
    <col min="492" max="734" width="6.625" style="5"/>
    <col min="735" max="747" width="8.75" style="5" customWidth="1"/>
    <col min="748" max="990" width="6.625" style="5"/>
    <col min="991" max="1003" width="8.75" style="5" customWidth="1"/>
    <col min="1004" max="1246" width="6.625" style="5"/>
    <col min="1247" max="1259" width="8.75" style="5" customWidth="1"/>
    <col min="1260" max="1502" width="6.625" style="5"/>
    <col min="1503" max="1515" width="8.75" style="5" customWidth="1"/>
    <col min="1516" max="1758" width="6.625" style="5"/>
    <col min="1759" max="1771" width="8.75" style="5" customWidth="1"/>
    <col min="1772" max="2014" width="6.625" style="5"/>
    <col min="2015" max="2027" width="8.75" style="5" customWidth="1"/>
    <col min="2028" max="2270" width="6.625" style="5"/>
    <col min="2271" max="2283" width="8.75" style="5" customWidth="1"/>
    <col min="2284" max="2526" width="6.625" style="5"/>
    <col min="2527" max="2539" width="8.75" style="5" customWidth="1"/>
    <col min="2540" max="2782" width="6.625" style="5"/>
    <col min="2783" max="2795" width="8.75" style="5" customWidth="1"/>
    <col min="2796" max="3038" width="6.625" style="5"/>
    <col min="3039" max="3051" width="8.75" style="5" customWidth="1"/>
    <col min="3052" max="3294" width="6.625" style="5"/>
    <col min="3295" max="3307" width="8.75" style="5" customWidth="1"/>
    <col min="3308" max="3550" width="6.625" style="5"/>
    <col min="3551" max="3563" width="8.75" style="5" customWidth="1"/>
    <col min="3564" max="3806" width="6.625" style="5"/>
    <col min="3807" max="3819" width="8.75" style="5" customWidth="1"/>
    <col min="3820" max="4062" width="6.625" style="5"/>
    <col min="4063" max="4075" width="8.75" style="5" customWidth="1"/>
    <col min="4076" max="4318" width="6.625" style="5"/>
    <col min="4319" max="4331" width="8.75" style="5" customWidth="1"/>
    <col min="4332" max="4574" width="6.625" style="5"/>
    <col min="4575" max="4587" width="8.75" style="5" customWidth="1"/>
    <col min="4588" max="4830" width="6.625" style="5"/>
    <col min="4831" max="4843" width="8.75" style="5" customWidth="1"/>
    <col min="4844" max="5086" width="6.625" style="5"/>
    <col min="5087" max="5099" width="8.75" style="5" customWidth="1"/>
    <col min="5100" max="5342" width="6.625" style="5"/>
    <col min="5343" max="5355" width="8.75" style="5" customWidth="1"/>
    <col min="5356" max="5598" width="6.625" style="5"/>
    <col min="5599" max="5611" width="8.75" style="5" customWidth="1"/>
    <col min="5612" max="5854" width="6.625" style="5"/>
    <col min="5855" max="5867" width="8.75" style="5" customWidth="1"/>
    <col min="5868" max="6110" width="6.625" style="5"/>
    <col min="6111" max="6123" width="8.75" style="5" customWidth="1"/>
    <col min="6124" max="6366" width="6.625" style="5"/>
    <col min="6367" max="6379" width="8.75" style="5" customWidth="1"/>
    <col min="6380" max="6622" width="6.625" style="5"/>
    <col min="6623" max="6635" width="8.75" style="5" customWidth="1"/>
    <col min="6636" max="6878" width="6.625" style="5"/>
    <col min="6879" max="6891" width="8.75" style="5" customWidth="1"/>
    <col min="6892" max="7134" width="6.625" style="5"/>
    <col min="7135" max="7147" width="8.75" style="5" customWidth="1"/>
    <col min="7148" max="7390" width="6.625" style="5"/>
    <col min="7391" max="7403" width="8.75" style="5" customWidth="1"/>
    <col min="7404" max="7646" width="6.625" style="5"/>
    <col min="7647" max="7659" width="8.75" style="5" customWidth="1"/>
    <col min="7660" max="7902" width="6.625" style="5"/>
    <col min="7903" max="7915" width="8.75" style="5" customWidth="1"/>
    <col min="7916" max="8158" width="6.625" style="5"/>
    <col min="8159" max="8171" width="8.75" style="5" customWidth="1"/>
    <col min="8172" max="8414" width="6.625" style="5"/>
    <col min="8415" max="8427" width="8.75" style="5" customWidth="1"/>
    <col min="8428" max="8670" width="6.625" style="5"/>
    <col min="8671" max="8683" width="8.75" style="5" customWidth="1"/>
    <col min="8684" max="8926" width="6.625" style="5"/>
    <col min="8927" max="8939" width="8.75" style="5" customWidth="1"/>
    <col min="8940" max="9182" width="6.625" style="5"/>
    <col min="9183" max="9195" width="8.75" style="5" customWidth="1"/>
    <col min="9196" max="9438" width="6.625" style="5"/>
    <col min="9439" max="9451" width="8.75" style="5" customWidth="1"/>
    <col min="9452" max="9694" width="6.625" style="5"/>
    <col min="9695" max="9707" width="8.75" style="5" customWidth="1"/>
    <col min="9708" max="9950" width="6.625" style="5"/>
    <col min="9951" max="9963" width="8.75" style="5" customWidth="1"/>
    <col min="9964" max="10206" width="6.625" style="5"/>
    <col min="10207" max="10219" width="8.75" style="5" customWidth="1"/>
    <col min="10220" max="10462" width="6.625" style="5"/>
    <col min="10463" max="10475" width="8.75" style="5" customWidth="1"/>
    <col min="10476" max="10718" width="6.625" style="5"/>
    <col min="10719" max="10731" width="8.75" style="5" customWidth="1"/>
    <col min="10732" max="10974" width="6.625" style="5"/>
    <col min="10975" max="10987" width="8.75" style="5" customWidth="1"/>
    <col min="10988" max="11230" width="6.625" style="5"/>
    <col min="11231" max="11243" width="8.75" style="5" customWidth="1"/>
    <col min="11244" max="11486" width="6.625" style="5"/>
    <col min="11487" max="11499" width="8.75" style="5" customWidth="1"/>
    <col min="11500" max="11742" width="6.625" style="5"/>
    <col min="11743" max="11755" width="8.75" style="5" customWidth="1"/>
    <col min="11756" max="11998" width="6.625" style="5"/>
    <col min="11999" max="12011" width="8.75" style="5" customWidth="1"/>
    <col min="12012" max="12254" width="6.625" style="5"/>
    <col min="12255" max="12267" width="8.75" style="5" customWidth="1"/>
    <col min="12268" max="12510" width="6.625" style="5"/>
    <col min="12511" max="12523" width="8.75" style="5" customWidth="1"/>
    <col min="12524" max="12766" width="6.625" style="5"/>
    <col min="12767" max="12779" width="8.75" style="5" customWidth="1"/>
    <col min="12780" max="13022" width="6.625" style="5"/>
    <col min="13023" max="13035" width="8.75" style="5" customWidth="1"/>
    <col min="13036" max="13278" width="6.625" style="5"/>
    <col min="13279" max="13291" width="8.75" style="5" customWidth="1"/>
    <col min="13292" max="13534" width="6.625" style="5"/>
    <col min="13535" max="13547" width="8.75" style="5" customWidth="1"/>
    <col min="13548" max="13790" width="6.625" style="5"/>
    <col min="13791" max="13803" width="8.75" style="5" customWidth="1"/>
    <col min="13804" max="14046" width="6.625" style="5"/>
    <col min="14047" max="14059" width="8.75" style="5" customWidth="1"/>
    <col min="14060" max="14302" width="6.625" style="5"/>
    <col min="14303" max="14315" width="8.75" style="5" customWidth="1"/>
    <col min="14316" max="14558" width="6.625" style="5"/>
    <col min="14559" max="14571" width="8.75" style="5" customWidth="1"/>
    <col min="14572" max="14814" width="6.625" style="5"/>
    <col min="14815" max="14827" width="8.75" style="5" customWidth="1"/>
    <col min="14828" max="15070" width="6.625" style="5"/>
    <col min="15071" max="15083" width="8.75" style="5" customWidth="1"/>
    <col min="15084" max="15326" width="6.625" style="5"/>
    <col min="15327" max="15339" width="8.75" style="5" customWidth="1"/>
    <col min="15340" max="15582" width="6.625" style="5"/>
    <col min="15583" max="15595" width="8.75" style="5" customWidth="1"/>
    <col min="15596" max="15838" width="6.625" style="5"/>
    <col min="15839" max="15851" width="8.75" style="5" customWidth="1"/>
    <col min="15852" max="16094" width="6.625" style="5"/>
    <col min="16095" max="16107" width="8.75" style="5" customWidth="1"/>
    <col min="16108" max="16384" width="6.625" style="5"/>
  </cols>
  <sheetData>
    <row r="1" spans="1:4" ht="14.25" thickBot="1" x14ac:dyDescent="0.2">
      <c r="A1" s="152"/>
      <c r="B1" s="153" t="s">
        <v>296</v>
      </c>
      <c r="C1" s="153" t="s">
        <v>303</v>
      </c>
      <c r="D1" s="157" t="s">
        <v>304</v>
      </c>
    </row>
    <row r="2" spans="1:4" x14ac:dyDescent="0.15">
      <c r="A2" s="284">
        <v>1</v>
      </c>
      <c r="B2" s="149" t="s">
        <v>297</v>
      </c>
      <c r="C2" s="149" t="s">
        <v>300</v>
      </c>
      <c r="D2" s="285" t="s">
        <v>305</v>
      </c>
    </row>
    <row r="3" spans="1:4" x14ac:dyDescent="0.15">
      <c r="A3" s="228">
        <v>2</v>
      </c>
      <c r="B3" s="42" t="s">
        <v>298</v>
      </c>
      <c r="C3" s="42" t="s">
        <v>300</v>
      </c>
      <c r="D3" s="286" t="s">
        <v>305</v>
      </c>
    </row>
    <row r="4" spans="1:4" x14ac:dyDescent="0.15">
      <c r="A4" s="228">
        <v>3</v>
      </c>
      <c r="B4" s="42" t="s">
        <v>297</v>
      </c>
      <c r="C4" s="42" t="s">
        <v>300</v>
      </c>
      <c r="D4" s="286" t="s">
        <v>306</v>
      </c>
    </row>
    <row r="5" spans="1:4" x14ac:dyDescent="0.15">
      <c r="A5" s="228">
        <v>4</v>
      </c>
      <c r="B5" s="42" t="s">
        <v>297</v>
      </c>
      <c r="C5" s="42" t="s">
        <v>300</v>
      </c>
      <c r="D5" s="286" t="s">
        <v>306</v>
      </c>
    </row>
    <row r="6" spans="1:4" x14ac:dyDescent="0.15">
      <c r="A6" s="228">
        <v>5</v>
      </c>
      <c r="B6" s="42" t="s">
        <v>298</v>
      </c>
      <c r="C6" s="42" t="s">
        <v>300</v>
      </c>
      <c r="D6" s="286" t="s">
        <v>307</v>
      </c>
    </row>
    <row r="7" spans="1:4" x14ac:dyDescent="0.15">
      <c r="A7" s="228">
        <v>6</v>
      </c>
      <c r="B7" s="42" t="s">
        <v>298</v>
      </c>
      <c r="C7" s="42" t="s">
        <v>300</v>
      </c>
      <c r="D7" s="286" t="s">
        <v>307</v>
      </c>
    </row>
    <row r="8" spans="1:4" x14ac:dyDescent="0.15">
      <c r="A8" s="228">
        <v>7</v>
      </c>
      <c r="B8" s="42" t="s">
        <v>298</v>
      </c>
      <c r="C8" s="42" t="s">
        <v>301</v>
      </c>
      <c r="D8" s="286" t="s">
        <v>305</v>
      </c>
    </row>
    <row r="9" spans="1:4" x14ac:dyDescent="0.15">
      <c r="A9" s="228">
        <v>8</v>
      </c>
      <c r="B9" s="42" t="s">
        <v>298</v>
      </c>
      <c r="C9" s="42" t="s">
        <v>301</v>
      </c>
      <c r="D9" s="286" t="s">
        <v>305</v>
      </c>
    </row>
    <row r="10" spans="1:4" x14ac:dyDescent="0.15">
      <c r="A10" s="228">
        <v>9</v>
      </c>
      <c r="B10" s="42" t="s">
        <v>298</v>
      </c>
      <c r="C10" s="42" t="s">
        <v>301</v>
      </c>
      <c r="D10" s="286" t="s">
        <v>305</v>
      </c>
    </row>
    <row r="11" spans="1:4" x14ac:dyDescent="0.15">
      <c r="A11" s="228">
        <v>10</v>
      </c>
      <c r="B11" s="42" t="s">
        <v>297</v>
      </c>
      <c r="C11" s="42" t="s">
        <v>301</v>
      </c>
      <c r="D11" s="286" t="s">
        <v>306</v>
      </c>
    </row>
    <row r="12" spans="1:4" x14ac:dyDescent="0.15">
      <c r="A12" s="228">
        <v>11</v>
      </c>
      <c r="B12" s="42" t="s">
        <v>297</v>
      </c>
      <c r="C12" s="42" t="s">
        <v>301</v>
      </c>
      <c r="D12" s="286" t="s">
        <v>306</v>
      </c>
    </row>
    <row r="13" spans="1:4" x14ac:dyDescent="0.15">
      <c r="A13" s="228">
        <v>12</v>
      </c>
      <c r="B13" s="42" t="s">
        <v>298</v>
      </c>
      <c r="C13" s="42" t="s">
        <v>301</v>
      </c>
      <c r="D13" s="286" t="s">
        <v>307</v>
      </c>
    </row>
    <row r="14" spans="1:4" x14ac:dyDescent="0.15">
      <c r="A14" s="228">
        <v>13</v>
      </c>
      <c r="B14" s="42" t="s">
        <v>297</v>
      </c>
      <c r="C14" s="42" t="s">
        <v>301</v>
      </c>
      <c r="D14" s="286" t="s">
        <v>307</v>
      </c>
    </row>
    <row r="15" spans="1:4" x14ac:dyDescent="0.15">
      <c r="A15" s="228">
        <v>14</v>
      </c>
      <c r="B15" s="42" t="s">
        <v>297</v>
      </c>
      <c r="C15" s="42" t="s">
        <v>301</v>
      </c>
      <c r="D15" s="286" t="s">
        <v>307</v>
      </c>
    </row>
    <row r="16" spans="1:4" ht="14.25" thickBot="1" x14ac:dyDescent="0.2">
      <c r="A16" s="229">
        <v>15</v>
      </c>
      <c r="B16" s="145" t="s">
        <v>299</v>
      </c>
      <c r="C16" s="145" t="s">
        <v>302</v>
      </c>
      <c r="D16" s="287" t="s">
        <v>307</v>
      </c>
    </row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0682-86D5-4BD3-AF7F-F3AAE43A3241}">
  <dimension ref="A1:C31"/>
  <sheetViews>
    <sheetView zoomScaleNormal="100" workbookViewId="0"/>
  </sheetViews>
  <sheetFormatPr defaultColWidth="6.625" defaultRowHeight="13.5" x14ac:dyDescent="0.15"/>
  <cols>
    <col min="1" max="220" width="6.625" style="5"/>
    <col min="221" max="233" width="8.75" style="5" customWidth="1"/>
    <col min="234" max="476" width="6.625" style="5"/>
    <col min="477" max="489" width="8.75" style="5" customWidth="1"/>
    <col min="490" max="732" width="6.625" style="5"/>
    <col min="733" max="745" width="8.75" style="5" customWidth="1"/>
    <col min="746" max="988" width="6.625" style="5"/>
    <col min="989" max="1001" width="8.75" style="5" customWidth="1"/>
    <col min="1002" max="1244" width="6.625" style="5"/>
    <col min="1245" max="1257" width="8.75" style="5" customWidth="1"/>
    <col min="1258" max="1500" width="6.625" style="5"/>
    <col min="1501" max="1513" width="8.75" style="5" customWidth="1"/>
    <col min="1514" max="1756" width="6.625" style="5"/>
    <col min="1757" max="1769" width="8.75" style="5" customWidth="1"/>
    <col min="1770" max="2012" width="6.625" style="5"/>
    <col min="2013" max="2025" width="8.75" style="5" customWidth="1"/>
    <col min="2026" max="2268" width="6.625" style="5"/>
    <col min="2269" max="2281" width="8.75" style="5" customWidth="1"/>
    <col min="2282" max="2524" width="6.625" style="5"/>
    <col min="2525" max="2537" width="8.75" style="5" customWidth="1"/>
    <col min="2538" max="2780" width="6.625" style="5"/>
    <col min="2781" max="2793" width="8.75" style="5" customWidth="1"/>
    <col min="2794" max="3036" width="6.625" style="5"/>
    <col min="3037" max="3049" width="8.75" style="5" customWidth="1"/>
    <col min="3050" max="3292" width="6.625" style="5"/>
    <col min="3293" max="3305" width="8.75" style="5" customWidth="1"/>
    <col min="3306" max="3548" width="6.625" style="5"/>
    <col min="3549" max="3561" width="8.75" style="5" customWidth="1"/>
    <col min="3562" max="3804" width="6.625" style="5"/>
    <col min="3805" max="3817" width="8.75" style="5" customWidth="1"/>
    <col min="3818" max="4060" width="6.625" style="5"/>
    <col min="4061" max="4073" width="8.75" style="5" customWidth="1"/>
    <col min="4074" max="4316" width="6.625" style="5"/>
    <col min="4317" max="4329" width="8.75" style="5" customWidth="1"/>
    <col min="4330" max="4572" width="6.625" style="5"/>
    <col min="4573" max="4585" width="8.75" style="5" customWidth="1"/>
    <col min="4586" max="4828" width="6.625" style="5"/>
    <col min="4829" max="4841" width="8.75" style="5" customWidth="1"/>
    <col min="4842" max="5084" width="6.625" style="5"/>
    <col min="5085" max="5097" width="8.75" style="5" customWidth="1"/>
    <col min="5098" max="5340" width="6.625" style="5"/>
    <col min="5341" max="5353" width="8.75" style="5" customWidth="1"/>
    <col min="5354" max="5596" width="6.625" style="5"/>
    <col min="5597" max="5609" width="8.75" style="5" customWidth="1"/>
    <col min="5610" max="5852" width="6.625" style="5"/>
    <col min="5853" max="5865" width="8.75" style="5" customWidth="1"/>
    <col min="5866" max="6108" width="6.625" style="5"/>
    <col min="6109" max="6121" width="8.75" style="5" customWidth="1"/>
    <col min="6122" max="6364" width="6.625" style="5"/>
    <col min="6365" max="6377" width="8.75" style="5" customWidth="1"/>
    <col min="6378" max="6620" width="6.625" style="5"/>
    <col min="6621" max="6633" width="8.75" style="5" customWidth="1"/>
    <col min="6634" max="6876" width="6.625" style="5"/>
    <col min="6877" max="6889" width="8.75" style="5" customWidth="1"/>
    <col min="6890" max="7132" width="6.625" style="5"/>
    <col min="7133" max="7145" width="8.75" style="5" customWidth="1"/>
    <col min="7146" max="7388" width="6.625" style="5"/>
    <col min="7389" max="7401" width="8.75" style="5" customWidth="1"/>
    <col min="7402" max="7644" width="6.625" style="5"/>
    <col min="7645" max="7657" width="8.75" style="5" customWidth="1"/>
    <col min="7658" max="7900" width="6.625" style="5"/>
    <col min="7901" max="7913" width="8.75" style="5" customWidth="1"/>
    <col min="7914" max="8156" width="6.625" style="5"/>
    <col min="8157" max="8169" width="8.75" style="5" customWidth="1"/>
    <col min="8170" max="8412" width="6.625" style="5"/>
    <col min="8413" max="8425" width="8.75" style="5" customWidth="1"/>
    <col min="8426" max="8668" width="6.625" style="5"/>
    <col min="8669" max="8681" width="8.75" style="5" customWidth="1"/>
    <col min="8682" max="8924" width="6.625" style="5"/>
    <col min="8925" max="8937" width="8.75" style="5" customWidth="1"/>
    <col min="8938" max="9180" width="6.625" style="5"/>
    <col min="9181" max="9193" width="8.75" style="5" customWidth="1"/>
    <col min="9194" max="9436" width="6.625" style="5"/>
    <col min="9437" max="9449" width="8.75" style="5" customWidth="1"/>
    <col min="9450" max="9692" width="6.625" style="5"/>
    <col min="9693" max="9705" width="8.75" style="5" customWidth="1"/>
    <col min="9706" max="9948" width="6.625" style="5"/>
    <col min="9949" max="9961" width="8.75" style="5" customWidth="1"/>
    <col min="9962" max="10204" width="6.625" style="5"/>
    <col min="10205" max="10217" width="8.75" style="5" customWidth="1"/>
    <col min="10218" max="10460" width="6.625" style="5"/>
    <col min="10461" max="10473" width="8.75" style="5" customWidth="1"/>
    <col min="10474" max="10716" width="6.625" style="5"/>
    <col min="10717" max="10729" width="8.75" style="5" customWidth="1"/>
    <col min="10730" max="10972" width="6.625" style="5"/>
    <col min="10973" max="10985" width="8.75" style="5" customWidth="1"/>
    <col min="10986" max="11228" width="6.625" style="5"/>
    <col min="11229" max="11241" width="8.75" style="5" customWidth="1"/>
    <col min="11242" max="11484" width="6.625" style="5"/>
    <col min="11485" max="11497" width="8.75" style="5" customWidth="1"/>
    <col min="11498" max="11740" width="6.625" style="5"/>
    <col min="11741" max="11753" width="8.75" style="5" customWidth="1"/>
    <col min="11754" max="11996" width="6.625" style="5"/>
    <col min="11997" max="12009" width="8.75" style="5" customWidth="1"/>
    <col min="12010" max="12252" width="6.625" style="5"/>
    <col min="12253" max="12265" width="8.75" style="5" customWidth="1"/>
    <col min="12266" max="12508" width="6.625" style="5"/>
    <col min="12509" max="12521" width="8.75" style="5" customWidth="1"/>
    <col min="12522" max="12764" width="6.625" style="5"/>
    <col min="12765" max="12777" width="8.75" style="5" customWidth="1"/>
    <col min="12778" max="13020" width="6.625" style="5"/>
    <col min="13021" max="13033" width="8.75" style="5" customWidth="1"/>
    <col min="13034" max="13276" width="6.625" style="5"/>
    <col min="13277" max="13289" width="8.75" style="5" customWidth="1"/>
    <col min="13290" max="13532" width="6.625" style="5"/>
    <col min="13533" max="13545" width="8.75" style="5" customWidth="1"/>
    <col min="13546" max="13788" width="6.625" style="5"/>
    <col min="13789" max="13801" width="8.75" style="5" customWidth="1"/>
    <col min="13802" max="14044" width="6.625" style="5"/>
    <col min="14045" max="14057" width="8.75" style="5" customWidth="1"/>
    <col min="14058" max="14300" width="6.625" style="5"/>
    <col min="14301" max="14313" width="8.75" style="5" customWidth="1"/>
    <col min="14314" max="14556" width="6.625" style="5"/>
    <col min="14557" max="14569" width="8.75" style="5" customWidth="1"/>
    <col min="14570" max="14812" width="6.625" style="5"/>
    <col min="14813" max="14825" width="8.75" style="5" customWidth="1"/>
    <col min="14826" max="15068" width="6.625" style="5"/>
    <col min="15069" max="15081" width="8.75" style="5" customWidth="1"/>
    <col min="15082" max="15324" width="6.625" style="5"/>
    <col min="15325" max="15337" width="8.75" style="5" customWidth="1"/>
    <col min="15338" max="15580" width="6.625" style="5"/>
    <col min="15581" max="15593" width="8.75" style="5" customWidth="1"/>
    <col min="15594" max="15836" width="6.625" style="5"/>
    <col min="15837" max="15849" width="8.75" style="5" customWidth="1"/>
    <col min="15850" max="16092" width="6.625" style="5"/>
    <col min="16093" max="16105" width="8.75" style="5" customWidth="1"/>
    <col min="16106" max="16384" width="6.625" style="5"/>
  </cols>
  <sheetData>
    <row r="1" spans="1:3" x14ac:dyDescent="0.15">
      <c r="A1" s="175" t="s">
        <v>291</v>
      </c>
      <c r="B1" s="175" t="s">
        <v>292</v>
      </c>
      <c r="C1" s="175" t="s">
        <v>293</v>
      </c>
    </row>
    <row r="2" spans="1:3" x14ac:dyDescent="0.15">
      <c r="A2" s="175">
        <v>1.4</v>
      </c>
      <c r="B2" s="175">
        <v>0.2</v>
      </c>
      <c r="C2" s="175" t="s">
        <v>294</v>
      </c>
    </row>
    <row r="3" spans="1:3" x14ac:dyDescent="0.15">
      <c r="A3" s="175">
        <v>1.4</v>
      </c>
      <c r="B3" s="175">
        <v>0.2</v>
      </c>
      <c r="C3" s="175" t="s">
        <v>294</v>
      </c>
    </row>
    <row r="4" spans="1:3" x14ac:dyDescent="0.15">
      <c r="A4" s="175">
        <v>1.3</v>
      </c>
      <c r="B4" s="175">
        <v>0.2</v>
      </c>
      <c r="C4" s="175" t="s">
        <v>294</v>
      </c>
    </row>
    <row r="5" spans="1:3" x14ac:dyDescent="0.15">
      <c r="A5" s="175">
        <v>1.5</v>
      </c>
      <c r="B5" s="175">
        <v>0.2</v>
      </c>
      <c r="C5" s="175" t="s">
        <v>294</v>
      </c>
    </row>
    <row r="6" spans="1:3" x14ac:dyDescent="0.15">
      <c r="A6" s="175">
        <v>1.4</v>
      </c>
      <c r="B6" s="175">
        <v>0.2</v>
      </c>
      <c r="C6" s="175" t="s">
        <v>294</v>
      </c>
    </row>
    <row r="7" spans="1:3" x14ac:dyDescent="0.15">
      <c r="A7" s="175">
        <v>1.7</v>
      </c>
      <c r="B7" s="175">
        <v>0.4</v>
      </c>
      <c r="C7" s="175" t="s">
        <v>294</v>
      </c>
    </row>
    <row r="8" spans="1:3" x14ac:dyDescent="0.15">
      <c r="A8" s="175">
        <v>1.4</v>
      </c>
      <c r="B8" s="175">
        <v>0.3</v>
      </c>
      <c r="C8" s="175" t="s">
        <v>294</v>
      </c>
    </row>
    <row r="9" spans="1:3" x14ac:dyDescent="0.15">
      <c r="A9" s="175">
        <v>1.5</v>
      </c>
      <c r="B9" s="175">
        <v>0.2</v>
      </c>
      <c r="C9" s="175" t="s">
        <v>294</v>
      </c>
    </row>
    <row r="10" spans="1:3" x14ac:dyDescent="0.15">
      <c r="A10" s="175">
        <v>1.4</v>
      </c>
      <c r="B10" s="175">
        <v>0.2</v>
      </c>
      <c r="C10" s="175" t="s">
        <v>294</v>
      </c>
    </row>
    <row r="11" spans="1:3" x14ac:dyDescent="0.15">
      <c r="A11" s="175">
        <v>1.5</v>
      </c>
      <c r="B11" s="175">
        <v>0.1</v>
      </c>
      <c r="C11" s="175" t="s">
        <v>294</v>
      </c>
    </row>
    <row r="12" spans="1:3" x14ac:dyDescent="0.15">
      <c r="A12" s="175">
        <v>1.5</v>
      </c>
      <c r="B12" s="175">
        <v>0.2</v>
      </c>
      <c r="C12" s="175" t="s">
        <v>294</v>
      </c>
    </row>
    <row r="13" spans="1:3" x14ac:dyDescent="0.15">
      <c r="A13" s="175">
        <v>1.6</v>
      </c>
      <c r="B13" s="175">
        <v>0.2</v>
      </c>
      <c r="C13" s="175" t="s">
        <v>294</v>
      </c>
    </row>
    <row r="14" spans="1:3" x14ac:dyDescent="0.15">
      <c r="A14" s="175">
        <v>1.4</v>
      </c>
      <c r="B14" s="175">
        <v>0.1</v>
      </c>
      <c r="C14" s="175" t="s">
        <v>294</v>
      </c>
    </row>
    <row r="15" spans="1:3" x14ac:dyDescent="0.15">
      <c r="A15" s="175">
        <v>1.1000000000000001</v>
      </c>
      <c r="B15" s="175">
        <v>0.1</v>
      </c>
      <c r="C15" s="175" t="s">
        <v>294</v>
      </c>
    </row>
    <row r="16" spans="1:3" x14ac:dyDescent="0.15">
      <c r="A16" s="175">
        <v>1.2</v>
      </c>
      <c r="B16" s="175">
        <v>0.2</v>
      </c>
      <c r="C16" s="175" t="s">
        <v>294</v>
      </c>
    </row>
    <row r="17" spans="1:3" x14ac:dyDescent="0.15">
      <c r="A17" s="175">
        <v>1.4</v>
      </c>
      <c r="B17" s="175">
        <v>0.2</v>
      </c>
      <c r="C17" s="175" t="s">
        <v>295</v>
      </c>
    </row>
    <row r="18" spans="1:3" x14ac:dyDescent="0.15">
      <c r="A18" s="175">
        <v>1.4</v>
      </c>
      <c r="B18" s="175">
        <v>0.2</v>
      </c>
      <c r="C18" s="175" t="s">
        <v>295</v>
      </c>
    </row>
    <row r="19" spans="1:3" x14ac:dyDescent="0.15">
      <c r="A19" s="175">
        <v>1.3</v>
      </c>
      <c r="B19" s="175">
        <v>0.2</v>
      </c>
      <c r="C19" s="175" t="s">
        <v>295</v>
      </c>
    </row>
    <row r="20" spans="1:3" x14ac:dyDescent="0.15">
      <c r="A20" s="175">
        <v>1.5</v>
      </c>
      <c r="B20" s="175">
        <v>0.2</v>
      </c>
      <c r="C20" s="175" t="s">
        <v>295</v>
      </c>
    </row>
    <row r="21" spans="1:3" x14ac:dyDescent="0.15">
      <c r="A21" s="175">
        <v>1.4</v>
      </c>
      <c r="B21" s="175">
        <v>0.2</v>
      </c>
      <c r="C21" s="175" t="s">
        <v>295</v>
      </c>
    </row>
    <row r="22" spans="1:3" x14ac:dyDescent="0.15">
      <c r="A22" s="175">
        <v>1.7</v>
      </c>
      <c r="B22" s="175">
        <v>0.4</v>
      </c>
      <c r="C22" s="175" t="s">
        <v>295</v>
      </c>
    </row>
    <row r="23" spans="1:3" x14ac:dyDescent="0.15">
      <c r="A23" s="175">
        <v>1.4</v>
      </c>
      <c r="B23" s="175">
        <v>0.3</v>
      </c>
      <c r="C23" s="175" t="s">
        <v>295</v>
      </c>
    </row>
    <row r="24" spans="1:3" x14ac:dyDescent="0.15">
      <c r="A24" s="175">
        <v>1.5</v>
      </c>
      <c r="B24" s="175">
        <v>0.2</v>
      </c>
      <c r="C24" s="175" t="s">
        <v>295</v>
      </c>
    </row>
    <row r="25" spans="1:3" x14ac:dyDescent="0.15">
      <c r="A25" s="175">
        <v>1.4</v>
      </c>
      <c r="B25" s="175">
        <v>0.2</v>
      </c>
      <c r="C25" s="175" t="s">
        <v>295</v>
      </c>
    </row>
    <row r="26" spans="1:3" x14ac:dyDescent="0.15">
      <c r="A26" s="175">
        <v>1.5</v>
      </c>
      <c r="B26" s="175">
        <v>0.1</v>
      </c>
      <c r="C26" s="175" t="s">
        <v>295</v>
      </c>
    </row>
    <row r="27" spans="1:3" x14ac:dyDescent="0.15">
      <c r="A27" s="175">
        <v>1.5</v>
      </c>
      <c r="B27" s="175">
        <v>0.2</v>
      </c>
      <c r="C27" s="175" t="s">
        <v>295</v>
      </c>
    </row>
    <row r="28" spans="1:3" x14ac:dyDescent="0.15">
      <c r="A28" s="175">
        <v>1.6</v>
      </c>
      <c r="B28" s="175">
        <v>0.2</v>
      </c>
      <c r="C28" s="175" t="s">
        <v>295</v>
      </c>
    </row>
    <row r="29" spans="1:3" x14ac:dyDescent="0.15">
      <c r="A29" s="175">
        <v>1.4</v>
      </c>
      <c r="B29" s="175">
        <v>0.1</v>
      </c>
      <c r="C29" s="175" t="s">
        <v>295</v>
      </c>
    </row>
    <row r="30" spans="1:3" x14ac:dyDescent="0.15">
      <c r="A30" s="175">
        <v>1.1000000000000001</v>
      </c>
      <c r="B30" s="175">
        <v>0.1</v>
      </c>
      <c r="C30" s="175" t="s">
        <v>295</v>
      </c>
    </row>
    <row r="31" spans="1:3" x14ac:dyDescent="0.15">
      <c r="A31" s="175">
        <v>1.2</v>
      </c>
      <c r="B31" s="175">
        <v>0.2</v>
      </c>
      <c r="C31" s="175" t="s">
        <v>295</v>
      </c>
    </row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F622-2615-40F9-ADB2-B255E00F3432}">
  <dimension ref="A1:L27"/>
  <sheetViews>
    <sheetView zoomScale="90" workbookViewId="0">
      <selection activeCell="B11" sqref="B11"/>
    </sheetView>
  </sheetViews>
  <sheetFormatPr defaultColWidth="6.625" defaultRowHeight="13.5" x14ac:dyDescent="0.15"/>
  <cols>
    <col min="1" max="1" width="17.25" style="5" customWidth="1"/>
    <col min="2" max="2" width="25.5" style="5" customWidth="1"/>
    <col min="3" max="10" width="6.625" style="5"/>
    <col min="11" max="11" width="11.875" style="5" customWidth="1"/>
    <col min="12" max="12" width="16.375" style="5" customWidth="1"/>
    <col min="13" max="220" width="6.625" style="5"/>
    <col min="221" max="233" width="8.75" style="5" customWidth="1"/>
    <col min="234" max="476" width="6.625" style="5"/>
    <col min="477" max="489" width="8.75" style="5" customWidth="1"/>
    <col min="490" max="732" width="6.625" style="5"/>
    <col min="733" max="745" width="8.75" style="5" customWidth="1"/>
    <col min="746" max="988" width="6.625" style="5"/>
    <col min="989" max="1001" width="8.75" style="5" customWidth="1"/>
    <col min="1002" max="1244" width="6.625" style="5"/>
    <col min="1245" max="1257" width="8.75" style="5" customWidth="1"/>
    <col min="1258" max="1500" width="6.625" style="5"/>
    <col min="1501" max="1513" width="8.75" style="5" customWidth="1"/>
    <col min="1514" max="1756" width="6.625" style="5"/>
    <col min="1757" max="1769" width="8.75" style="5" customWidth="1"/>
    <col min="1770" max="2012" width="6.625" style="5"/>
    <col min="2013" max="2025" width="8.75" style="5" customWidth="1"/>
    <col min="2026" max="2268" width="6.625" style="5"/>
    <col min="2269" max="2281" width="8.75" style="5" customWidth="1"/>
    <col min="2282" max="2524" width="6.625" style="5"/>
    <col min="2525" max="2537" width="8.75" style="5" customWidth="1"/>
    <col min="2538" max="2780" width="6.625" style="5"/>
    <col min="2781" max="2793" width="8.75" style="5" customWidth="1"/>
    <col min="2794" max="3036" width="6.625" style="5"/>
    <col min="3037" max="3049" width="8.75" style="5" customWidth="1"/>
    <col min="3050" max="3292" width="6.625" style="5"/>
    <col min="3293" max="3305" width="8.75" style="5" customWidth="1"/>
    <col min="3306" max="3548" width="6.625" style="5"/>
    <col min="3549" max="3561" width="8.75" style="5" customWidth="1"/>
    <col min="3562" max="3804" width="6.625" style="5"/>
    <col min="3805" max="3817" width="8.75" style="5" customWidth="1"/>
    <col min="3818" max="4060" width="6.625" style="5"/>
    <col min="4061" max="4073" width="8.75" style="5" customWidth="1"/>
    <col min="4074" max="4316" width="6.625" style="5"/>
    <col min="4317" max="4329" width="8.75" style="5" customWidth="1"/>
    <col min="4330" max="4572" width="6.625" style="5"/>
    <col min="4573" max="4585" width="8.75" style="5" customWidth="1"/>
    <col min="4586" max="4828" width="6.625" style="5"/>
    <col min="4829" max="4841" width="8.75" style="5" customWidth="1"/>
    <col min="4842" max="5084" width="6.625" style="5"/>
    <col min="5085" max="5097" width="8.75" style="5" customWidth="1"/>
    <col min="5098" max="5340" width="6.625" style="5"/>
    <col min="5341" max="5353" width="8.75" style="5" customWidth="1"/>
    <col min="5354" max="5596" width="6.625" style="5"/>
    <col min="5597" max="5609" width="8.75" style="5" customWidth="1"/>
    <col min="5610" max="5852" width="6.625" style="5"/>
    <col min="5853" max="5865" width="8.75" style="5" customWidth="1"/>
    <col min="5866" max="6108" width="6.625" style="5"/>
    <col min="6109" max="6121" width="8.75" style="5" customWidth="1"/>
    <col min="6122" max="6364" width="6.625" style="5"/>
    <col min="6365" max="6377" width="8.75" style="5" customWidth="1"/>
    <col min="6378" max="6620" width="6.625" style="5"/>
    <col min="6621" max="6633" width="8.75" style="5" customWidth="1"/>
    <col min="6634" max="6876" width="6.625" style="5"/>
    <col min="6877" max="6889" width="8.75" style="5" customWidth="1"/>
    <col min="6890" max="7132" width="6.625" style="5"/>
    <col min="7133" max="7145" width="8.75" style="5" customWidth="1"/>
    <col min="7146" max="7388" width="6.625" style="5"/>
    <col min="7389" max="7401" width="8.75" style="5" customWidth="1"/>
    <col min="7402" max="7644" width="6.625" style="5"/>
    <col min="7645" max="7657" width="8.75" style="5" customWidth="1"/>
    <col min="7658" max="7900" width="6.625" style="5"/>
    <col min="7901" max="7913" width="8.75" style="5" customWidth="1"/>
    <col min="7914" max="8156" width="6.625" style="5"/>
    <col min="8157" max="8169" width="8.75" style="5" customWidth="1"/>
    <col min="8170" max="8412" width="6.625" style="5"/>
    <col min="8413" max="8425" width="8.75" style="5" customWidth="1"/>
    <col min="8426" max="8668" width="6.625" style="5"/>
    <col min="8669" max="8681" width="8.75" style="5" customWidth="1"/>
    <col min="8682" max="8924" width="6.625" style="5"/>
    <col min="8925" max="8937" width="8.75" style="5" customWidth="1"/>
    <col min="8938" max="9180" width="6.625" style="5"/>
    <col min="9181" max="9193" width="8.75" style="5" customWidth="1"/>
    <col min="9194" max="9436" width="6.625" style="5"/>
    <col min="9437" max="9449" width="8.75" style="5" customWidth="1"/>
    <col min="9450" max="9692" width="6.625" style="5"/>
    <col min="9693" max="9705" width="8.75" style="5" customWidth="1"/>
    <col min="9706" max="9948" width="6.625" style="5"/>
    <col min="9949" max="9961" width="8.75" style="5" customWidth="1"/>
    <col min="9962" max="10204" width="6.625" style="5"/>
    <col min="10205" max="10217" width="8.75" style="5" customWidth="1"/>
    <col min="10218" max="10460" width="6.625" style="5"/>
    <col min="10461" max="10473" width="8.75" style="5" customWidth="1"/>
    <col min="10474" max="10716" width="6.625" style="5"/>
    <col min="10717" max="10729" width="8.75" style="5" customWidth="1"/>
    <col min="10730" max="10972" width="6.625" style="5"/>
    <col min="10973" max="10985" width="8.75" style="5" customWidth="1"/>
    <col min="10986" max="11228" width="6.625" style="5"/>
    <col min="11229" max="11241" width="8.75" style="5" customWidth="1"/>
    <col min="11242" max="11484" width="6.625" style="5"/>
    <col min="11485" max="11497" width="8.75" style="5" customWidth="1"/>
    <col min="11498" max="11740" width="6.625" style="5"/>
    <col min="11741" max="11753" width="8.75" style="5" customWidth="1"/>
    <col min="11754" max="11996" width="6.625" style="5"/>
    <col min="11997" max="12009" width="8.75" style="5" customWidth="1"/>
    <col min="12010" max="12252" width="6.625" style="5"/>
    <col min="12253" max="12265" width="8.75" style="5" customWidth="1"/>
    <col min="12266" max="12508" width="6.625" style="5"/>
    <col min="12509" max="12521" width="8.75" style="5" customWidth="1"/>
    <col min="12522" max="12764" width="6.625" style="5"/>
    <col min="12765" max="12777" width="8.75" style="5" customWidth="1"/>
    <col min="12778" max="13020" width="6.625" style="5"/>
    <col min="13021" max="13033" width="8.75" style="5" customWidth="1"/>
    <col min="13034" max="13276" width="6.625" style="5"/>
    <col min="13277" max="13289" width="8.75" style="5" customWidth="1"/>
    <col min="13290" max="13532" width="6.625" style="5"/>
    <col min="13533" max="13545" width="8.75" style="5" customWidth="1"/>
    <col min="13546" max="13788" width="6.625" style="5"/>
    <col min="13789" max="13801" width="8.75" style="5" customWidth="1"/>
    <col min="13802" max="14044" width="6.625" style="5"/>
    <col min="14045" max="14057" width="8.75" style="5" customWidth="1"/>
    <col min="14058" max="14300" width="6.625" style="5"/>
    <col min="14301" max="14313" width="8.75" style="5" customWidth="1"/>
    <col min="14314" max="14556" width="6.625" style="5"/>
    <col min="14557" max="14569" width="8.75" style="5" customWidth="1"/>
    <col min="14570" max="14812" width="6.625" style="5"/>
    <col min="14813" max="14825" width="8.75" style="5" customWidth="1"/>
    <col min="14826" max="15068" width="6.625" style="5"/>
    <col min="15069" max="15081" width="8.75" style="5" customWidth="1"/>
    <col min="15082" max="15324" width="6.625" style="5"/>
    <col min="15325" max="15337" width="8.75" style="5" customWidth="1"/>
    <col min="15338" max="15580" width="6.625" style="5"/>
    <col min="15581" max="15593" width="8.75" style="5" customWidth="1"/>
    <col min="15594" max="15836" width="6.625" style="5"/>
    <col min="15837" max="15849" width="8.75" style="5" customWidth="1"/>
    <col min="15850" max="16092" width="6.625" style="5"/>
    <col min="16093" max="16105" width="8.75" style="5" customWidth="1"/>
    <col min="16106" max="16384" width="6.625" style="5"/>
  </cols>
  <sheetData>
    <row r="1" spans="1:12" ht="20.100000000000001" customHeight="1" thickBot="1" x14ac:dyDescent="0.2">
      <c r="A1" s="37" t="s">
        <v>308</v>
      </c>
      <c r="K1" s="129" t="s">
        <v>309</v>
      </c>
      <c r="L1" s="129"/>
    </row>
    <row r="2" spans="1:12" ht="20.100000000000001" customHeight="1" x14ac:dyDescent="0.15">
      <c r="A2" s="166">
        <v>1</v>
      </c>
      <c r="D2" s="5">
        <f>MEDIAN(A2:A10)</f>
        <v>10</v>
      </c>
      <c r="K2"/>
      <c r="L2"/>
    </row>
    <row r="3" spans="1:12" ht="20.100000000000001" customHeight="1" x14ac:dyDescent="0.15">
      <c r="A3" s="167">
        <v>2</v>
      </c>
      <c r="D3" s="5">
        <f>QUARTILE(A2:A10,0)</f>
        <v>1</v>
      </c>
      <c r="K3" t="s">
        <v>143</v>
      </c>
      <c r="L3">
        <v>9.5555555555555554</v>
      </c>
    </row>
    <row r="4" spans="1:12" ht="20.100000000000001" customHeight="1" x14ac:dyDescent="0.15">
      <c r="A4" s="167">
        <v>5</v>
      </c>
      <c r="D4" s="5">
        <f>QUARTILE(A2:A10,1)</f>
        <v>5</v>
      </c>
      <c r="K4" t="s">
        <v>126</v>
      </c>
      <c r="L4">
        <v>2.1220476949760307</v>
      </c>
    </row>
    <row r="5" spans="1:12" ht="20.100000000000001" customHeight="1" x14ac:dyDescent="0.15">
      <c r="A5" s="167">
        <v>7</v>
      </c>
      <c r="D5" s="5">
        <f>QUARTILE(A2:A10,2)</f>
        <v>10</v>
      </c>
      <c r="K5" t="s">
        <v>144</v>
      </c>
      <c r="L5">
        <v>10</v>
      </c>
    </row>
    <row r="6" spans="1:12" ht="20.100000000000001" customHeight="1" x14ac:dyDescent="0.15">
      <c r="A6" s="167">
        <v>10</v>
      </c>
      <c r="D6" s="5">
        <f>QUARTILE(A2:A10,3)</f>
        <v>14</v>
      </c>
      <c r="K6" t="s">
        <v>145</v>
      </c>
      <c r="L6" t="e">
        <v>#N/A</v>
      </c>
    </row>
    <row r="7" spans="1:12" ht="20.100000000000001" customHeight="1" x14ac:dyDescent="0.15">
      <c r="A7" s="167">
        <v>11</v>
      </c>
      <c r="D7" s="5">
        <f>QUARTILE(A2:A10,4)</f>
        <v>19</v>
      </c>
      <c r="K7" t="s">
        <v>146</v>
      </c>
      <c r="L7">
        <v>6.3661430849280922</v>
      </c>
    </row>
    <row r="8" spans="1:12" ht="20.100000000000001" customHeight="1" x14ac:dyDescent="0.15">
      <c r="A8" s="167">
        <v>14</v>
      </c>
      <c r="D8" s="5">
        <f>PERCENTILE(A2:A10,0.25)</f>
        <v>5</v>
      </c>
      <c r="K8" t="s">
        <v>128</v>
      </c>
      <c r="L8">
        <v>40.527777777777771</v>
      </c>
    </row>
    <row r="9" spans="1:12" ht="20.100000000000001" customHeight="1" x14ac:dyDescent="0.15">
      <c r="A9" s="167">
        <v>17</v>
      </c>
      <c r="D9" s="5">
        <f>SMALL(A2:A10,6)</f>
        <v>11</v>
      </c>
      <c r="K9" t="s">
        <v>147</v>
      </c>
      <c r="L9">
        <v>-1.2263215712318694</v>
      </c>
    </row>
    <row r="10" spans="1:12" ht="20.100000000000001" customHeight="1" thickBot="1" x14ac:dyDescent="0.2">
      <c r="A10" s="168">
        <v>19</v>
      </c>
      <c r="D10" s="5">
        <f>RANK(A5,A2:A10,1)</f>
        <v>4</v>
      </c>
      <c r="K10" t="s">
        <v>148</v>
      </c>
      <c r="L10">
        <v>0.11030889989647905</v>
      </c>
    </row>
    <row r="11" spans="1:12" ht="20.100000000000001" customHeight="1" x14ac:dyDescent="0.15">
      <c r="D11" s="5">
        <f>RANK(A8,A2:A10,0)</f>
        <v>3</v>
      </c>
      <c r="K11" t="s">
        <v>149</v>
      </c>
      <c r="L11">
        <v>18</v>
      </c>
    </row>
    <row r="12" spans="1:12" ht="20.100000000000001" customHeight="1" x14ac:dyDescent="0.15">
      <c r="D12" s="5">
        <f>PERCENTRANK(A2:A10,A8,2)</f>
        <v>0.75</v>
      </c>
      <c r="K12" t="s">
        <v>150</v>
      </c>
      <c r="L12">
        <v>1</v>
      </c>
    </row>
    <row r="13" spans="1:12" ht="20.100000000000001" customHeight="1" x14ac:dyDescent="0.15">
      <c r="K13" t="s">
        <v>151</v>
      </c>
      <c r="L13">
        <v>19</v>
      </c>
    </row>
    <row r="14" spans="1:12" ht="20.100000000000001" customHeight="1" x14ac:dyDescent="0.15">
      <c r="K14" t="s">
        <v>127</v>
      </c>
      <c r="L14">
        <v>86</v>
      </c>
    </row>
    <row r="15" spans="1:12" ht="20.100000000000001" customHeight="1" thickBot="1" x14ac:dyDescent="0.2">
      <c r="K15" s="128" t="s">
        <v>152</v>
      </c>
      <c r="L15" s="128">
        <v>9</v>
      </c>
    </row>
    <row r="16" spans="1:12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1E2B-02B3-4869-BA10-9F730DE383A6}">
  <dimension ref="A1:B27"/>
  <sheetViews>
    <sheetView zoomScale="90" workbookViewId="0"/>
  </sheetViews>
  <sheetFormatPr defaultColWidth="6.625" defaultRowHeight="13.5" x14ac:dyDescent="0.15"/>
  <cols>
    <col min="1" max="1" width="10.375" style="5" customWidth="1"/>
    <col min="2" max="2" width="10.625" style="5" customWidth="1"/>
    <col min="3" max="209" width="6.625" style="5"/>
    <col min="210" max="222" width="8.75" style="5" customWidth="1"/>
    <col min="223" max="465" width="6.625" style="5"/>
    <col min="466" max="478" width="8.75" style="5" customWidth="1"/>
    <col min="479" max="721" width="6.625" style="5"/>
    <col min="722" max="734" width="8.75" style="5" customWidth="1"/>
    <col min="735" max="977" width="6.625" style="5"/>
    <col min="978" max="990" width="8.75" style="5" customWidth="1"/>
    <col min="991" max="1233" width="6.625" style="5"/>
    <col min="1234" max="1246" width="8.75" style="5" customWidth="1"/>
    <col min="1247" max="1489" width="6.625" style="5"/>
    <col min="1490" max="1502" width="8.75" style="5" customWidth="1"/>
    <col min="1503" max="1745" width="6.625" style="5"/>
    <col min="1746" max="1758" width="8.75" style="5" customWidth="1"/>
    <col min="1759" max="2001" width="6.625" style="5"/>
    <col min="2002" max="2014" width="8.75" style="5" customWidth="1"/>
    <col min="2015" max="2257" width="6.625" style="5"/>
    <col min="2258" max="2270" width="8.75" style="5" customWidth="1"/>
    <col min="2271" max="2513" width="6.625" style="5"/>
    <col min="2514" max="2526" width="8.75" style="5" customWidth="1"/>
    <col min="2527" max="2769" width="6.625" style="5"/>
    <col min="2770" max="2782" width="8.75" style="5" customWidth="1"/>
    <col min="2783" max="3025" width="6.625" style="5"/>
    <col min="3026" max="3038" width="8.75" style="5" customWidth="1"/>
    <col min="3039" max="3281" width="6.625" style="5"/>
    <col min="3282" max="3294" width="8.75" style="5" customWidth="1"/>
    <col min="3295" max="3537" width="6.625" style="5"/>
    <col min="3538" max="3550" width="8.75" style="5" customWidth="1"/>
    <col min="3551" max="3793" width="6.625" style="5"/>
    <col min="3794" max="3806" width="8.75" style="5" customWidth="1"/>
    <col min="3807" max="4049" width="6.625" style="5"/>
    <col min="4050" max="4062" width="8.75" style="5" customWidth="1"/>
    <col min="4063" max="4305" width="6.625" style="5"/>
    <col min="4306" max="4318" width="8.75" style="5" customWidth="1"/>
    <col min="4319" max="4561" width="6.625" style="5"/>
    <col min="4562" max="4574" width="8.75" style="5" customWidth="1"/>
    <col min="4575" max="4817" width="6.625" style="5"/>
    <col min="4818" max="4830" width="8.75" style="5" customWidth="1"/>
    <col min="4831" max="5073" width="6.625" style="5"/>
    <col min="5074" max="5086" width="8.75" style="5" customWidth="1"/>
    <col min="5087" max="5329" width="6.625" style="5"/>
    <col min="5330" max="5342" width="8.75" style="5" customWidth="1"/>
    <col min="5343" max="5585" width="6.625" style="5"/>
    <col min="5586" max="5598" width="8.75" style="5" customWidth="1"/>
    <col min="5599" max="5841" width="6.625" style="5"/>
    <col min="5842" max="5854" width="8.75" style="5" customWidth="1"/>
    <col min="5855" max="6097" width="6.625" style="5"/>
    <col min="6098" max="6110" width="8.75" style="5" customWidth="1"/>
    <col min="6111" max="6353" width="6.625" style="5"/>
    <col min="6354" max="6366" width="8.75" style="5" customWidth="1"/>
    <col min="6367" max="6609" width="6.625" style="5"/>
    <col min="6610" max="6622" width="8.75" style="5" customWidth="1"/>
    <col min="6623" max="6865" width="6.625" style="5"/>
    <col min="6866" max="6878" width="8.75" style="5" customWidth="1"/>
    <col min="6879" max="7121" width="6.625" style="5"/>
    <col min="7122" max="7134" width="8.75" style="5" customWidth="1"/>
    <col min="7135" max="7377" width="6.625" style="5"/>
    <col min="7378" max="7390" width="8.75" style="5" customWidth="1"/>
    <col min="7391" max="7633" width="6.625" style="5"/>
    <col min="7634" max="7646" width="8.75" style="5" customWidth="1"/>
    <col min="7647" max="7889" width="6.625" style="5"/>
    <col min="7890" max="7902" width="8.75" style="5" customWidth="1"/>
    <col min="7903" max="8145" width="6.625" style="5"/>
    <col min="8146" max="8158" width="8.75" style="5" customWidth="1"/>
    <col min="8159" max="8401" width="6.625" style="5"/>
    <col min="8402" max="8414" width="8.75" style="5" customWidth="1"/>
    <col min="8415" max="8657" width="6.625" style="5"/>
    <col min="8658" max="8670" width="8.75" style="5" customWidth="1"/>
    <col min="8671" max="8913" width="6.625" style="5"/>
    <col min="8914" max="8926" width="8.75" style="5" customWidth="1"/>
    <col min="8927" max="9169" width="6.625" style="5"/>
    <col min="9170" max="9182" width="8.75" style="5" customWidth="1"/>
    <col min="9183" max="9425" width="6.625" style="5"/>
    <col min="9426" max="9438" width="8.75" style="5" customWidth="1"/>
    <col min="9439" max="9681" width="6.625" style="5"/>
    <col min="9682" max="9694" width="8.75" style="5" customWidth="1"/>
    <col min="9695" max="9937" width="6.625" style="5"/>
    <col min="9938" max="9950" width="8.75" style="5" customWidth="1"/>
    <col min="9951" max="10193" width="6.625" style="5"/>
    <col min="10194" max="10206" width="8.75" style="5" customWidth="1"/>
    <col min="10207" max="10449" width="6.625" style="5"/>
    <col min="10450" max="10462" width="8.75" style="5" customWidth="1"/>
    <col min="10463" max="10705" width="6.625" style="5"/>
    <col min="10706" max="10718" width="8.75" style="5" customWidth="1"/>
    <col min="10719" max="10961" width="6.625" style="5"/>
    <col min="10962" max="10974" width="8.75" style="5" customWidth="1"/>
    <col min="10975" max="11217" width="6.625" style="5"/>
    <col min="11218" max="11230" width="8.75" style="5" customWidth="1"/>
    <col min="11231" max="11473" width="6.625" style="5"/>
    <col min="11474" max="11486" width="8.75" style="5" customWidth="1"/>
    <col min="11487" max="11729" width="6.625" style="5"/>
    <col min="11730" max="11742" width="8.75" style="5" customWidth="1"/>
    <col min="11743" max="11985" width="6.625" style="5"/>
    <col min="11986" max="11998" width="8.75" style="5" customWidth="1"/>
    <col min="11999" max="12241" width="6.625" style="5"/>
    <col min="12242" max="12254" width="8.75" style="5" customWidth="1"/>
    <col min="12255" max="12497" width="6.625" style="5"/>
    <col min="12498" max="12510" width="8.75" style="5" customWidth="1"/>
    <col min="12511" max="12753" width="6.625" style="5"/>
    <col min="12754" max="12766" width="8.75" style="5" customWidth="1"/>
    <col min="12767" max="13009" width="6.625" style="5"/>
    <col min="13010" max="13022" width="8.75" style="5" customWidth="1"/>
    <col min="13023" max="13265" width="6.625" style="5"/>
    <col min="13266" max="13278" width="8.75" style="5" customWidth="1"/>
    <col min="13279" max="13521" width="6.625" style="5"/>
    <col min="13522" max="13534" width="8.75" style="5" customWidth="1"/>
    <col min="13535" max="13777" width="6.625" style="5"/>
    <col min="13778" max="13790" width="8.75" style="5" customWidth="1"/>
    <col min="13791" max="14033" width="6.625" style="5"/>
    <col min="14034" max="14046" width="8.75" style="5" customWidth="1"/>
    <col min="14047" max="14289" width="6.625" style="5"/>
    <col min="14290" max="14302" width="8.75" style="5" customWidth="1"/>
    <col min="14303" max="14545" width="6.625" style="5"/>
    <col min="14546" max="14558" width="8.75" style="5" customWidth="1"/>
    <col min="14559" max="14801" width="6.625" style="5"/>
    <col min="14802" max="14814" width="8.75" style="5" customWidth="1"/>
    <col min="14815" max="15057" width="6.625" style="5"/>
    <col min="15058" max="15070" width="8.75" style="5" customWidth="1"/>
    <col min="15071" max="15313" width="6.625" style="5"/>
    <col min="15314" max="15326" width="8.75" style="5" customWidth="1"/>
    <col min="15327" max="15569" width="6.625" style="5"/>
    <col min="15570" max="15582" width="8.75" style="5" customWidth="1"/>
    <col min="15583" max="15825" width="6.625" style="5"/>
    <col min="15826" max="15838" width="8.75" style="5" customWidth="1"/>
    <col min="15839" max="16081" width="6.625" style="5"/>
    <col min="16082" max="16094" width="8.75" style="5" customWidth="1"/>
    <col min="16095" max="16384" width="6.625" style="5"/>
  </cols>
  <sheetData>
    <row r="1" spans="1:2" ht="20.100000000000001" customHeight="1" x14ac:dyDescent="0.15">
      <c r="A1" s="288" t="s">
        <v>161</v>
      </c>
      <c r="B1" s="288" t="s">
        <v>310</v>
      </c>
    </row>
    <row r="2" spans="1:2" ht="20.100000000000001" customHeight="1" x14ac:dyDescent="0.15">
      <c r="A2" s="288">
        <v>65</v>
      </c>
      <c r="B2" s="288">
        <v>119</v>
      </c>
    </row>
    <row r="3" spans="1:2" ht="20.100000000000001" customHeight="1" x14ac:dyDescent="0.15">
      <c r="A3" s="288">
        <v>73</v>
      </c>
      <c r="B3" s="288">
        <v>125</v>
      </c>
    </row>
    <row r="4" spans="1:2" ht="20.100000000000001" customHeight="1" x14ac:dyDescent="0.15">
      <c r="A4" s="288">
        <v>75</v>
      </c>
      <c r="B4" s="288">
        <v>135</v>
      </c>
    </row>
    <row r="5" spans="1:2" ht="20.100000000000001" customHeight="1" x14ac:dyDescent="0.15">
      <c r="A5" s="288">
        <v>81</v>
      </c>
      <c r="B5" s="288">
        <v>140</v>
      </c>
    </row>
    <row r="6" spans="1:2" ht="20.100000000000001" customHeight="1" x14ac:dyDescent="0.15"/>
    <row r="7" spans="1:2" ht="20.100000000000001" customHeight="1" x14ac:dyDescent="0.15"/>
    <row r="8" spans="1:2" ht="20.100000000000001" customHeight="1" x14ac:dyDescent="0.15"/>
    <row r="9" spans="1:2" ht="20.100000000000001" customHeight="1" x14ac:dyDescent="0.15"/>
    <row r="10" spans="1:2" ht="20.100000000000001" customHeight="1" x14ac:dyDescent="0.15"/>
    <row r="11" spans="1:2" ht="20.100000000000001" customHeight="1" x14ac:dyDescent="0.15"/>
    <row r="12" spans="1:2" ht="20.100000000000001" customHeight="1" x14ac:dyDescent="0.15"/>
    <row r="13" spans="1:2" ht="20.100000000000001" customHeight="1" x14ac:dyDescent="0.15"/>
    <row r="14" spans="1:2" ht="20.100000000000001" customHeight="1" x14ac:dyDescent="0.15"/>
    <row r="15" spans="1:2" ht="20.100000000000001" customHeight="1" x14ac:dyDescent="0.15"/>
    <row r="16" spans="1:2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</sheetData>
  <phoneticPr fontId="1"/>
  <pageMargins left="0.75" right="0.75" top="1" bottom="1" header="0.51200000000000001" footer="0.51200000000000001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本の価格</vt:lpstr>
      <vt:lpstr>色差重回帰</vt:lpstr>
      <vt:lpstr>単回帰ソルバー</vt:lpstr>
      <vt:lpstr>重回帰ソルバー</vt:lpstr>
      <vt:lpstr>重回帰ソルバー2</vt:lpstr>
      <vt:lpstr>重回帰行列計算</vt:lpstr>
      <vt:lpstr>多重共線性</vt:lpstr>
      <vt:lpstr>殺虫剤</vt:lpstr>
      <vt:lpstr>冠動脈疾患2変数</vt:lpstr>
      <vt:lpstr>主成分例題</vt:lpstr>
      <vt:lpstr>運動と機能</vt:lpstr>
      <vt:lpstr>Cannabinoid</vt:lpstr>
      <vt:lpstr>2群判別</vt:lpstr>
      <vt:lpstr>2群判別2</vt:lpstr>
      <vt:lpstr>動脈血ガス</vt:lpstr>
      <vt:lpstr>逆行列</vt:lpstr>
      <vt:lpstr>単回帰2</vt:lpstr>
      <vt:lpstr>単回帰行列計算</vt:lpstr>
      <vt:lpstr>肝障害</vt:lpstr>
      <vt:lpstr>最短距離法</vt:lpstr>
      <vt:lpstr>ウォード法１変数</vt:lpstr>
      <vt:lpstr>ウォード法２変数</vt:lpstr>
      <vt:lpstr>k平均法（ｋ＝３）</vt:lpstr>
      <vt:lpstr>k平均法（ｋ＝2）</vt:lpstr>
      <vt:lpstr>ｋ平均法（k=4）</vt:lpstr>
      <vt:lpstr>自己組織化マップ</vt:lpstr>
      <vt:lpstr>商品購入</vt:lpstr>
      <vt:lpstr>あやめ</vt:lpstr>
      <vt:lpstr>基本統計量</vt:lpstr>
      <vt:lpstr>回帰分析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ysakiyama</dc:creator>
  <cp:lastModifiedBy>陽二郎 嵜山</cp:lastModifiedBy>
  <dcterms:created xsi:type="dcterms:W3CDTF">2016-05-07T05:34:03Z</dcterms:created>
  <dcterms:modified xsi:type="dcterms:W3CDTF">2023-11-10T05:20:02Z</dcterms:modified>
</cp:coreProperties>
</file>