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75" windowWidth="9555" windowHeight="5700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</sheets>
  <calcPr calcId="125725"/>
</workbook>
</file>

<file path=xl/calcChain.xml><?xml version="1.0" encoding="utf-8"?>
<calcChain xmlns="http://schemas.openxmlformats.org/spreadsheetml/2006/main">
  <c r="C10" i="1"/>
  <c r="F18" i="5"/>
  <c r="G18" s="1"/>
  <c r="E18"/>
  <c r="C18"/>
  <c r="D18" s="1"/>
  <c r="B5"/>
  <c r="G17"/>
  <c r="F17"/>
  <c r="E17"/>
  <c r="C17"/>
  <c r="B19"/>
  <c r="B17"/>
  <c r="B20" s="1"/>
  <c r="B21" s="1"/>
  <c r="B22" s="1"/>
  <c r="B23" s="1"/>
  <c r="C23" s="1"/>
  <c r="B3" i="6"/>
  <c r="B6" s="1"/>
  <c r="B5"/>
  <c r="P4"/>
  <c r="F3"/>
  <c r="F4" s="1"/>
  <c r="M2"/>
  <c r="B10" s="1"/>
  <c r="B6" i="5"/>
  <c r="B3"/>
  <c r="D5" i="1"/>
  <c r="A5"/>
  <c r="B5" s="1"/>
  <c r="D3"/>
  <c r="E3" s="1"/>
  <c r="G5" i="2"/>
  <c r="C5" s="1"/>
  <c r="G2" i="1"/>
  <c r="A3" s="1"/>
  <c r="B3" s="1"/>
  <c r="I2" i="2"/>
  <c r="E3" s="1"/>
  <c r="A3" s="1"/>
  <c r="C2" i="3"/>
  <c r="D17" i="5" l="1"/>
  <c r="D20" s="1"/>
  <c r="D21" s="1"/>
  <c r="G20"/>
  <c r="G21" s="1"/>
  <c r="F20"/>
  <c r="F21" s="1"/>
  <c r="E20"/>
  <c r="E21" s="1"/>
  <c r="F19"/>
  <c r="C22"/>
  <c r="C20"/>
  <c r="C21" s="1"/>
  <c r="B11" i="6"/>
  <c r="E2"/>
  <c r="F5"/>
  <c r="P5"/>
  <c r="F5" i="1"/>
  <c r="E5"/>
  <c r="C5"/>
  <c r="F3"/>
  <c r="C3"/>
  <c r="G7" i="2"/>
  <c r="C7" s="1"/>
  <c r="H7"/>
  <c r="D7" s="1"/>
  <c r="H3"/>
  <c r="D3" s="1"/>
  <c r="H4"/>
  <c r="D4" s="1"/>
  <c r="H5"/>
  <c r="D5" s="1"/>
  <c r="G6"/>
  <c r="C6" s="1"/>
  <c r="H6"/>
  <c r="D6" s="1"/>
  <c r="G4"/>
  <c r="C4" s="1"/>
  <c r="G3"/>
  <c r="C3" s="1"/>
  <c r="F4"/>
  <c r="B4" s="1"/>
  <c r="F6"/>
  <c r="B6" s="1"/>
  <c r="B11" s="1"/>
  <c r="E7"/>
  <c r="A7" s="1"/>
  <c r="E5"/>
  <c r="A5" s="1"/>
  <c r="E6"/>
  <c r="A6" s="1"/>
  <c r="F3"/>
  <c r="B3" s="1"/>
  <c r="F7"/>
  <c r="B7" s="1"/>
  <c r="F5"/>
  <c r="B5" s="1"/>
  <c r="E4"/>
  <c r="A4" s="1"/>
  <c r="F22" i="5" l="1"/>
  <c r="B11" s="1"/>
  <c r="C19"/>
  <c r="B9" i="6"/>
  <c r="B12" s="1"/>
  <c r="O3" s="1"/>
  <c r="H2"/>
  <c r="F6"/>
  <c r="P6"/>
  <c r="B9" i="5" l="1"/>
  <c r="B10" s="1"/>
  <c r="C24"/>
  <c r="F23"/>
  <c r="G23" s="1"/>
  <c r="G22" s="1"/>
  <c r="G19" s="1"/>
  <c r="B12"/>
  <c r="D19" s="1"/>
  <c r="R3" i="6"/>
  <c r="G2"/>
  <c r="E3" s="1"/>
  <c r="F7"/>
  <c r="P7"/>
  <c r="G24" i="5" l="1"/>
  <c r="H24" s="1"/>
  <c r="D22"/>
  <c r="B13"/>
  <c r="F8" i="6"/>
  <c r="P8"/>
  <c r="Q3"/>
  <c r="O4" s="1"/>
  <c r="H3"/>
  <c r="E22" i="5" l="1"/>
  <c r="D23"/>
  <c r="P9" i="6"/>
  <c r="F9"/>
  <c r="R4"/>
  <c r="G3"/>
  <c r="E4" s="1"/>
  <c r="E19" i="5" l="1"/>
  <c r="H19" s="1"/>
  <c r="E23"/>
  <c r="H23" s="1"/>
  <c r="H4" i="6"/>
  <c r="P10"/>
  <c r="F10"/>
  <c r="Q4"/>
  <c r="O5" s="1"/>
  <c r="F11" l="1"/>
  <c r="R5"/>
  <c r="G4"/>
  <c r="E5" s="1"/>
  <c r="P11"/>
  <c r="Q5" l="1"/>
  <c r="O6" s="1"/>
  <c r="H5"/>
  <c r="P12"/>
  <c r="F12"/>
  <c r="G5" l="1"/>
  <c r="E6" s="1"/>
  <c r="P13"/>
  <c r="F13"/>
  <c r="R6"/>
  <c r="F14" l="1"/>
  <c r="Q6"/>
  <c r="O7" s="1"/>
  <c r="H6"/>
  <c r="P14"/>
  <c r="P15" s="1"/>
  <c r="G6" l="1"/>
  <c r="E7" s="1"/>
  <c r="K14"/>
  <c r="K2" s="1"/>
  <c r="R7"/>
  <c r="Q7" l="1"/>
  <c r="O8" s="1"/>
  <c r="H7"/>
  <c r="G7" s="1"/>
  <c r="E8" s="1"/>
  <c r="K3"/>
  <c r="L2"/>
  <c r="J3" s="1"/>
  <c r="H8" l="1"/>
  <c r="G8" s="1"/>
  <c r="E9" s="1"/>
  <c r="R8"/>
  <c r="Q8" s="1"/>
  <c r="O9" s="1"/>
  <c r="K4"/>
  <c r="M3"/>
  <c r="L3" s="1"/>
  <c r="J4" s="1"/>
  <c r="M4" l="1"/>
  <c r="L4" s="1"/>
  <c r="J5" s="1"/>
  <c r="H9"/>
  <c r="G9" s="1"/>
  <c r="E10" s="1"/>
  <c r="R9"/>
  <c r="Q9" s="1"/>
  <c r="O10" s="1"/>
  <c r="K5"/>
  <c r="M5" l="1"/>
  <c r="L5" s="1"/>
  <c r="J6" s="1"/>
  <c r="H10"/>
  <c r="G10" s="1"/>
  <c r="E11" s="1"/>
  <c r="R10"/>
  <c r="Q10" s="1"/>
  <c r="O11" s="1"/>
  <c r="K6"/>
  <c r="H11" l="1"/>
  <c r="G11" s="1"/>
  <c r="E12" s="1"/>
  <c r="M6"/>
  <c r="L6" s="1"/>
  <c r="J7" s="1"/>
  <c r="R11"/>
  <c r="Q11" s="1"/>
  <c r="O12" s="1"/>
  <c r="K7"/>
  <c r="R12" l="1"/>
  <c r="Q12" s="1"/>
  <c r="O13" s="1"/>
  <c r="M7"/>
  <c r="L7" s="1"/>
  <c r="J8" s="1"/>
  <c r="K8"/>
  <c r="H12"/>
  <c r="G12" s="1"/>
  <c r="E13" s="1"/>
  <c r="R13" l="1"/>
  <c r="H13"/>
  <c r="E14"/>
  <c r="M8"/>
  <c r="L8" s="1"/>
  <c r="J9" s="1"/>
  <c r="K9"/>
  <c r="M9" l="1"/>
  <c r="L9" s="1"/>
  <c r="J10" s="1"/>
  <c r="K10"/>
  <c r="Q13"/>
  <c r="O14" s="1"/>
  <c r="R14"/>
  <c r="G13"/>
  <c r="H14"/>
  <c r="G14" s="1"/>
  <c r="M10" l="1"/>
  <c r="L10" s="1"/>
  <c r="J11" s="1"/>
  <c r="K11"/>
  <c r="M11" l="1"/>
  <c r="L11" s="1"/>
  <c r="J12" s="1"/>
  <c r="K12"/>
  <c r="M12" l="1"/>
  <c r="L12" s="1"/>
  <c r="J13" s="1"/>
  <c r="K13"/>
  <c r="M13" l="1"/>
  <c r="M14" s="1"/>
  <c r="L13" l="1"/>
  <c r="J14" s="1"/>
</calcChain>
</file>

<file path=xl/sharedStrings.xml><?xml version="1.0" encoding="utf-8"?>
<sst xmlns="http://schemas.openxmlformats.org/spreadsheetml/2006/main" count="111" uniqueCount="81">
  <si>
    <t>Мораль</t>
  </si>
  <si>
    <t>Вампиры</t>
  </si>
  <si>
    <t>Скелеты</t>
  </si>
  <si>
    <t>Призраки</t>
  </si>
  <si>
    <t>Умерло</t>
  </si>
  <si>
    <t>Убили</t>
  </si>
  <si>
    <t>сила</t>
  </si>
  <si>
    <t>защита</t>
  </si>
  <si>
    <t>скил</t>
  </si>
  <si>
    <t>пл.урон</t>
  </si>
  <si>
    <t>пл.смерть</t>
  </si>
  <si>
    <t>Зомби</t>
  </si>
  <si>
    <t>Рыцари</t>
  </si>
  <si>
    <t>MONSTERS Skill Level Hit Points Movement Damage</t>
  </si>
  <si>
    <t>Attack, Shoot</t>
  </si>
  <si>
    <t>Recruitment</t>
  </si>
  <si>
    <t>Cost</t>
  </si>
  <si>
    <t>Morale Group</t>
  </si>
  <si>
    <t>Castle</t>
  </si>
  <si>
    <t>Militia 2 2 2 1-2 50 A</t>
  </si>
  <si>
    <t>Archers 2 10 2 1-2/1-3 250 B</t>
  </si>
  <si>
    <t>Pikemen 3 10 2 2-4 300 B</t>
  </si>
  <si>
    <t>Cavalry 4 20 4 3-5 800 B</t>
  </si>
  <si>
    <t>Knights 5 35 1 6-10 1000 B</t>
  </si>
  <si>
    <t>Plains</t>
  </si>
  <si>
    <t>Peasants 1 1 1 1 10 A</t>
  </si>
  <si>
    <t>Wolves 2 3 3 1-3 40 D</t>
  </si>
  <si>
    <t>Nomads 3 15 2 2-4 300 C</t>
  </si>
  <si>
    <t>Barbarians 4 40 3 1-6 750 C</t>
  </si>
  <si>
    <t>Archmages 5 25 Fly+1 2-3 1200 C</t>
  </si>
  <si>
    <t>Forest</t>
  </si>
  <si>
    <t>Sprites 1 1 Fly+1 1-2 15 C</t>
  </si>
  <si>
    <t>Gnomes 2 5 1 1-3 60 C</t>
  </si>
  <si>
    <t>Elves 3 10 3 1-2/2-4 200 C</t>
  </si>
  <si>
    <t>Trolls 4 50 1 2-5 1000 D</t>
  </si>
  <si>
    <t>Druids 5 25 2 2-3 700 C</t>
  </si>
  <si>
    <t>Hills</t>
  </si>
  <si>
    <t>Orcs 2 5 2 2-3/1-2 75 D</t>
  </si>
  <si>
    <t>Dwarves 3 20 1 2-4 350 C</t>
  </si>
  <si>
    <t>Ogres 4 40 1 3-5 750 D</t>
  </si>
  <si>
    <t>Giants 5 60 3 10-20/5-10 2000 C</t>
  </si>
  <si>
    <t>Dragons 6 200 Fly+1 25-50 5000 D</t>
  </si>
  <si>
    <t>Dungeon</t>
  </si>
  <si>
    <t>Skeletons 2 3 2 1-2 40 E</t>
  </si>
  <si>
    <t>Zombies 2 5 1 2-2 50 E</t>
  </si>
  <si>
    <t>Ghosts 4 10 3 3-4 400 E</t>
  </si>
  <si>
    <t>Vampires 5 30 Fly+1 3-6 1500 E</t>
  </si>
  <si>
    <t>Demons 6 50 Fly+1 5-7 3000 E</t>
  </si>
  <si>
    <t>Арт защиты</t>
  </si>
  <si>
    <t>Арт атаки</t>
  </si>
  <si>
    <t xml:space="preserve"> </t>
  </si>
  <si>
    <t>Демоны</t>
  </si>
  <si>
    <t>Крестьяне</t>
  </si>
  <si>
    <t>Цена</t>
  </si>
  <si>
    <t>Взнос</t>
  </si>
  <si>
    <t>Каска</t>
  </si>
  <si>
    <t>У нас денег</t>
  </si>
  <si>
    <t>База кредит</t>
  </si>
  <si>
    <t>Ставка факт</t>
  </si>
  <si>
    <t>Ставка промо</t>
  </si>
  <si>
    <t>Скидка</t>
  </si>
  <si>
    <t>Остаток</t>
  </si>
  <si>
    <t>Платеж</t>
  </si>
  <si>
    <t>Погашение</t>
  </si>
  <si>
    <t>Процент</t>
  </si>
  <si>
    <t>Переплата месяц 1</t>
  </si>
  <si>
    <t>Погашение 1</t>
  </si>
  <si>
    <t>Остаток кредит</t>
  </si>
  <si>
    <t>з/п 1</t>
  </si>
  <si>
    <t>мес. %</t>
  </si>
  <si>
    <t>%</t>
  </si>
  <si>
    <t>N</t>
  </si>
  <si>
    <t>S</t>
  </si>
  <si>
    <t>мес. Руб</t>
  </si>
  <si>
    <t>k</t>
  </si>
  <si>
    <t>N мес. Руб</t>
  </si>
  <si>
    <t>сразу</t>
  </si>
  <si>
    <t>миним</t>
  </si>
  <si>
    <t>скидка</t>
  </si>
  <si>
    <t>Эльфы</t>
  </si>
  <si>
    <t>Гиганты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</si>
</sst>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00"/>
  </numFmts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 tint="-0.34998626667073579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/>
    <xf numFmtId="164" fontId="0" fillId="0" borderId="0" xfId="0" applyNumberFormat="1"/>
    <xf numFmtId="165" fontId="0" fillId="0" borderId="0" xfId="0" applyNumberFormat="1"/>
    <xf numFmtId="10" fontId="0" fillId="0" borderId="0" xfId="0" applyNumberFormat="1"/>
    <xf numFmtId="4" fontId="0" fillId="0" borderId="0" xfId="0" applyNumberFormat="1"/>
    <xf numFmtId="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0" fontId="0" fillId="0" borderId="0" xfId="1" applyNumberFormat="1" applyFont="1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U10"/>
  <sheetViews>
    <sheetView tabSelected="1" workbookViewId="0">
      <selection activeCell="I8" sqref="I8:I9"/>
    </sheetView>
  </sheetViews>
  <sheetFormatPr defaultRowHeight="15"/>
  <cols>
    <col min="1" max="1" width="5.5703125" style="12" customWidth="1"/>
    <col min="2" max="3" width="5.5703125" customWidth="1"/>
    <col min="4" max="4" width="5.5703125" style="12" customWidth="1"/>
    <col min="5" max="6" width="5.5703125" customWidth="1"/>
    <col min="7" max="7" width="11.5703125" bestFit="1" customWidth="1"/>
    <col min="8" max="8" width="9.7109375" bestFit="1" customWidth="1"/>
    <col min="9" max="9" width="8.140625" bestFit="1" customWidth="1"/>
    <col min="10" max="10" width="5.140625" bestFit="1" customWidth="1"/>
    <col min="11" max="11" width="7.42578125" bestFit="1" customWidth="1"/>
    <col min="12" max="13" width="4.28515625" customWidth="1"/>
    <col min="14" max="14" width="9.85546875" bestFit="1" customWidth="1"/>
    <col min="15" max="15" width="5" bestFit="1" customWidth="1"/>
    <col min="16" max="19" width="4.7109375" customWidth="1"/>
  </cols>
  <sheetData>
    <row r="1" spans="1:21">
      <c r="A1" s="10" t="s">
        <v>9</v>
      </c>
      <c r="B1" s="10"/>
      <c r="C1" s="10"/>
      <c r="D1" s="10" t="s">
        <v>10</v>
      </c>
      <c r="E1" s="10"/>
      <c r="F1" s="10"/>
      <c r="G1" t="s">
        <v>48</v>
      </c>
      <c r="H1" t="s">
        <v>49</v>
      </c>
      <c r="I1" t="s">
        <v>0</v>
      </c>
      <c r="J1" t="s">
        <v>8</v>
      </c>
      <c r="K1" t="s">
        <v>7</v>
      </c>
      <c r="L1" s="10" t="s">
        <v>6</v>
      </c>
      <c r="M1" s="10"/>
      <c r="P1" s="10"/>
      <c r="Q1" s="10"/>
      <c r="R1" s="10"/>
      <c r="S1" s="10"/>
      <c r="T1" s="2"/>
      <c r="U1" s="2"/>
    </row>
    <row r="2" spans="1:21">
      <c r="G2" s="3">
        <f>4/3</f>
        <v>1.3333333333333333</v>
      </c>
      <c r="H2">
        <v>1.5</v>
      </c>
      <c r="I2">
        <v>0.5</v>
      </c>
      <c r="J2">
        <v>5</v>
      </c>
      <c r="K2">
        <v>20</v>
      </c>
      <c r="L2">
        <v>25</v>
      </c>
      <c r="M2">
        <v>25</v>
      </c>
      <c r="N2" t="s">
        <v>52</v>
      </c>
      <c r="O2">
        <v>50</v>
      </c>
    </row>
    <row r="3" spans="1:21">
      <c r="A3" s="13">
        <f>$O3*(5+$J3-$J2)/10/$G2*$I3/$K2</f>
        <v>2.2950000000000004</v>
      </c>
      <c r="B3" s="3">
        <f>$A3*L3</f>
        <v>11.475000000000001</v>
      </c>
      <c r="C3" s="3">
        <f>$A3*M3</f>
        <v>16.065000000000001</v>
      </c>
      <c r="D3" s="13">
        <f>O2*(5+J2-J3)/10*H2*I2/K3</f>
        <v>0.3</v>
      </c>
      <c r="E3" s="3">
        <f>$D3*L2</f>
        <v>7.5</v>
      </c>
      <c r="F3" s="3">
        <f>$D3*M2</f>
        <v>7.5</v>
      </c>
      <c r="G3" s="1"/>
      <c r="H3" s="1"/>
      <c r="I3">
        <v>1</v>
      </c>
      <c r="J3">
        <v>6</v>
      </c>
      <c r="K3">
        <v>50</v>
      </c>
      <c r="L3">
        <v>5</v>
      </c>
      <c r="M3">
        <v>7</v>
      </c>
      <c r="N3" t="s">
        <v>51</v>
      </c>
      <c r="O3">
        <v>102</v>
      </c>
    </row>
    <row r="4" spans="1:21">
      <c r="G4" s="3">
        <v>1</v>
      </c>
      <c r="H4">
        <v>1</v>
      </c>
      <c r="I4">
        <v>1.5</v>
      </c>
      <c r="J4">
        <v>3</v>
      </c>
      <c r="K4">
        <v>10</v>
      </c>
      <c r="L4">
        <v>2</v>
      </c>
      <c r="M4">
        <v>4</v>
      </c>
      <c r="N4" t="s">
        <v>79</v>
      </c>
      <c r="O4">
        <v>250</v>
      </c>
    </row>
    <row r="5" spans="1:21">
      <c r="A5" s="13">
        <f>$O5*(5+$J5-$J4)/10/$G4*$I5/$K4</f>
        <v>8.9250000000000007</v>
      </c>
      <c r="B5" s="3">
        <f>$A5*L5</f>
        <v>44.625</v>
      </c>
      <c r="C5" s="3">
        <f>$A5*M5</f>
        <v>89.25</v>
      </c>
      <c r="D5" s="13">
        <f>O4*(5+J4-J5)/10*H4*I4/K5</f>
        <v>1.875</v>
      </c>
      <c r="E5" s="3">
        <f>$D5*L4</f>
        <v>3.75</v>
      </c>
      <c r="F5" s="3">
        <f>$D5*M4</f>
        <v>7.5</v>
      </c>
      <c r="G5" s="1"/>
      <c r="H5" s="1"/>
      <c r="I5">
        <v>1.5</v>
      </c>
      <c r="J5">
        <v>5</v>
      </c>
      <c r="K5">
        <v>60</v>
      </c>
      <c r="L5">
        <v>5</v>
      </c>
      <c r="M5">
        <v>10</v>
      </c>
      <c r="N5" t="s">
        <v>80</v>
      </c>
      <c r="O5">
        <v>85</v>
      </c>
    </row>
    <row r="6" spans="1:21">
      <c r="A6" s="14"/>
      <c r="B6" s="1"/>
      <c r="C6" s="1"/>
      <c r="D6" s="14"/>
      <c r="E6" s="1"/>
      <c r="F6" s="1"/>
      <c r="G6" s="1"/>
      <c r="H6" s="1"/>
    </row>
    <row r="7" spans="1:21">
      <c r="A7" s="14"/>
      <c r="B7" s="1"/>
      <c r="C7" s="1"/>
      <c r="D7" s="14"/>
      <c r="E7" s="1"/>
      <c r="F7" s="1"/>
      <c r="G7" s="1"/>
      <c r="H7" s="1"/>
    </row>
    <row r="10" spans="1:21">
      <c r="C10">
        <f>4*250*1.5*(5-(5-3))/10</f>
        <v>450</v>
      </c>
    </row>
  </sheetData>
  <mergeCells count="5">
    <mergeCell ref="A1:C1"/>
    <mergeCell ref="L1:M1"/>
    <mergeCell ref="P1:Q1"/>
    <mergeCell ref="R1:S1"/>
    <mergeCell ref="D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U22"/>
  <sheetViews>
    <sheetView workbookViewId="0">
      <selection activeCell="J3" sqref="J3"/>
    </sheetView>
  </sheetViews>
  <sheetFormatPr defaultRowHeight="15"/>
  <sheetData>
    <row r="1" spans="1:21">
      <c r="E1" t="s">
        <v>9</v>
      </c>
      <c r="G1" t="s">
        <v>10</v>
      </c>
      <c r="I1" t="s">
        <v>48</v>
      </c>
      <c r="J1" t="s">
        <v>49</v>
      </c>
      <c r="K1" t="s">
        <v>0</v>
      </c>
      <c r="L1" t="s">
        <v>8</v>
      </c>
      <c r="M1" t="s">
        <v>7</v>
      </c>
      <c r="N1" s="10" t="s">
        <v>6</v>
      </c>
      <c r="O1" s="10"/>
      <c r="R1" s="10" t="s">
        <v>5</v>
      </c>
      <c r="S1" s="10"/>
      <c r="T1" s="10" t="s">
        <v>4</v>
      </c>
      <c r="U1" s="10"/>
    </row>
    <row r="2" spans="1:21">
      <c r="I2">
        <f>4/3</f>
        <v>1.3333333333333333</v>
      </c>
      <c r="J2">
        <v>1.5</v>
      </c>
      <c r="K2">
        <v>0.5</v>
      </c>
      <c r="L2">
        <v>5</v>
      </c>
      <c r="M2">
        <v>30</v>
      </c>
      <c r="N2">
        <v>3</v>
      </c>
      <c r="O2">
        <v>6</v>
      </c>
      <c r="P2" t="s">
        <v>1</v>
      </c>
      <c r="Q2">
        <v>100</v>
      </c>
    </row>
    <row r="3" spans="1:21">
      <c r="A3" t="e">
        <f t="shared" ref="A3:B7" si="0">E3/R3</f>
        <v>#DIV/0!</v>
      </c>
      <c r="B3" t="e">
        <f t="shared" si="0"/>
        <v>#DIV/0!</v>
      </c>
      <c r="C3">
        <f t="shared" ref="C3:D7" si="1">T3/G3</f>
        <v>0</v>
      </c>
      <c r="D3">
        <f t="shared" si="1"/>
        <v>0</v>
      </c>
      <c r="E3" s="1">
        <f t="shared" ref="E3:F7" si="2">N3*$Q3*$K3/$M$2/$I$2</f>
        <v>0</v>
      </c>
      <c r="F3" s="1">
        <f t="shared" si="2"/>
        <v>0</v>
      </c>
      <c r="G3" s="1">
        <f t="shared" ref="G3:H7" si="3">N$2*$Q$2*$J$2*$K$2/$M3</f>
        <v>75</v>
      </c>
      <c r="H3" s="1">
        <f t="shared" si="3"/>
        <v>150</v>
      </c>
      <c r="I3" s="1"/>
      <c r="J3" s="1"/>
      <c r="K3">
        <v>0.5</v>
      </c>
      <c r="L3">
        <v>2</v>
      </c>
      <c r="M3">
        <v>3</v>
      </c>
      <c r="N3">
        <v>1</v>
      </c>
      <c r="O3">
        <v>2</v>
      </c>
      <c r="P3" t="s">
        <v>2</v>
      </c>
    </row>
    <row r="4" spans="1:21">
      <c r="A4" t="e">
        <f t="shared" si="0"/>
        <v>#DIV/0!</v>
      </c>
      <c r="B4" t="e">
        <f t="shared" si="0"/>
        <v>#DIV/0!</v>
      </c>
      <c r="C4">
        <f t="shared" si="1"/>
        <v>0</v>
      </c>
      <c r="D4">
        <f t="shared" si="1"/>
        <v>0</v>
      </c>
      <c r="E4" s="1">
        <f t="shared" si="2"/>
        <v>0</v>
      </c>
      <c r="F4" s="1">
        <f t="shared" si="2"/>
        <v>0</v>
      </c>
      <c r="G4" s="1">
        <f t="shared" si="3"/>
        <v>22.5</v>
      </c>
      <c r="H4" s="1">
        <f t="shared" si="3"/>
        <v>45</v>
      </c>
      <c r="I4" s="1"/>
      <c r="J4" s="1"/>
      <c r="K4">
        <v>0.5</v>
      </c>
      <c r="L4">
        <v>4</v>
      </c>
      <c r="M4">
        <v>10</v>
      </c>
      <c r="N4">
        <v>3</v>
      </c>
      <c r="O4">
        <v>4</v>
      </c>
      <c r="P4" t="s">
        <v>3</v>
      </c>
    </row>
    <row r="5" spans="1:21">
      <c r="A5" t="e">
        <f t="shared" si="0"/>
        <v>#DIV/0!</v>
      </c>
      <c r="B5" t="e">
        <f t="shared" si="0"/>
        <v>#DIV/0!</v>
      </c>
      <c r="C5">
        <f t="shared" si="1"/>
        <v>0</v>
      </c>
      <c r="D5">
        <f t="shared" si="1"/>
        <v>0</v>
      </c>
      <c r="E5" s="1">
        <f t="shared" si="2"/>
        <v>0</v>
      </c>
      <c r="F5" s="1">
        <f t="shared" si="2"/>
        <v>0</v>
      </c>
      <c r="G5" s="1">
        <f t="shared" si="3"/>
        <v>45</v>
      </c>
      <c r="H5" s="1">
        <f t="shared" si="3"/>
        <v>90</v>
      </c>
      <c r="I5" s="1"/>
      <c r="J5" s="1"/>
      <c r="K5">
        <v>0.5</v>
      </c>
      <c r="L5">
        <v>2</v>
      </c>
      <c r="M5">
        <v>5</v>
      </c>
      <c r="N5">
        <v>2</v>
      </c>
      <c r="O5">
        <v>2</v>
      </c>
      <c r="P5" t="s">
        <v>11</v>
      </c>
    </row>
    <row r="6" spans="1:21">
      <c r="A6">
        <f t="shared" si="0"/>
        <v>1.0714285714285714</v>
      </c>
      <c r="B6">
        <f t="shared" si="0"/>
        <v>1</v>
      </c>
      <c r="C6">
        <f t="shared" si="1"/>
        <v>1</v>
      </c>
      <c r="D6">
        <f t="shared" si="1"/>
        <v>1</v>
      </c>
      <c r="E6" s="1">
        <f t="shared" si="2"/>
        <v>3.75</v>
      </c>
      <c r="F6" s="1">
        <f t="shared" si="2"/>
        <v>7.5</v>
      </c>
      <c r="G6" s="1">
        <f t="shared" si="3"/>
        <v>7.5</v>
      </c>
      <c r="H6" s="1">
        <f t="shared" si="3"/>
        <v>15</v>
      </c>
      <c r="I6" s="1"/>
      <c r="J6" s="1"/>
      <c r="K6">
        <v>0.5</v>
      </c>
      <c r="L6">
        <v>5</v>
      </c>
      <c r="M6">
        <v>30</v>
      </c>
      <c r="N6">
        <v>3</v>
      </c>
      <c r="O6">
        <v>6</v>
      </c>
      <c r="P6" t="s">
        <v>1</v>
      </c>
      <c r="Q6">
        <v>100</v>
      </c>
      <c r="R6">
        <v>3.5</v>
      </c>
      <c r="S6">
        <v>7.5</v>
      </c>
      <c r="T6">
        <v>7.5</v>
      </c>
      <c r="U6">
        <v>15</v>
      </c>
    </row>
    <row r="7" spans="1:21">
      <c r="A7" t="e">
        <f t="shared" si="0"/>
        <v>#DIV/0!</v>
      </c>
      <c r="B7" t="e">
        <f t="shared" si="0"/>
        <v>#DIV/0!</v>
      </c>
      <c r="C7">
        <f t="shared" si="1"/>
        <v>0</v>
      </c>
      <c r="D7">
        <f t="shared" si="1"/>
        <v>0</v>
      </c>
      <c r="E7" s="1">
        <f t="shared" si="2"/>
        <v>0</v>
      </c>
      <c r="F7" s="1">
        <f t="shared" si="2"/>
        <v>0</v>
      </c>
      <c r="G7" s="1">
        <f t="shared" si="3"/>
        <v>6.4285714285714288</v>
      </c>
      <c r="H7" s="1">
        <f t="shared" si="3"/>
        <v>12.857142857142858</v>
      </c>
      <c r="I7" s="1"/>
      <c r="J7" s="1"/>
      <c r="K7">
        <v>0.5</v>
      </c>
      <c r="L7">
        <v>5</v>
      </c>
      <c r="M7">
        <v>35</v>
      </c>
      <c r="N7">
        <v>6</v>
      </c>
      <c r="O7">
        <v>10</v>
      </c>
      <c r="P7" t="s">
        <v>12</v>
      </c>
    </row>
    <row r="11" spans="1:21">
      <c r="B11">
        <f>1/B6</f>
        <v>1</v>
      </c>
    </row>
    <row r="22" spans="4:4">
      <c r="D22" t="s">
        <v>50</v>
      </c>
    </row>
  </sheetData>
  <mergeCells count="3">
    <mergeCell ref="N1:O1"/>
    <mergeCell ref="R1:S1"/>
    <mergeCell ref="T1:U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C2"/>
  <sheetViews>
    <sheetView workbookViewId="0">
      <selection activeCell="B3" sqref="B3"/>
    </sheetView>
  </sheetViews>
  <sheetFormatPr defaultRowHeight="15"/>
  <sheetData>
    <row r="2" spans="1:3">
      <c r="A2">
        <v>1.1000000000000001</v>
      </c>
      <c r="B2">
        <v>-5</v>
      </c>
      <c r="C2">
        <f>A2^B2</f>
        <v>0.62092132305915493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35"/>
  <sheetViews>
    <sheetView workbookViewId="0">
      <selection sqref="A1:A35"/>
    </sheetView>
  </sheetViews>
  <sheetFormatPr defaultRowHeight="15"/>
  <cols>
    <col min="1" max="1" width="48" bestFit="1" customWidth="1"/>
  </cols>
  <sheetData>
    <row r="1" spans="1:1">
      <c r="A1" t="s">
        <v>13</v>
      </c>
    </row>
    <row r="2" spans="1:1">
      <c r="A2" t="s">
        <v>14</v>
      </c>
    </row>
    <row r="3" spans="1:1">
      <c r="A3" t="s">
        <v>15</v>
      </c>
    </row>
    <row r="4" spans="1:1">
      <c r="A4" t="s">
        <v>16</v>
      </c>
    </row>
    <row r="5" spans="1:1">
      <c r="A5" t="s">
        <v>17</v>
      </c>
    </row>
    <row r="6" spans="1:1">
      <c r="A6" t="s">
        <v>18</v>
      </c>
    </row>
    <row r="7" spans="1:1">
      <c r="A7" t="s">
        <v>19</v>
      </c>
    </row>
    <row r="8" spans="1:1">
      <c r="A8" t="s">
        <v>20</v>
      </c>
    </row>
    <row r="9" spans="1:1">
      <c r="A9" t="s">
        <v>21</v>
      </c>
    </row>
    <row r="10" spans="1:1">
      <c r="A10" t="s">
        <v>22</v>
      </c>
    </row>
    <row r="11" spans="1:1">
      <c r="A11" t="s">
        <v>23</v>
      </c>
    </row>
    <row r="12" spans="1:1">
      <c r="A12" t="s">
        <v>24</v>
      </c>
    </row>
    <row r="13" spans="1:1">
      <c r="A13" t="s">
        <v>25</v>
      </c>
    </row>
    <row r="14" spans="1:1">
      <c r="A14" t="s">
        <v>26</v>
      </c>
    </row>
    <row r="15" spans="1:1">
      <c r="A15" t="s">
        <v>27</v>
      </c>
    </row>
    <row r="16" spans="1:1">
      <c r="A16" t="s">
        <v>28</v>
      </c>
    </row>
    <row r="17" spans="1:1">
      <c r="A17" t="s">
        <v>29</v>
      </c>
    </row>
    <row r="18" spans="1:1">
      <c r="A18" t="s">
        <v>30</v>
      </c>
    </row>
    <row r="19" spans="1:1">
      <c r="A19" t="s">
        <v>31</v>
      </c>
    </row>
    <row r="20" spans="1:1">
      <c r="A20" t="s">
        <v>32</v>
      </c>
    </row>
    <row r="21" spans="1:1">
      <c r="A21" t="s">
        <v>33</v>
      </c>
    </row>
    <row r="22" spans="1:1">
      <c r="A22" t="s">
        <v>34</v>
      </c>
    </row>
    <row r="23" spans="1:1">
      <c r="A23" t="s">
        <v>35</v>
      </c>
    </row>
    <row r="24" spans="1:1">
      <c r="A24" t="s">
        <v>36</v>
      </c>
    </row>
    <row r="25" spans="1:1">
      <c r="A25" t="s">
        <v>37</v>
      </c>
    </row>
    <row r="26" spans="1:1">
      <c r="A26" t="s">
        <v>38</v>
      </c>
    </row>
    <row r="27" spans="1:1">
      <c r="A27" t="s">
        <v>39</v>
      </c>
    </row>
    <row r="28" spans="1:1">
      <c r="A28" t="s">
        <v>40</v>
      </c>
    </row>
    <row r="29" spans="1:1">
      <c r="A29" t="s">
        <v>41</v>
      </c>
    </row>
    <row r="30" spans="1:1">
      <c r="A30" t="s">
        <v>42</v>
      </c>
    </row>
    <row r="31" spans="1:1">
      <c r="A31" t="s">
        <v>43</v>
      </c>
    </row>
    <row r="32" spans="1:1">
      <c r="A32" t="s">
        <v>44</v>
      </c>
    </row>
    <row r="33" spans="1:1">
      <c r="A33" t="s">
        <v>45</v>
      </c>
    </row>
    <row r="34" spans="1:1">
      <c r="A34" t="s">
        <v>46</v>
      </c>
    </row>
    <row r="35" spans="1:1">
      <c r="A35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B19" sqref="B19"/>
    </sheetView>
  </sheetViews>
  <sheetFormatPr defaultRowHeight="15"/>
  <cols>
    <col min="1" max="1" width="18.5703125" bestFit="1" customWidth="1"/>
    <col min="2" max="7" width="10.85546875" customWidth="1"/>
  </cols>
  <sheetData>
    <row r="1" spans="1:8">
      <c r="B1" t="s">
        <v>53</v>
      </c>
      <c r="E1" s="8"/>
      <c r="F1" s="8"/>
      <c r="G1" s="8"/>
      <c r="H1" s="8"/>
    </row>
    <row r="2" spans="1:8">
      <c r="A2" t="s">
        <v>53</v>
      </c>
      <c r="B2">
        <v>632000</v>
      </c>
      <c r="E2" s="7"/>
      <c r="F2" s="7"/>
      <c r="G2" s="7"/>
      <c r="H2" s="7"/>
    </row>
    <row r="3" spans="1:8">
      <c r="A3" t="s">
        <v>54</v>
      </c>
      <c r="B3">
        <f>B2*0.4</f>
        <v>252800</v>
      </c>
      <c r="E3" s="7"/>
      <c r="F3" s="7"/>
      <c r="G3" s="7"/>
      <c r="H3" s="7"/>
    </row>
    <row r="4" spans="1:8">
      <c r="A4" t="s">
        <v>55</v>
      </c>
      <c r="B4">
        <v>50000</v>
      </c>
      <c r="E4" s="7"/>
      <c r="F4" s="7"/>
      <c r="G4" s="7"/>
      <c r="H4" s="7"/>
    </row>
    <row r="5" spans="1:8">
      <c r="A5" t="s">
        <v>56</v>
      </c>
      <c r="B5">
        <f>255000+40000+70000+55000+10000+10000-137000</f>
        <v>303000</v>
      </c>
      <c r="E5" s="7"/>
      <c r="F5" s="7"/>
      <c r="G5" s="7"/>
      <c r="H5" s="7"/>
    </row>
    <row r="6" spans="1:8">
      <c r="A6" t="s">
        <v>57</v>
      </c>
      <c r="B6">
        <f>B2-B3</f>
        <v>379200</v>
      </c>
      <c r="E6" s="7"/>
      <c r="F6" s="7"/>
      <c r="G6" s="7"/>
      <c r="H6" s="7"/>
    </row>
    <row r="7" spans="1:8">
      <c r="A7" t="s">
        <v>58</v>
      </c>
      <c r="B7" s="5">
        <v>0.17810000000000001</v>
      </c>
      <c r="E7" s="7"/>
      <c r="F7" s="7"/>
      <c r="G7" s="7"/>
      <c r="H7" s="7"/>
    </row>
    <row r="8" spans="1:8">
      <c r="A8" t="s">
        <v>59</v>
      </c>
      <c r="B8" s="5">
        <v>8.8999999999999996E-2</v>
      </c>
      <c r="E8" s="7"/>
      <c r="F8" s="7"/>
      <c r="G8" s="7"/>
      <c r="H8" s="7"/>
    </row>
    <row r="9" spans="1:8">
      <c r="A9" t="s">
        <v>60</v>
      </c>
      <c r="B9" s="6">
        <f>B6-C19</f>
        <v>16746.81241362181</v>
      </c>
      <c r="E9" s="7"/>
      <c r="F9" s="7"/>
      <c r="G9" s="7"/>
      <c r="H9" s="7"/>
    </row>
    <row r="10" spans="1:8">
      <c r="A10" t="s">
        <v>65</v>
      </c>
      <c r="B10" s="6">
        <f>B7/12*(B6-B9)</f>
        <v>5379.4093924278304</v>
      </c>
      <c r="E10" s="7"/>
      <c r="F10" s="7"/>
      <c r="G10" s="7"/>
      <c r="H10" s="7"/>
    </row>
    <row r="11" spans="1:8">
      <c r="A11" t="s">
        <v>68</v>
      </c>
      <c r="B11" s="6">
        <f>F22</f>
        <v>16534.061319741391</v>
      </c>
      <c r="E11" s="7"/>
      <c r="F11" s="7"/>
      <c r="G11" s="7"/>
      <c r="H11" s="7"/>
    </row>
    <row r="12" spans="1:8">
      <c r="A12" t="s">
        <v>66</v>
      </c>
      <c r="B12" s="6">
        <f>B5-B3-B4-B10+B11</f>
        <v>11354.65192731356</v>
      </c>
      <c r="E12" s="7"/>
      <c r="F12" s="7"/>
      <c r="G12" s="7"/>
      <c r="H12" s="7"/>
    </row>
    <row r="13" spans="1:8">
      <c r="A13" t="s">
        <v>67</v>
      </c>
      <c r="B13" s="6">
        <f>B6-B12-B9</f>
        <v>351098.53565906466</v>
      </c>
      <c r="E13" s="7"/>
      <c r="F13" s="7"/>
      <c r="G13" s="7"/>
      <c r="H13" s="7"/>
    </row>
    <row r="14" spans="1:8">
      <c r="E14" s="7"/>
      <c r="F14" s="7"/>
      <c r="G14" s="7"/>
      <c r="H14" s="7"/>
    </row>
    <row r="15" spans="1:8">
      <c r="F15" s="6"/>
    </row>
    <row r="16" spans="1:8">
      <c r="B16" s="10" t="s">
        <v>77</v>
      </c>
      <c r="C16" s="10"/>
      <c r="F16" s="11" t="s">
        <v>76</v>
      </c>
      <c r="G16" s="11"/>
    </row>
    <row r="17" spans="1:9">
      <c r="A17" t="s">
        <v>70</v>
      </c>
      <c r="B17" s="5">
        <f>B8</f>
        <v>8.8999999999999996E-2</v>
      </c>
      <c r="C17" s="5">
        <f>B7</f>
        <v>0.17810000000000001</v>
      </c>
      <c r="D17" s="9">
        <f>B7/C18*D18</f>
        <v>0.17067916666666669</v>
      </c>
      <c r="E17" s="5">
        <f>B7</f>
        <v>0.17810000000000001</v>
      </c>
      <c r="F17" s="5">
        <f>B8</f>
        <v>8.8999999999999996E-2</v>
      </c>
      <c r="G17" s="5">
        <f>B7</f>
        <v>0.17810000000000001</v>
      </c>
    </row>
    <row r="18" spans="1:9">
      <c r="A18" t="s">
        <v>71</v>
      </c>
      <c r="B18">
        <v>24</v>
      </c>
      <c r="C18">
        <f>B18</f>
        <v>24</v>
      </c>
      <c r="D18">
        <f>C18-1</f>
        <v>23</v>
      </c>
      <c r="E18">
        <f>B18</f>
        <v>24</v>
      </c>
      <c r="F18">
        <f>E18</f>
        <v>24</v>
      </c>
      <c r="G18">
        <f>F18</f>
        <v>24</v>
      </c>
    </row>
    <row r="19" spans="1:9">
      <c r="A19" t="s">
        <v>72</v>
      </c>
      <c r="B19" s="6">
        <f>B6</f>
        <v>379200</v>
      </c>
      <c r="C19" s="6">
        <f>C22/C21</f>
        <v>362453.18758637819</v>
      </c>
      <c r="D19" s="6">
        <f>C19-B12</f>
        <v>351098.53565906466</v>
      </c>
      <c r="E19" s="6">
        <f>E22/E21</f>
        <v>365050.90292769897</v>
      </c>
      <c r="F19" s="6">
        <f>B2+B4-B5</f>
        <v>379000</v>
      </c>
      <c r="G19" s="6">
        <f>G22/G21</f>
        <v>362262.02029334736</v>
      </c>
      <c r="H19" s="6">
        <f>G19-E19</f>
        <v>-2788.8826343516121</v>
      </c>
    </row>
    <row r="20" spans="1:9">
      <c r="A20" t="s">
        <v>69</v>
      </c>
      <c r="B20">
        <f t="shared" ref="B20:G20" si="0">B17/B18</f>
        <v>3.708333333333333E-3</v>
      </c>
      <c r="C20">
        <f t="shared" si="0"/>
        <v>7.420833333333334E-3</v>
      </c>
      <c r="D20">
        <f t="shared" si="0"/>
        <v>7.420833333333334E-3</v>
      </c>
      <c r="E20">
        <f t="shared" si="0"/>
        <v>7.420833333333334E-3</v>
      </c>
      <c r="F20">
        <f t="shared" si="0"/>
        <v>3.708333333333333E-3</v>
      </c>
      <c r="G20">
        <f t="shared" si="0"/>
        <v>7.420833333333334E-3</v>
      </c>
    </row>
    <row r="21" spans="1:9">
      <c r="A21" t="s">
        <v>74</v>
      </c>
      <c r="B21" s="4">
        <f t="shared" ref="B21:G21" si="1">B20*(1+B20)^B18/((1+B20)^B18-1)</f>
        <v>4.362549160881634E-2</v>
      </c>
      <c r="C21" s="4">
        <f t="shared" si="1"/>
        <v>4.5641166872399913E-2</v>
      </c>
      <c r="D21" s="4">
        <f t="shared" si="1"/>
        <v>4.745490933525974E-2</v>
      </c>
      <c r="E21" s="4">
        <f t="shared" si="1"/>
        <v>4.5641166872399913E-2</v>
      </c>
      <c r="F21" s="4">
        <f t="shared" si="1"/>
        <v>4.362549160881634E-2</v>
      </c>
      <c r="G21" s="4">
        <f t="shared" si="1"/>
        <v>4.5641166872399913E-2</v>
      </c>
    </row>
    <row r="22" spans="1:9">
      <c r="A22" t="s">
        <v>73</v>
      </c>
      <c r="B22" s="6">
        <f>B21*B19</f>
        <v>16542.786418063155</v>
      </c>
      <c r="C22" s="6">
        <f>C23/C18</f>
        <v>16542.786418063155</v>
      </c>
      <c r="D22" s="6">
        <f>D21*D19</f>
        <v>16661.349177443371</v>
      </c>
      <c r="E22" s="6">
        <f>D22</f>
        <v>16661.349177443371</v>
      </c>
      <c r="F22" s="6">
        <f>F21*F19</f>
        <v>16534.061319741391</v>
      </c>
      <c r="G22" s="6">
        <f>G23/G18</f>
        <v>16534.061319741391</v>
      </c>
    </row>
    <row r="23" spans="1:9">
      <c r="A23" t="s">
        <v>75</v>
      </c>
      <c r="B23" s="6">
        <f>B22*B18</f>
        <v>397026.87403351569</v>
      </c>
      <c r="C23" s="6">
        <f>B23</f>
        <v>397026.87403351569</v>
      </c>
      <c r="D23" s="6">
        <f>D22*D18</f>
        <v>383211.03108119755</v>
      </c>
      <c r="E23" s="6">
        <f>E22*E18</f>
        <v>399872.38025864091</v>
      </c>
      <c r="F23" s="6">
        <f>F22*F18</f>
        <v>396817.47167379339</v>
      </c>
      <c r="G23" s="6">
        <f>F23</f>
        <v>396817.47167379339</v>
      </c>
      <c r="H23" s="6">
        <f>F23-E23</f>
        <v>-3054.9085848475224</v>
      </c>
      <c r="I23" s="6"/>
    </row>
    <row r="24" spans="1:9">
      <c r="A24" t="s">
        <v>78</v>
      </c>
      <c r="C24" s="6">
        <f>B19-C19</f>
        <v>16746.81241362181</v>
      </c>
      <c r="G24" s="6">
        <f>F19-G19</f>
        <v>16737.979706652637</v>
      </c>
      <c r="H24" s="6">
        <f>C24-G24</f>
        <v>8.8327069691731595</v>
      </c>
    </row>
    <row r="25" spans="1:9">
      <c r="I25" s="6"/>
    </row>
  </sheetData>
  <mergeCells count="2">
    <mergeCell ref="B16:C16"/>
    <mergeCell ref="F16:G1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R15"/>
  <sheetViews>
    <sheetView workbookViewId="0">
      <selection activeCell="O14" sqref="O14"/>
    </sheetView>
  </sheetViews>
  <sheetFormatPr defaultRowHeight="15"/>
  <cols>
    <col min="1" max="1" width="18.5703125" bestFit="1" customWidth="1"/>
    <col min="2" max="2" width="10" bestFit="1" customWidth="1"/>
    <col min="4" max="4" width="3" bestFit="1" customWidth="1"/>
    <col min="5" max="6" width="10" bestFit="1" customWidth="1"/>
    <col min="7" max="7" width="11.28515625" bestFit="1" customWidth="1"/>
    <col min="8" max="8" width="8.85546875" bestFit="1" customWidth="1"/>
    <col min="10" max="10" width="10" bestFit="1" customWidth="1"/>
    <col min="11" max="11" width="10" customWidth="1"/>
    <col min="12" max="12" width="11.28515625" bestFit="1" customWidth="1"/>
    <col min="13" max="13" width="9" bestFit="1" customWidth="1"/>
    <col min="15" max="16" width="10" bestFit="1" customWidth="1"/>
    <col min="17" max="17" width="11.28515625" bestFit="1" customWidth="1"/>
    <col min="18" max="18" width="9" bestFit="1" customWidth="1"/>
  </cols>
  <sheetData>
    <row r="1" spans="1:18">
      <c r="B1" t="s">
        <v>53</v>
      </c>
      <c r="E1" s="8" t="s">
        <v>61</v>
      </c>
      <c r="F1" s="8" t="s">
        <v>62</v>
      </c>
      <c r="G1" s="8" t="s">
        <v>63</v>
      </c>
      <c r="H1" s="8" t="s">
        <v>64</v>
      </c>
      <c r="J1" s="8" t="s">
        <v>61</v>
      </c>
      <c r="K1" s="8" t="s">
        <v>62</v>
      </c>
      <c r="L1" s="8" t="s">
        <v>63</v>
      </c>
      <c r="M1" s="8" t="s">
        <v>64</v>
      </c>
      <c r="O1" s="8" t="s">
        <v>61</v>
      </c>
      <c r="P1" s="8" t="s">
        <v>62</v>
      </c>
      <c r="Q1" s="8" t="s">
        <v>63</v>
      </c>
      <c r="R1" s="8" t="s">
        <v>64</v>
      </c>
    </row>
    <row r="2" spans="1:18">
      <c r="A2" t="s">
        <v>53</v>
      </c>
      <c r="B2">
        <v>632000</v>
      </c>
      <c r="D2">
        <v>1</v>
      </c>
      <c r="E2" s="7">
        <f>B6</f>
        <v>227000</v>
      </c>
      <c r="F2" s="7">
        <v>19331.950692351704</v>
      </c>
      <c r="G2" s="7">
        <f>F2-H2</f>
        <v>18560.150692351704</v>
      </c>
      <c r="H2" s="7">
        <f>E2*$B$8/12</f>
        <v>771.80000000000007</v>
      </c>
      <c r="J2" s="7">
        <v>212514.59786992442</v>
      </c>
      <c r="K2" s="7">
        <f>$K$14/12</f>
        <v>19331.950692351704</v>
      </c>
      <c r="L2" s="7">
        <f>K2-M2</f>
        <v>16409.874971640242</v>
      </c>
      <c r="M2" s="7">
        <f>J2*$B$7/12</f>
        <v>2922.0757207114607</v>
      </c>
      <c r="O2" s="7"/>
      <c r="P2" s="7"/>
      <c r="Q2" s="7"/>
      <c r="R2" s="7"/>
    </row>
    <row r="3" spans="1:18">
      <c r="A3" t="s">
        <v>54</v>
      </c>
      <c r="B3">
        <f>B5-B4</f>
        <v>405000</v>
      </c>
      <c r="D3">
        <v>2</v>
      </c>
      <c r="E3" s="7">
        <f>E2-G2</f>
        <v>208439.84930764828</v>
      </c>
      <c r="F3" s="7">
        <f>F2</f>
        <v>19331.950692351704</v>
      </c>
      <c r="G3" s="7">
        <f>F3-H3</f>
        <v>18623.2552047057</v>
      </c>
      <c r="H3" s="7">
        <f>E3*$B$8/12</f>
        <v>708.69548764600415</v>
      </c>
      <c r="J3" s="7">
        <f>J2-L2</f>
        <v>196104.72289828418</v>
      </c>
      <c r="K3" s="7">
        <f>K2</f>
        <v>19331.950692351704</v>
      </c>
      <c r="L3" s="7">
        <f>K3-M3</f>
        <v>16635.510752500297</v>
      </c>
      <c r="M3" s="7">
        <f t="shared" ref="M3:M13" si="0">J3*$B$7/12</f>
        <v>2696.4399398514074</v>
      </c>
      <c r="O3" s="7">
        <f>B12</f>
        <v>215436.67359063588</v>
      </c>
      <c r="P3" s="7">
        <v>20473.397367386187</v>
      </c>
      <c r="Q3" s="7">
        <f>P3-R3</f>
        <v>17511.143105514944</v>
      </c>
      <c r="R3" s="7">
        <f t="shared" ref="R3:R13" si="1">O3*$B$7/12</f>
        <v>2962.2542618712432</v>
      </c>
    </row>
    <row r="4" spans="1:18">
      <c r="A4" t="s">
        <v>55</v>
      </c>
      <c r="B4">
        <v>35000</v>
      </c>
      <c r="D4">
        <v>3</v>
      </c>
      <c r="E4" s="7">
        <f t="shared" ref="E4:E13" si="2">E3-G3</f>
        <v>189816.59410294259</v>
      </c>
      <c r="F4" s="7">
        <f t="shared" ref="F4:F13" si="3">F3</f>
        <v>19331.950692351704</v>
      </c>
      <c r="G4" s="7">
        <f t="shared" ref="G4:G14" si="4">F4-H4</f>
        <v>18686.5742724017</v>
      </c>
      <c r="H4" s="7">
        <f t="shared" ref="H4:H13" si="5">E4*$B$8/12</f>
        <v>645.37641995000479</v>
      </c>
      <c r="J4" s="7">
        <f t="shared" ref="J4:J14" si="6">J3-L3</f>
        <v>179469.21214578388</v>
      </c>
      <c r="K4" s="7">
        <f t="shared" ref="K4:K13" si="7">K3</f>
        <v>19331.950692351704</v>
      </c>
      <c r="L4" s="7">
        <f t="shared" ref="L4:L13" si="8">K4-M4</f>
        <v>16864.249025347177</v>
      </c>
      <c r="M4" s="7">
        <f t="shared" si="0"/>
        <v>2467.7016670045282</v>
      </c>
      <c r="O4" s="7">
        <f t="shared" ref="O4:O14" si="9">O3-Q3</f>
        <v>197925.53048512095</v>
      </c>
      <c r="P4" s="7">
        <f t="shared" ref="P4:P13" si="10">P3</f>
        <v>20473.397367386187</v>
      </c>
      <c r="Q4" s="7">
        <f t="shared" ref="Q4:Q13" si="11">P4-R4</f>
        <v>17751.921323215774</v>
      </c>
      <c r="R4" s="7">
        <f t="shared" si="1"/>
        <v>2721.4760441704134</v>
      </c>
    </row>
    <row r="5" spans="1:18">
      <c r="A5" t="s">
        <v>56</v>
      </c>
      <c r="B5">
        <f>255000+40000+70000+55000+10000+10000</f>
        <v>440000</v>
      </c>
      <c r="D5">
        <v>4</v>
      </c>
      <c r="E5" s="7">
        <f t="shared" si="2"/>
        <v>171130.0198305409</v>
      </c>
      <c r="F5" s="7">
        <f t="shared" si="3"/>
        <v>19331.950692351704</v>
      </c>
      <c r="G5" s="7">
        <f t="shared" si="4"/>
        <v>18750.108624927863</v>
      </c>
      <c r="H5" s="7">
        <f t="shared" si="5"/>
        <v>581.84206742383913</v>
      </c>
      <c r="J5" s="7">
        <f t="shared" si="6"/>
        <v>162604.9631204367</v>
      </c>
      <c r="K5" s="7">
        <f t="shared" si="7"/>
        <v>19331.950692351704</v>
      </c>
      <c r="L5" s="7">
        <f t="shared" si="8"/>
        <v>17096.1324494457</v>
      </c>
      <c r="M5" s="7">
        <f t="shared" si="0"/>
        <v>2235.8182429060048</v>
      </c>
      <c r="O5" s="7">
        <f t="shared" si="9"/>
        <v>180173.60916190519</v>
      </c>
      <c r="P5" s="7">
        <f t="shared" si="10"/>
        <v>20473.397367386187</v>
      </c>
      <c r="Q5" s="7">
        <f t="shared" si="11"/>
        <v>17996.010241409989</v>
      </c>
      <c r="R5" s="7">
        <f t="shared" si="1"/>
        <v>2477.3871259761963</v>
      </c>
    </row>
    <row r="6" spans="1:18">
      <c r="A6" t="s">
        <v>57</v>
      </c>
      <c r="B6">
        <f>B2-B3</f>
        <v>227000</v>
      </c>
      <c r="D6">
        <v>5</v>
      </c>
      <c r="E6" s="7">
        <f t="shared" si="2"/>
        <v>152379.91120561303</v>
      </c>
      <c r="F6" s="7">
        <f t="shared" si="3"/>
        <v>19331.950692351704</v>
      </c>
      <c r="G6" s="7">
        <f t="shared" si="4"/>
        <v>18813.85899425262</v>
      </c>
      <c r="H6" s="7">
        <f t="shared" si="5"/>
        <v>518.09169809908428</v>
      </c>
      <c r="J6" s="7">
        <f t="shared" si="6"/>
        <v>145508.83067099101</v>
      </c>
      <c r="K6" s="7">
        <f t="shared" si="7"/>
        <v>19331.950692351704</v>
      </c>
      <c r="L6" s="7">
        <f t="shared" si="8"/>
        <v>17331.204270625578</v>
      </c>
      <c r="M6" s="7">
        <f t="shared" si="0"/>
        <v>2000.7464217261265</v>
      </c>
      <c r="O6" s="7">
        <f t="shared" si="9"/>
        <v>162177.59892049519</v>
      </c>
      <c r="P6" s="7">
        <f t="shared" si="10"/>
        <v>20473.397367386187</v>
      </c>
      <c r="Q6" s="7">
        <f t="shared" si="11"/>
        <v>18243.455382229378</v>
      </c>
      <c r="R6" s="7">
        <f t="shared" si="1"/>
        <v>2229.9419851568091</v>
      </c>
    </row>
    <row r="7" spans="1:18">
      <c r="A7" t="s">
        <v>58</v>
      </c>
      <c r="B7" s="5">
        <v>0.16500000000000001</v>
      </c>
      <c r="D7">
        <v>6</v>
      </c>
      <c r="E7" s="7">
        <f t="shared" si="2"/>
        <v>133566.05221136039</v>
      </c>
      <c r="F7" s="7">
        <f t="shared" si="3"/>
        <v>19331.950692351704</v>
      </c>
      <c r="G7" s="7">
        <f t="shared" si="4"/>
        <v>18877.826114833078</v>
      </c>
      <c r="H7" s="7">
        <f t="shared" si="5"/>
        <v>454.12457751862536</v>
      </c>
      <c r="J7" s="7">
        <f t="shared" si="6"/>
        <v>128177.62640036544</v>
      </c>
      <c r="K7" s="7">
        <f t="shared" si="7"/>
        <v>19331.950692351704</v>
      </c>
      <c r="L7" s="7">
        <f t="shared" si="8"/>
        <v>17569.508329346678</v>
      </c>
      <c r="M7" s="7">
        <f t="shared" si="0"/>
        <v>1762.4423630050248</v>
      </c>
      <c r="O7" s="7">
        <f t="shared" si="9"/>
        <v>143934.14353826581</v>
      </c>
      <c r="P7" s="7">
        <f t="shared" si="10"/>
        <v>20473.397367386187</v>
      </c>
      <c r="Q7" s="7">
        <f t="shared" si="11"/>
        <v>18494.302893735032</v>
      </c>
      <c r="R7" s="7">
        <f t="shared" si="1"/>
        <v>1979.0944736511549</v>
      </c>
    </row>
    <row r="8" spans="1:18">
      <c r="A8" t="s">
        <v>59</v>
      </c>
      <c r="B8" s="5">
        <v>4.0800000000000003E-2</v>
      </c>
      <c r="D8">
        <v>7</v>
      </c>
      <c r="E8" s="7">
        <f t="shared" si="2"/>
        <v>114688.22609652732</v>
      </c>
      <c r="F8" s="7">
        <f t="shared" si="3"/>
        <v>19331.950692351704</v>
      </c>
      <c r="G8" s="7">
        <f t="shared" si="4"/>
        <v>18942.010723623513</v>
      </c>
      <c r="H8" s="7">
        <f t="shared" si="5"/>
        <v>389.93996872819292</v>
      </c>
      <c r="J8" s="7">
        <f t="shared" si="6"/>
        <v>110608.11807101876</v>
      </c>
      <c r="K8" s="7">
        <f t="shared" si="7"/>
        <v>19331.950692351704</v>
      </c>
      <c r="L8" s="7">
        <f t="shared" si="8"/>
        <v>17811.089068875197</v>
      </c>
      <c r="M8" s="7">
        <f t="shared" si="0"/>
        <v>1520.8616234765079</v>
      </c>
      <c r="O8" s="7">
        <f t="shared" si="9"/>
        <v>125439.84064453078</v>
      </c>
      <c r="P8" s="7">
        <f t="shared" si="10"/>
        <v>20473.397367386187</v>
      </c>
      <c r="Q8" s="7">
        <f t="shared" si="11"/>
        <v>18748.599558523889</v>
      </c>
      <c r="R8" s="7">
        <f t="shared" si="1"/>
        <v>1724.7978088622983</v>
      </c>
    </row>
    <row r="9" spans="1:18">
      <c r="A9" t="s">
        <v>60</v>
      </c>
      <c r="B9" s="6">
        <f>E2-J2</f>
        <v>14485.402130075585</v>
      </c>
      <c r="D9">
        <v>8</v>
      </c>
      <c r="E9" s="7">
        <f t="shared" si="2"/>
        <v>95746.215372903796</v>
      </c>
      <c r="F9" s="7">
        <f t="shared" si="3"/>
        <v>19331.950692351704</v>
      </c>
      <c r="G9" s="7">
        <f t="shared" si="4"/>
        <v>19006.413560083831</v>
      </c>
      <c r="H9" s="7">
        <f t="shared" si="5"/>
        <v>325.53713226787295</v>
      </c>
      <c r="J9" s="7">
        <f t="shared" si="6"/>
        <v>92797.029002143565</v>
      </c>
      <c r="K9" s="7">
        <f t="shared" si="7"/>
        <v>19331.950692351704</v>
      </c>
      <c r="L9" s="7">
        <f t="shared" si="8"/>
        <v>18055.991543572229</v>
      </c>
      <c r="M9" s="7">
        <f t="shared" si="0"/>
        <v>1275.9591487794739</v>
      </c>
      <c r="O9" s="7">
        <f t="shared" si="9"/>
        <v>106691.24108600689</v>
      </c>
      <c r="P9" s="7">
        <f t="shared" si="10"/>
        <v>20473.397367386187</v>
      </c>
      <c r="Q9" s="7">
        <f t="shared" si="11"/>
        <v>19006.392802453593</v>
      </c>
      <c r="R9" s="7">
        <f t="shared" si="1"/>
        <v>1467.0045649325948</v>
      </c>
    </row>
    <row r="10" spans="1:18">
      <c r="A10" t="s">
        <v>65</v>
      </c>
      <c r="B10" s="6">
        <f>M2</f>
        <v>2922.0757207114607</v>
      </c>
      <c r="D10">
        <v>9</v>
      </c>
      <c r="E10" s="7">
        <f t="shared" si="2"/>
        <v>76739.801812819962</v>
      </c>
      <c r="F10" s="7">
        <f t="shared" si="3"/>
        <v>19331.950692351704</v>
      </c>
      <c r="G10" s="7">
        <f t="shared" si="4"/>
        <v>19071.035366188116</v>
      </c>
      <c r="H10" s="7">
        <f t="shared" si="5"/>
        <v>260.91532616358791</v>
      </c>
      <c r="J10" s="7">
        <f t="shared" si="6"/>
        <v>74741.037458571343</v>
      </c>
      <c r="K10" s="7">
        <f t="shared" si="7"/>
        <v>19331.950692351704</v>
      </c>
      <c r="L10" s="7">
        <f t="shared" si="8"/>
        <v>18304.261427296347</v>
      </c>
      <c r="M10" s="7">
        <f t="shared" si="0"/>
        <v>1027.6892650553561</v>
      </c>
      <c r="O10" s="7">
        <f t="shared" si="9"/>
        <v>87684.848283553292</v>
      </c>
      <c r="P10" s="7">
        <f t="shared" si="10"/>
        <v>20473.397367386187</v>
      </c>
      <c r="Q10" s="7">
        <f t="shared" si="11"/>
        <v>19267.73070348733</v>
      </c>
      <c r="R10" s="7">
        <f t="shared" si="1"/>
        <v>1205.6666638988579</v>
      </c>
    </row>
    <row r="11" spans="1:18">
      <c r="A11" t="s">
        <v>66</v>
      </c>
      <c r="B11" s="6">
        <f>B5-B3-B4-B10</f>
        <v>-2922.0757207114607</v>
      </c>
      <c r="D11">
        <v>10</v>
      </c>
      <c r="E11" s="7">
        <f t="shared" si="2"/>
        <v>57668.766446631846</v>
      </c>
      <c r="F11" s="7">
        <f t="shared" si="3"/>
        <v>19331.950692351704</v>
      </c>
      <c r="G11" s="7">
        <f t="shared" si="4"/>
        <v>19135.876886433154</v>
      </c>
      <c r="H11" s="7">
        <f t="shared" si="5"/>
        <v>196.07380591854829</v>
      </c>
      <c r="J11" s="7">
        <f t="shared" si="6"/>
        <v>56436.776031274996</v>
      </c>
      <c r="K11" s="7">
        <f t="shared" si="7"/>
        <v>19331.950692351704</v>
      </c>
      <c r="L11" s="7">
        <f t="shared" si="8"/>
        <v>18555.945021921674</v>
      </c>
      <c r="M11" s="7">
        <f t="shared" si="0"/>
        <v>776.00567043003127</v>
      </c>
      <c r="O11" s="7">
        <f t="shared" si="9"/>
        <v>68417.117580065969</v>
      </c>
      <c r="P11" s="7">
        <f t="shared" si="10"/>
        <v>20473.397367386187</v>
      </c>
      <c r="Q11" s="7">
        <f t="shared" si="11"/>
        <v>19532.662000660279</v>
      </c>
      <c r="R11" s="7">
        <f t="shared" si="1"/>
        <v>940.73536672590717</v>
      </c>
    </row>
    <row r="12" spans="1:18">
      <c r="A12" t="s">
        <v>67</v>
      </c>
      <c r="B12" s="6">
        <f>B6-B11-B9</f>
        <v>215436.67359063588</v>
      </c>
      <c r="D12">
        <v>11</v>
      </c>
      <c r="E12" s="7">
        <f t="shared" si="2"/>
        <v>38532.889560198688</v>
      </c>
      <c r="F12" s="7">
        <f t="shared" si="3"/>
        <v>19331.950692351704</v>
      </c>
      <c r="G12" s="7">
        <f t="shared" si="4"/>
        <v>19200.938867847028</v>
      </c>
      <c r="H12" s="7">
        <f t="shared" si="5"/>
        <v>131.01182450467556</v>
      </c>
      <c r="J12" s="7">
        <f t="shared" si="6"/>
        <v>37880.831009353322</v>
      </c>
      <c r="K12" s="7">
        <f t="shared" si="7"/>
        <v>19331.950692351704</v>
      </c>
      <c r="L12" s="7">
        <f t="shared" si="8"/>
        <v>18811.089265973096</v>
      </c>
      <c r="M12" s="7">
        <f t="shared" si="0"/>
        <v>520.86142637860814</v>
      </c>
      <c r="O12" s="7">
        <f t="shared" si="9"/>
        <v>48884.455579405694</v>
      </c>
      <c r="P12" s="7">
        <f t="shared" si="10"/>
        <v>20473.397367386187</v>
      </c>
      <c r="Q12" s="7">
        <f t="shared" si="11"/>
        <v>19801.236103169358</v>
      </c>
      <c r="R12" s="7">
        <f t="shared" si="1"/>
        <v>672.16126421682827</v>
      </c>
    </row>
    <row r="13" spans="1:18">
      <c r="D13">
        <v>12</v>
      </c>
      <c r="E13" s="7">
        <f t="shared" si="2"/>
        <v>19331.95069235166</v>
      </c>
      <c r="F13" s="7">
        <f t="shared" si="3"/>
        <v>19331.950692351704</v>
      </c>
      <c r="G13" s="7">
        <f t="shared" si="4"/>
        <v>19266.222059997708</v>
      </c>
      <c r="H13" s="7">
        <f t="shared" si="5"/>
        <v>65.72863235399565</v>
      </c>
      <c r="J13" s="7">
        <f t="shared" si="6"/>
        <v>19069.741743380226</v>
      </c>
      <c r="K13" s="7">
        <f t="shared" si="7"/>
        <v>19331.950692351704</v>
      </c>
      <c r="L13" s="7">
        <f t="shared" si="8"/>
        <v>19069.741743380226</v>
      </c>
      <c r="M13" s="7">
        <f t="shared" si="0"/>
        <v>262.20894897147815</v>
      </c>
      <c r="O13" s="7">
        <f t="shared" si="9"/>
        <v>29083.219476236336</v>
      </c>
      <c r="P13" s="7">
        <f t="shared" si="10"/>
        <v>20473.397367386187</v>
      </c>
      <c r="Q13" s="7">
        <f t="shared" si="11"/>
        <v>20073.503099587939</v>
      </c>
      <c r="R13" s="7">
        <f t="shared" si="1"/>
        <v>399.89426779824959</v>
      </c>
    </row>
    <row r="14" spans="1:18">
      <c r="E14" s="7">
        <f t="shared" ref="E14" si="12">E13-F13</f>
        <v>-4.3655745685100555E-11</v>
      </c>
      <c r="F14" s="7">
        <f>SUM(F2:F13)</f>
        <v>231983.40830822045</v>
      </c>
      <c r="G14" s="7">
        <f t="shared" si="4"/>
        <v>226934.27136764603</v>
      </c>
      <c r="H14" s="7">
        <f>SUM(H2:H13)</f>
        <v>5049.1369405744299</v>
      </c>
      <c r="J14" s="7">
        <f t="shared" si="6"/>
        <v>0</v>
      </c>
      <c r="K14" s="7">
        <f>F14</f>
        <v>231983.40830822045</v>
      </c>
      <c r="L14" s="7"/>
      <c r="M14" s="7">
        <f>SUM(M2:M13)</f>
        <v>19468.810438296005</v>
      </c>
      <c r="O14" s="7">
        <f t="shared" si="9"/>
        <v>9009.7163766483973</v>
      </c>
      <c r="P14" s="7">
        <f>SUM(P3:P13)</f>
        <v>225207.37104124803</v>
      </c>
      <c r="Q14" s="7"/>
      <c r="R14" s="7">
        <f>SUM(R2:R13)</f>
        <v>18780.413827260556</v>
      </c>
    </row>
    <row r="15" spans="1:18">
      <c r="E15" s="6"/>
      <c r="K15" s="6"/>
      <c r="P15" s="6">
        <f>P14+B11+B10</f>
        <v>225207.37104124803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Лист2</vt:lpstr>
      <vt:lpstr>Лист3</vt:lpstr>
      <vt:lpstr>Лист4</vt:lpstr>
      <vt:lpstr>Лист5</vt:lpstr>
      <vt:lpstr>Лист6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Владимир</cp:lastModifiedBy>
  <dcterms:created xsi:type="dcterms:W3CDTF">2013-04-09T20:51:43Z</dcterms:created>
  <dcterms:modified xsi:type="dcterms:W3CDTF">2013-04-21T09:53:43Z</dcterms:modified>
</cp:coreProperties>
</file>