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GitHub/sockeye-recipes/Results/"/>
    </mc:Choice>
  </mc:AlternateContent>
  <xr:revisionPtr revIDLastSave="0" documentId="13_ncr:1_{0BC6FD6C-A88A-8044-9A78-EB8C907A043B}" xr6:coauthVersionLast="40" xr6:coauthVersionMax="40" xr10:uidLastSave="{00000000-0000-0000-0000-000000000000}"/>
  <bookViews>
    <workbookView minimized="1" xWindow="2740" yWindow="540" windowWidth="23800" windowHeight="16540" xr2:uid="{63800894-6832-2440-9083-EFA27E428687}"/>
  </bookViews>
  <sheets>
    <sheet name="Sheet4" sheetId="4" r:id="rId1"/>
    <sheet name="Sheet1" sheetId="1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4" l="1"/>
  <c r="C11" i="4" l="1"/>
  <c r="C10" i="4"/>
  <c r="C9" i="4"/>
  <c r="C8" i="4"/>
  <c r="C7" i="4"/>
  <c r="C5" i="4"/>
  <c r="C4" i="4"/>
  <c r="C3" i="4"/>
  <c r="J28" i="1" l="1"/>
  <c r="J27" i="1"/>
  <c r="J26" i="1"/>
  <c r="J25" i="1"/>
  <c r="J22" i="1"/>
  <c r="J21" i="1"/>
  <c r="J20" i="1"/>
  <c r="J19" i="1"/>
  <c r="J35" i="1"/>
  <c r="J34" i="1"/>
  <c r="J33" i="1"/>
  <c r="J32" i="1"/>
  <c r="J16" i="1"/>
  <c r="J15" i="1"/>
  <c r="J14" i="1"/>
  <c r="J13" i="1"/>
  <c r="I9" i="3"/>
  <c r="I7" i="3"/>
  <c r="I6" i="3"/>
  <c r="I5" i="3"/>
  <c r="I4" i="3"/>
  <c r="I3" i="3"/>
  <c r="L41" i="1"/>
  <c r="L40" i="1"/>
  <c r="L39" i="1"/>
  <c r="L38" i="1"/>
  <c r="L28" i="1"/>
  <c r="L27" i="1"/>
  <c r="L26" i="1"/>
  <c r="J24" i="1"/>
  <c r="L25" i="1"/>
  <c r="J31" i="1"/>
  <c r="L34" i="1"/>
  <c r="L33" i="1"/>
  <c r="L35" i="1"/>
  <c r="L32" i="1"/>
  <c r="J12" i="1"/>
  <c r="L15" i="1"/>
  <c r="L16" i="1"/>
  <c r="L13" i="1"/>
  <c r="L14" i="1"/>
  <c r="J50" i="1" l="1"/>
  <c r="I43" i="1"/>
  <c r="H10" i="1"/>
  <c r="I10" i="1"/>
  <c r="J10" i="1"/>
  <c r="I19" i="2" l="1"/>
  <c r="H19" i="2"/>
  <c r="G19" i="2"/>
  <c r="I18" i="2"/>
  <c r="H18" i="2"/>
  <c r="G18" i="2"/>
  <c r="I17" i="2"/>
  <c r="H17" i="2"/>
  <c r="G17" i="2"/>
  <c r="F17" i="2"/>
  <c r="I16" i="2"/>
  <c r="H16" i="2"/>
  <c r="G16" i="2"/>
  <c r="I15" i="2"/>
  <c r="H15" i="2"/>
  <c r="G15" i="2"/>
  <c r="I14" i="2"/>
  <c r="H14" i="2"/>
  <c r="G14" i="2"/>
  <c r="F14" i="2"/>
  <c r="I12" i="2"/>
  <c r="H12" i="2"/>
  <c r="G12" i="2"/>
  <c r="I11" i="2"/>
  <c r="H11" i="2"/>
  <c r="G11" i="2"/>
  <c r="I10" i="2"/>
  <c r="H10" i="2"/>
  <c r="G10" i="2"/>
  <c r="F10" i="2"/>
  <c r="I9" i="2"/>
  <c r="H9" i="2"/>
  <c r="G9" i="2"/>
  <c r="I8" i="2"/>
  <c r="H8" i="2"/>
  <c r="G8" i="2"/>
  <c r="I7" i="2"/>
  <c r="H7" i="2"/>
  <c r="G7" i="2"/>
  <c r="F7" i="2"/>
  <c r="I6" i="2"/>
  <c r="H6" i="2"/>
  <c r="G6" i="2"/>
  <c r="I5" i="2"/>
  <c r="H5" i="2"/>
  <c r="G5" i="2"/>
  <c r="I4" i="2"/>
  <c r="H4" i="2"/>
  <c r="G4" i="2"/>
  <c r="F4" i="2"/>
  <c r="J48" i="1"/>
  <c r="J47" i="1"/>
  <c r="J46" i="1"/>
  <c r="I48" i="1"/>
  <c r="H48" i="1"/>
  <c r="I47" i="1"/>
  <c r="H47" i="1"/>
  <c r="I46" i="1"/>
  <c r="H46" i="1"/>
  <c r="G7" i="1"/>
  <c r="J9" i="1"/>
  <c r="J8" i="1"/>
  <c r="J7" i="1"/>
  <c r="I9" i="1"/>
  <c r="H9" i="1"/>
  <c r="I8" i="1"/>
  <c r="H8" i="1"/>
  <c r="I7" i="1"/>
  <c r="H7" i="1"/>
  <c r="J45" i="1" l="1"/>
  <c r="I45" i="1"/>
  <c r="H45" i="1"/>
  <c r="G46" i="1"/>
  <c r="I44" i="1"/>
  <c r="H44" i="1"/>
  <c r="J44" i="1"/>
  <c r="J43" i="1"/>
  <c r="H43" i="1"/>
  <c r="G43" i="1"/>
  <c r="J6" i="1" l="1"/>
  <c r="J4" i="1"/>
  <c r="H4" i="1"/>
  <c r="I4" i="1"/>
  <c r="H6" i="1"/>
  <c r="I6" i="1"/>
  <c r="I5" i="1"/>
  <c r="H5" i="1"/>
  <c r="G4" i="1"/>
  <c r="J5" i="1"/>
</calcChain>
</file>

<file path=xl/sharedStrings.xml><?xml version="1.0" encoding="utf-8"?>
<sst xmlns="http://schemas.openxmlformats.org/spreadsheetml/2006/main" count="96" uniqueCount="59">
  <si>
    <t>Input_Format</t>
  </si>
  <si>
    <t>BLEU</t>
  </si>
  <si>
    <t>SARI</t>
  </si>
  <si>
    <t>Byte-Pair Encodings</t>
  </si>
  <si>
    <t>Reference Simple vs. Simple</t>
  </si>
  <si>
    <t>Complex vs. Simple</t>
  </si>
  <si>
    <t>Complex vs. Reference Simple</t>
  </si>
  <si>
    <t>Tokens</t>
  </si>
  <si>
    <t>Beam Size</t>
  </si>
  <si>
    <t>Original Newsela</t>
  </si>
  <si>
    <t>Newela Version 2</t>
  </si>
  <si>
    <t>Newsela Version 3</t>
  </si>
  <si>
    <t>*Note that we changed our entity recognition to SpaCy's more fine-grained approach for v2 and v3</t>
  </si>
  <si>
    <t>Data</t>
  </si>
  <si>
    <t>Loss Function</t>
  </si>
  <si>
    <t>Cross Entropy</t>
  </si>
  <si>
    <t>Simple Cross Entropy</t>
  </si>
  <si>
    <t>Simple Cross Entropy (1.0)</t>
  </si>
  <si>
    <t>Beam Size 100, clustering/reranking with perplexity</t>
  </si>
  <si>
    <t>Beam Size 100, clustering/reranking with perplexity, fluency, simplicity evenly</t>
  </si>
  <si>
    <t>Beam Size 100, clustering/reranking with fluency</t>
  </si>
  <si>
    <t>Beam Size 100, clustering/reranking with simplicity</t>
  </si>
  <si>
    <t>Beam Size 100, simplified loss, clustering/reranking with perplexity</t>
  </si>
  <si>
    <t>Beam Size 100, simplified loss, clustering/reranking with simplicity</t>
  </si>
  <si>
    <t>Beam Size 100, clustering/reranking with perplexity, diverse beam</t>
  </si>
  <si>
    <t>Beam Size 100, clustering/reranking with simplicity, diverse beam</t>
  </si>
  <si>
    <t>Beam Size 100, clustering/reranking with simplicity, ngram blocking</t>
  </si>
  <si>
    <t>Beam Size 100, clustering/reranking with perplexity, ngram blocking</t>
  </si>
  <si>
    <t>Beam Size 100</t>
  </si>
  <si>
    <t>Beam Size 100, simplified loss</t>
  </si>
  <si>
    <t>Beam Size 100, ngram blocking</t>
  </si>
  <si>
    <t>Beam Size 100, diverse beam</t>
  </si>
  <si>
    <t xml:space="preserve"> </t>
  </si>
  <si>
    <t>Beam Size 100, diverse beam, simplified loss</t>
  </si>
  <si>
    <t>Beam Size 100, diverse beam, simplified loss, clustering/reranking with perplexity</t>
  </si>
  <si>
    <t>Beam Size 100, diverse beam, simplified loss, clustering/reranking with fluency</t>
  </si>
  <si>
    <t>Beam Size 100, diverse beam, simplified loss, clustering/reranking with simplicity</t>
  </si>
  <si>
    <t>Beam Size 100, diverse beam, simplified loss, clustering/reranking with perplexity, fluency, simplicity evenly</t>
  </si>
  <si>
    <t>Beam Size 100, clustering/reranking with relevancy, ngram blocking</t>
  </si>
  <si>
    <t>Beam Size 100, clustering/reranking with perplexity, relevancy, simplicity evenly, ngram blocking</t>
  </si>
  <si>
    <t>Beam Size 100, clustering/reranking with relevancy</t>
  </si>
  <si>
    <t>Beam Size 100, clustering/reranking with perplexity, relevancy, simplicity evenly</t>
  </si>
  <si>
    <t>Beam Size 100, clustering/reranking with relevancy, diverse beam</t>
  </si>
  <si>
    <t>Beam Size 100, clustering/reranking with perplexity, relevancy, simplicity evenly, diverse beam</t>
  </si>
  <si>
    <t>Beam Size 100, simplified loss, clustering/reranking with relevancy</t>
  </si>
  <si>
    <t>Beam Size 100, simplified loss, clustering/reranking with perplexity, relevancy, simplicity evenly</t>
  </si>
  <si>
    <t>Beam Size 100, diverse beam, simplified loss, clustering/reranking with relevancy</t>
  </si>
  <si>
    <t>Model</t>
  </si>
  <si>
    <t>Hybrid</t>
  </si>
  <si>
    <t>DMASS</t>
  </si>
  <si>
    <t>DRESS-LS</t>
  </si>
  <si>
    <t>Seq2Seq</t>
  </si>
  <si>
    <t>Seq2Seq-L</t>
  </si>
  <si>
    <t>Seq2Seq-CR</t>
  </si>
  <si>
    <t>Seq2Seq-DR</t>
  </si>
  <si>
    <t>Seq2Seq-LDCR</t>
  </si>
  <si>
    <t>Seq2Seq-R</t>
  </si>
  <si>
    <t>Auto-Complex</t>
  </si>
  <si>
    <t>Auto-Simple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</si>
</sst>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2" fontId="2" fillId="0" borderId="0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3" xfId="0" applyNumberFormat="1" applyBorder="1" applyAlignment="1">
      <alignment horizontal="center"/>
    </xf>
    <xf numFmtId="2" fontId="2" fillId="0" borderId="11" xfId="0" applyNumberFormat="1" applyFont="1" applyBorder="1" applyAlignment="1">
      <alignment horizontal="center" vertical="center"/>
    </xf>
    <xf numFmtId="2" fontId="0" fillId="0" borderId="9" xfId="0" applyNumberFormat="1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8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2" fontId="0" fillId="0" borderId="0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/>
    </xf>
    <xf numFmtId="2" fontId="0" fillId="0" borderId="7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2" fillId="0" borderId="0" xfId="0" applyFont="1"/>
    <xf numFmtId="2" fontId="0" fillId="0" borderId="10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2" fontId="0" fillId="0" borderId="8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2" fontId="0" fillId="0" borderId="11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128D6-8239-9A43-B305-73DAA010AA3C}">
  <dimension ref="B2:C13"/>
  <sheetViews>
    <sheetView tabSelected="1" workbookViewId="0">
      <selection activeCell="C2" sqref="C2"/>
    </sheetView>
  </sheetViews>
  <sheetFormatPr baseColWidth="10" defaultRowHeight="16"/>
  <cols>
    <col min="2" max="2" width="13" bestFit="1" customWidth="1"/>
    <col min="3" max="3" width="11.1640625" bestFit="1" customWidth="1"/>
  </cols>
  <sheetData>
    <row r="2" spans="2:3">
      <c r="B2" s="59" t="s">
        <v>47</v>
      </c>
      <c r="C2" s="60" t="s">
        <v>2</v>
      </c>
    </row>
    <row r="3" spans="2:3">
      <c r="B3" s="57" t="s">
        <v>51</v>
      </c>
      <c r="C3" s="61">
        <f>100*0.363201298632058</f>
        <v>36.3201298632058</v>
      </c>
    </row>
    <row r="4" spans="2:3">
      <c r="B4" s="57" t="s">
        <v>48</v>
      </c>
      <c r="C4" s="61">
        <f>100*0.360304975885519</f>
        <v>36.030497588551903</v>
      </c>
    </row>
    <row r="5" spans="2:3">
      <c r="B5" s="57" t="s">
        <v>50</v>
      </c>
      <c r="C5" s="61">
        <f>100*0.359983168194613</f>
        <v>35.998316819461301</v>
      </c>
    </row>
    <row r="6" spans="2:3">
      <c r="B6" s="58" t="s">
        <v>49</v>
      </c>
      <c r="C6" s="62">
        <f>100*0.343451991460067</f>
        <v>34.345199146006699</v>
      </c>
    </row>
    <row r="7" spans="2:3">
      <c r="B7" s="57" t="s">
        <v>52</v>
      </c>
      <c r="C7" s="61">
        <f>100*0.360304975885519</f>
        <v>36.030497588551903</v>
      </c>
    </row>
    <row r="8" spans="2:3">
      <c r="B8" s="57" t="s">
        <v>56</v>
      </c>
      <c r="C8" s="61">
        <f>100*0.364725073208579</f>
        <v>36.4725073208579</v>
      </c>
    </row>
    <row r="9" spans="2:3">
      <c r="B9" s="57" t="s">
        <v>53</v>
      </c>
      <c r="C9" s="63">
        <f>100*0.372244223768009</f>
        <v>37.224422376800895</v>
      </c>
    </row>
    <row r="10" spans="2:3">
      <c r="B10" s="57" t="s">
        <v>54</v>
      </c>
      <c r="C10" s="61">
        <f>100*0.353649187876813</f>
        <v>35.364918787681297</v>
      </c>
    </row>
    <row r="11" spans="2:3">
      <c r="B11" s="58" t="s">
        <v>55</v>
      </c>
      <c r="C11" s="64">
        <f>100*0.371089134818915</f>
        <v>37.108913481891499</v>
      </c>
    </row>
    <row r="12" spans="2:3">
      <c r="B12" s="67" t="s">
        <v>57</v>
      </c>
      <c r="C12" s="65">
        <v>27.72</v>
      </c>
    </row>
    <row r="13" spans="2:3">
      <c r="B13" s="68" t="s">
        <v>58</v>
      </c>
      <c r="C13" s="66">
        <v>30.18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A2F3-D871-0C4B-B155-B5D900831316}">
  <dimension ref="C2:N50"/>
  <sheetViews>
    <sheetView workbookViewId="0">
      <selection activeCell="C18" sqref="C18"/>
    </sheetView>
  </sheetViews>
  <sheetFormatPr baseColWidth="10" defaultRowHeight="16"/>
  <cols>
    <col min="4" max="4" width="17.5" bestFit="1" customWidth="1"/>
    <col min="5" max="6" width="17.5" customWidth="1"/>
    <col min="7" max="7" width="16.1640625" customWidth="1"/>
    <col min="8" max="8" width="15.1640625" bestFit="1" customWidth="1"/>
    <col min="9" max="9" width="15.6640625" customWidth="1"/>
    <col min="10" max="10" width="15.1640625" style="55" bestFit="1" customWidth="1"/>
  </cols>
  <sheetData>
    <row r="2" spans="3:14">
      <c r="C2" s="70" t="s">
        <v>13</v>
      </c>
      <c r="D2" s="86" t="s">
        <v>0</v>
      </c>
      <c r="E2" s="70" t="s">
        <v>14</v>
      </c>
      <c r="F2" s="70" t="s">
        <v>8</v>
      </c>
      <c r="G2" s="83" t="s">
        <v>1</v>
      </c>
      <c r="H2" s="84"/>
      <c r="I2" s="85"/>
      <c r="J2" s="72" t="s">
        <v>2</v>
      </c>
      <c r="K2" s="2"/>
      <c r="L2" s="2"/>
    </row>
    <row r="3" spans="3:14" ht="34">
      <c r="C3" s="71"/>
      <c r="D3" s="87"/>
      <c r="E3" s="71"/>
      <c r="F3" s="71"/>
      <c r="G3" s="5" t="s">
        <v>6</v>
      </c>
      <c r="H3" s="6" t="s">
        <v>5</v>
      </c>
      <c r="I3" s="11" t="s">
        <v>4</v>
      </c>
      <c r="J3" s="73"/>
      <c r="K3" s="1"/>
      <c r="L3" s="1"/>
    </row>
    <row r="4" spans="3:14">
      <c r="C4" s="77" t="s">
        <v>9</v>
      </c>
      <c r="D4" s="74" t="s">
        <v>7</v>
      </c>
      <c r="E4" s="74" t="s">
        <v>15</v>
      </c>
      <c r="F4" s="12">
        <v>1</v>
      </c>
      <c r="G4" s="80">
        <f>0.36379314092195*100</f>
        <v>36.379314092194996</v>
      </c>
      <c r="H4" s="33">
        <f>100*0.591013402538371</f>
        <v>59.101340253837101</v>
      </c>
      <c r="I4" s="34">
        <f>100*0.416572169336208</f>
        <v>41.657216933620802</v>
      </c>
      <c r="J4" s="34">
        <f>100*0.265527587955381</f>
        <v>26.5527587955381</v>
      </c>
    </row>
    <row r="5" spans="3:14">
      <c r="C5" s="78"/>
      <c r="D5" s="75"/>
      <c r="E5" s="75"/>
      <c r="F5" s="3">
        <v>5</v>
      </c>
      <c r="G5" s="81"/>
      <c r="H5" s="7">
        <f>0.650766445514131*100</f>
        <v>65.076644551413096</v>
      </c>
      <c r="I5" s="8">
        <f>0.424464303805217*100</f>
        <v>42.446430380521697</v>
      </c>
      <c r="J5" s="15">
        <f>100*0.255230727840708</f>
        <v>25.523072784070798</v>
      </c>
    </row>
    <row r="6" spans="3:14" ht="15" customHeight="1">
      <c r="C6" s="79"/>
      <c r="D6" s="76"/>
      <c r="E6" s="76"/>
      <c r="F6" s="4">
        <v>10</v>
      </c>
      <c r="G6" s="82"/>
      <c r="H6" s="9">
        <f>100*0.660247281857768</f>
        <v>66.024728185776809</v>
      </c>
      <c r="I6" s="10">
        <f>100*0.425275529746539</f>
        <v>42.527552974653901</v>
      </c>
      <c r="J6" s="52">
        <f>100*0.25472845577345</f>
        <v>25.472845577344998</v>
      </c>
    </row>
    <row r="7" spans="3:14" ht="15" customHeight="1">
      <c r="C7" s="77" t="s">
        <v>9</v>
      </c>
      <c r="D7" s="74" t="s">
        <v>7</v>
      </c>
      <c r="E7" s="77" t="s">
        <v>17</v>
      </c>
      <c r="F7" s="12">
        <v>1</v>
      </c>
      <c r="G7" s="80">
        <f>0.36379314092195*100</f>
        <v>36.379314092194996</v>
      </c>
      <c r="H7" s="33">
        <f>100*0.606352450822071</f>
        <v>60.635245082207099</v>
      </c>
      <c r="I7" s="34">
        <f>100*0.41243622650745</f>
        <v>41.243622650744996</v>
      </c>
      <c r="J7" s="44">
        <f>100*0.266153698285725</f>
        <v>26.615369828572501</v>
      </c>
    </row>
    <row r="8" spans="3:14" ht="15" customHeight="1">
      <c r="C8" s="78"/>
      <c r="D8" s="75"/>
      <c r="E8" s="78"/>
      <c r="F8" s="3">
        <v>5</v>
      </c>
      <c r="G8" s="81"/>
      <c r="H8" s="7">
        <f>100*0.6667034520998</f>
        <v>66.670345209979999</v>
      </c>
      <c r="I8" s="8">
        <f>100*0.429609365221545</f>
        <v>42.960936522154505</v>
      </c>
      <c r="J8" s="53">
        <f>100*0.248726504023165</f>
        <v>24.872650402316502</v>
      </c>
    </row>
    <row r="9" spans="3:14" ht="15" customHeight="1">
      <c r="C9" s="79"/>
      <c r="D9" s="76"/>
      <c r="E9" s="79"/>
      <c r="F9" s="4">
        <v>10</v>
      </c>
      <c r="G9" s="82"/>
      <c r="H9" s="46">
        <f>100*0.682087556614694</f>
        <v>68.208755661469397</v>
      </c>
      <c r="I9" s="47">
        <f>100*0.430232488119187</f>
        <v>43.023248811918705</v>
      </c>
      <c r="J9" s="54">
        <f>100*0.248088436467656</f>
        <v>24.808843646765599</v>
      </c>
    </row>
    <row r="10" spans="3:14" ht="16" customHeight="1">
      <c r="C10" s="48"/>
      <c r="D10" s="48"/>
      <c r="E10" s="49">
        <v>2</v>
      </c>
      <c r="F10" s="48"/>
      <c r="G10" s="48"/>
      <c r="H10" s="48">
        <f>100*0.604133167539677</f>
        <v>60.413316753967706</v>
      </c>
      <c r="I10" s="48">
        <f>100*0.414290738977201</f>
        <v>41.429073897720095</v>
      </c>
      <c r="J10" s="55">
        <f>100*0.269782958179585</f>
        <v>26.978295817958497</v>
      </c>
      <c r="N10" s="31"/>
    </row>
    <row r="11" spans="3:14">
      <c r="N11" s="31"/>
    </row>
    <row r="12" spans="3:14">
      <c r="C12" t="s">
        <v>28</v>
      </c>
      <c r="J12" s="55">
        <f>100*0.255206089643436</f>
        <v>25.520608964343598</v>
      </c>
      <c r="M12" s="55"/>
      <c r="N12" s="31"/>
    </row>
    <row r="13" spans="3:14">
      <c r="C13" t="s">
        <v>18</v>
      </c>
      <c r="J13" s="55">
        <f>100*0.316471733078414</f>
        <v>31.647173307841399</v>
      </c>
      <c r="L13" s="55">
        <f>100*0.315451142708593</f>
        <v>31.545114270859298</v>
      </c>
      <c r="M13" s="55"/>
      <c r="N13" s="31"/>
    </row>
    <row r="14" spans="3:14">
      <c r="C14" t="s">
        <v>40</v>
      </c>
      <c r="J14" s="55">
        <f>100*0.309382963944089</f>
        <v>30.938296394408898</v>
      </c>
      <c r="L14" s="55">
        <f>100*0.32746782796851</f>
        <v>32.746782796851001</v>
      </c>
      <c r="M14" s="55"/>
      <c r="N14" s="31"/>
    </row>
    <row r="15" spans="3:14">
      <c r="C15" s="51" t="s">
        <v>21</v>
      </c>
      <c r="J15" s="55">
        <f>100*0.319268879891995</f>
        <v>31.9268879891995</v>
      </c>
      <c r="L15" s="55">
        <f>100*0.327302947231187</f>
        <v>32.730294723118703</v>
      </c>
      <c r="M15" s="55"/>
      <c r="N15" s="31"/>
    </row>
    <row r="16" spans="3:14">
      <c r="C16" t="s">
        <v>41</v>
      </c>
      <c r="J16" s="55">
        <f>100*0.314153326929023</f>
        <v>31.415332692902297</v>
      </c>
      <c r="L16" s="55">
        <f>100*0.32188090221779</f>
        <v>32.188090221778999</v>
      </c>
      <c r="M16" s="55"/>
      <c r="N16" s="31"/>
    </row>
    <row r="17" spans="3:14">
      <c r="J17" s="13"/>
      <c r="N17" s="31"/>
    </row>
    <row r="18" spans="3:14">
      <c r="C18" t="s">
        <v>30</v>
      </c>
      <c r="J18" s="13"/>
      <c r="N18" s="31"/>
    </row>
    <row r="19" spans="3:14">
      <c r="C19" t="s">
        <v>27</v>
      </c>
      <c r="J19" s="55">
        <f>100*0.316471733078414</f>
        <v>31.647173307841399</v>
      </c>
      <c r="N19" s="31"/>
    </row>
    <row r="20" spans="3:14">
      <c r="C20" t="s">
        <v>38</v>
      </c>
      <c r="J20" s="55">
        <f>100*0.309067905589097</f>
        <v>30.906790558909702</v>
      </c>
      <c r="N20" s="31"/>
    </row>
    <row r="21" spans="3:14">
      <c r="C21" s="51" t="s">
        <v>26</v>
      </c>
      <c r="J21" s="55">
        <f>100*0.319268879891995</f>
        <v>31.9268879891995</v>
      </c>
      <c r="N21" s="31"/>
    </row>
    <row r="22" spans="3:14">
      <c r="C22" t="s">
        <v>39</v>
      </c>
      <c r="J22" s="55">
        <f>100*0.314153577111115</f>
        <v>31.415357711111504</v>
      </c>
      <c r="N22" s="31"/>
    </row>
    <row r="23" spans="3:14">
      <c r="J23" s="13"/>
      <c r="N23" s="31"/>
    </row>
    <row r="24" spans="3:14">
      <c r="C24" t="s">
        <v>31</v>
      </c>
      <c r="J24" s="13">
        <f>100*0.254774974023341</f>
        <v>25.477497402334098</v>
      </c>
      <c r="N24" s="31"/>
    </row>
    <row r="25" spans="3:14">
      <c r="C25" t="s">
        <v>24</v>
      </c>
      <c r="J25" s="55">
        <f>100*0.315651996047711</f>
        <v>31.565199604771099</v>
      </c>
      <c r="L25" s="13">
        <f>100*0.314598789760707</f>
        <v>31.459878976070698</v>
      </c>
      <c r="N25" s="31"/>
    </row>
    <row r="26" spans="3:14">
      <c r="C26" t="s">
        <v>42</v>
      </c>
      <c r="J26" s="55">
        <f>100*0.308908121757625</f>
        <v>30.890812175762498</v>
      </c>
      <c r="L26" s="56">
        <f>100*0.332379318870827</f>
        <v>33.237931887082702</v>
      </c>
      <c r="N26" s="31"/>
    </row>
    <row r="27" spans="3:14">
      <c r="C27" s="51" t="s">
        <v>25</v>
      </c>
      <c r="J27" s="55">
        <f>100*0.321320981289423</f>
        <v>32.132098128942296</v>
      </c>
      <c r="L27" s="55">
        <f>100*0.326215301109042</f>
        <v>32.621530110904203</v>
      </c>
      <c r="N27" s="31"/>
    </row>
    <row r="28" spans="3:14">
      <c r="C28" t="s">
        <v>43</v>
      </c>
      <c r="J28" s="55">
        <f>100*0.313266615012258</f>
        <v>31.3266615012258</v>
      </c>
      <c r="L28" s="55">
        <f>100*0.321879845717917</f>
        <v>32.187984571791702</v>
      </c>
      <c r="N28" s="31"/>
    </row>
    <row r="29" spans="3:14">
      <c r="J29" s="13"/>
      <c r="N29" s="31"/>
    </row>
    <row r="30" spans="3:14">
      <c r="J30" s="13"/>
      <c r="N30" s="31"/>
    </row>
    <row r="31" spans="3:14">
      <c r="C31" t="s">
        <v>29</v>
      </c>
      <c r="J31" s="13">
        <f>100*0.255206089643436</f>
        <v>25.520608964343598</v>
      </c>
      <c r="M31" s="13"/>
      <c r="N31" s="31"/>
    </row>
    <row r="32" spans="3:14">
      <c r="C32" t="s">
        <v>22</v>
      </c>
      <c r="J32" s="13">
        <f>100*0.303860896993537</f>
        <v>30.386089699353704</v>
      </c>
      <c r="K32" s="50" t="s">
        <v>32</v>
      </c>
      <c r="L32" s="55">
        <f>100*0.254419125323555</f>
        <v>25.441912532355499</v>
      </c>
      <c r="M32" s="13"/>
      <c r="N32" s="31"/>
    </row>
    <row r="33" spans="3:14">
      <c r="C33" t="s">
        <v>44</v>
      </c>
      <c r="J33" s="13">
        <f>100*0.307517808726376</f>
        <v>30.751780872637603</v>
      </c>
      <c r="L33" s="48">
        <f>100*0.326565954508272</f>
        <v>32.656595450827204</v>
      </c>
      <c r="M33" s="13"/>
      <c r="N33" s="31"/>
    </row>
    <row r="34" spans="3:14">
      <c r="C34" s="51" t="s">
        <v>23</v>
      </c>
      <c r="J34" s="13">
        <f>100*0.309122964995795</f>
        <v>30.912296499579501</v>
      </c>
      <c r="L34" s="55">
        <f>100*0.326672711335865</f>
        <v>32.667271133586503</v>
      </c>
      <c r="M34" s="13"/>
      <c r="N34" s="31"/>
    </row>
    <row r="35" spans="3:14">
      <c r="C35" t="s">
        <v>45</v>
      </c>
      <c r="J35" s="13">
        <f>100*0.310138930039427</f>
        <v>31.013893003942698</v>
      </c>
      <c r="L35" s="55">
        <f>100*0.321263456817926</f>
        <v>32.1263456817926</v>
      </c>
      <c r="M35" s="13"/>
      <c r="N35" s="31"/>
    </row>
    <row r="36" spans="3:14">
      <c r="J36" s="13"/>
      <c r="N36" s="31"/>
    </row>
    <row r="37" spans="3:14">
      <c r="C37" t="s">
        <v>33</v>
      </c>
      <c r="J37" s="13"/>
      <c r="N37" s="31"/>
    </row>
    <row r="38" spans="3:14">
      <c r="C38" t="s">
        <v>34</v>
      </c>
      <c r="L38" s="13">
        <f>100*0.240681871705643</f>
        <v>24.0681871705643</v>
      </c>
      <c r="N38" s="31"/>
    </row>
    <row r="39" spans="3:14">
      <c r="C39" t="s">
        <v>46</v>
      </c>
      <c r="L39" s="13">
        <f>100*0.327756967760434</f>
        <v>32.775696776043404</v>
      </c>
      <c r="N39" s="31"/>
    </row>
    <row r="40" spans="3:14">
      <c r="C40" s="51" t="s">
        <v>36</v>
      </c>
      <c r="L40" s="13">
        <f>100*0.327215978663677</f>
        <v>32.721597866367702</v>
      </c>
      <c r="N40" s="31"/>
    </row>
    <row r="41" spans="3:14">
      <c r="C41" t="s">
        <v>45</v>
      </c>
      <c r="L41" s="13">
        <f>100*0.322042605903539</f>
        <v>32.204260590353897</v>
      </c>
      <c r="N41" s="31"/>
    </row>
    <row r="42" spans="3:14">
      <c r="J42" s="13"/>
      <c r="N42" s="31"/>
    </row>
    <row r="43" spans="3:14">
      <c r="C43" s="77" t="s">
        <v>10</v>
      </c>
      <c r="D43" s="74" t="s">
        <v>7</v>
      </c>
      <c r="E43" s="74" t="s">
        <v>15</v>
      </c>
      <c r="F43" s="24">
        <v>1</v>
      </c>
      <c r="G43" s="88">
        <f>100*0.358462182012152</f>
        <v>35.846218201215201</v>
      </c>
      <c r="H43" s="21">
        <f>100*0.633378912436381</f>
        <v>63.337891243638097</v>
      </c>
      <c r="I43" s="26">
        <f>100*0.411765673934286</f>
        <v>41.176567393428599</v>
      </c>
      <c r="J43" s="22">
        <f>100*0.340449469392756</f>
        <v>34.044946939275597</v>
      </c>
      <c r="L43" s="69" t="s">
        <v>12</v>
      </c>
      <c r="M43" s="69"/>
      <c r="N43" s="31"/>
    </row>
    <row r="44" spans="3:14">
      <c r="C44" s="78"/>
      <c r="D44" s="75"/>
      <c r="E44" s="75"/>
      <c r="F44" s="25">
        <v>5</v>
      </c>
      <c r="G44" s="89"/>
      <c r="H44" s="32">
        <f>100*0.695336409341215</f>
        <v>69.533640934121493</v>
      </c>
      <c r="I44" s="23">
        <f>100*0.431267677077956</f>
        <v>43.126767707795601</v>
      </c>
      <c r="J44" s="23">
        <f>100*0.340496168006096</f>
        <v>34.049616800609598</v>
      </c>
      <c r="L44" s="69"/>
      <c r="M44" s="69"/>
      <c r="N44" s="31"/>
    </row>
    <row r="45" spans="3:14">
      <c r="C45" s="79"/>
      <c r="D45" s="76"/>
      <c r="E45" s="76"/>
      <c r="F45" s="17">
        <v>10</v>
      </c>
      <c r="G45" s="90"/>
      <c r="H45" s="45">
        <f>100*0.709714023667025</f>
        <v>70.971402366702492</v>
      </c>
      <c r="I45" s="19">
        <f>100*0.430079493471261</f>
        <v>43.0079493471261</v>
      </c>
      <c r="J45" s="43">
        <f>100*0.340528178057137</f>
        <v>34.052817805713701</v>
      </c>
      <c r="L45" s="69"/>
      <c r="M45" s="69"/>
      <c r="N45" s="31"/>
    </row>
    <row r="46" spans="3:14">
      <c r="C46" s="77" t="s">
        <v>11</v>
      </c>
      <c r="D46" s="91" t="s">
        <v>7</v>
      </c>
      <c r="E46" s="74" t="s">
        <v>15</v>
      </c>
      <c r="F46" s="24">
        <v>1</v>
      </c>
      <c r="G46" s="88">
        <f>100*0.358462182012152</f>
        <v>35.846218201215201</v>
      </c>
      <c r="H46" s="21">
        <f>100*0.632929989130271</f>
        <v>63.292998913027098</v>
      </c>
      <c r="I46" s="26">
        <f>100*0.412055871382007</f>
        <v>41.205587138200698</v>
      </c>
      <c r="J46" s="22">
        <f>100*0.340755824765627</f>
        <v>34.075582476562701</v>
      </c>
      <c r="L46" s="69"/>
      <c r="M46" s="69"/>
      <c r="N46" s="31"/>
    </row>
    <row r="47" spans="3:14">
      <c r="C47" s="78"/>
      <c r="D47" s="92"/>
      <c r="E47" s="75"/>
      <c r="F47" s="25">
        <v>5</v>
      </c>
      <c r="G47" s="89"/>
      <c r="H47" s="20">
        <f>100*0.694048395883354</f>
        <v>69.404839588335392</v>
      </c>
      <c r="I47" s="27">
        <f>100*0.420648087639957</f>
        <v>42.0648087639957</v>
      </c>
      <c r="J47" s="23">
        <f>100*0.340792224691425</f>
        <v>34.079222469142501</v>
      </c>
      <c r="L47" s="69"/>
      <c r="M47" s="69"/>
    </row>
    <row r="48" spans="3:14" ht="16" customHeight="1">
      <c r="C48" s="79"/>
      <c r="D48" s="93"/>
      <c r="E48" s="76"/>
      <c r="F48" s="17">
        <v>10</v>
      </c>
      <c r="G48" s="90"/>
      <c r="H48" s="42">
        <f>100*0.711065982382695</f>
        <v>71.106598238269498</v>
      </c>
      <c r="I48" s="19">
        <f>100*0.418534832577313</f>
        <v>41.853483257731298</v>
      </c>
      <c r="J48" s="43">
        <f>100*0.34078052386673</f>
        <v>34.078052386673001</v>
      </c>
      <c r="L48" s="69"/>
      <c r="M48" s="69"/>
    </row>
    <row r="50" spans="10:10">
      <c r="J50" s="55">
        <f>100*0.3407</f>
        <v>34.07</v>
      </c>
    </row>
  </sheetData>
  <mergeCells count="23">
    <mergeCell ref="E7:E9"/>
    <mergeCell ref="G7:G9"/>
    <mergeCell ref="C46:C48"/>
    <mergeCell ref="D46:D48"/>
    <mergeCell ref="G46:G48"/>
    <mergeCell ref="E43:E45"/>
    <mergeCell ref="E46:E48"/>
    <mergeCell ref="L43:M48"/>
    <mergeCell ref="F2:F3"/>
    <mergeCell ref="J2:J3"/>
    <mergeCell ref="D4:D6"/>
    <mergeCell ref="C4:C6"/>
    <mergeCell ref="C2:C3"/>
    <mergeCell ref="G4:G6"/>
    <mergeCell ref="G2:I2"/>
    <mergeCell ref="D2:D3"/>
    <mergeCell ref="E2:E3"/>
    <mergeCell ref="E4:E6"/>
    <mergeCell ref="C7:C9"/>
    <mergeCell ref="D7:D9"/>
    <mergeCell ref="G43:G45"/>
    <mergeCell ref="C43:C45"/>
    <mergeCell ref="D43:D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EC266-42DD-E043-AAC0-5464DA154104}">
  <dimension ref="B2:M19"/>
  <sheetViews>
    <sheetView workbookViewId="0">
      <selection activeCell="C30" sqref="C30"/>
    </sheetView>
  </sheetViews>
  <sheetFormatPr baseColWidth="10" defaultRowHeight="16"/>
  <sheetData>
    <row r="2" spans="2:13">
      <c r="B2" s="70" t="s">
        <v>13</v>
      </c>
      <c r="C2" s="86" t="s">
        <v>0</v>
      </c>
      <c r="D2" s="70" t="s">
        <v>14</v>
      </c>
      <c r="E2" s="70" t="s">
        <v>8</v>
      </c>
      <c r="F2" s="83" t="s">
        <v>1</v>
      </c>
      <c r="G2" s="84"/>
      <c r="H2" s="85"/>
      <c r="I2" s="86" t="s">
        <v>2</v>
      </c>
      <c r="J2" s="2"/>
      <c r="K2" s="2"/>
    </row>
    <row r="3" spans="2:13" ht="68">
      <c r="B3" s="71"/>
      <c r="C3" s="87"/>
      <c r="D3" s="71"/>
      <c r="E3" s="71"/>
      <c r="F3" s="5" t="s">
        <v>6</v>
      </c>
      <c r="G3" s="6" t="s">
        <v>5</v>
      </c>
      <c r="H3" s="11" t="s">
        <v>4</v>
      </c>
      <c r="I3" s="94"/>
      <c r="J3" s="1"/>
      <c r="K3" s="1"/>
    </row>
    <row r="4" spans="2:13">
      <c r="B4" s="77" t="s">
        <v>9</v>
      </c>
      <c r="C4" s="74" t="s">
        <v>3</v>
      </c>
      <c r="D4" s="74" t="s">
        <v>15</v>
      </c>
      <c r="E4" s="12">
        <v>1</v>
      </c>
      <c r="F4" s="80">
        <f>0.36379314092195*100</f>
        <v>36.379314092194996</v>
      </c>
      <c r="G4" s="13">
        <f>100*0.589214253759426</f>
        <v>58.921425375942604</v>
      </c>
      <c r="H4" s="14">
        <f>100*0.408176081534362</f>
        <v>40.817608153436204</v>
      </c>
      <c r="I4" s="16">
        <f>100*0.268391861919164</f>
        <v>26.839186191916397</v>
      </c>
    </row>
    <row r="5" spans="2:13">
      <c r="B5" s="78"/>
      <c r="C5" s="75"/>
      <c r="D5" s="75"/>
      <c r="E5" s="3">
        <v>5</v>
      </c>
      <c r="F5" s="81"/>
      <c r="G5" s="7">
        <f>0.658387204449097*100</f>
        <v>65.838720444909711</v>
      </c>
      <c r="H5" s="8">
        <f>0.424172286670437*100</f>
        <v>42.417228667043702</v>
      </c>
      <c r="I5" s="8">
        <f>100*0.250024756307062</f>
        <v>25.002475630706201</v>
      </c>
    </row>
    <row r="6" spans="2:13">
      <c r="B6" s="78"/>
      <c r="C6" s="76"/>
      <c r="D6" s="76"/>
      <c r="E6" s="4">
        <v>10</v>
      </c>
      <c r="F6" s="82"/>
      <c r="G6" s="9">
        <f>100*0.67706023296069</f>
        <v>67.706023296068992</v>
      </c>
      <c r="H6" s="10">
        <f>100*0.426754534906805</f>
        <v>42.675453490680496</v>
      </c>
      <c r="I6" s="10">
        <f>100*0.250360265440938</f>
        <v>25.036026544093797</v>
      </c>
    </row>
    <row r="7" spans="2:13">
      <c r="B7" s="77" t="s">
        <v>9</v>
      </c>
      <c r="C7" s="74" t="s">
        <v>7</v>
      </c>
      <c r="D7" s="74" t="s">
        <v>15</v>
      </c>
      <c r="E7" s="12">
        <v>1</v>
      </c>
      <c r="F7" s="80">
        <f>0.36379314092195*100</f>
        <v>36.379314092194996</v>
      </c>
      <c r="G7" s="33">
        <f>100*0.591013402538371</f>
        <v>59.101340253837101</v>
      </c>
      <c r="H7" s="34">
        <f>100*0.416572169336208</f>
        <v>41.657216933620802</v>
      </c>
      <c r="I7" s="34">
        <f>100*0.265527587955381</f>
        <v>26.5527587955381</v>
      </c>
    </row>
    <row r="8" spans="2:13">
      <c r="B8" s="78"/>
      <c r="C8" s="75"/>
      <c r="D8" s="75"/>
      <c r="E8" s="3">
        <v>5</v>
      </c>
      <c r="F8" s="81"/>
      <c r="G8" s="7">
        <f>0.650766445514131*100</f>
        <v>65.076644551413096</v>
      </c>
      <c r="H8" s="8">
        <f>0.424464303805217*100</f>
        <v>42.446430380521697</v>
      </c>
      <c r="I8" s="15">
        <f>100*0.255230727840708</f>
        <v>25.523072784070798</v>
      </c>
    </row>
    <row r="9" spans="2:13">
      <c r="B9" s="79"/>
      <c r="C9" s="76"/>
      <c r="D9" s="76"/>
      <c r="E9" s="4">
        <v>10</v>
      </c>
      <c r="F9" s="82"/>
      <c r="G9" s="9">
        <f>100*0.660247281857768</f>
        <v>66.024728185776809</v>
      </c>
      <c r="H9" s="10">
        <f>100*0.425275529746539</f>
        <v>42.527552974653901</v>
      </c>
      <c r="I9" s="36">
        <f>100*0.25472845577345</f>
        <v>25.472845577344998</v>
      </c>
    </row>
    <row r="10" spans="2:13">
      <c r="B10" s="77" t="s">
        <v>9</v>
      </c>
      <c r="C10" s="74" t="s">
        <v>7</v>
      </c>
      <c r="D10" s="77" t="s">
        <v>16</v>
      </c>
      <c r="E10" s="12">
        <v>1</v>
      </c>
      <c r="F10" s="80">
        <f>0.36379314092195*100</f>
        <v>36.379314092194996</v>
      </c>
      <c r="G10" s="33">
        <f>100*0.606352450822071</f>
        <v>60.635245082207099</v>
      </c>
      <c r="H10" s="34">
        <f>100*0.41243622650745</f>
        <v>41.243622650744996</v>
      </c>
      <c r="I10" s="14">
        <f>100*0.266153698285725</f>
        <v>26.615369828572501</v>
      </c>
    </row>
    <row r="11" spans="2:13">
      <c r="B11" s="78"/>
      <c r="C11" s="75"/>
      <c r="D11" s="78"/>
      <c r="E11" s="3">
        <v>5</v>
      </c>
      <c r="F11" s="81"/>
      <c r="G11" s="7">
        <f>100*0.6667034520998</f>
        <v>66.670345209979999</v>
      </c>
      <c r="H11" s="8">
        <f>100*0.429609365221545</f>
        <v>42.960936522154505</v>
      </c>
      <c r="I11" s="35">
        <f>100*0.248726504023165</f>
        <v>24.872650402316502</v>
      </c>
    </row>
    <row r="12" spans="2:13">
      <c r="B12" s="79"/>
      <c r="C12" s="76"/>
      <c r="D12" s="79"/>
      <c r="E12" s="4">
        <v>10</v>
      </c>
      <c r="F12" s="82"/>
      <c r="G12" s="9">
        <f>100*0.682087556614694</f>
        <v>68.208755661469397</v>
      </c>
      <c r="H12" s="10">
        <f>100*0.430232488119187</f>
        <v>43.023248811918705</v>
      </c>
      <c r="I12" s="41">
        <f>100*0.248088436467656</f>
        <v>24.808843646765599</v>
      </c>
    </row>
    <row r="13" spans="2:13">
      <c r="B13" s="37"/>
      <c r="C13" s="38"/>
      <c r="D13" s="38"/>
      <c r="E13" s="39"/>
      <c r="F13" s="7"/>
      <c r="G13" s="7"/>
      <c r="H13" s="7"/>
      <c r="I13" s="40"/>
    </row>
    <row r="14" spans="2:13">
      <c r="B14" s="77" t="s">
        <v>10</v>
      </c>
      <c r="C14" s="91" t="s">
        <v>7</v>
      </c>
      <c r="D14" s="74" t="s">
        <v>15</v>
      </c>
      <c r="E14" s="24">
        <v>1</v>
      </c>
      <c r="F14" s="88">
        <f>100*0.358462182012152</f>
        <v>35.846218201215201</v>
      </c>
      <c r="G14" s="21">
        <f>100*0.633378912436381</f>
        <v>63.337891243638097</v>
      </c>
      <c r="H14" s="26">
        <f>100*0.411765673934286</f>
        <v>41.176567393428599</v>
      </c>
      <c r="I14" s="22">
        <f>100*0.340449469392756</f>
        <v>34.044946939275597</v>
      </c>
      <c r="K14" s="69" t="s">
        <v>12</v>
      </c>
      <c r="L14" s="69"/>
      <c r="M14" s="31"/>
    </row>
    <row r="15" spans="2:13">
      <c r="B15" s="78"/>
      <c r="C15" s="92"/>
      <c r="D15" s="75"/>
      <c r="E15" s="25">
        <v>5</v>
      </c>
      <c r="F15" s="89"/>
      <c r="G15" s="32">
        <f>100*0.695336409341215</f>
        <v>69.533640934121493</v>
      </c>
      <c r="H15" s="23">
        <f>100*0.431267677077956</f>
        <v>43.126767707795601</v>
      </c>
      <c r="I15" s="23">
        <f>100*0.340496168006096</f>
        <v>34.049616800609598</v>
      </c>
      <c r="K15" s="69"/>
      <c r="L15" s="69"/>
      <c r="M15" s="31"/>
    </row>
    <row r="16" spans="2:13">
      <c r="B16" s="79"/>
      <c r="C16" s="93"/>
      <c r="D16" s="76"/>
      <c r="E16" s="17">
        <v>10</v>
      </c>
      <c r="F16" s="90"/>
      <c r="G16" s="42">
        <f>100*0.709714023667025</f>
        <v>70.971402366702492</v>
      </c>
      <c r="H16" s="19">
        <f>100*0.430079493471261</f>
        <v>43.0079493471261</v>
      </c>
      <c r="I16" s="43">
        <f>100*0.340528178057137</f>
        <v>34.052817805713701</v>
      </c>
      <c r="K16" s="69"/>
      <c r="L16" s="69"/>
      <c r="M16" s="31"/>
    </row>
    <row r="17" spans="2:13">
      <c r="B17" s="77" t="s">
        <v>11</v>
      </c>
      <c r="C17" s="91" t="s">
        <v>7</v>
      </c>
      <c r="D17" s="74" t="s">
        <v>15</v>
      </c>
      <c r="E17" s="24">
        <v>1</v>
      </c>
      <c r="F17" s="88">
        <f>100*0.358462182012152</f>
        <v>35.846218201215201</v>
      </c>
      <c r="G17" s="21">
        <f>100*0.632929989130271</f>
        <v>63.292998913027098</v>
      </c>
      <c r="H17" s="26">
        <f>100*0.412055871382007</f>
        <v>41.205587138200698</v>
      </c>
      <c r="I17" s="28">
        <f>100*0.340755824765627</f>
        <v>34.075582476562701</v>
      </c>
      <c r="K17" s="69"/>
      <c r="L17" s="69"/>
      <c r="M17" s="31"/>
    </row>
    <row r="18" spans="2:13">
      <c r="B18" s="78"/>
      <c r="C18" s="92"/>
      <c r="D18" s="75"/>
      <c r="E18" s="25">
        <v>5</v>
      </c>
      <c r="F18" s="89"/>
      <c r="G18" s="20">
        <f>100*0.694048395883354</f>
        <v>69.404839588335392</v>
      </c>
      <c r="H18" s="27">
        <f>100*0.420648087639957</f>
        <v>42.0648087639957</v>
      </c>
      <c r="I18" s="29">
        <f>100*0.340792224691425</f>
        <v>34.079222469142501</v>
      </c>
      <c r="K18" s="69"/>
      <c r="L18" s="69"/>
      <c r="M18" s="31"/>
    </row>
    <row r="19" spans="2:13">
      <c r="B19" s="79"/>
      <c r="C19" s="93"/>
      <c r="D19" s="76"/>
      <c r="E19" s="17">
        <v>10</v>
      </c>
      <c r="F19" s="90"/>
      <c r="G19" s="18">
        <f>100*0.711065982382695</f>
        <v>71.106598238269498</v>
      </c>
      <c r="H19" s="19">
        <f>100*0.418534832577313</f>
        <v>41.853483257731298</v>
      </c>
      <c r="I19" s="30">
        <f>100*0.34078052386673</f>
        <v>34.078052386673001</v>
      </c>
      <c r="K19" s="69"/>
      <c r="L19" s="69"/>
      <c r="M19" s="31"/>
    </row>
  </sheetData>
  <mergeCells count="27">
    <mergeCell ref="I2:I3"/>
    <mergeCell ref="B2:B3"/>
    <mergeCell ref="C2:C3"/>
    <mergeCell ref="D2:D3"/>
    <mergeCell ref="E2:E3"/>
    <mergeCell ref="F2:H2"/>
    <mergeCell ref="B4:B6"/>
    <mergeCell ref="C4:C6"/>
    <mergeCell ref="D4:D6"/>
    <mergeCell ref="F4:F6"/>
    <mergeCell ref="B7:B9"/>
    <mergeCell ref="C7:C9"/>
    <mergeCell ref="D7:D9"/>
    <mergeCell ref="F7:F9"/>
    <mergeCell ref="B10:B12"/>
    <mergeCell ref="C10:C12"/>
    <mergeCell ref="D10:D12"/>
    <mergeCell ref="F10:F12"/>
    <mergeCell ref="B14:B16"/>
    <mergeCell ref="C14:C16"/>
    <mergeCell ref="D14:D16"/>
    <mergeCell ref="F14:F16"/>
    <mergeCell ref="K14:L19"/>
    <mergeCell ref="B17:B19"/>
    <mergeCell ref="C17:C19"/>
    <mergeCell ref="D17:D19"/>
    <mergeCell ref="F17:F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ABBC2-01EE-864F-9B62-9F9942C57DC1}">
  <dimension ref="B3:I13"/>
  <sheetViews>
    <sheetView workbookViewId="0">
      <selection activeCell="I4" sqref="I4:I7"/>
    </sheetView>
  </sheetViews>
  <sheetFormatPr baseColWidth="10" defaultRowHeight="16"/>
  <sheetData>
    <row r="3" spans="2:9">
      <c r="B3" t="s">
        <v>28</v>
      </c>
      <c r="I3" s="55">
        <f>100*0.340619476503454</f>
        <v>34.061947650345395</v>
      </c>
    </row>
    <row r="4" spans="2:9">
      <c r="B4" s="51" t="s">
        <v>18</v>
      </c>
      <c r="I4" s="55">
        <f>100*0.29551051559282</f>
        <v>29.551051559281998</v>
      </c>
    </row>
    <row r="5" spans="2:9">
      <c r="B5" s="51" t="s">
        <v>20</v>
      </c>
      <c r="I5" s="55">
        <f>100*0.321091898818151</f>
        <v>32.109189881815098</v>
      </c>
    </row>
    <row r="6" spans="2:9">
      <c r="B6" s="51" t="s">
        <v>21</v>
      </c>
      <c r="I6" s="55">
        <f>100*0.320131103992461</f>
        <v>32.013110399246095</v>
      </c>
    </row>
    <row r="7" spans="2:9">
      <c r="B7" s="51" t="s">
        <v>19</v>
      </c>
      <c r="I7" s="55">
        <f>100*0.316479933461255</f>
        <v>31.647993346125503</v>
      </c>
    </row>
    <row r="8" spans="2:9">
      <c r="I8" s="55"/>
    </row>
    <row r="9" spans="2:9">
      <c r="B9" s="51" t="s">
        <v>33</v>
      </c>
      <c r="I9" s="55">
        <f>100*0.340434832094393</f>
        <v>34.043483209439302</v>
      </c>
    </row>
    <row r="10" spans="2:9">
      <c r="B10" t="s">
        <v>34</v>
      </c>
      <c r="I10" s="55"/>
    </row>
    <row r="11" spans="2:9">
      <c r="B11" t="s">
        <v>35</v>
      </c>
      <c r="I11" s="55"/>
    </row>
    <row r="12" spans="2:9">
      <c r="B12" s="51" t="s">
        <v>36</v>
      </c>
      <c r="I12" s="55"/>
    </row>
    <row r="13" spans="2:9">
      <c r="B13" t="s">
        <v>37</v>
      </c>
      <c r="I13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Kriz, Reno Joseph</dc:creator>
  <cp:lastModifiedBy>Kriz, Reno Joseph</cp:lastModifiedBy>
  <dcterms:created xsi:type="dcterms:W3CDTF">2018-10-17T20:04:53Z</dcterms:created>
  <dcterms:modified xsi:type="dcterms:W3CDTF">2019-01-27T02:48:50Z</dcterms:modified>
</cp:coreProperties>
</file>