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L87" i="2"/>
  <c r="L85" i="2"/>
  <c r="K85" i="2"/>
  <c r="K86" i="2"/>
  <c r="I85" i="2"/>
  <c r="J85" i="2" s="1"/>
  <c r="I86" i="2"/>
  <c r="J86" i="2" s="1"/>
  <c r="I87" i="2" l="1"/>
  <c r="J87" i="2" s="1"/>
  <c r="K87" i="2" l="1"/>
  <c r="E101" i="2" l="1"/>
  <c r="E102" i="2"/>
  <c r="D101" i="2"/>
  <c r="D102" i="2"/>
  <c r="E86" i="2"/>
  <c r="E89" i="2"/>
  <c r="E85" i="2"/>
  <c r="D85" i="2"/>
  <c r="D86" i="2"/>
  <c r="D87" i="2"/>
  <c r="D91" i="2"/>
  <c r="D95" i="2"/>
  <c r="D99" i="2"/>
  <c r="C100" i="2"/>
  <c r="D100" i="2" s="1"/>
  <c r="C87" i="2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E99" i="2" s="1"/>
  <c r="C86" i="2"/>
  <c r="D98" i="2" l="1"/>
  <c r="D94" i="2"/>
  <c r="D90" i="2"/>
  <c r="E100" i="2"/>
  <c r="E96" i="2"/>
  <c r="E92" i="2"/>
  <c r="E88" i="2"/>
  <c r="D97" i="2"/>
  <c r="D93" i="2"/>
  <c r="D89" i="2"/>
  <c r="E95" i="2"/>
  <c r="E91" i="2"/>
  <c r="E87" i="2"/>
  <c r="E97" i="2"/>
  <c r="E93" i="2"/>
  <c r="C102" i="2"/>
  <c r="D96" i="2"/>
  <c r="D92" i="2"/>
  <c r="D88" i="2"/>
  <c r="E98" i="2"/>
  <c r="E94" i="2"/>
  <c r="E90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61" i="2"/>
  <c r="C62" i="2"/>
  <c r="C103" i="2" l="1"/>
  <c r="C63" i="2"/>
  <c r="C32" i="2"/>
  <c r="C33" i="2"/>
  <c r="E48" i="2"/>
  <c r="E49" i="2" s="1"/>
  <c r="E50" i="2" s="1"/>
  <c r="D48" i="2"/>
  <c r="D49" i="2" s="1"/>
  <c r="C104" i="2" l="1"/>
  <c r="E103" i="2"/>
  <c r="D103" i="2"/>
  <c r="C64" i="2"/>
  <c r="D50" i="2"/>
  <c r="D51" i="2"/>
  <c r="C105" i="2" l="1"/>
  <c r="E104" i="2"/>
  <c r="D104" i="2"/>
  <c r="C65" i="2"/>
  <c r="H22" i="2"/>
  <c r="E51" i="2" s="1"/>
  <c r="C106" i="2" l="1"/>
  <c r="D105" i="2"/>
  <c r="E105" i="2"/>
  <c r="H33" i="2"/>
  <c r="C66" i="2"/>
  <c r="H34" i="2"/>
  <c r="U35" i="2"/>
  <c r="W35" i="2" s="1"/>
  <c r="W33" i="2"/>
  <c r="W34" i="2"/>
  <c r="W32" i="2"/>
  <c r="V36" i="2"/>
  <c r="C107" i="2" l="1"/>
  <c r="E106" i="2"/>
  <c r="D106" i="2"/>
  <c r="C67" i="2"/>
  <c r="U36" i="2"/>
  <c r="W36" i="2" s="1"/>
  <c r="H32" i="2"/>
  <c r="N26" i="2" s="1"/>
  <c r="H31" i="2"/>
  <c r="D34" i="2"/>
  <c r="C34" i="2"/>
  <c r="D33" i="2"/>
  <c r="D32" i="2"/>
  <c r="M13" i="2"/>
  <c r="O13" i="2" s="1"/>
  <c r="M12" i="2"/>
  <c r="O12" i="2" s="1"/>
  <c r="M9" i="2"/>
  <c r="O9" i="2" s="1"/>
  <c r="J9" i="2"/>
  <c r="I10" i="2"/>
  <c r="I11" i="2"/>
  <c r="I12" i="2"/>
  <c r="I13" i="2"/>
  <c r="I9" i="2"/>
  <c r="J10" i="2"/>
  <c r="M10" i="2"/>
  <c r="O10" i="2" s="1"/>
  <c r="J11" i="2"/>
  <c r="M11" i="2"/>
  <c r="O11" i="2" s="1"/>
  <c r="J12" i="2"/>
  <c r="J13" i="2"/>
  <c r="C108" i="2" l="1"/>
  <c r="E107" i="2"/>
  <c r="D107" i="2"/>
  <c r="C68" i="2"/>
  <c r="O21" i="2"/>
  <c r="O20" i="2"/>
  <c r="N25" i="2"/>
  <c r="N18" i="2"/>
  <c r="N23" i="2"/>
  <c r="O26" i="2"/>
  <c r="O25" i="2"/>
  <c r="O24" i="2"/>
  <c r="N19" i="2"/>
  <c r="N24" i="2"/>
  <c r="N21" i="2"/>
  <c r="O23" i="2"/>
  <c r="O19" i="2"/>
  <c r="O18" i="2"/>
  <c r="N22" i="2"/>
  <c r="N20" i="2"/>
  <c r="O22" i="2"/>
  <c r="N14" i="2"/>
  <c r="K14" i="2" s="1"/>
  <c r="C35" i="2" s="1"/>
  <c r="C109" i="2" l="1"/>
  <c r="D108" i="2"/>
  <c r="E108" i="2"/>
  <c r="C70" i="2"/>
  <c r="M21" i="2"/>
  <c r="M19" i="2"/>
  <c r="M25" i="2"/>
  <c r="M23" i="2"/>
  <c r="M18" i="2"/>
  <c r="M20" i="2"/>
  <c r="M22" i="2"/>
  <c r="M24" i="2"/>
  <c r="M26" i="2"/>
  <c r="D35" i="2"/>
  <c r="P18" i="2" s="1"/>
  <c r="L21" i="2"/>
  <c r="L25" i="2"/>
  <c r="L22" i="2"/>
  <c r="L26" i="2"/>
  <c r="L19" i="2"/>
  <c r="L23" i="2"/>
  <c r="L18" i="2"/>
  <c r="L20" i="2"/>
  <c r="L24" i="2"/>
  <c r="D109" i="2" l="1"/>
  <c r="E109" i="2"/>
  <c r="C110" i="2"/>
  <c r="P23" i="2"/>
  <c r="P20" i="2"/>
  <c r="P19" i="2"/>
  <c r="P26" i="2"/>
  <c r="C72" i="2"/>
  <c r="P25" i="2"/>
  <c r="P24" i="2"/>
  <c r="P22" i="2"/>
  <c r="P21" i="2"/>
  <c r="C111" i="2" l="1"/>
  <c r="D110" i="2"/>
  <c r="E110" i="2"/>
  <c r="C73" i="2"/>
  <c r="C112" i="2" l="1"/>
  <c r="E111" i="2"/>
  <c r="D111" i="2"/>
  <c r="C74" i="2"/>
  <c r="C113" i="2" l="1"/>
  <c r="E112" i="2"/>
  <c r="D112" i="2"/>
  <c r="C75" i="2"/>
  <c r="C114" i="2" l="1"/>
  <c r="D113" i="2"/>
  <c r="E113" i="2"/>
  <c r="C76" i="2"/>
  <c r="E114" i="2" l="1"/>
  <c r="D114" i="2"/>
  <c r="C77" i="2"/>
  <c r="C78" i="2" l="1"/>
</calcChain>
</file>

<file path=xl/sharedStrings.xml><?xml version="1.0" encoding="utf-8"?>
<sst xmlns="http://schemas.openxmlformats.org/spreadsheetml/2006/main" count="82" uniqueCount="64">
  <si>
    <t>Fuel Payload</t>
  </si>
  <si>
    <t>Payload(cargo+ Passangers)</t>
  </si>
  <si>
    <t>MLW</t>
  </si>
  <si>
    <t>MTOW</t>
  </si>
  <si>
    <t>OEW</t>
  </si>
  <si>
    <t>W in Kg</t>
  </si>
  <si>
    <t>Use cut-off Re(f)&gt;cut-off Re</t>
  </si>
  <si>
    <t>FUSELAGE</t>
  </si>
  <si>
    <t>VERTICAL TAIL</t>
  </si>
  <si>
    <t>HORIZONTAL TAIL</t>
  </si>
  <si>
    <t>WING</t>
  </si>
  <si>
    <t>Cd landing</t>
  </si>
  <si>
    <t>Cl landing</t>
  </si>
  <si>
    <t>Cl take-off</t>
  </si>
  <si>
    <t>Cd take-off</t>
  </si>
  <si>
    <t>Cd clean</t>
  </si>
  <si>
    <t>D/q</t>
  </si>
  <si>
    <t>Swet</t>
  </si>
  <si>
    <t>Q</t>
  </si>
  <si>
    <t>t/c  OR l/d</t>
  </si>
  <si>
    <t>Cf</t>
  </si>
  <si>
    <t>Re(cut-off)</t>
  </si>
  <si>
    <t>Re (flight)</t>
  </si>
  <si>
    <t>L/MAC</t>
  </si>
  <si>
    <t>ITEM</t>
  </si>
  <si>
    <t>Sref = 26 sqrm, V= 95.2 m/s at cruise, altitude 6000ft. T=276.5K</t>
  </si>
  <si>
    <t>Cl clean at 95.2m/s</t>
  </si>
  <si>
    <t>no flaps</t>
  </si>
  <si>
    <t>flaps</t>
  </si>
  <si>
    <t>Take-off</t>
  </si>
  <si>
    <t>Landing</t>
  </si>
  <si>
    <t>α</t>
  </si>
  <si>
    <t>mission takeoff weight</t>
  </si>
  <si>
    <t>mission landing weight</t>
  </si>
  <si>
    <t>Cl tak-off</t>
  </si>
  <si>
    <t>cl landing</t>
  </si>
  <si>
    <t xml:space="preserve"> </t>
  </si>
  <si>
    <t>Aircraft weights</t>
  </si>
  <si>
    <t>Standard Cessna in Kg</t>
  </si>
  <si>
    <t>Retrofitted Cessna in Kh</t>
  </si>
  <si>
    <t>% Increase</t>
  </si>
  <si>
    <t>Weight</t>
  </si>
  <si>
    <t>Retroffited Cessna 208</t>
  </si>
  <si>
    <t>Standard Cessna 208</t>
  </si>
  <si>
    <t>PROPELLER BLADES</t>
  </si>
  <si>
    <t>weight</t>
  </si>
  <si>
    <t>wing load</t>
  </si>
  <si>
    <t>AR</t>
  </si>
  <si>
    <t>std</t>
  </si>
  <si>
    <t>retro</t>
  </si>
  <si>
    <t>wing loading</t>
  </si>
  <si>
    <t>wing weight</t>
  </si>
  <si>
    <t>speed</t>
  </si>
  <si>
    <t>Cl</t>
  </si>
  <si>
    <t>L</t>
  </si>
  <si>
    <t>n</t>
  </si>
  <si>
    <t>altitude</t>
  </si>
  <si>
    <t>1000 ft</t>
  </si>
  <si>
    <t>1500 ft</t>
  </si>
  <si>
    <t>6000 ft</t>
  </si>
  <si>
    <t>Radius of turn [m]</t>
  </si>
  <si>
    <t>Bank angle</t>
  </si>
  <si>
    <t>WipAire Floats</t>
  </si>
  <si>
    <t xml:space="preserve">Component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</si>
</sst>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E+00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8" xfId="0" applyFont="1" applyBorder="1"/>
    <xf numFmtId="165" fontId="2" fillId="0" borderId="8" xfId="0" applyNumberFormat="1" applyFont="1" applyBorder="1"/>
    <xf numFmtId="0" fontId="2" fillId="0" borderId="4" xfId="0" applyFont="1" applyBorder="1"/>
    <xf numFmtId="0" fontId="0" fillId="0" borderId="17" xfId="0" applyBorder="1"/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4" xfId="0" applyFont="1" applyBorder="1"/>
    <xf numFmtId="0" fontId="0" fillId="0" borderId="18" xfId="0" applyBorder="1"/>
    <xf numFmtId="0" fontId="0" fillId="0" borderId="5" xfId="0" applyFill="1" applyBorder="1"/>
    <xf numFmtId="9" fontId="0" fillId="0" borderId="3" xfId="1" applyFon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166" fontId="0" fillId="0" borderId="1" xfId="0" applyNumberFormat="1" applyBorder="1"/>
    <xf numFmtId="0" fontId="0" fillId="3" borderId="6" xfId="0" applyFill="1" applyBorder="1"/>
    <xf numFmtId="0" fontId="0" fillId="0" borderId="21" xfId="0" applyBorder="1"/>
    <xf numFmtId="0" fontId="0" fillId="0" borderId="22" xfId="0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6" fillId="0" borderId="20" xfId="0" applyFont="1" applyBorder="1"/>
    <xf numFmtId="0" fontId="6" fillId="0" borderId="17" xfId="0" applyFont="1" applyBorder="1"/>
    <xf numFmtId="0" fontId="6" fillId="0" borderId="5" xfId="0" applyFont="1" applyBorder="1"/>
    <xf numFmtId="167" fontId="0" fillId="0" borderId="8" xfId="0" applyNumberFormat="1" applyBorder="1"/>
    <xf numFmtId="167" fontId="0" fillId="0" borderId="19" xfId="0" applyNumberFormat="1" applyBorder="1"/>
    <xf numFmtId="167" fontId="0" fillId="0" borderId="7" xfId="0" applyNumberFormat="1" applyBorder="1"/>
    <xf numFmtId="167" fontId="0" fillId="0" borderId="1" xfId="0" applyNumberFormat="1" applyBorder="1"/>
    <xf numFmtId="164" fontId="0" fillId="0" borderId="26" xfId="0" applyNumberFormat="1" applyBorder="1"/>
    <xf numFmtId="0" fontId="0" fillId="0" borderId="26" xfId="0" applyBorder="1"/>
    <xf numFmtId="0" fontId="0" fillId="0" borderId="27" xfId="0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6" fillId="0" borderId="6" xfId="0" applyFont="1" applyBorder="1"/>
    <xf numFmtId="2" fontId="0" fillId="0" borderId="8" xfId="0" applyNumberFormat="1" applyBorder="1"/>
    <xf numFmtId="2" fontId="0" fillId="0" borderId="7" xfId="0" applyNumberFormat="1" applyBorder="1"/>
    <xf numFmtId="0" fontId="6" fillId="0" borderId="5" xfId="0" applyFont="1" applyFill="1" applyBorder="1"/>
    <xf numFmtId="1" fontId="0" fillId="0" borderId="3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15595009433983E-2"/>
          <c:y val="2.0472511616523342E-2"/>
          <c:w val="0.8018662954957495"/>
          <c:h val="0.85077338369043953"/>
        </c:manualLayout>
      </c:layout>
      <c:scatterChart>
        <c:scatterStyle val="smoothMarker"/>
        <c:varyColors val="0"/>
        <c:ser>
          <c:idx val="0"/>
          <c:order val="0"/>
          <c:tx>
            <c:v>Cd clean</c:v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Sheet1!$L$18:$L$26</c:f>
              <c:numCache>
                <c:formatCode>0.00000</c:formatCode>
                <c:ptCount val="9"/>
                <c:pt idx="0">
                  <c:v>1.7916165831201904E-2</c:v>
                </c:pt>
                <c:pt idx="1">
                  <c:v>2.0316692876328531E-2</c:v>
                </c:pt>
                <c:pt idx="2">
                  <c:v>2.7518274011708411E-2</c:v>
                </c:pt>
                <c:pt idx="3">
                  <c:v>3.9520909237341542E-2</c:v>
                </c:pt>
                <c:pt idx="4">
                  <c:v>5.6324598553227932E-2</c:v>
                </c:pt>
                <c:pt idx="5">
                  <c:v>9.3196693966372895E-2</c:v>
                </c:pt>
                <c:pt idx="6">
                  <c:v>0.11624175359958855</c:v>
                </c:pt>
                <c:pt idx="7">
                  <c:v>0.1573013283902524</c:v>
                </c:pt>
                <c:pt idx="8">
                  <c:v>0.17154989671930601</c:v>
                </c:pt>
              </c:numCache>
            </c:numRef>
          </c:xVal>
          <c:yVal>
            <c:numRef>
              <c:f>Sheet1!$K$18:$K$26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1.4</c:v>
                </c:pt>
                <c:pt idx="6">
                  <c:v>1.6</c:v>
                </c:pt>
                <c:pt idx="7">
                  <c:v>1.905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0-4E1F-A28F-7A76DF73E752}"/>
            </c:ext>
          </c:extLst>
        </c:ser>
        <c:ser>
          <c:idx val="1"/>
          <c:order val="1"/>
          <c:tx>
            <c:v>Cd take-off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Sheet1!$M$18:$M$26</c:f>
              <c:numCache>
                <c:formatCode>General</c:formatCode>
                <c:ptCount val="9"/>
                <c:pt idx="0">
                  <c:v>8.3148770756451454E-2</c:v>
                </c:pt>
                <c:pt idx="1">
                  <c:v>8.5549297801578078E-2</c:v>
                </c:pt>
                <c:pt idx="2">
                  <c:v>9.2750878936957964E-2</c:v>
                </c:pt>
                <c:pt idx="3">
                  <c:v>0.1047535141625911</c:v>
                </c:pt>
                <c:pt idx="4">
                  <c:v>0.12155720347847748</c:v>
                </c:pt>
                <c:pt idx="5">
                  <c:v>0.15842929889162244</c:v>
                </c:pt>
                <c:pt idx="6">
                  <c:v>0.18147435852483809</c:v>
                </c:pt>
                <c:pt idx="7">
                  <c:v>0.22253393331550197</c:v>
                </c:pt>
                <c:pt idx="8">
                  <c:v>0.23678250164455555</c:v>
                </c:pt>
              </c:numCache>
            </c:numRef>
          </c:xVal>
          <c:yVal>
            <c:numRef>
              <c:f>Sheet1!$N$18:$N$26</c:f>
              <c:numCache>
                <c:formatCode>0.00000</c:formatCode>
                <c:ptCount val="9"/>
                <c:pt idx="0">
                  <c:v>0.56045071008451264</c:v>
                </c:pt>
                <c:pt idx="1">
                  <c:v>0.81045071008451264</c:v>
                </c:pt>
                <c:pt idx="2">
                  <c:v>1.0604507100845126</c:v>
                </c:pt>
                <c:pt idx="3">
                  <c:v>1.3104507100845126</c:v>
                </c:pt>
                <c:pt idx="4">
                  <c:v>1.5604507100845126</c:v>
                </c:pt>
                <c:pt idx="5">
                  <c:v>1.9604507100845125</c:v>
                </c:pt>
                <c:pt idx="6">
                  <c:v>2.1604507100845129</c:v>
                </c:pt>
                <c:pt idx="7">
                  <c:v>2.4654507100845127</c:v>
                </c:pt>
                <c:pt idx="8">
                  <c:v>2.5604507100845124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0-4E1F-A28F-7A76DF73E752}"/>
            </c:ext>
          </c:extLst>
        </c:ser>
        <c:ser>
          <c:idx val="2"/>
          <c:order val="2"/>
          <c:tx>
            <c:v>Cd landing</c:v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Sheet1!$P$18:$P$26</c:f>
              <c:numCache>
                <c:formatCode>General</c:formatCode>
                <c:ptCount val="9"/>
                <c:pt idx="0">
                  <c:v>0.15890816457349274</c:v>
                </c:pt>
                <c:pt idx="1">
                  <c:v>0.17589663127499416</c:v>
                </c:pt>
                <c:pt idx="2">
                  <c:v>0.1976861520667488</c:v>
                </c:pt>
                <c:pt idx="3">
                  <c:v>0.22427672694875672</c:v>
                </c:pt>
                <c:pt idx="4">
                  <c:v>0.25566835592101789</c:v>
                </c:pt>
                <c:pt idx="5">
                  <c:v>0.31588115478436252</c:v>
                </c:pt>
                <c:pt idx="6">
                  <c:v>0.35059656614267798</c:v>
                </c:pt>
                <c:pt idx="7">
                  <c:v>0.40945342731411899</c:v>
                </c:pt>
                <c:pt idx="8">
                  <c:v>0.42924541271259503</c:v>
                </c:pt>
              </c:numCache>
            </c:numRef>
          </c:xVal>
          <c:yVal>
            <c:numRef>
              <c:f>Sheet1!$O$18:$O$26</c:f>
              <c:numCache>
                <c:formatCode>General</c:formatCode>
                <c:ptCount val="9"/>
                <c:pt idx="0">
                  <c:v>0.75962170921955108</c:v>
                </c:pt>
                <c:pt idx="1">
                  <c:v>1.0096217092195512</c:v>
                </c:pt>
                <c:pt idx="2">
                  <c:v>1.2596217092195512</c:v>
                </c:pt>
                <c:pt idx="3">
                  <c:v>1.5096217092195512</c:v>
                </c:pt>
                <c:pt idx="4">
                  <c:v>1.7596217092195512</c:v>
                </c:pt>
                <c:pt idx="5">
                  <c:v>2.1596217092195511</c:v>
                </c:pt>
                <c:pt idx="6">
                  <c:v>2.3596217092195513</c:v>
                </c:pt>
                <c:pt idx="7">
                  <c:v>2.664621709219551</c:v>
                </c:pt>
                <c:pt idx="8">
                  <c:v>2.7596217092195512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0-4E1F-A28F-7A76DF73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3024"/>
        <c:axId val="112774200"/>
      </c:scatterChart>
      <c:valAx>
        <c:axId val="1127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4200"/>
        <c:crosses val="autoZero"/>
        <c:crossBetween val="midCat"/>
      </c:valAx>
      <c:valAx>
        <c:axId val="11277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41590728766152"/>
          <c:y val="0.3938029348865526"/>
          <c:w val="0.2414288230180226"/>
          <c:h val="0.286578434029541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MTOW vs W/S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9D2-4D75-9033-96EE6828C60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9D2-4D75-9033-96EE6828C602}"/>
              </c:ext>
            </c:extLst>
          </c:dPt>
          <c:xVal>
            <c:numRef>
              <c:f>Sheet1!$C$61:$C$78</c:f>
              <c:numCache>
                <c:formatCode>General</c:formatCode>
                <c:ptCount val="18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3629</c:v>
                </c:pt>
                <c:pt idx="9">
                  <c:v>4100</c:v>
                </c:pt>
                <c:pt idx="10">
                  <c:v>4110</c:v>
                </c:pt>
                <c:pt idx="11">
                  <c:v>4600</c:v>
                </c:pt>
                <c:pt idx="12">
                  <c:v>5100</c:v>
                </c:pt>
                <c:pt idx="13">
                  <c:v>5600</c:v>
                </c:pt>
                <c:pt idx="14">
                  <c:v>6100</c:v>
                </c:pt>
                <c:pt idx="15">
                  <c:v>6600</c:v>
                </c:pt>
                <c:pt idx="16">
                  <c:v>7100</c:v>
                </c:pt>
                <c:pt idx="17">
                  <c:v>7600</c:v>
                </c:pt>
              </c:numCache>
            </c:numRef>
          </c:xVal>
          <c:yVal>
            <c:numRef>
              <c:f>Sheet1!$D$61:$D$78</c:f>
              <c:numCache>
                <c:formatCode>General</c:formatCode>
                <c:ptCount val="18"/>
                <c:pt idx="0">
                  <c:v>46.344691973628812</c:v>
                </c:pt>
                <c:pt idx="1">
                  <c:v>84.163612156681864</c:v>
                </c:pt>
                <c:pt idx="2">
                  <c:v>102.98732174199777</c:v>
                </c:pt>
                <c:pt idx="3">
                  <c:v>116.67342695135653</c:v>
                </c:pt>
                <c:pt idx="4">
                  <c:v>127.73179789354943</c:v>
                </c:pt>
                <c:pt idx="5">
                  <c:v>137.14694086299357</c:v>
                </c:pt>
                <c:pt idx="6">
                  <c:v>145.41976686280262</c:v>
                </c:pt>
                <c:pt idx="7">
                  <c:v>152.84411891853858</c:v>
                </c:pt>
                <c:pt idx="8">
                  <c:v>153.2530266836236</c:v>
                </c:pt>
                <c:pt idx="9">
                  <c:v>159.60887051523605</c:v>
                </c:pt>
                <c:pt idx="10">
                  <c:v>159.73839875814238</c:v>
                </c:pt>
                <c:pt idx="11">
                  <c:v>165.84346307908106</c:v>
                </c:pt>
                <c:pt idx="12">
                  <c:v>171.64093381029613</c:v>
                </c:pt>
                <c:pt idx="13">
                  <c:v>177.07066283175581</c:v>
                </c:pt>
                <c:pt idx="14">
                  <c:v>182.18593048931936</c:v>
                </c:pt>
                <c:pt idx="15">
                  <c:v>187.02864632439628</c:v>
                </c:pt>
                <c:pt idx="16">
                  <c:v>191.63244032823965</c:v>
                </c:pt>
                <c:pt idx="17">
                  <c:v>196.02475793406043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2-4D75-9033-96EE6828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41104"/>
        <c:axId val="1478242768"/>
      </c:scatterChart>
      <c:valAx>
        <c:axId val="147824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MTOW</a:t>
                </a:r>
                <a:r>
                  <a:rPr lang="en-ZA" baseline="0"/>
                  <a:t>  [kg]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2768"/>
        <c:crosses val="autoZero"/>
        <c:crossBetween val="midCat"/>
      </c:valAx>
      <c:valAx>
        <c:axId val="14782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W/S</a:t>
                </a:r>
                <a:r>
                  <a:rPr lang="en-ZA" baseline="0"/>
                  <a:t> [kg]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3448831872392"/>
          <c:y val="5.0925925925925923E-2"/>
          <c:w val="0.79847930595626559"/>
          <c:h val="0.81389690871974341"/>
        </c:manualLayout>
      </c:layout>
      <c:scatterChart>
        <c:scatterStyle val="smoothMarker"/>
        <c:varyColors val="0"/>
        <c:ser>
          <c:idx val="0"/>
          <c:order val="0"/>
          <c:tx>
            <c:v>Cessna 208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Sheet1!$C$85:$C$114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</c:numCache>
            </c:numRef>
          </c:xVal>
          <c:yVal>
            <c:numRef>
              <c:f>Sheet1!$D$85:$D$114</c:f>
              <c:numCache>
                <c:formatCode>General</c:formatCode>
                <c:ptCount val="30"/>
                <c:pt idx="0">
                  <c:v>684.15125199653107</c:v>
                </c:pt>
                <c:pt idx="1">
                  <c:v>793.87539297618196</c:v>
                </c:pt>
                <c:pt idx="2">
                  <c:v>896.46752025605747</c:v>
                </c:pt>
                <c:pt idx="3">
                  <c:v>993.48494270062304</c:v>
                </c:pt>
                <c:pt idx="4">
                  <c:v>1085.9722333923892</c:v>
                </c:pt>
                <c:pt idx="5">
                  <c:v>1174.6730164254961</c:v>
                </c:pt>
                <c:pt idx="6">
                  <c:v>1260.1404017455118</c:v>
                </c:pt>
                <c:pt idx="7">
                  <c:v>1342.7998985462355</c:v>
                </c:pt>
                <c:pt idx="8">
                  <c:v>1422.9877271950734</c:v>
                </c:pt>
                <c:pt idx="9">
                  <c:v>1500.9753999448312</c:v>
                </c:pt>
                <c:pt idx="10">
                  <c:v>1576.9861692393392</c:v>
                </c:pt>
                <c:pt idx="11">
                  <c:v>1651.2064223087955</c:v>
                </c:pt>
                <c:pt idx="12">
                  <c:v>1723.7938076670155</c:v>
                </c:pt>
                <c:pt idx="13">
                  <c:v>1794.8831761012946</c:v>
                </c:pt>
                <c:pt idx="14">
                  <c:v>1864.5910176012349</c:v>
                </c:pt>
                <c:pt idx="15">
                  <c:v>1933.0188371934289</c:v>
                </c:pt>
                <c:pt idx="16">
                  <c:v>1973.4986470772562</c:v>
                </c:pt>
                <c:pt idx="17">
                  <c:v>2000.2557657798416</c:v>
                </c:pt>
                <c:pt idx="18">
                  <c:v>2066.3806088061624</c:v>
                </c:pt>
                <c:pt idx="19">
                  <c:v>2131.4634747328146</c:v>
                </c:pt>
                <c:pt idx="20">
                  <c:v>2195.5670846178195</c:v>
                </c:pt>
                <c:pt idx="21">
                  <c:v>2258.7478363626997</c:v>
                </c:pt>
                <c:pt idx="22">
                  <c:v>2321.0566778578332</c:v>
                </c:pt>
                <c:pt idx="23">
                  <c:v>2382.5398295893028</c:v>
                </c:pt>
                <c:pt idx="24">
                  <c:v>2443.2393874347199</c:v>
                </c:pt>
                <c:pt idx="25">
                  <c:v>2503.1938292008476</c:v>
                </c:pt>
                <c:pt idx="26">
                  <c:v>2562.438443152088</c:v>
                </c:pt>
                <c:pt idx="27">
                  <c:v>2621.0056928107879</c:v>
                </c:pt>
                <c:pt idx="28">
                  <c:v>2678.9255293084357</c:v>
                </c:pt>
                <c:pt idx="29">
                  <c:v>2736.225660271989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8-40D9-96C0-F213CD299E51}"/>
            </c:ext>
          </c:extLst>
        </c:ser>
        <c:ser>
          <c:idx val="1"/>
          <c:order val="1"/>
          <c:tx>
            <c:v>The SSS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Sheet1!$C$85:$C$114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</c:numCache>
            </c:numRef>
          </c:xVal>
          <c:yVal>
            <c:numRef>
              <c:f>Sheet1!$E$85:$E$114</c:f>
              <c:numCache>
                <c:formatCode>General</c:formatCode>
                <c:ptCount val="30"/>
                <c:pt idx="0">
                  <c:v>743.33587194427992</c:v>
                </c:pt>
                <c:pt idx="1">
                  <c:v>862.55203908630767</c:v>
                </c:pt>
                <c:pt idx="2">
                  <c:v>974.01921562608175</c:v>
                </c:pt>
                <c:pt idx="3">
                  <c:v>1079.4294302477233</c:v>
                </c:pt>
                <c:pt idx="4">
                  <c:v>1179.9176200588217</c:v>
                </c:pt>
                <c:pt idx="5">
                  <c:v>1276.2917386556082</c:v>
                </c:pt>
                <c:pt idx="6">
                  <c:v>1369.1527444701194</c:v>
                </c:pt>
                <c:pt idx="7">
                  <c:v>1458.9629566849369</c:v>
                </c:pt>
                <c:pt idx="8">
                  <c:v>1546.0876814501896</c:v>
                </c:pt>
                <c:pt idx="9">
                  <c:v>1630.821919025828</c:v>
                </c:pt>
                <c:pt idx="10">
                  <c:v>1713.408234998798</c:v>
                </c:pt>
                <c:pt idx="11">
                  <c:v>1794.0491406030883</c:v>
                </c:pt>
                <c:pt idx="12">
                  <c:v>1872.9159222247661</c:v>
                </c:pt>
                <c:pt idx="13">
                  <c:v>1950.1550963355389</c:v>
                </c:pt>
                <c:pt idx="14">
                  <c:v>2025.893230251834</c:v>
                </c:pt>
                <c:pt idx="15">
                  <c:v>2100.2406100064936</c:v>
                </c:pt>
                <c:pt idx="16">
                  <c:v>2144.222251037359</c:v>
                </c:pt>
                <c:pt idx="17">
                  <c:v>2173.2940770458035</c:v>
                </c:pt>
                <c:pt idx="18">
                  <c:v>2245.1392541242753</c:v>
                </c:pt>
                <c:pt idx="19">
                  <c:v>2315.8523146515199</c:v>
                </c:pt>
                <c:pt idx="20">
                  <c:v>2385.5014055646611</c:v>
                </c:pt>
                <c:pt idx="21">
                  <c:v>2454.1478036401177</c:v>
                </c:pt>
                <c:pt idx="22">
                  <c:v>2521.8468641731006</c:v>
                </c:pt>
                <c:pt idx="23">
                  <c:v>2588.6488060957658</c:v>
                </c:pt>
                <c:pt idx="24">
                  <c:v>2654.5993669198238</c:v>
                </c:pt>
                <c:pt idx="25">
                  <c:v>2719.7403530937254</c:v>
                </c:pt>
                <c:pt idx="26">
                  <c:v>2784.1101056022994</c:v>
                </c:pt>
                <c:pt idx="27">
                  <c:v>2847.7438963252985</c:v>
                </c:pt>
                <c:pt idx="28">
                  <c:v>2910.6742674094749</c:v>
                </c:pt>
                <c:pt idx="29">
                  <c:v>2972.9313234157644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8-40D9-96C0-F213CD29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93631"/>
        <c:axId val="1122798207"/>
      </c:scatterChart>
      <c:valAx>
        <c:axId val="11227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98207"/>
        <c:crosses val="autoZero"/>
        <c:crossBetween val="midCat"/>
      </c:valAx>
      <c:valAx>
        <c:axId val="1122798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Wing</a:t>
                </a:r>
                <a:r>
                  <a:rPr lang="en-ZA" baseline="0"/>
                  <a:t> weight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73600174978126"/>
          <c:y val="0.46817074948964715"/>
          <c:w val="0.24326399825021872"/>
          <c:h val="0.1701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Swet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Sheet1!$B$8:$B$13</c:f>
              <c:strCache>
                <c:ptCount val="6"/>
                <c:pt idx="0">
                  <c:v>WipAire Floats</c:v>
                </c:pt>
                <c:pt idx="1">
                  <c:v>WING</c:v>
                </c:pt>
                <c:pt idx="2">
                  <c:v>HORIZONTAL TAIL</c:v>
                </c:pt>
                <c:pt idx="3">
                  <c:v>VERTICAL TAIL</c:v>
                </c:pt>
                <c:pt idx="4">
                  <c:v>PROPELLER BLADES</c:v>
                </c:pt>
                <c:pt idx="5">
                  <c:v>FUSELAGE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19.7</c:v>
                </c:pt>
                <c:pt idx="1">
                  <c:v>37.5</c:v>
                </c:pt>
                <c:pt idx="2">
                  <c:v>10.76</c:v>
                </c:pt>
                <c:pt idx="3">
                  <c:v>5.57</c:v>
                </c:pt>
                <c:pt idx="4">
                  <c:v>1.47</c:v>
                </c:pt>
                <c:pt idx="5">
                  <c:v>42.68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6F4-981C-90E89320A5A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260527"/>
        <c:axId val="216261359"/>
      </c:barChart>
      <c:catAx>
        <c:axId val="21626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1359"/>
        <c:crosses val="autoZero"/>
        <c:auto val="1"/>
        <c:lblAlgn val="ctr"/>
        <c:lblOffset val="100"/>
        <c:noMultiLvlLbl val="0"/>
      </c:catAx>
      <c:valAx>
        <c:axId val="2162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Swet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Sheet1!$B$8:$B$13</c:f>
              <c:strCache>
                <c:ptCount val="6"/>
                <c:pt idx="0">
                  <c:v>WipAire Floats</c:v>
                </c:pt>
                <c:pt idx="1">
                  <c:v>WING</c:v>
                </c:pt>
                <c:pt idx="2">
                  <c:v>HORIZONTAL TAIL</c:v>
                </c:pt>
                <c:pt idx="3">
                  <c:v>VERTICAL TAIL</c:v>
                </c:pt>
                <c:pt idx="4">
                  <c:v>PROPELLER BLADES</c:v>
                </c:pt>
                <c:pt idx="5">
                  <c:v>FUSELAGE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19.7</c:v>
                </c:pt>
                <c:pt idx="1">
                  <c:v>37.5</c:v>
                </c:pt>
                <c:pt idx="2">
                  <c:v>10.76</c:v>
                </c:pt>
                <c:pt idx="3">
                  <c:v>5.57</c:v>
                </c:pt>
                <c:pt idx="4">
                  <c:v>1.47</c:v>
                </c:pt>
                <c:pt idx="5">
                  <c:v>42.68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973-87B2-14FB58615BF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0249663"/>
        <c:axId val="220253823"/>
      </c:barChart>
      <c:catAx>
        <c:axId val="22024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53823"/>
        <c:crosses val="autoZero"/>
        <c:auto val="1"/>
        <c:lblAlgn val="ctr"/>
        <c:lblOffset val="100"/>
        <c:noMultiLvlLbl val="0"/>
      </c:catAx>
      <c:valAx>
        <c:axId val="2202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29</xdr:row>
      <xdr:rowOff>18299</xdr:rowOff>
    </xdr:from>
    <xdr:to>
      <xdr:col>15</xdr:col>
      <xdr:colOff>288510</xdr:colOff>
      <xdr:row>50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53340</xdr:colOff>
      <xdr:row>26</xdr:row>
      <xdr:rowOff>30480</xdr:rowOff>
    </xdr:from>
    <xdr:ext cx="363048" cy="385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377940" y="802005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𝑓𝑙𝑎𝑝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𝑤𝑖𝑛𝑔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377940" y="802005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𝑆_𝑓𝑙𝑎𝑝/𝑆_𝑤𝑖𝑛𝑔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45720</xdr:colOff>
      <xdr:row>27</xdr:row>
      <xdr:rowOff>152400</xdr:rowOff>
    </xdr:from>
    <xdr:ext cx="50456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370320" y="133350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370320" y="133350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𝑆_𝑔𝑒𝑎𝑟𝑙𝑒𝑔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35719</xdr:colOff>
      <xdr:row>28</xdr:row>
      <xdr:rowOff>71437</xdr:rowOff>
    </xdr:from>
    <xdr:ext cx="33009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42938" y="6869906"/>
              <a:ext cx="33009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𝑡𝑦𝑟𝑒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42938" y="6869906"/>
              <a:ext cx="33009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</a:t>
              </a:r>
              <a:r>
                <a:rPr lang="en-ZA" sz="1100" b="0" i="0">
                  <a:latin typeface="Cambria Math" panose="02040503050406030204" pitchFamily="18" charset="0"/>
                </a:rPr>
                <a:t>𝑡𝑦𝑟𝑒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0</xdr:rowOff>
    </xdr:from>
    <xdr:ext cx="709040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324600" y="1790700"/>
              <a:ext cx="709040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1790700"/>
              <a:ext cx="709040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ZA" sz="1100" b="0" i="0">
                  <a:latin typeface="Cambria Math" panose="02040503050406030204" pitchFamily="18" charset="0"/>
                </a:rPr>
                <a:t>𝐷/𝑞</a:t>
              </a:r>
              <a:r>
                <a:rPr lang="en-US" sz="1100" b="0" i="0">
                  <a:latin typeface="Cambria Math" panose="02040503050406030204" pitchFamily="18" charset="0"/>
                </a:rPr>
                <a:t>〗_(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30</xdr:row>
      <xdr:rowOff>0</xdr:rowOff>
    </xdr:from>
    <xdr:ext cx="52854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324600" y="1981200"/>
              <a:ext cx="52854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𝑡𝑦𝑟𝑒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324600" y="1981200"/>
              <a:ext cx="52854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ZA" sz="1100" b="0" i="0">
                  <a:latin typeface="Cambria Math" panose="02040503050406030204" pitchFamily="18" charset="0"/>
                </a:rPr>
                <a:t>𝐷/𝑞</a:t>
              </a:r>
              <a:r>
                <a:rPr lang="en-US" sz="1100" b="0" i="0">
                  <a:latin typeface="Cambria Math" panose="02040503050406030204" pitchFamily="18" charset="0"/>
                </a:rPr>
                <a:t>〗_( </a:t>
              </a:r>
              <a:r>
                <a:rPr lang="en-ZA" sz="1100" b="0" i="0">
                  <a:latin typeface="Cambria Math" panose="02040503050406030204" pitchFamily="18" charset="0"/>
                </a:rPr>
                <a:t>𝑡𝑦𝑟𝑒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31</xdr:row>
      <xdr:rowOff>0</xdr:rowOff>
    </xdr:from>
    <xdr:ext cx="62491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324600" y="2181225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𝑓𝑙𝑎𝑝𝑠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324600" y="2181225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𝑓𝑙𝑎𝑝𝑠)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33</xdr:row>
      <xdr:rowOff>15240</xdr:rowOff>
    </xdr:from>
    <xdr:ext cx="65" cy="172227"/>
    <xdr:sp macro="" textlink="">
      <xdr:nvSpPr>
        <xdr:cNvPr id="9" name="TextBox 8"/>
        <xdr:cNvSpPr txBox="1"/>
      </xdr:nvSpPr>
      <xdr:spPr>
        <a:xfrm>
          <a:off x="6347460" y="25774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75020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324600" y="2371725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324600" y="2371725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33</xdr:row>
      <xdr:rowOff>0</xdr:rowOff>
    </xdr:from>
    <xdr:ext cx="65" cy="172227"/>
    <xdr:sp macro="" textlink="">
      <xdr:nvSpPr>
        <xdr:cNvPr id="11" name="TextBox 10"/>
        <xdr:cNvSpPr txBox="1"/>
      </xdr:nvSpPr>
      <xdr:spPr>
        <a:xfrm>
          <a:off x="6324600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33</xdr:row>
      <xdr:rowOff>0</xdr:rowOff>
    </xdr:from>
    <xdr:ext cx="56053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324600" y="2562225"/>
              <a:ext cx="56053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𝑡𝑦𝑡𝑒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324600" y="2562225"/>
              <a:ext cx="56053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</a:t>
              </a:r>
              <a:r>
                <a:rPr lang="en-ZA" sz="1100" b="0" i="0">
                  <a:latin typeface="Cambria Math" panose="02040503050406030204" pitchFamily="18" charset="0"/>
                </a:rPr>
                <a:t>𝑡𝑦𝑡𝑒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34</xdr:row>
      <xdr:rowOff>0</xdr:rowOff>
    </xdr:from>
    <xdr:ext cx="238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324600" y="276225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324600" y="276225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𝐶_𝑑0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45</xdr:row>
      <xdr:rowOff>0</xdr:rowOff>
    </xdr:from>
    <xdr:to>
      <xdr:col>2</xdr:col>
      <xdr:colOff>144780</xdr:colOff>
      <xdr:row>46</xdr:row>
      <xdr:rowOff>30480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771525"/>
          <a:ext cx="144780" cy="440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502920</xdr:colOff>
      <xdr:row>48</xdr:row>
      <xdr:rowOff>7620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600200"/>
          <a:ext cx="5029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48</xdr:row>
      <xdr:rowOff>7620</xdr:rowOff>
    </xdr:from>
    <xdr:to>
      <xdr:col>2</xdr:col>
      <xdr:colOff>464820</xdr:colOff>
      <xdr:row>49</xdr:row>
      <xdr:rowOff>15240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465" y="1798320"/>
          <a:ext cx="41148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121920</xdr:colOff>
      <xdr:row>50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981200"/>
          <a:ext cx="12192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</xdr:colOff>
      <xdr:row>46</xdr:row>
      <xdr:rowOff>53340</xdr:rowOff>
    </xdr:from>
    <xdr:to>
      <xdr:col>2</xdr:col>
      <xdr:colOff>563880</xdr:colOff>
      <xdr:row>46</xdr:row>
      <xdr:rowOff>402385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" y="1234440"/>
          <a:ext cx="541020" cy="349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121920</xdr:colOff>
      <xdr:row>51</xdr:row>
      <xdr:rowOff>11907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906" y="11549063"/>
          <a:ext cx="121920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404812</xdr:colOff>
      <xdr:row>56</xdr:row>
      <xdr:rowOff>182165</xdr:rowOff>
    </xdr:from>
    <xdr:to>
      <xdr:col>11</xdr:col>
      <xdr:colOff>607218</xdr:colOff>
      <xdr:row>74</xdr:row>
      <xdr:rowOff>119062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464343</xdr:colOff>
      <xdr:row>65</xdr:row>
      <xdr:rowOff>34528</xdr:rowOff>
    </xdr:from>
    <xdr:to>
      <xdr:col>15</xdr:col>
      <xdr:colOff>642937</xdr:colOff>
      <xdr:row>79</xdr:row>
      <xdr:rowOff>110728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238125</xdr:colOff>
      <xdr:row>6</xdr:row>
      <xdr:rowOff>33337</xdr:rowOff>
    </xdr:from>
    <xdr:to>
      <xdr:col>10</xdr:col>
      <xdr:colOff>190500</xdr:colOff>
      <xdr:row>16</xdr:row>
      <xdr:rowOff>14287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238125</xdr:colOff>
      <xdr:row>6</xdr:row>
      <xdr:rowOff>33337</xdr:rowOff>
    </xdr:from>
    <xdr:to>
      <xdr:col>10</xdr:col>
      <xdr:colOff>190500</xdr:colOff>
      <xdr:row>16</xdr:row>
      <xdr:rowOff>14287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W126"/>
  <sheetViews>
    <sheetView tabSelected="1" zoomScaleNormal="100" workbookViewId="0">
      <selection activeCell="C14" sqref="C14"/>
    </sheetView>
  </sheetViews>
  <sheetFormatPr defaultRowHeight="15" x14ac:dyDescent="0.25"/>
  <cols>
    <col min="2" max="2" width="25.42578125" customWidth="1"/>
    <col min="3" max="3" width="13.5703125" customWidth="1"/>
    <col min="4" max="4" width="10" customWidth="1"/>
    <col min="6" max="6" width="11.85546875" customWidth="1"/>
    <col min="7" max="7" width="22.5703125" customWidth="1"/>
    <col min="8" max="8" width="8.85546875" customWidth="1"/>
    <col min="9" max="9" width="8.7109375" customWidth="1"/>
    <col min="10" max="10" width="8.140625" customWidth="1"/>
    <col min="11" max="11" width="16.85546875" customWidth="1"/>
    <col min="12" max="12" width="11.140625" customWidth="1"/>
    <col min="13" max="13" width="12.28515625" customWidth="1"/>
    <col min="14" max="14" width="11.5703125" customWidth="1"/>
    <col min="15" max="16" width="12.7109375" customWidth="1"/>
    <col min="17" max="17" width="9.7109375" customWidth="1"/>
    <col min="18" max="18" width="8.5703125" customWidth="1"/>
    <col min="19" max="19" width="9.85546875" customWidth="1"/>
    <col min="20" max="20" width="27.28515625" customWidth="1"/>
    <col min="21" max="21" width="25.140625" customWidth="1"/>
    <col min="22" max="22" width="26" customWidth="1"/>
    <col min="23" max="23" width="14.140625" customWidth="1"/>
  </cols>
  <sheetData>
    <row r="6" spans="2:15" ht="15.75" thickBot="1" x14ac:dyDescent="0.3"/>
    <row r="7" spans="2:15" ht="36.75" customHeight="1" x14ac:dyDescent="0.25">
      <c r="B7" t="s">
        <v>63</v>
      </c>
      <c r="C7" t="s">
        <v>17</v>
      </c>
      <c r="G7" s="24" t="s">
        <v>24</v>
      </c>
      <c r="H7" s="23" t="s">
        <v>23</v>
      </c>
      <c r="I7" s="23" t="s">
        <v>22</v>
      </c>
      <c r="J7" s="23" t="s">
        <v>21</v>
      </c>
      <c r="K7" s="23" t="s">
        <v>20</v>
      </c>
      <c r="L7" s="23" t="s">
        <v>19</v>
      </c>
      <c r="M7" s="23" t="s">
        <v>18</v>
      </c>
      <c r="N7" s="23" t="s">
        <v>17</v>
      </c>
      <c r="O7" s="22" t="s">
        <v>16</v>
      </c>
    </row>
    <row r="8" spans="2:15" x14ac:dyDescent="0.25">
      <c r="B8" t="s">
        <v>62</v>
      </c>
      <c r="C8">
        <v>19.7</v>
      </c>
      <c r="G8" s="20"/>
      <c r="H8" s="18"/>
      <c r="I8" s="18"/>
      <c r="J8" s="18"/>
      <c r="K8" s="18"/>
      <c r="L8" s="18"/>
      <c r="M8" s="18"/>
      <c r="N8" s="18"/>
      <c r="O8" s="17"/>
    </row>
    <row r="9" spans="2:15" x14ac:dyDescent="0.25">
      <c r="B9" s="20" t="s">
        <v>10</v>
      </c>
      <c r="C9" s="18">
        <v>37.5</v>
      </c>
      <c r="G9" s="20" t="s">
        <v>10</v>
      </c>
      <c r="H9" s="18">
        <v>1.49</v>
      </c>
      <c r="I9" s="19">
        <f>1.225*0.3741*95.2*H9/0.0000147</f>
        <v>4422111.4000000004</v>
      </c>
      <c r="J9" s="19">
        <f>31.3714*(H9/0.00003048)^1.067</f>
        <v>3161401.7070505903</v>
      </c>
      <c r="K9" s="18">
        <v>3.3E-3</v>
      </c>
      <c r="L9" s="18">
        <v>0.12</v>
      </c>
      <c r="M9" s="18">
        <f>1+H9*L9+100*(L9)^4</f>
        <v>1.1995360000000002</v>
      </c>
      <c r="N9" s="18">
        <v>37.5</v>
      </c>
      <c r="O9" s="17">
        <f>K9*M9*N9</f>
        <v>0.14844258000000002</v>
      </c>
    </row>
    <row r="10" spans="2:15" x14ac:dyDescent="0.25">
      <c r="B10" s="20" t="s">
        <v>9</v>
      </c>
      <c r="C10" s="18">
        <v>10.76</v>
      </c>
      <c r="G10" s="20" t="s">
        <v>9</v>
      </c>
      <c r="H10" s="18">
        <v>0.97399999999999998</v>
      </c>
      <c r="I10" s="19">
        <f t="shared" ref="I10:I13" si="0">1.225*0.3741*95.2*H10/0.0000147</f>
        <v>2890695.6400000006</v>
      </c>
      <c r="J10" s="19">
        <f>31.3714*(H10/0.00003048)^1.067</f>
        <v>2008548.5880677979</v>
      </c>
      <c r="K10" s="18">
        <v>3.5000000000000001E-3</v>
      </c>
      <c r="L10" s="18">
        <v>0.09</v>
      </c>
      <c r="M10" s="18">
        <f>1+H10*L10+100*(L10)^4</f>
        <v>1.0942210000000001</v>
      </c>
      <c r="N10" s="18">
        <v>10.76</v>
      </c>
      <c r="O10" s="17">
        <f>K10*M10*N10</f>
        <v>4.1208362860000007E-2</v>
      </c>
    </row>
    <row r="11" spans="2:15" x14ac:dyDescent="0.25">
      <c r="B11" s="20" t="s">
        <v>8</v>
      </c>
      <c r="C11" s="18">
        <v>5.57</v>
      </c>
      <c r="G11" s="20" t="s">
        <v>8</v>
      </c>
      <c r="H11" s="18">
        <v>1.32</v>
      </c>
      <c r="I11" s="19">
        <f t="shared" si="0"/>
        <v>3917575.2000000007</v>
      </c>
      <c r="J11" s="19">
        <f>31.3714*(H11/0.00003048)^1.067</f>
        <v>2778064.467158719</v>
      </c>
      <c r="K11" s="18">
        <v>3.3E-3</v>
      </c>
      <c r="L11" s="18">
        <v>0.09</v>
      </c>
      <c r="M11" s="18">
        <f>1+H11*L11+100*(L11)^4</f>
        <v>1.1253610000000001</v>
      </c>
      <c r="N11" s="18">
        <v>5.57</v>
      </c>
      <c r="O11" s="17">
        <f>K11*M11*N11</f>
        <v>2.0685260541000002E-2</v>
      </c>
    </row>
    <row r="12" spans="2:15" x14ac:dyDescent="0.25">
      <c r="B12" s="20" t="s">
        <v>44</v>
      </c>
      <c r="C12" s="18">
        <v>1.47</v>
      </c>
      <c r="G12" s="20" t="s">
        <v>44</v>
      </c>
      <c r="H12" s="18">
        <v>0.35</v>
      </c>
      <c r="I12" s="19">
        <f t="shared" si="0"/>
        <v>1038751.0000000001</v>
      </c>
      <c r="J12" s="19">
        <f>31.3714*(H12/0.00003048)^1.067</f>
        <v>673923.40335153299</v>
      </c>
      <c r="K12" s="18">
        <v>3.3999999999999998E-3</v>
      </c>
      <c r="L12" s="18">
        <v>6</v>
      </c>
      <c r="M12" s="18">
        <f>1+0.0025*L12+60/L12^3</f>
        <v>1.2927777777777778</v>
      </c>
      <c r="N12" s="18">
        <v>1.47</v>
      </c>
      <c r="O12" s="17">
        <f>K12*M12*N12</f>
        <v>6.461303333333333E-3</v>
      </c>
    </row>
    <row r="13" spans="2:15" x14ac:dyDescent="0.25">
      <c r="B13" s="20" t="s">
        <v>7</v>
      </c>
      <c r="C13" s="18">
        <v>42.68</v>
      </c>
      <c r="G13" s="20" t="s">
        <v>7</v>
      </c>
      <c r="H13" s="18">
        <v>11.5</v>
      </c>
      <c r="I13" s="19">
        <f t="shared" si="0"/>
        <v>34130390.000000007</v>
      </c>
      <c r="J13" s="19">
        <f>31.3714*(H13/0.00003048)^1.067</f>
        <v>27980439.427525304</v>
      </c>
      <c r="K13" s="18">
        <v>2.2000000000000001E-3</v>
      </c>
      <c r="L13" s="18">
        <v>7</v>
      </c>
      <c r="M13" s="18">
        <f>1+0.0025*L13+60/L13^3</f>
        <v>1.1924271137026239</v>
      </c>
      <c r="N13" s="18">
        <v>42.68</v>
      </c>
      <c r="O13" s="17">
        <f>K13*M13*N13</f>
        <v>0.11196413626822159</v>
      </c>
    </row>
    <row r="14" spans="2:15" ht="60" customHeight="1" thickBot="1" x14ac:dyDescent="0.3">
      <c r="G14" s="16" t="s">
        <v>25</v>
      </c>
      <c r="H14" s="65" t="s">
        <v>6</v>
      </c>
      <c r="I14" s="66"/>
      <c r="J14" s="67"/>
      <c r="K14" s="61">
        <f>N14/18.35</f>
        <v>1.7916165831201904E-2</v>
      </c>
      <c r="L14" s="62"/>
      <c r="M14" s="63"/>
      <c r="N14" s="59">
        <f>SUM(O9:O13)</f>
        <v>0.32876164300255495</v>
      </c>
      <c r="O14" s="60"/>
    </row>
    <row r="16" spans="2:15" ht="15.75" thickBot="1" x14ac:dyDescent="0.3"/>
    <row r="17" spans="2:23" ht="25.5" customHeight="1" thickBot="1" x14ac:dyDescent="0.3">
      <c r="G17" s="12" t="s">
        <v>37</v>
      </c>
      <c r="H17" s="11" t="s">
        <v>5</v>
      </c>
      <c r="K17" s="49" t="s">
        <v>26</v>
      </c>
      <c r="L17" s="50" t="s">
        <v>15</v>
      </c>
      <c r="M17" s="50" t="s">
        <v>14</v>
      </c>
      <c r="N17" s="50" t="s">
        <v>13</v>
      </c>
      <c r="O17" s="50" t="s">
        <v>12</v>
      </c>
      <c r="P17" s="51" t="s">
        <v>11</v>
      </c>
    </row>
    <row r="18" spans="2:23" x14ac:dyDescent="0.25">
      <c r="G18" s="9" t="s">
        <v>4</v>
      </c>
      <c r="H18">
        <v>2313</v>
      </c>
      <c r="K18" s="35">
        <v>0</v>
      </c>
      <c r="L18" s="46">
        <f>$K$14+(K18^2) /(9.75*0.85*PI())</f>
        <v>1.7916165831201904E-2</v>
      </c>
      <c r="M18" s="47">
        <f>$C$35+(K18^2)/(PI()*0.85*9.75)</f>
        <v>8.3148770756451454E-2</v>
      </c>
      <c r="N18" s="46">
        <f>K18+$H$32</f>
        <v>0.56045071008451264</v>
      </c>
      <c r="O18" s="47">
        <f>K18+$H$31</f>
        <v>0.75962170921955108</v>
      </c>
      <c r="P18" s="48">
        <f>$D$35+(O18^2)/(9.75*0.85*PI())</f>
        <v>0.15890816457349274</v>
      </c>
    </row>
    <row r="19" spans="2:23" x14ac:dyDescent="0.25">
      <c r="G19" s="9" t="s">
        <v>3</v>
      </c>
      <c r="H19" s="14">
        <v>4112</v>
      </c>
      <c r="I19" s="10"/>
      <c r="J19" s="10"/>
      <c r="K19" s="9">
        <v>0.25</v>
      </c>
      <c r="L19" s="15">
        <f t="shared" ref="L19:L26" si="1">$K$14+(K19^2) /(9.75*0.85*PI())</f>
        <v>2.0316692876328531E-2</v>
      </c>
      <c r="M19" s="14">
        <f t="shared" ref="M19:M26" si="2">$C$35+(K19^2)/(PI()*0.85*9.75)</f>
        <v>8.5549297801578078E-2</v>
      </c>
      <c r="N19" s="15">
        <f t="shared" ref="N19:N26" si="3">K19+$H$32</f>
        <v>0.81045071008451264</v>
      </c>
      <c r="O19" s="14">
        <f t="shared" ref="O19:O26" si="4">K19+$H$31</f>
        <v>1.0096217092195512</v>
      </c>
      <c r="P19" s="8">
        <f t="shared" ref="P19:P26" si="5">$D$35+(O19^2)/(9.75*0.85*PI())</f>
        <v>0.17589663127499416</v>
      </c>
    </row>
    <row r="20" spans="2:23" x14ac:dyDescent="0.25">
      <c r="G20" s="9" t="s">
        <v>2</v>
      </c>
      <c r="H20" s="14">
        <v>3538</v>
      </c>
      <c r="I20" s="3"/>
      <c r="J20" s="3"/>
      <c r="K20" s="9">
        <v>0.5</v>
      </c>
      <c r="L20" s="15">
        <f t="shared" si="1"/>
        <v>2.7518274011708411E-2</v>
      </c>
      <c r="M20" s="14">
        <f t="shared" si="2"/>
        <v>9.2750878936957964E-2</v>
      </c>
      <c r="N20" s="15">
        <f t="shared" si="3"/>
        <v>1.0604507100845126</v>
      </c>
      <c r="O20" s="14">
        <f t="shared" si="4"/>
        <v>1.2596217092195512</v>
      </c>
      <c r="P20" s="8">
        <f t="shared" si="5"/>
        <v>0.1976861520667488</v>
      </c>
    </row>
    <row r="21" spans="2:23" x14ac:dyDescent="0.25">
      <c r="G21" s="9" t="s">
        <v>1</v>
      </c>
      <c r="H21" s="14">
        <v>585</v>
      </c>
      <c r="I21" s="5"/>
      <c r="J21" s="5"/>
      <c r="K21" s="9">
        <v>0.75</v>
      </c>
      <c r="L21" s="15">
        <f t="shared" si="1"/>
        <v>3.9520909237341542E-2</v>
      </c>
      <c r="M21" s="14">
        <f t="shared" si="2"/>
        <v>0.1047535141625911</v>
      </c>
      <c r="N21" s="15">
        <f t="shared" si="3"/>
        <v>1.3104507100845126</v>
      </c>
      <c r="O21" s="14">
        <f t="shared" si="4"/>
        <v>1.5096217092195512</v>
      </c>
      <c r="P21" s="8">
        <f t="shared" si="5"/>
        <v>0.22427672694875672</v>
      </c>
    </row>
    <row r="22" spans="2:23" ht="15.75" thickBot="1" x14ac:dyDescent="0.3">
      <c r="G22" s="7" t="s">
        <v>0</v>
      </c>
      <c r="H22" s="13">
        <f>H19-H18-H21</f>
        <v>1214</v>
      </c>
      <c r="I22" s="5"/>
      <c r="J22" s="5"/>
      <c r="K22" s="9">
        <v>1</v>
      </c>
      <c r="L22" s="15">
        <f t="shared" si="1"/>
        <v>5.6324598553227932E-2</v>
      </c>
      <c r="M22" s="14">
        <f t="shared" si="2"/>
        <v>0.12155720347847748</v>
      </c>
      <c r="N22" s="15">
        <f t="shared" si="3"/>
        <v>1.5604507100845126</v>
      </c>
      <c r="O22" s="14">
        <f t="shared" si="4"/>
        <v>1.7596217092195512</v>
      </c>
      <c r="P22" s="8">
        <f t="shared" si="5"/>
        <v>0.25566835592101789</v>
      </c>
    </row>
    <row r="23" spans="2:23" x14ac:dyDescent="0.25">
      <c r="G23" s="3"/>
      <c r="H23" s="3"/>
      <c r="I23" s="5"/>
      <c r="J23" s="5"/>
      <c r="K23" s="9">
        <v>1.4</v>
      </c>
      <c r="L23" s="15">
        <f t="shared" si="1"/>
        <v>9.3196693966372895E-2</v>
      </c>
      <c r="M23" s="14">
        <f t="shared" si="2"/>
        <v>0.15842929889162244</v>
      </c>
      <c r="N23" s="15">
        <f t="shared" si="3"/>
        <v>1.9604507100845125</v>
      </c>
      <c r="O23" s="14">
        <f t="shared" si="4"/>
        <v>2.1596217092195511</v>
      </c>
      <c r="P23" s="8">
        <f t="shared" si="5"/>
        <v>0.31588115478436252</v>
      </c>
    </row>
    <row r="24" spans="2:23" ht="15.75" thickBot="1" x14ac:dyDescent="0.3">
      <c r="G24" s="3"/>
      <c r="H24" s="3"/>
      <c r="I24" s="5"/>
      <c r="J24" s="5"/>
      <c r="K24" s="9">
        <v>1.6</v>
      </c>
      <c r="L24" s="15">
        <f t="shared" si="1"/>
        <v>0.11624175359958855</v>
      </c>
      <c r="M24" s="14">
        <f t="shared" si="2"/>
        <v>0.18147435852483809</v>
      </c>
      <c r="N24" s="15">
        <f t="shared" si="3"/>
        <v>2.1604507100845129</v>
      </c>
      <c r="O24" s="14">
        <f t="shared" si="4"/>
        <v>2.3596217092195513</v>
      </c>
      <c r="P24" s="8">
        <f t="shared" si="5"/>
        <v>0.35059656614267798</v>
      </c>
    </row>
    <row r="25" spans="2:23" x14ac:dyDescent="0.25">
      <c r="B25" s="33"/>
      <c r="C25" s="21" t="s">
        <v>29</v>
      </c>
      <c r="D25" s="11" t="s">
        <v>30</v>
      </c>
      <c r="G25" s="3"/>
      <c r="H25" s="3"/>
      <c r="I25" s="5"/>
      <c r="J25" s="5"/>
      <c r="K25" s="9">
        <v>1.905</v>
      </c>
      <c r="L25" s="15">
        <f t="shared" si="1"/>
        <v>0.1573013283902524</v>
      </c>
      <c r="M25" s="14">
        <f t="shared" si="2"/>
        <v>0.22253393331550197</v>
      </c>
      <c r="N25" s="15">
        <f t="shared" si="3"/>
        <v>2.4654507100845127</v>
      </c>
      <c r="O25" s="14">
        <f t="shared" si="4"/>
        <v>2.664621709219551</v>
      </c>
      <c r="P25" s="8">
        <f t="shared" si="5"/>
        <v>0.40945342731411899</v>
      </c>
    </row>
    <row r="26" spans="2:23" x14ac:dyDescent="0.25">
      <c r="B26" s="25" t="s">
        <v>31</v>
      </c>
      <c r="C26" s="14">
        <v>20</v>
      </c>
      <c r="D26" s="8">
        <v>40</v>
      </c>
      <c r="G26" s="3"/>
      <c r="H26" s="3"/>
      <c r="I26" s="5"/>
      <c r="J26" s="5"/>
      <c r="K26" s="9">
        <v>2</v>
      </c>
      <c r="L26" s="15">
        <f t="shared" si="1"/>
        <v>0.17154989671930601</v>
      </c>
      <c r="M26" s="14">
        <f t="shared" si="2"/>
        <v>0.23678250164455555</v>
      </c>
      <c r="N26" s="15">
        <f t="shared" si="3"/>
        <v>2.5604507100845124</v>
      </c>
      <c r="O26" s="14">
        <f t="shared" si="4"/>
        <v>2.7596217092195512</v>
      </c>
      <c r="P26" s="8">
        <f t="shared" si="5"/>
        <v>0.42924541271259503</v>
      </c>
    </row>
    <row r="27" spans="2:23" ht="39" customHeight="1" thickBot="1" x14ac:dyDescent="0.3">
      <c r="B27" s="9"/>
      <c r="C27" s="14">
        <v>0.16200000000000001</v>
      </c>
      <c r="D27" s="14">
        <v>0.16200000000000001</v>
      </c>
      <c r="G27" s="4"/>
      <c r="H27" s="3"/>
      <c r="I27" s="64"/>
      <c r="J27" s="64"/>
      <c r="K27" s="7"/>
      <c r="L27" s="13" t="s">
        <v>27</v>
      </c>
      <c r="M27" s="13" t="s">
        <v>28</v>
      </c>
      <c r="N27" s="13" t="s">
        <v>28</v>
      </c>
      <c r="O27" s="13"/>
      <c r="P27" s="6"/>
    </row>
    <row r="28" spans="2:23" ht="30" customHeight="1" x14ac:dyDescent="0.25">
      <c r="B28" s="9"/>
      <c r="C28" s="14">
        <v>0.52100000000000002</v>
      </c>
      <c r="D28" s="8">
        <v>0.52100000000000002</v>
      </c>
    </row>
    <row r="29" spans="2:23" ht="27" customHeight="1" x14ac:dyDescent="0.25">
      <c r="B29" s="9"/>
      <c r="C29" s="14">
        <v>0.37</v>
      </c>
      <c r="D29" s="8">
        <v>0.37</v>
      </c>
    </row>
    <row r="30" spans="2:23" ht="27" customHeight="1" thickBot="1" x14ac:dyDescent="0.3">
      <c r="B30" s="9"/>
      <c r="C30" s="14">
        <v>6.5100000000000005E-2</v>
      </c>
      <c r="D30" s="14">
        <v>6.5100000000000005E-2</v>
      </c>
    </row>
    <row r="31" spans="2:23" ht="21" customHeight="1" x14ac:dyDescent="0.25">
      <c r="B31" s="9"/>
      <c r="C31" s="14">
        <v>4.6300000000000001E-2</v>
      </c>
      <c r="D31" s="14">
        <v>4.6300000000000001E-2</v>
      </c>
      <c r="G31" s="1" t="s">
        <v>35</v>
      </c>
      <c r="H31" s="1">
        <f>2*H34*9.81/(26*55.2^2*1.225*0.8359)</f>
        <v>0.75962170921955108</v>
      </c>
      <c r="I31" s="1"/>
      <c r="J31" s="1"/>
      <c r="K31" s="1"/>
      <c r="L31" s="1"/>
      <c r="T31" s="12" t="s">
        <v>37</v>
      </c>
      <c r="U31" s="21" t="s">
        <v>38</v>
      </c>
      <c r="V31" s="21" t="s">
        <v>39</v>
      </c>
      <c r="W31" s="27" t="s">
        <v>40</v>
      </c>
    </row>
    <row r="32" spans="2:23" ht="21.75" customHeight="1" x14ac:dyDescent="0.25">
      <c r="B32" s="9"/>
      <c r="C32" s="42">
        <f>1.1*SIN(C26*PI()/180)*C27</f>
        <v>6.0947989540634177E-2</v>
      </c>
      <c r="D32" s="42">
        <f>1.1*SIN(D26*PI()/180)*D27</f>
        <v>0.11454475204614131</v>
      </c>
      <c r="G32" s="1" t="s">
        <v>34</v>
      </c>
      <c r="H32" s="2">
        <f>2*H33*9.81/(26*70.2^2*1.225*0.8359)</f>
        <v>0.56045071008451264</v>
      </c>
      <c r="I32" s="1"/>
      <c r="J32" s="1"/>
      <c r="K32" s="1"/>
      <c r="L32" s="1"/>
      <c r="T32" s="9" t="s">
        <v>4</v>
      </c>
      <c r="U32" s="14">
        <v>2145</v>
      </c>
      <c r="V32">
        <v>2313</v>
      </c>
      <c r="W32" s="28">
        <f>(V32-U32)/U32</f>
        <v>7.8321678321678329E-2</v>
      </c>
    </row>
    <row r="33" spans="2:23" ht="25.5" customHeight="1" x14ac:dyDescent="0.25">
      <c r="B33" s="9"/>
      <c r="C33" s="42">
        <f>C30/26</f>
        <v>2.5038461538461542E-3</v>
      </c>
      <c r="D33" s="42">
        <f>D30/26</f>
        <v>2.5038461538461542E-3</v>
      </c>
      <c r="G33" s="1" t="s">
        <v>32</v>
      </c>
      <c r="H33" s="2">
        <f>H18+H21+H22*0.7</f>
        <v>3747.8</v>
      </c>
      <c r="I33" s="1"/>
      <c r="J33" s="1"/>
      <c r="K33" s="1"/>
      <c r="L33" s="1"/>
      <c r="T33" s="9" t="s">
        <v>3</v>
      </c>
      <c r="U33" s="14">
        <v>3629</v>
      </c>
      <c r="V33" s="14">
        <v>4112</v>
      </c>
      <c r="W33" s="28">
        <f t="shared" ref="W33:W36" si="6">(V33-U33)/U33</f>
        <v>0.1330945163957013</v>
      </c>
    </row>
    <row r="34" spans="2:23" x14ac:dyDescent="0.25">
      <c r="B34" s="26"/>
      <c r="C34" s="43">
        <f>C31/26</f>
        <v>1.7807692307692307E-3</v>
      </c>
      <c r="D34" s="43">
        <f>D31/26</f>
        <v>1.7807692307692307E-3</v>
      </c>
      <c r="G34" s="1" t="s">
        <v>33</v>
      </c>
      <c r="H34" s="2">
        <f>H18+H21+H22*0.2</f>
        <v>3140.8</v>
      </c>
      <c r="I34" s="1"/>
      <c r="J34" s="1"/>
      <c r="K34" s="1"/>
      <c r="L34" s="1"/>
      <c r="T34" s="9" t="s">
        <v>2</v>
      </c>
      <c r="U34" s="14">
        <v>3538</v>
      </c>
      <c r="V34" s="14">
        <v>3538</v>
      </c>
      <c r="W34" s="28">
        <f t="shared" si="6"/>
        <v>0</v>
      </c>
    </row>
    <row r="35" spans="2:23" ht="15.75" thickBot="1" x14ac:dyDescent="0.3">
      <c r="B35" s="7"/>
      <c r="C35" s="44">
        <f>K14+C32+C33+C34</f>
        <v>8.3148770756451454E-2</v>
      </c>
      <c r="D35" s="45">
        <f>K14+D32+D33+D34</f>
        <v>0.1367455332619586</v>
      </c>
      <c r="G35" s="1"/>
      <c r="H35" s="2"/>
      <c r="I35" s="1"/>
      <c r="J35" s="1"/>
      <c r="K35" s="1"/>
      <c r="L35" s="1"/>
      <c r="T35" s="9" t="s">
        <v>1</v>
      </c>
      <c r="U35" s="14">
        <f>10*85+75</f>
        <v>925</v>
      </c>
      <c r="V35" s="14">
        <v>585</v>
      </c>
      <c r="W35" s="28">
        <f t="shared" si="6"/>
        <v>-0.36756756756756759</v>
      </c>
    </row>
    <row r="36" spans="2:23" ht="15.75" thickBot="1" x14ac:dyDescent="0.3">
      <c r="G36" s="1"/>
      <c r="H36" s="2"/>
      <c r="I36" s="1"/>
      <c r="J36" s="1"/>
      <c r="K36" s="1"/>
      <c r="L36" s="1"/>
      <c r="T36" s="7" t="s">
        <v>0</v>
      </c>
      <c r="U36" s="13">
        <f>U33-U32-U35</f>
        <v>559</v>
      </c>
      <c r="V36" s="13">
        <f>V33-V32-V35</f>
        <v>1214</v>
      </c>
      <c r="W36" s="28">
        <f t="shared" si="6"/>
        <v>1.1717352415026834</v>
      </c>
    </row>
    <row r="37" spans="2:23" x14ac:dyDescent="0.25">
      <c r="G37" s="1"/>
      <c r="H37" s="2"/>
      <c r="I37" s="1"/>
      <c r="J37" s="1"/>
      <c r="K37" s="1" t="s">
        <v>36</v>
      </c>
      <c r="L37" s="1"/>
    </row>
    <row r="38" spans="2:23" x14ac:dyDescent="0.25">
      <c r="G38" s="1"/>
      <c r="H38" s="2"/>
      <c r="I38" s="1"/>
      <c r="J38" s="1"/>
      <c r="K38" s="1"/>
      <c r="L38" s="1"/>
    </row>
    <row r="42" spans="2:23" ht="15.75" thickBot="1" x14ac:dyDescent="0.3"/>
    <row r="43" spans="2:23" ht="21.75" customHeight="1" x14ac:dyDescent="0.25">
      <c r="B43" s="36"/>
      <c r="C43" s="39"/>
      <c r="D43" s="40" t="s">
        <v>29</v>
      </c>
      <c r="E43" s="41" t="s">
        <v>30</v>
      </c>
    </row>
    <row r="44" spans="2:23" ht="18.75" customHeight="1" x14ac:dyDescent="0.25">
      <c r="B44" s="35" t="s">
        <v>42</v>
      </c>
      <c r="C44" s="34" t="s">
        <v>41</v>
      </c>
      <c r="D44" s="14">
        <v>4110</v>
      </c>
      <c r="E44" s="8">
        <v>3023</v>
      </c>
    </row>
    <row r="45" spans="2:23" ht="18.75" customHeight="1" thickBot="1" x14ac:dyDescent="0.3">
      <c r="B45" s="7" t="s">
        <v>43</v>
      </c>
      <c r="C45" s="34" t="s">
        <v>41</v>
      </c>
      <c r="D45" s="14">
        <v>3629</v>
      </c>
      <c r="E45" s="8">
        <v>3538</v>
      </c>
    </row>
    <row r="46" spans="2:23" ht="19.5" customHeight="1" x14ac:dyDescent="0.25">
      <c r="B46" s="37"/>
      <c r="C46" s="34"/>
      <c r="D46" s="14">
        <v>20</v>
      </c>
      <c r="E46" s="8">
        <v>40</v>
      </c>
    </row>
    <row r="47" spans="2:23" ht="28.5" customHeight="1" x14ac:dyDescent="0.25">
      <c r="B47" s="37"/>
      <c r="C47" s="34"/>
      <c r="D47" s="14">
        <v>0.16200000000000001</v>
      </c>
      <c r="E47" s="8">
        <v>0.16200000000000001</v>
      </c>
    </row>
    <row r="48" spans="2:23" ht="19.5" customHeight="1" x14ac:dyDescent="0.25">
      <c r="B48" s="37"/>
      <c r="C48" s="34"/>
      <c r="D48" s="29">
        <f>3.65*D46*PI()*D47/180</f>
        <v>0.20640263734084943</v>
      </c>
      <c r="E48" s="30">
        <f>3.65*E46*PI()*E47/180</f>
        <v>0.41280527468169886</v>
      </c>
    </row>
    <row r="49" spans="2:5" ht="19.5" customHeight="1" thickBot="1" x14ac:dyDescent="0.3">
      <c r="B49" s="38"/>
      <c r="C49" s="34"/>
      <c r="D49" s="29">
        <f>1.4+D48</f>
        <v>1.6064026373408493</v>
      </c>
      <c r="E49" s="30">
        <f>1.4+E48</f>
        <v>1.8128052746816987</v>
      </c>
    </row>
    <row r="50" spans="2:5" ht="18" customHeight="1" x14ac:dyDescent="0.25">
      <c r="B50" s="35" t="s">
        <v>42</v>
      </c>
      <c r="C50" s="14"/>
      <c r="D50" s="29">
        <f>((2*9.81*D44)/(1.225*18.35*D49))^0.5</f>
        <v>47.256018685864575</v>
      </c>
      <c r="E50" s="30">
        <f>((2*9.81*E44)/(1.225*18.35*E49))^0.5</f>
        <v>38.151087175725657</v>
      </c>
    </row>
    <row r="51" spans="2:5" ht="19.5" customHeight="1" thickBot="1" x14ac:dyDescent="0.3">
      <c r="B51" s="7" t="s">
        <v>43</v>
      </c>
      <c r="C51" s="13"/>
      <c r="D51" s="31">
        <f>((2*9.81*H19)/(1.225*18.35*D49))^0.5</f>
        <v>47.267515102209302</v>
      </c>
      <c r="E51" s="32">
        <f>((2*9.81*(H19-H22*0.2))/(1.225*18.35*E49))^0.5</f>
        <v>43.161689319635364</v>
      </c>
    </row>
    <row r="59" spans="2:5" x14ac:dyDescent="0.25">
      <c r="C59" s="58" t="s">
        <v>50</v>
      </c>
      <c r="D59" s="58"/>
    </row>
    <row r="60" spans="2:5" x14ac:dyDescent="0.25">
      <c r="C60" t="s">
        <v>45</v>
      </c>
      <c r="D60" t="s">
        <v>46</v>
      </c>
    </row>
    <row r="61" spans="2:5" x14ac:dyDescent="0.25">
      <c r="C61">
        <v>100</v>
      </c>
      <c r="D61">
        <f>10*(C61)^0.333</f>
        <v>46.344691973628812</v>
      </c>
    </row>
    <row r="62" spans="2:5" x14ac:dyDescent="0.25">
      <c r="C62">
        <f>C61+500</f>
        <v>600</v>
      </c>
      <c r="D62">
        <f t="shared" ref="D62:D78" si="7">10*(C62)^0.333</f>
        <v>84.163612156681864</v>
      </c>
    </row>
    <row r="63" spans="2:5" x14ac:dyDescent="0.25">
      <c r="C63">
        <f t="shared" ref="C63:C78" si="8">C62+500</f>
        <v>1100</v>
      </c>
      <c r="D63">
        <f t="shared" si="7"/>
        <v>102.98732174199777</v>
      </c>
    </row>
    <row r="64" spans="2:5" x14ac:dyDescent="0.25">
      <c r="C64">
        <f t="shared" si="8"/>
        <v>1600</v>
      </c>
      <c r="D64">
        <f t="shared" si="7"/>
        <v>116.67342695135653</v>
      </c>
    </row>
    <row r="65" spans="3:4" x14ac:dyDescent="0.25">
      <c r="C65">
        <f t="shared" si="8"/>
        <v>2100</v>
      </c>
      <c r="D65">
        <f t="shared" si="7"/>
        <v>127.73179789354943</v>
      </c>
    </row>
    <row r="66" spans="3:4" x14ac:dyDescent="0.25">
      <c r="C66">
        <f t="shared" si="8"/>
        <v>2600</v>
      </c>
      <c r="D66">
        <f t="shared" si="7"/>
        <v>137.14694086299357</v>
      </c>
    </row>
    <row r="67" spans="3:4" x14ac:dyDescent="0.25">
      <c r="C67">
        <f t="shared" si="8"/>
        <v>3100</v>
      </c>
      <c r="D67">
        <f t="shared" si="7"/>
        <v>145.41976686280262</v>
      </c>
    </row>
    <row r="68" spans="3:4" x14ac:dyDescent="0.25">
      <c r="C68">
        <f t="shared" si="8"/>
        <v>3600</v>
      </c>
      <c r="D68">
        <f t="shared" si="7"/>
        <v>152.84411891853858</v>
      </c>
    </row>
    <row r="69" spans="3:4" x14ac:dyDescent="0.25">
      <c r="C69">
        <v>3629</v>
      </c>
      <c r="D69">
        <f t="shared" si="7"/>
        <v>153.2530266836236</v>
      </c>
    </row>
    <row r="70" spans="3:4" x14ac:dyDescent="0.25">
      <c r="C70">
        <f>C68+500</f>
        <v>4100</v>
      </c>
      <c r="D70">
        <f t="shared" si="7"/>
        <v>159.60887051523605</v>
      </c>
    </row>
    <row r="71" spans="3:4" x14ac:dyDescent="0.25">
      <c r="C71">
        <v>4110</v>
      </c>
      <c r="D71">
        <f t="shared" si="7"/>
        <v>159.73839875814238</v>
      </c>
    </row>
    <row r="72" spans="3:4" x14ac:dyDescent="0.25">
      <c r="C72">
        <f>C70+500</f>
        <v>4600</v>
      </c>
      <c r="D72">
        <f t="shared" si="7"/>
        <v>165.84346307908106</v>
      </c>
    </row>
    <row r="73" spans="3:4" x14ac:dyDescent="0.25">
      <c r="C73">
        <f t="shared" si="8"/>
        <v>5100</v>
      </c>
      <c r="D73">
        <f t="shared" si="7"/>
        <v>171.64093381029613</v>
      </c>
    </row>
    <row r="74" spans="3:4" x14ac:dyDescent="0.25">
      <c r="C74">
        <f t="shared" si="8"/>
        <v>5600</v>
      </c>
      <c r="D74">
        <f t="shared" si="7"/>
        <v>177.07066283175581</v>
      </c>
    </row>
    <row r="75" spans="3:4" x14ac:dyDescent="0.25">
      <c r="C75">
        <f t="shared" si="8"/>
        <v>6100</v>
      </c>
      <c r="D75">
        <f t="shared" si="7"/>
        <v>182.18593048931936</v>
      </c>
    </row>
    <row r="76" spans="3:4" x14ac:dyDescent="0.25">
      <c r="C76">
        <f t="shared" si="8"/>
        <v>6600</v>
      </c>
      <c r="D76">
        <f t="shared" si="7"/>
        <v>187.02864632439628</v>
      </c>
    </row>
    <row r="77" spans="3:4" x14ac:dyDescent="0.25">
      <c r="C77">
        <f t="shared" si="8"/>
        <v>7100</v>
      </c>
      <c r="D77">
        <f t="shared" si="7"/>
        <v>191.63244032823965</v>
      </c>
    </row>
    <row r="78" spans="3:4" x14ac:dyDescent="0.25">
      <c r="C78">
        <f t="shared" si="8"/>
        <v>7600</v>
      </c>
      <c r="D78">
        <f t="shared" si="7"/>
        <v>196.02475793406043</v>
      </c>
    </row>
    <row r="83" spans="3:12" ht="15.75" thickBot="1" x14ac:dyDescent="0.3">
      <c r="C83" s="58" t="s">
        <v>51</v>
      </c>
      <c r="D83" s="58"/>
      <c r="E83" s="58"/>
    </row>
    <row r="84" spans="3:12" x14ac:dyDescent="0.25">
      <c r="C84" t="s">
        <v>47</v>
      </c>
      <c r="D84" t="s">
        <v>48</v>
      </c>
      <c r="E84" t="s">
        <v>49</v>
      </c>
      <c r="F84" s="52" t="s">
        <v>56</v>
      </c>
      <c r="G84" s="40" t="s">
        <v>52</v>
      </c>
      <c r="H84" s="40" t="s">
        <v>53</v>
      </c>
      <c r="I84" s="40" t="s">
        <v>54</v>
      </c>
      <c r="J84" s="40" t="s">
        <v>55</v>
      </c>
      <c r="K84" s="40" t="s">
        <v>60</v>
      </c>
      <c r="L84" s="55" t="s">
        <v>61</v>
      </c>
    </row>
    <row r="85" spans="3:12" x14ac:dyDescent="0.25">
      <c r="C85">
        <v>2</v>
      </c>
      <c r="D85">
        <f>0.008548*(C85*3629*37.5/(0.012))^0.6666</f>
        <v>684.15125199653107</v>
      </c>
      <c r="E85">
        <f>0.008548*(C85*4110*37.5/(0.012))^0.6666</f>
        <v>743.33587194427992</v>
      </c>
      <c r="F85" s="9" t="s">
        <v>57</v>
      </c>
      <c r="G85" s="14">
        <v>55</v>
      </c>
      <c r="H85" s="14">
        <v>0.21</v>
      </c>
      <c r="I85" s="53">
        <f>0.5*1.225*0.9613*26*G85^2*H85</f>
        <v>9724.853263125</v>
      </c>
      <c r="J85" s="53">
        <f>I85/4110</f>
        <v>2.3661443462591243</v>
      </c>
      <c r="K85" s="53">
        <f t="shared" ref="K85:K87" si="9">G85^2/(9.81*(J85^2-1)^0.5)</f>
        <v>143.79431270796761</v>
      </c>
      <c r="L85" s="56">
        <f>ACOS(1/J85)*180/PI()</f>
        <v>64.999353704486609</v>
      </c>
    </row>
    <row r="86" spans="3:12" x14ac:dyDescent="0.25">
      <c r="C86">
        <f>C85+0.5</f>
        <v>2.5</v>
      </c>
      <c r="D86">
        <f t="shared" ref="D86:D114" si="10">0.008548*(C86*3629*37.5/(0.012))^0.6666</f>
        <v>793.87539297618196</v>
      </c>
      <c r="E86">
        <f t="shared" ref="E86:E114" si="11">0.008548*(C86*4110*37.5/(0.012))^0.6666</f>
        <v>862.55203908630767</v>
      </c>
      <c r="F86" s="9" t="s">
        <v>58</v>
      </c>
      <c r="G86" s="14">
        <v>55</v>
      </c>
      <c r="H86" s="14">
        <v>0.2</v>
      </c>
      <c r="I86" s="53">
        <f t="shared" ref="I86:I87" si="12">0.5*1.225*0.9151*26*G86^2*H86</f>
        <v>8816.6453375000001</v>
      </c>
      <c r="J86" s="53">
        <f t="shared" ref="J86:J87" si="13">I86/4110</f>
        <v>2.1451691818734795</v>
      </c>
      <c r="K86" s="53">
        <f t="shared" si="9"/>
        <v>162.4798613575928</v>
      </c>
      <c r="L86" s="56">
        <f t="shared" ref="L86:L87" si="14">ACOS(1/J86)*180/PI()</f>
        <v>62.214439346110986</v>
      </c>
    </row>
    <row r="87" spans="3:12" ht="15.75" thickBot="1" x14ac:dyDescent="0.3">
      <c r="C87">
        <f t="shared" ref="C87:C114" si="15">C86+0.5</f>
        <v>3</v>
      </c>
      <c r="D87">
        <f t="shared" si="10"/>
        <v>896.46752025605747</v>
      </c>
      <c r="E87">
        <f t="shared" si="11"/>
        <v>974.01921562608175</v>
      </c>
      <c r="F87" s="7" t="s">
        <v>59</v>
      </c>
      <c r="G87" s="13">
        <v>55</v>
      </c>
      <c r="H87" s="13">
        <v>0.19</v>
      </c>
      <c r="I87" s="54">
        <f t="shared" si="12"/>
        <v>8375.8130706249995</v>
      </c>
      <c r="J87" s="54">
        <f t="shared" si="13"/>
        <v>2.037910722779805</v>
      </c>
      <c r="K87" s="54">
        <f t="shared" si="9"/>
        <v>173.65563037400219</v>
      </c>
      <c r="L87" s="57">
        <f t="shared" si="14"/>
        <v>60.613489146188819</v>
      </c>
    </row>
    <row r="88" spans="3:12" x14ac:dyDescent="0.25">
      <c r="C88">
        <f t="shared" si="15"/>
        <v>3.5</v>
      </c>
      <c r="D88">
        <f t="shared" si="10"/>
        <v>993.48494270062304</v>
      </c>
      <c r="E88">
        <f t="shared" si="11"/>
        <v>1079.4294302477233</v>
      </c>
    </row>
    <row r="89" spans="3:12" x14ac:dyDescent="0.25">
      <c r="C89">
        <f t="shared" si="15"/>
        <v>4</v>
      </c>
      <c r="D89">
        <f t="shared" si="10"/>
        <v>1085.9722333923892</v>
      </c>
      <c r="E89">
        <f t="shared" si="11"/>
        <v>1179.9176200588217</v>
      </c>
    </row>
    <row r="90" spans="3:12" x14ac:dyDescent="0.25">
      <c r="C90">
        <f t="shared" si="15"/>
        <v>4.5</v>
      </c>
      <c r="D90">
        <f t="shared" si="10"/>
        <v>1174.6730164254961</v>
      </c>
      <c r="E90">
        <f t="shared" si="11"/>
        <v>1276.2917386556082</v>
      </c>
    </row>
    <row r="91" spans="3:12" x14ac:dyDescent="0.25">
      <c r="C91">
        <f t="shared" si="15"/>
        <v>5</v>
      </c>
      <c r="D91">
        <f t="shared" si="10"/>
        <v>1260.1404017455118</v>
      </c>
      <c r="E91">
        <f t="shared" si="11"/>
        <v>1369.1527444701194</v>
      </c>
    </row>
    <row r="92" spans="3:12" x14ac:dyDescent="0.25">
      <c r="C92">
        <f t="shared" si="15"/>
        <v>5.5</v>
      </c>
      <c r="D92">
        <f t="shared" si="10"/>
        <v>1342.7998985462355</v>
      </c>
      <c r="E92">
        <f t="shared" si="11"/>
        <v>1458.9629566849369</v>
      </c>
    </row>
    <row r="93" spans="3:12" x14ac:dyDescent="0.25">
      <c r="C93">
        <f t="shared" si="15"/>
        <v>6</v>
      </c>
      <c r="D93">
        <f t="shared" si="10"/>
        <v>1422.9877271950734</v>
      </c>
      <c r="E93">
        <f t="shared" si="11"/>
        <v>1546.0876814501896</v>
      </c>
    </row>
    <row r="94" spans="3:12" x14ac:dyDescent="0.25">
      <c r="C94">
        <f t="shared" si="15"/>
        <v>6.5</v>
      </c>
      <c r="D94">
        <f t="shared" si="10"/>
        <v>1500.9753999448312</v>
      </c>
      <c r="E94">
        <f t="shared" si="11"/>
        <v>1630.821919025828</v>
      </c>
    </row>
    <row r="95" spans="3:12" x14ac:dyDescent="0.25">
      <c r="C95">
        <f t="shared" si="15"/>
        <v>7</v>
      </c>
      <c r="D95">
        <f t="shared" si="10"/>
        <v>1576.9861692393392</v>
      </c>
      <c r="E95">
        <f t="shared" si="11"/>
        <v>1713.408234998798</v>
      </c>
    </row>
    <row r="96" spans="3:12" x14ac:dyDescent="0.25">
      <c r="C96">
        <f t="shared" si="15"/>
        <v>7.5</v>
      </c>
      <c r="D96">
        <f t="shared" si="10"/>
        <v>1651.2064223087955</v>
      </c>
      <c r="E96">
        <f t="shared" si="11"/>
        <v>1794.0491406030883</v>
      </c>
    </row>
    <row r="97" spans="3:13" x14ac:dyDescent="0.25">
      <c r="C97">
        <f t="shared" si="15"/>
        <v>8</v>
      </c>
      <c r="D97">
        <f t="shared" si="10"/>
        <v>1723.7938076670155</v>
      </c>
      <c r="E97">
        <f t="shared" si="11"/>
        <v>1872.9159222247661</v>
      </c>
    </row>
    <row r="98" spans="3:13" x14ac:dyDescent="0.25">
      <c r="C98">
        <f t="shared" si="15"/>
        <v>8.5</v>
      </c>
      <c r="D98">
        <f t="shared" si="10"/>
        <v>1794.8831761012946</v>
      </c>
      <c r="E98">
        <f t="shared" si="11"/>
        <v>1950.1550963355389</v>
      </c>
    </row>
    <row r="99" spans="3:13" x14ac:dyDescent="0.25">
      <c r="C99">
        <f t="shared" si="15"/>
        <v>9</v>
      </c>
      <c r="D99">
        <f t="shared" si="10"/>
        <v>1864.5910176012349</v>
      </c>
      <c r="E99">
        <f t="shared" si="11"/>
        <v>2025.893230251834</v>
      </c>
    </row>
    <row r="100" spans="3:13" x14ac:dyDescent="0.25">
      <c r="C100">
        <f>C99+0.5</f>
        <v>9.5</v>
      </c>
      <c r="D100">
        <f t="shared" si="10"/>
        <v>1933.0188371934289</v>
      </c>
      <c r="E100">
        <f t="shared" si="11"/>
        <v>2100.2406100064936</v>
      </c>
    </row>
    <row r="101" spans="3:13" x14ac:dyDescent="0.25">
      <c r="C101">
        <v>9.8000000000000007</v>
      </c>
      <c r="D101">
        <f t="shared" si="10"/>
        <v>1973.4986470772562</v>
      </c>
      <c r="E101">
        <f t="shared" si="11"/>
        <v>2144.222251037359</v>
      </c>
    </row>
    <row r="102" spans="3:13" x14ac:dyDescent="0.25">
      <c r="C102">
        <f>C100+0.5</f>
        <v>10</v>
      </c>
      <c r="D102">
        <f t="shared" si="10"/>
        <v>2000.2557657798416</v>
      </c>
      <c r="E102">
        <f t="shared" si="11"/>
        <v>2173.2940770458035</v>
      </c>
    </row>
    <row r="103" spans="3:13" x14ac:dyDescent="0.25">
      <c r="C103">
        <f t="shared" si="15"/>
        <v>10.5</v>
      </c>
      <c r="D103">
        <f t="shared" si="10"/>
        <v>2066.3806088061624</v>
      </c>
      <c r="E103">
        <f t="shared" si="11"/>
        <v>2245.1392541242753</v>
      </c>
    </row>
    <row r="104" spans="3:13" x14ac:dyDescent="0.25">
      <c r="C104">
        <f t="shared" si="15"/>
        <v>11</v>
      </c>
      <c r="D104">
        <f t="shared" si="10"/>
        <v>2131.4634747328146</v>
      </c>
      <c r="E104">
        <f t="shared" si="11"/>
        <v>2315.8523146515199</v>
      </c>
    </row>
    <row r="105" spans="3:13" x14ac:dyDescent="0.25">
      <c r="C105">
        <f t="shared" si="15"/>
        <v>11.5</v>
      </c>
      <c r="D105">
        <f t="shared" si="10"/>
        <v>2195.5670846178195</v>
      </c>
      <c r="E105">
        <f t="shared" si="11"/>
        <v>2385.5014055646611</v>
      </c>
    </row>
    <row r="106" spans="3:13" x14ac:dyDescent="0.25">
      <c r="C106">
        <f t="shared" si="15"/>
        <v>12</v>
      </c>
      <c r="D106">
        <f t="shared" si="10"/>
        <v>2258.7478363626997</v>
      </c>
      <c r="E106">
        <f t="shared" si="11"/>
        <v>2454.1478036401177</v>
      </c>
    </row>
    <row r="107" spans="3:13" x14ac:dyDescent="0.25">
      <c r="C107">
        <f t="shared" si="15"/>
        <v>12.5</v>
      </c>
      <c r="D107">
        <f t="shared" si="10"/>
        <v>2321.0566778578332</v>
      </c>
      <c r="E107">
        <f t="shared" si="11"/>
        <v>2521.8468641731006</v>
      </c>
      <c r="K107">
        <v>63.294442360034587</v>
      </c>
      <c r="L107">
        <v>88.36769151777554</v>
      </c>
      <c r="M107">
        <v>0</v>
      </c>
    </row>
    <row r="108" spans="3:13" x14ac:dyDescent="0.25">
      <c r="C108">
        <f t="shared" si="15"/>
        <v>13</v>
      </c>
      <c r="D108">
        <f t="shared" si="10"/>
        <v>2382.5398295893028</v>
      </c>
      <c r="E108">
        <f t="shared" si="11"/>
        <v>2588.6488060957658</v>
      </c>
      <c r="K108">
        <v>57.326289053301004</v>
      </c>
      <c r="L108">
        <v>73.974864376212807</v>
      </c>
      <c r="M108">
        <v>0</v>
      </c>
    </row>
    <row r="109" spans="3:13" x14ac:dyDescent="0.25">
      <c r="C109">
        <f t="shared" si="15"/>
        <v>13.5</v>
      </c>
      <c r="D109">
        <f t="shared" si="10"/>
        <v>2443.2393874347199</v>
      </c>
      <c r="E109">
        <f t="shared" si="11"/>
        <v>2654.5993669198238</v>
      </c>
      <c r="K109">
        <v>54.978948517319971</v>
      </c>
      <c r="L109">
        <v>69.125550852731607</v>
      </c>
      <c r="M109">
        <v>304.23577357720905</v>
      </c>
    </row>
    <row r="110" spans="3:13" x14ac:dyDescent="0.25">
      <c r="C110">
        <f>C109+0.5</f>
        <v>14</v>
      </c>
      <c r="D110">
        <f t="shared" si="10"/>
        <v>2503.1938292008476</v>
      </c>
      <c r="E110">
        <f t="shared" si="11"/>
        <v>2719.7403530937254</v>
      </c>
      <c r="K110">
        <v>53.841678089338501</v>
      </c>
      <c r="L110">
        <v>66.904794918614925</v>
      </c>
      <c r="M110">
        <v>200.29080555928377</v>
      </c>
    </row>
    <row r="111" spans="3:13" x14ac:dyDescent="0.25">
      <c r="C111">
        <f t="shared" si="15"/>
        <v>14.5</v>
      </c>
      <c r="D111">
        <f t="shared" si="10"/>
        <v>2562.438443152088</v>
      </c>
      <c r="E111">
        <f t="shared" si="11"/>
        <v>2784.1101056022994</v>
      </c>
      <c r="K111">
        <v>53.222656798474468</v>
      </c>
      <c r="L111">
        <v>65.728042870202344</v>
      </c>
      <c r="M111">
        <v>174.08207969234891</v>
      </c>
    </row>
    <row r="112" spans="3:13" x14ac:dyDescent="0.25">
      <c r="C112">
        <f t="shared" si="15"/>
        <v>15</v>
      </c>
      <c r="D112">
        <f t="shared" si="10"/>
        <v>2621.0056928107879</v>
      </c>
      <c r="E112">
        <f t="shared" si="11"/>
        <v>2847.7438963252985</v>
      </c>
      <c r="K112">
        <v>52.85850421129512</v>
      </c>
      <c r="L112">
        <v>65.045832702369168</v>
      </c>
      <c r="M112">
        <v>162.4798613575928</v>
      </c>
    </row>
    <row r="113" spans="3:13" x14ac:dyDescent="0.25">
      <c r="C113">
        <f t="shared" si="15"/>
        <v>15.5</v>
      </c>
      <c r="D113">
        <f t="shared" si="10"/>
        <v>2678.9255293084357</v>
      </c>
      <c r="E113">
        <f t="shared" si="11"/>
        <v>2910.6742674094749</v>
      </c>
      <c r="K113">
        <v>52.63170141668914</v>
      </c>
      <c r="L113">
        <v>64.624592667444404</v>
      </c>
      <c r="M113">
        <v>156.23002655957558</v>
      </c>
    </row>
    <row r="114" spans="3:13" x14ac:dyDescent="0.25">
      <c r="C114">
        <f t="shared" si="15"/>
        <v>16</v>
      </c>
      <c r="D114">
        <f t="shared" si="10"/>
        <v>2736.225660271989</v>
      </c>
      <c r="E114">
        <f t="shared" si="11"/>
        <v>2972.9313234157644</v>
      </c>
      <c r="K114">
        <v>52.484020193353651</v>
      </c>
      <c r="L114">
        <v>64.351788722811463</v>
      </c>
      <c r="M114">
        <v>152.48986543241557</v>
      </c>
    </row>
    <row r="115" spans="3:13" x14ac:dyDescent="0.25">
      <c r="K115">
        <v>52.384332477682861</v>
      </c>
      <c r="L115">
        <v>64.16829537514063</v>
      </c>
      <c r="M115">
        <v>150.09545678301177</v>
      </c>
    </row>
    <row r="116" spans="3:13" x14ac:dyDescent="0.25">
      <c r="K116">
        <v>52.31499433305752</v>
      </c>
      <c r="L116">
        <v>64.040974868638315</v>
      </c>
      <c r="M116">
        <v>148.4873673462404</v>
      </c>
    </row>
    <row r="117" spans="3:13" x14ac:dyDescent="0.25">
      <c r="K117">
        <v>52.265523185613439</v>
      </c>
      <c r="L117">
        <v>63.950288844225987</v>
      </c>
      <c r="M117">
        <v>147.36735480334056</v>
      </c>
    </row>
    <row r="118" spans="3:13" x14ac:dyDescent="0.25">
      <c r="K118">
        <v>52.229443822981665</v>
      </c>
      <c r="L118">
        <v>63.884232116842242</v>
      </c>
      <c r="M118">
        <v>146.56437289480638</v>
      </c>
    </row>
    <row r="119" spans="3:13" x14ac:dyDescent="0.25">
      <c r="K119">
        <v>52.20262236497878</v>
      </c>
      <c r="L119">
        <v>63.835169430422951</v>
      </c>
      <c r="M119">
        <v>145.97481095898883</v>
      </c>
    </row>
    <row r="120" spans="3:13" x14ac:dyDescent="0.25">
      <c r="K120">
        <v>52.182343683384438</v>
      </c>
      <c r="L120">
        <v>63.798099865059058</v>
      </c>
      <c r="M120">
        <v>145.5331640308616</v>
      </c>
    </row>
    <row r="121" spans="3:13" x14ac:dyDescent="0.25">
      <c r="K121">
        <v>52.166779752684079</v>
      </c>
      <c r="L121">
        <v>63.769663395868704</v>
      </c>
      <c r="M121">
        <v>145.19655944117574</v>
      </c>
    </row>
    <row r="122" spans="3:13" x14ac:dyDescent="0.25">
      <c r="K122">
        <v>52.154672612581699</v>
      </c>
      <c r="L122">
        <v>63.74755144121044</v>
      </c>
      <c r="M122">
        <v>144.93611808766877</v>
      </c>
    </row>
    <row r="123" spans="3:13" x14ac:dyDescent="0.25">
      <c r="K123">
        <v>52.145139584487659</v>
      </c>
      <c r="L123">
        <v>63.730146084956132</v>
      </c>
      <c r="M123">
        <v>144.73190595557398</v>
      </c>
    </row>
    <row r="124" spans="3:13" x14ac:dyDescent="0.25">
      <c r="K124">
        <v>52.137550409302399</v>
      </c>
      <c r="L124">
        <v>63.716293174889088</v>
      </c>
      <c r="M124">
        <v>144.56987017190247</v>
      </c>
    </row>
    <row r="125" spans="3:13" x14ac:dyDescent="0.25">
      <c r="K125">
        <v>52.131447914177386</v>
      </c>
      <c r="L125">
        <v>63.705156143216435</v>
      </c>
      <c r="M125">
        <v>144.43991926194934</v>
      </c>
    </row>
    <row r="126" spans="3:13" x14ac:dyDescent="0.25">
      <c r="K126">
        <v>52.126495698364096</v>
      </c>
      <c r="L126">
        <v>63.696119785207607</v>
      </c>
      <c r="M126">
        <v>144.33468698042961</v>
      </c>
    </row>
  </sheetData>
  <mergeCells count="6">
    <mergeCell ref="C83:E83"/>
    <mergeCell ref="N14:O14"/>
    <mergeCell ref="K14:M14"/>
    <mergeCell ref="I27:J27"/>
    <mergeCell ref="H14:J14"/>
    <mergeCell ref="C59:D5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2022-09-13T22:56:19Z</dcterms:modified>
</cp:coreProperties>
</file>