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loef\Downloads\"/>
    </mc:Choice>
  </mc:AlternateContent>
  <bookViews>
    <workbookView xWindow="0" yWindow="0" windowWidth="24000" windowHeight="9735" activeTab="1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chart.v1.0" hidden="1">Sheet4!$J$25:$J$27</definedName>
    <definedName name="_xlchart.v1.1" hidden="1">Sheet4!$K$25:$K$27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3" i="2" l="1"/>
  <c r="R86" i="2"/>
  <c r="R87" i="2" s="1"/>
  <c r="R85" i="2"/>
  <c r="R84" i="2"/>
  <c r="R82" i="2"/>
  <c r="C14" i="3"/>
  <c r="C13" i="3"/>
  <c r="C12" i="3"/>
  <c r="C11" i="3"/>
  <c r="C10" i="3" s="1"/>
  <c r="D31" i="3"/>
  <c r="O11" i="4"/>
  <c r="O12" i="4"/>
  <c r="O13" i="4"/>
  <c r="O14" i="4"/>
  <c r="O15" i="4"/>
  <c r="O16" i="4"/>
  <c r="I6" i="4" l="1"/>
  <c r="M84" i="2" l="1"/>
  <c r="M85" i="2" s="1"/>
  <c r="N84" i="2"/>
  <c r="N85" i="2" s="1"/>
  <c r="L84" i="2"/>
  <c r="L85" i="2" s="1"/>
  <c r="C35" i="2"/>
  <c r="F19" i="2"/>
  <c r="C60" i="2"/>
  <c r="M20" i="2" l="1"/>
  <c r="K19" i="2"/>
  <c r="K25" i="2"/>
  <c r="J25" i="2"/>
  <c r="K23" i="2" l="1"/>
  <c r="M24" i="2"/>
  <c r="P46" i="2"/>
  <c r="Q43" i="2"/>
  <c r="R43" i="2"/>
  <c r="S43" i="2"/>
  <c r="T43" i="2"/>
  <c r="U43" i="2"/>
  <c r="V43" i="2"/>
  <c r="P43" i="2"/>
  <c r="H68" i="2" l="1"/>
  <c r="C71" i="2"/>
  <c r="C68" i="2"/>
  <c r="E61" i="2"/>
  <c r="V8" i="1"/>
  <c r="K22" i="2"/>
  <c r="D19" i="2" s="1"/>
  <c r="J22" i="2"/>
  <c r="E7" i="2"/>
  <c r="D7" i="2"/>
  <c r="M12" i="2" l="1"/>
  <c r="L12" i="2"/>
  <c r="M11" i="2"/>
  <c r="L11" i="2"/>
  <c r="M10" i="2"/>
  <c r="M13" i="2" s="1"/>
  <c r="L10" i="2"/>
  <c r="L13" i="2" s="1"/>
  <c r="P32" i="2" l="1"/>
  <c r="C43" i="2"/>
  <c r="C3" i="4" l="1"/>
  <c r="A5" i="4"/>
  <c r="C5" i="4" s="1"/>
  <c r="B5" i="4" l="1"/>
  <c r="D5" i="4"/>
  <c r="C4" i="4"/>
  <c r="B4" i="4"/>
  <c r="A6" i="4"/>
  <c r="B3" i="4"/>
  <c r="D4" i="4"/>
  <c r="D3" i="4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31" i="3"/>
  <c r="AS31" i="3"/>
  <c r="AS32" i="3" s="1"/>
  <c r="AS33" i="3" s="1"/>
  <c r="AS34" i="3" s="1"/>
  <c r="AS35" i="3" s="1"/>
  <c r="AS36" i="3" s="1"/>
  <c r="AS37" i="3" s="1"/>
  <c r="AS38" i="3" s="1"/>
  <c r="AS39" i="3" s="1"/>
  <c r="AS40" i="3" s="1"/>
  <c r="AS41" i="3" s="1"/>
  <c r="AS42" i="3" s="1"/>
  <c r="AS43" i="3" s="1"/>
  <c r="AS44" i="3" s="1"/>
  <c r="AS45" i="3" s="1"/>
  <c r="AS46" i="3" s="1"/>
  <c r="AS47" i="3" s="1"/>
  <c r="AS48" i="3" s="1"/>
  <c r="AS49" i="3" s="1"/>
  <c r="AS50" i="3" s="1"/>
  <c r="AS51" i="3" s="1"/>
  <c r="AS52" i="3" s="1"/>
  <c r="AS53" i="3" s="1"/>
  <c r="AS54" i="3" s="1"/>
  <c r="AS55" i="3" s="1"/>
  <c r="AS56" i="3" s="1"/>
  <c r="AS57" i="3" s="1"/>
  <c r="AS58" i="3" s="1"/>
  <c r="AS59" i="3" s="1"/>
  <c r="AS60" i="3" s="1"/>
  <c r="AS61" i="3" s="1"/>
  <c r="AS62" i="3" s="1"/>
  <c r="AS63" i="3" s="1"/>
  <c r="AS64" i="3" s="1"/>
  <c r="AZ64" i="3"/>
  <c r="AZ63" i="3"/>
  <c r="AZ62" i="3"/>
  <c r="AZ61" i="3"/>
  <c r="AZ60" i="3"/>
  <c r="AZ59" i="3"/>
  <c r="AZ58" i="3"/>
  <c r="AZ57" i="3"/>
  <c r="AZ56" i="3"/>
  <c r="AZ55" i="3"/>
  <c r="AZ54" i="3"/>
  <c r="AZ53" i="3"/>
  <c r="AZ52" i="3"/>
  <c r="AZ51" i="3"/>
  <c r="AZ50" i="3"/>
  <c r="AZ49" i="3"/>
  <c r="AZ48" i="3"/>
  <c r="AZ47" i="3"/>
  <c r="AZ46" i="3"/>
  <c r="AZ45" i="3"/>
  <c r="AZ44" i="3"/>
  <c r="AZ43" i="3"/>
  <c r="AZ42" i="3"/>
  <c r="AZ41" i="3"/>
  <c r="AZ40" i="3"/>
  <c r="AZ39" i="3"/>
  <c r="AZ38" i="3"/>
  <c r="AZ37" i="3"/>
  <c r="AZ36" i="3"/>
  <c r="AZ35" i="3"/>
  <c r="AZ34" i="3"/>
  <c r="AZ33" i="3"/>
  <c r="AZ32" i="3"/>
  <c r="AZ31" i="3"/>
  <c r="AG31" i="3"/>
  <c r="AH31" i="3" s="1"/>
  <c r="AN64" i="3"/>
  <c r="AN63" i="3"/>
  <c r="AN62" i="3"/>
  <c r="AN61" i="3"/>
  <c r="AN60" i="3"/>
  <c r="AN59" i="3"/>
  <c r="AN58" i="3"/>
  <c r="AN57" i="3"/>
  <c r="AN56" i="3"/>
  <c r="AN55" i="3"/>
  <c r="AN54" i="3"/>
  <c r="AN53" i="3"/>
  <c r="AN52" i="3"/>
  <c r="AN51" i="3"/>
  <c r="AN50" i="3"/>
  <c r="AN49" i="3"/>
  <c r="AN48" i="3"/>
  <c r="AN47" i="3"/>
  <c r="AN46" i="3"/>
  <c r="AN45" i="3"/>
  <c r="AN44" i="3"/>
  <c r="AN43" i="3"/>
  <c r="AN42" i="3"/>
  <c r="AN41" i="3"/>
  <c r="AN40" i="3"/>
  <c r="AN39" i="3"/>
  <c r="AN38" i="3"/>
  <c r="AN37" i="3"/>
  <c r="AN36" i="3"/>
  <c r="AN35" i="3"/>
  <c r="AN34" i="3"/>
  <c r="AN33" i="3"/>
  <c r="AN32" i="3"/>
  <c r="AN31" i="3"/>
  <c r="W31" i="3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W55" i="3" s="1"/>
  <c r="W56" i="3" s="1"/>
  <c r="W57" i="3" s="1"/>
  <c r="W58" i="3" s="1"/>
  <c r="W59" i="3" s="1"/>
  <c r="W60" i="3" s="1"/>
  <c r="W61" i="3" s="1"/>
  <c r="W62" i="3" s="1"/>
  <c r="W63" i="3" s="1"/>
  <c r="W64" i="3" s="1"/>
  <c r="M31" i="3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31" i="3"/>
  <c r="B31" i="3"/>
  <c r="C31" i="3" s="1"/>
  <c r="F31" i="3" s="1"/>
  <c r="AG32" i="3" l="1"/>
  <c r="AG33" i="3" s="1"/>
  <c r="AG34" i="3" s="1"/>
  <c r="AG35" i="3" s="1"/>
  <c r="AG36" i="3" s="1"/>
  <c r="AG37" i="3" s="1"/>
  <c r="AG38" i="3" s="1"/>
  <c r="AG39" i="3" s="1"/>
  <c r="AG40" i="3" s="1"/>
  <c r="AG41" i="3" s="1"/>
  <c r="AG42" i="3" s="1"/>
  <c r="AG43" i="3" s="1"/>
  <c r="AG44" i="3" s="1"/>
  <c r="AG45" i="3" s="1"/>
  <c r="AG46" i="3" s="1"/>
  <c r="AG47" i="3" s="1"/>
  <c r="AG48" i="3" s="1"/>
  <c r="AG49" i="3" s="1"/>
  <c r="AG50" i="3" s="1"/>
  <c r="AG51" i="3" s="1"/>
  <c r="AG52" i="3" s="1"/>
  <c r="AG53" i="3" s="1"/>
  <c r="AG54" i="3" s="1"/>
  <c r="AG55" i="3" s="1"/>
  <c r="AG56" i="3" s="1"/>
  <c r="AG57" i="3" s="1"/>
  <c r="AG58" i="3" s="1"/>
  <c r="AG59" i="3" s="1"/>
  <c r="AG60" i="3" s="1"/>
  <c r="AG61" i="3" s="1"/>
  <c r="AG62" i="3" s="1"/>
  <c r="AG63" i="3" s="1"/>
  <c r="AG64" i="3" s="1"/>
  <c r="N31" i="3"/>
  <c r="A7" i="4"/>
  <c r="B6" i="4"/>
  <c r="C6" i="4"/>
  <c r="D6" i="4"/>
  <c r="G31" i="3"/>
  <c r="J31" i="3"/>
  <c r="K31" i="3" s="1"/>
  <c r="Q31" i="3"/>
  <c r="R31" i="3" s="1"/>
  <c r="O31" i="3"/>
  <c r="X31" i="3"/>
  <c r="AJ31" i="3"/>
  <c r="AK31" i="3"/>
  <c r="AI31" i="3"/>
  <c r="AT33" i="3"/>
  <c r="AT32" i="3"/>
  <c r="AT31" i="3"/>
  <c r="X33" i="3"/>
  <c r="X32" i="3"/>
  <c r="N32" i="3"/>
  <c r="Q32" i="3" s="1"/>
  <c r="R32" i="3" s="1"/>
  <c r="P31" i="3"/>
  <c r="N33" i="3"/>
  <c r="Q33" i="3" s="1"/>
  <c r="E31" i="3"/>
  <c r="B32" i="3"/>
  <c r="B33" i="3" s="1"/>
  <c r="B34" i="3" s="1"/>
  <c r="C15" i="3"/>
  <c r="T31" i="3" l="1"/>
  <c r="U31" i="3" s="1"/>
  <c r="AH32" i="3"/>
  <c r="A8" i="4"/>
  <c r="D7" i="4"/>
  <c r="B7" i="4"/>
  <c r="C7" i="4"/>
  <c r="AA33" i="3"/>
  <c r="AB33" i="3" s="1"/>
  <c r="Y33" i="3"/>
  <c r="Z33" i="3"/>
  <c r="AA31" i="3"/>
  <c r="AB31" i="3" s="1"/>
  <c r="Z31" i="3"/>
  <c r="Y31" i="3"/>
  <c r="AK32" i="3"/>
  <c r="AI32" i="3"/>
  <c r="AJ32" i="3"/>
  <c r="Z32" i="3"/>
  <c r="Y32" i="3"/>
  <c r="AA32" i="3"/>
  <c r="AB32" i="3" s="1"/>
  <c r="AV31" i="3"/>
  <c r="AU31" i="3"/>
  <c r="AW31" i="3"/>
  <c r="AV33" i="3"/>
  <c r="AU33" i="3"/>
  <c r="AW33" i="3"/>
  <c r="AX33" i="3" s="1"/>
  <c r="AV32" i="3"/>
  <c r="AW32" i="3"/>
  <c r="AX32" i="3" s="1"/>
  <c r="AU32" i="3"/>
  <c r="AX31" i="3"/>
  <c r="AT34" i="3"/>
  <c r="AL31" i="3"/>
  <c r="AO31" i="3"/>
  <c r="AP31" i="3" s="1"/>
  <c r="AL32" i="3"/>
  <c r="AH33" i="3"/>
  <c r="X34" i="3"/>
  <c r="O33" i="3"/>
  <c r="P33" i="3"/>
  <c r="P32" i="3"/>
  <c r="O32" i="3"/>
  <c r="N34" i="3"/>
  <c r="Q34" i="3" s="1"/>
  <c r="R33" i="3"/>
  <c r="T32" i="3"/>
  <c r="U32" i="3" s="1"/>
  <c r="C33" i="3"/>
  <c r="E33" i="3" s="1"/>
  <c r="C32" i="3"/>
  <c r="D32" i="3" s="1"/>
  <c r="B35" i="3"/>
  <c r="C34" i="3"/>
  <c r="AD31" i="3" l="1"/>
  <c r="AE31" i="3" s="1"/>
  <c r="E32" i="3"/>
  <c r="A9" i="4"/>
  <c r="B8" i="4"/>
  <c r="D8" i="4"/>
  <c r="C8" i="4"/>
  <c r="F34" i="3"/>
  <c r="G34" i="3" s="1"/>
  <c r="J34" i="3"/>
  <c r="K34" i="3" s="1"/>
  <c r="F32" i="3"/>
  <c r="G32" i="3" s="1"/>
  <c r="F33" i="3"/>
  <c r="G33" i="3" s="1"/>
  <c r="J33" i="3"/>
  <c r="K33" i="3" s="1"/>
  <c r="AA34" i="3"/>
  <c r="AB34" i="3" s="1"/>
  <c r="Y34" i="3"/>
  <c r="Z34" i="3"/>
  <c r="AJ33" i="3"/>
  <c r="AK33" i="3"/>
  <c r="AL33" i="3" s="1"/>
  <c r="AI33" i="3"/>
  <c r="AW34" i="3"/>
  <c r="AU34" i="3"/>
  <c r="AV34" i="3"/>
  <c r="BA31" i="3"/>
  <c r="BB31" i="3" s="1"/>
  <c r="BA32" i="3"/>
  <c r="BB32" i="3" s="1"/>
  <c r="AX34" i="3"/>
  <c r="AT35" i="3"/>
  <c r="BA33" i="3"/>
  <c r="BB33" i="3" s="1"/>
  <c r="AO32" i="3"/>
  <c r="AP32" i="3" s="1"/>
  <c r="AH34" i="3"/>
  <c r="X35" i="3"/>
  <c r="AD33" i="3"/>
  <c r="AE33" i="3" s="1"/>
  <c r="AD32" i="3"/>
  <c r="AE32" i="3" s="1"/>
  <c r="O34" i="3"/>
  <c r="P34" i="3"/>
  <c r="T33" i="3"/>
  <c r="U33" i="3" s="1"/>
  <c r="R34" i="3"/>
  <c r="N35" i="3"/>
  <c r="Q35" i="3" s="1"/>
  <c r="D33" i="3"/>
  <c r="E34" i="3"/>
  <c r="D34" i="3"/>
  <c r="B36" i="3"/>
  <c r="C35" i="3"/>
  <c r="N86" i="2"/>
  <c r="N88" i="2" s="1"/>
  <c r="L86" i="2"/>
  <c r="L88" i="2" s="1"/>
  <c r="AD34" i="3" l="1"/>
  <c r="AE34" i="3" s="1"/>
  <c r="M91" i="2"/>
  <c r="M92" i="2" s="1"/>
  <c r="M86" i="2"/>
  <c r="M88" i="2" s="1"/>
  <c r="L89" i="2" s="1"/>
  <c r="L90" i="2" s="1"/>
  <c r="J32" i="3"/>
  <c r="K32" i="3" s="1"/>
  <c r="A10" i="4"/>
  <c r="C9" i="4"/>
  <c r="D9" i="4"/>
  <c r="B9" i="4"/>
  <c r="Z35" i="3"/>
  <c r="AA35" i="3"/>
  <c r="AB35" i="3" s="1"/>
  <c r="Y35" i="3"/>
  <c r="AJ34" i="3"/>
  <c r="AK34" i="3"/>
  <c r="AI34" i="3"/>
  <c r="AW35" i="3"/>
  <c r="AX35" i="3" s="1"/>
  <c r="AU35" i="3"/>
  <c r="AV35" i="3"/>
  <c r="F35" i="3"/>
  <c r="G35" i="3" s="1"/>
  <c r="BA34" i="3"/>
  <c r="BB34" i="3" s="1"/>
  <c r="AT36" i="3"/>
  <c r="AL34" i="3"/>
  <c r="AH35" i="3"/>
  <c r="AO33" i="3"/>
  <c r="AP33" i="3" s="1"/>
  <c r="X36" i="3"/>
  <c r="P35" i="3"/>
  <c r="O35" i="3"/>
  <c r="T34" i="3"/>
  <c r="U34" i="3" s="1"/>
  <c r="R35" i="3"/>
  <c r="N36" i="3"/>
  <c r="Q36" i="3" s="1"/>
  <c r="E35" i="3"/>
  <c r="D35" i="3"/>
  <c r="B37" i="3"/>
  <c r="C36" i="3"/>
  <c r="L91" i="2"/>
  <c r="L92" i="2" s="1"/>
  <c r="Q48" i="2"/>
  <c r="R48" i="2"/>
  <c r="S48" i="2"/>
  <c r="T48" i="2"/>
  <c r="U48" i="2"/>
  <c r="V48" i="2"/>
  <c r="P48" i="2"/>
  <c r="Q47" i="2"/>
  <c r="R47" i="2"/>
  <c r="S47" i="2"/>
  <c r="T47" i="2"/>
  <c r="U47" i="2"/>
  <c r="V47" i="2"/>
  <c r="D68" i="2"/>
  <c r="I62" i="2"/>
  <c r="I64" i="2" s="1"/>
  <c r="I65" i="2" s="1"/>
  <c r="I67" i="2" s="1"/>
  <c r="H62" i="2"/>
  <c r="H64" i="2" s="1"/>
  <c r="H65" i="2" s="1"/>
  <c r="H67" i="2" s="1"/>
  <c r="G62" i="2"/>
  <c r="G64" i="2" s="1"/>
  <c r="G65" i="2" s="1"/>
  <c r="G67" i="2" s="1"/>
  <c r="F62" i="2"/>
  <c r="F64" i="2" s="1"/>
  <c r="F65" i="2" s="1"/>
  <c r="F67" i="2" s="1"/>
  <c r="E62" i="2"/>
  <c r="E64" i="2" s="1"/>
  <c r="E65" i="2" s="1"/>
  <c r="E67" i="2" s="1"/>
  <c r="D62" i="2"/>
  <c r="D64" i="2" s="1"/>
  <c r="D65" i="2" s="1"/>
  <c r="D67" i="2" s="1"/>
  <c r="C62" i="2"/>
  <c r="C64" i="2" s="1"/>
  <c r="C65" i="2" s="1"/>
  <c r="C67" i="2" s="1"/>
  <c r="I61" i="2"/>
  <c r="H61" i="2"/>
  <c r="G61" i="2"/>
  <c r="F61" i="2"/>
  <c r="D61" i="2"/>
  <c r="C61" i="2"/>
  <c r="H46" i="2"/>
  <c r="E37" i="2"/>
  <c r="S46" i="2"/>
  <c r="D37" i="2"/>
  <c r="F37" i="2"/>
  <c r="G37" i="2"/>
  <c r="H37" i="2"/>
  <c r="I37" i="2"/>
  <c r="C37" i="2"/>
  <c r="C39" i="2" s="1"/>
  <c r="C40" i="2" s="1"/>
  <c r="C42" i="2" s="1"/>
  <c r="D36" i="2"/>
  <c r="E36" i="2"/>
  <c r="F36" i="2"/>
  <c r="G36" i="2"/>
  <c r="H36" i="2"/>
  <c r="I36" i="2"/>
  <c r="C36" i="2"/>
  <c r="F38" i="2" l="1"/>
  <c r="H38" i="2"/>
  <c r="G38" i="2"/>
  <c r="E38" i="2"/>
  <c r="D39" i="2"/>
  <c r="D40" i="2" s="1"/>
  <c r="D38" i="2"/>
  <c r="H63" i="2"/>
  <c r="M89" i="2"/>
  <c r="M90" i="2" s="1"/>
  <c r="C69" i="2"/>
  <c r="C72" i="2" s="1"/>
  <c r="C63" i="2"/>
  <c r="F63" i="2"/>
  <c r="T46" i="2"/>
  <c r="A11" i="4"/>
  <c r="B10" i="4"/>
  <c r="C10" i="4"/>
  <c r="D10" i="4"/>
  <c r="BA35" i="3"/>
  <c r="BB35" i="3" s="1"/>
  <c r="Z36" i="3"/>
  <c r="Y36" i="3"/>
  <c r="AA36" i="3"/>
  <c r="AB36" i="3" s="1"/>
  <c r="AV36" i="3"/>
  <c r="AW36" i="3"/>
  <c r="AU36" i="3"/>
  <c r="J35" i="3"/>
  <c r="K35" i="3" s="1"/>
  <c r="F36" i="3"/>
  <c r="G36" i="3" s="1"/>
  <c r="AK35" i="3"/>
  <c r="AL35" i="3" s="1"/>
  <c r="AI35" i="3"/>
  <c r="AJ35" i="3"/>
  <c r="AT37" i="3"/>
  <c r="AX36" i="3"/>
  <c r="AO34" i="3"/>
  <c r="AP34" i="3" s="1"/>
  <c r="AH36" i="3"/>
  <c r="AD35" i="3"/>
  <c r="AE35" i="3" s="1"/>
  <c r="X37" i="3"/>
  <c r="P36" i="3"/>
  <c r="O36" i="3"/>
  <c r="R36" i="3"/>
  <c r="T36" i="3"/>
  <c r="U36" i="3" s="1"/>
  <c r="T35" i="3"/>
  <c r="U35" i="3" s="1"/>
  <c r="N37" i="3"/>
  <c r="Q37" i="3" s="1"/>
  <c r="D36" i="3"/>
  <c r="E36" i="3"/>
  <c r="B38" i="3"/>
  <c r="C37" i="3"/>
  <c r="V46" i="2"/>
  <c r="R46" i="2"/>
  <c r="E63" i="2"/>
  <c r="U46" i="2"/>
  <c r="Q46" i="2"/>
  <c r="E71" i="2"/>
  <c r="I71" i="2"/>
  <c r="D46" i="2"/>
  <c r="E68" i="2"/>
  <c r="I68" i="2"/>
  <c r="F71" i="2"/>
  <c r="F68" i="2"/>
  <c r="G71" i="2"/>
  <c r="G68" i="2"/>
  <c r="D71" i="2"/>
  <c r="H71" i="2"/>
  <c r="G63" i="2"/>
  <c r="D63" i="2"/>
  <c r="G46" i="2"/>
  <c r="C38" i="2"/>
  <c r="H43" i="2"/>
  <c r="C46" i="2"/>
  <c r="F46" i="2"/>
  <c r="I46" i="2"/>
  <c r="E46" i="2"/>
  <c r="D43" i="2"/>
  <c r="L25" i="2"/>
  <c r="M25" i="2"/>
  <c r="D20" i="2" s="1"/>
  <c r="G43" i="2"/>
  <c r="F43" i="2"/>
  <c r="I43" i="2"/>
  <c r="E43" i="2"/>
  <c r="F20" i="2"/>
  <c r="E20" i="2"/>
  <c r="AO35" i="3" l="1"/>
  <c r="AP35" i="3" s="1"/>
  <c r="A12" i="4"/>
  <c r="D11" i="4"/>
  <c r="B11" i="4"/>
  <c r="C11" i="4"/>
  <c r="F37" i="3"/>
  <c r="G37" i="3" s="1"/>
  <c r="AK36" i="3"/>
  <c r="AI36" i="3"/>
  <c r="AJ36" i="3"/>
  <c r="AA37" i="3"/>
  <c r="Y37" i="3"/>
  <c r="Z37" i="3"/>
  <c r="AV37" i="3"/>
  <c r="AU37" i="3"/>
  <c r="AW37" i="3"/>
  <c r="AX37" i="3" s="1"/>
  <c r="J36" i="3"/>
  <c r="K36" i="3" s="1"/>
  <c r="BA36" i="3"/>
  <c r="BB36" i="3" s="1"/>
  <c r="AT38" i="3"/>
  <c r="AL36" i="3"/>
  <c r="AH37" i="3"/>
  <c r="AB37" i="3"/>
  <c r="AD37" i="3"/>
  <c r="AE37" i="3" s="1"/>
  <c r="X38" i="3"/>
  <c r="AD36" i="3"/>
  <c r="AE36" i="3" s="1"/>
  <c r="O37" i="3"/>
  <c r="P37" i="3"/>
  <c r="R37" i="3"/>
  <c r="N38" i="3"/>
  <c r="Q38" i="3" s="1"/>
  <c r="E37" i="3"/>
  <c r="D37" i="3"/>
  <c r="B39" i="3"/>
  <c r="C38" i="3"/>
  <c r="F21" i="2"/>
  <c r="D21" i="2"/>
  <c r="S9" i="1"/>
  <c r="S10" i="1"/>
  <c r="S11" i="1"/>
  <c r="S12" i="1"/>
  <c r="S13" i="1"/>
  <c r="S14" i="1"/>
  <c r="S15" i="1"/>
  <c r="S16" i="1"/>
  <c r="S8" i="1"/>
  <c r="J37" i="3" l="1"/>
  <c r="K37" i="3" s="1"/>
  <c r="A13" i="4"/>
  <c r="D12" i="4"/>
  <c r="B12" i="4"/>
  <c r="C12" i="4"/>
  <c r="AW38" i="3"/>
  <c r="AU38" i="3"/>
  <c r="AV38" i="3"/>
  <c r="AA38" i="3"/>
  <c r="AB38" i="3" s="1"/>
  <c r="Z38" i="3"/>
  <c r="Y38" i="3"/>
  <c r="F38" i="3"/>
  <c r="G38" i="3" s="1"/>
  <c r="AJ37" i="3"/>
  <c r="AK37" i="3"/>
  <c r="AL37" i="3" s="1"/>
  <c r="AI37" i="3"/>
  <c r="AX38" i="3"/>
  <c r="AT39" i="3"/>
  <c r="BA37" i="3"/>
  <c r="BB37" i="3" s="1"/>
  <c r="AO36" i="3"/>
  <c r="AP36" i="3" s="1"/>
  <c r="AH38" i="3"/>
  <c r="X39" i="3"/>
  <c r="O38" i="3"/>
  <c r="P38" i="3"/>
  <c r="R38" i="3"/>
  <c r="T38" i="3"/>
  <c r="U38" i="3" s="1"/>
  <c r="N39" i="3"/>
  <c r="Q39" i="3" s="1"/>
  <c r="T37" i="3"/>
  <c r="U37" i="3" s="1"/>
  <c r="E38" i="3"/>
  <c r="D38" i="3"/>
  <c r="B40" i="3"/>
  <c r="C39" i="3"/>
  <c r="R9" i="1"/>
  <c r="R10" i="1"/>
  <c r="R11" i="1"/>
  <c r="R12" i="1"/>
  <c r="R13" i="1"/>
  <c r="R14" i="1"/>
  <c r="R15" i="1"/>
  <c r="R16" i="1"/>
  <c r="R8" i="1"/>
  <c r="J38" i="3" l="1"/>
  <c r="K38" i="3" s="1"/>
  <c r="A14" i="4"/>
  <c r="C13" i="4"/>
  <c r="D13" i="4"/>
  <c r="B13" i="4"/>
  <c r="Z39" i="3"/>
  <c r="AA39" i="3"/>
  <c r="Y39" i="3"/>
  <c r="AD38" i="3"/>
  <c r="AE38" i="3" s="1"/>
  <c r="F39" i="3"/>
  <c r="G39" i="3" s="1"/>
  <c r="AJ38" i="3"/>
  <c r="AK38" i="3"/>
  <c r="AI38" i="3"/>
  <c r="AW39" i="3"/>
  <c r="AU39" i="3"/>
  <c r="AV39" i="3"/>
  <c r="BA38" i="3"/>
  <c r="BB38" i="3" s="1"/>
  <c r="AX39" i="3"/>
  <c r="AT40" i="3"/>
  <c r="AL38" i="3"/>
  <c r="AH39" i="3"/>
  <c r="AO37" i="3"/>
  <c r="AP37" i="3" s="1"/>
  <c r="AB39" i="3"/>
  <c r="X40" i="3"/>
  <c r="P39" i="3"/>
  <c r="O39" i="3"/>
  <c r="R39" i="3"/>
  <c r="T39" i="3"/>
  <c r="U39" i="3" s="1"/>
  <c r="N40" i="3"/>
  <c r="Q40" i="3" s="1"/>
  <c r="B41" i="3"/>
  <c r="C40" i="3"/>
  <c r="D39" i="3"/>
  <c r="E39" i="3"/>
  <c r="J9" i="1"/>
  <c r="J10" i="1"/>
  <c r="I11" i="1"/>
  <c r="I9" i="1"/>
  <c r="I10" i="1"/>
  <c r="I12" i="1"/>
  <c r="I13" i="1"/>
  <c r="I14" i="1"/>
  <c r="B14" i="4" l="1"/>
  <c r="C14" i="4"/>
  <c r="D14" i="4"/>
  <c r="Z40" i="3"/>
  <c r="AA40" i="3"/>
  <c r="Y40" i="3"/>
  <c r="F40" i="3"/>
  <c r="G40" i="3" s="1"/>
  <c r="AV40" i="3"/>
  <c r="AW40" i="3"/>
  <c r="AU40" i="3"/>
  <c r="J39" i="3"/>
  <c r="K39" i="3" s="1"/>
  <c r="AK39" i="3"/>
  <c r="AO39" i="3" s="1"/>
  <c r="AP39" i="3" s="1"/>
  <c r="AI39" i="3"/>
  <c r="AJ39" i="3"/>
  <c r="AT41" i="3"/>
  <c r="AX40" i="3"/>
  <c r="BA39" i="3"/>
  <c r="BB39" i="3" s="1"/>
  <c r="AO38" i="3"/>
  <c r="AP38" i="3" s="1"/>
  <c r="AH40" i="3"/>
  <c r="X41" i="3"/>
  <c r="AD39" i="3"/>
  <c r="AE39" i="3" s="1"/>
  <c r="AB40" i="3"/>
  <c r="P40" i="3"/>
  <c r="O40" i="3"/>
  <c r="R40" i="3"/>
  <c r="T40" i="3"/>
  <c r="U40" i="3" s="1"/>
  <c r="N41" i="3"/>
  <c r="Q41" i="3" s="1"/>
  <c r="D40" i="3"/>
  <c r="E40" i="3"/>
  <c r="B42" i="3"/>
  <c r="C41" i="3"/>
  <c r="U8" i="1"/>
  <c r="U9" i="1"/>
  <c r="V9" i="1" s="1"/>
  <c r="U10" i="1"/>
  <c r="V10" i="1" s="1"/>
  <c r="U11" i="1"/>
  <c r="V11" i="1" s="1"/>
  <c r="U12" i="1"/>
  <c r="V12" i="1" s="1"/>
  <c r="U13" i="1"/>
  <c r="V13" i="1" s="1"/>
  <c r="U14" i="1"/>
  <c r="V14" i="1" s="1"/>
  <c r="U15" i="1"/>
  <c r="V15" i="1" s="1"/>
  <c r="U16" i="1"/>
  <c r="V16" i="1" s="1"/>
  <c r="T9" i="1"/>
  <c r="T10" i="1"/>
  <c r="T11" i="1"/>
  <c r="T12" i="1"/>
  <c r="T13" i="1"/>
  <c r="T14" i="1"/>
  <c r="T15" i="1"/>
  <c r="T16" i="1"/>
  <c r="T8" i="1"/>
  <c r="AL39" i="3" l="1"/>
  <c r="F41" i="3"/>
  <c r="G41" i="3" s="1"/>
  <c r="AK40" i="3"/>
  <c r="AI40" i="3"/>
  <c r="AJ40" i="3"/>
  <c r="AA41" i="3"/>
  <c r="AB41" i="3" s="1"/>
  <c r="Y41" i="3"/>
  <c r="Z41" i="3"/>
  <c r="AV41" i="3"/>
  <c r="AW41" i="3"/>
  <c r="AX41" i="3" s="1"/>
  <c r="AU41" i="3"/>
  <c r="J40" i="3"/>
  <c r="K40" i="3" s="1"/>
  <c r="AT42" i="3"/>
  <c r="BA40" i="3"/>
  <c r="BB40" i="3" s="1"/>
  <c r="AL40" i="3"/>
  <c r="AO40" i="3"/>
  <c r="AP40" i="3" s="1"/>
  <c r="AH41" i="3"/>
  <c r="AD40" i="3"/>
  <c r="AE40" i="3" s="1"/>
  <c r="X42" i="3"/>
  <c r="O41" i="3"/>
  <c r="P41" i="3"/>
  <c r="R41" i="3"/>
  <c r="N42" i="3"/>
  <c r="Q42" i="3" s="1"/>
  <c r="B43" i="3"/>
  <c r="C42" i="3"/>
  <c r="D41" i="3"/>
  <c r="E41" i="3"/>
  <c r="E8" i="2" l="1"/>
  <c r="E9" i="2" s="1"/>
  <c r="D8" i="2"/>
  <c r="D9" i="2" s="1"/>
  <c r="J18" i="2" s="1"/>
  <c r="J19" i="2" s="1"/>
  <c r="J41" i="3"/>
  <c r="K41" i="3" s="1"/>
  <c r="F42" i="3"/>
  <c r="G42" i="3" s="1"/>
  <c r="AJ41" i="3"/>
  <c r="AK41" i="3"/>
  <c r="AI41" i="3"/>
  <c r="AA42" i="3"/>
  <c r="AB42" i="3" s="1"/>
  <c r="Z42" i="3"/>
  <c r="Y42" i="3"/>
  <c r="AW42" i="3"/>
  <c r="AX42" i="3" s="1"/>
  <c r="AU42" i="3"/>
  <c r="AV42" i="3"/>
  <c r="BA41" i="3"/>
  <c r="BB41" i="3" s="1"/>
  <c r="AT43" i="3"/>
  <c r="AL41" i="3"/>
  <c r="AH42" i="3"/>
  <c r="AD41" i="3"/>
  <c r="AE41" i="3" s="1"/>
  <c r="X43" i="3"/>
  <c r="O42" i="3"/>
  <c r="P42" i="3"/>
  <c r="R42" i="3"/>
  <c r="N43" i="3"/>
  <c r="Q43" i="3" s="1"/>
  <c r="T41" i="3"/>
  <c r="U41" i="3" s="1"/>
  <c r="E42" i="3"/>
  <c r="D42" i="3"/>
  <c r="B44" i="3"/>
  <c r="C43" i="3"/>
  <c r="M10" i="1"/>
  <c r="O10" i="1" s="1"/>
  <c r="M9" i="1"/>
  <c r="O9" i="1" s="1"/>
  <c r="L24" i="2" l="1"/>
  <c r="J23" i="2"/>
  <c r="C19" i="2" s="1"/>
  <c r="L18" i="2"/>
  <c r="L20" i="2" s="1"/>
  <c r="C20" i="2" s="1"/>
  <c r="E19" i="2"/>
  <c r="E21" i="2" s="1"/>
  <c r="BA42" i="3"/>
  <c r="BB42" i="3" s="1"/>
  <c r="J42" i="3"/>
  <c r="K42" i="3" s="1"/>
  <c r="Z43" i="3"/>
  <c r="AA43" i="3"/>
  <c r="AB43" i="3" s="1"/>
  <c r="Y43" i="3"/>
  <c r="AW43" i="3"/>
  <c r="AX43" i="3" s="1"/>
  <c r="AU43" i="3"/>
  <c r="AV43" i="3"/>
  <c r="F43" i="3"/>
  <c r="G43" i="3" s="1"/>
  <c r="AJ42" i="3"/>
  <c r="AI42" i="3"/>
  <c r="AK42" i="3"/>
  <c r="AL42" i="3" s="1"/>
  <c r="AT44" i="3"/>
  <c r="AH43" i="3"/>
  <c r="AO41" i="3"/>
  <c r="AP41" i="3" s="1"/>
  <c r="AD42" i="3"/>
  <c r="AE42" i="3" s="1"/>
  <c r="X44" i="3"/>
  <c r="P43" i="3"/>
  <c r="O43" i="3"/>
  <c r="R43" i="3"/>
  <c r="T43" i="3"/>
  <c r="U43" i="3" s="1"/>
  <c r="N44" i="3"/>
  <c r="Q44" i="3" s="1"/>
  <c r="T42" i="3"/>
  <c r="U42" i="3" s="1"/>
  <c r="B45" i="3"/>
  <c r="C44" i="3"/>
  <c r="E43" i="3"/>
  <c r="D43" i="3"/>
  <c r="P34" i="2" l="1"/>
  <c r="P36" i="2" s="1"/>
  <c r="J43" i="3"/>
  <c r="K43" i="3" s="1"/>
  <c r="F44" i="3"/>
  <c r="G44" i="3" s="1"/>
  <c r="Z44" i="3"/>
  <c r="Y44" i="3"/>
  <c r="AA44" i="3"/>
  <c r="AB44" i="3" s="1"/>
  <c r="AK43" i="3"/>
  <c r="AL43" i="3" s="1"/>
  <c r="AI43" i="3"/>
  <c r="AJ43" i="3"/>
  <c r="AV44" i="3"/>
  <c r="AW44" i="3"/>
  <c r="AX44" i="3" s="1"/>
  <c r="AU44" i="3"/>
  <c r="AT45" i="3"/>
  <c r="BA43" i="3"/>
  <c r="BB43" i="3" s="1"/>
  <c r="AO42" i="3"/>
  <c r="AP42" i="3" s="1"/>
  <c r="AH44" i="3"/>
  <c r="X45" i="3"/>
  <c r="AD43" i="3"/>
  <c r="AE43" i="3" s="1"/>
  <c r="P44" i="3"/>
  <c r="O44" i="3"/>
  <c r="R44" i="3"/>
  <c r="T44" i="3"/>
  <c r="U44" i="3" s="1"/>
  <c r="N45" i="3"/>
  <c r="Q45" i="3" s="1"/>
  <c r="D44" i="3"/>
  <c r="E44" i="3"/>
  <c r="B46" i="3"/>
  <c r="C45" i="3"/>
  <c r="M14" i="1"/>
  <c r="O14" i="1" s="1"/>
  <c r="M11" i="1"/>
  <c r="O11" i="1" s="1"/>
  <c r="M12" i="1"/>
  <c r="O12" i="1" s="1"/>
  <c r="M13" i="1"/>
  <c r="O13" i="1" s="1"/>
  <c r="J11" i="1"/>
  <c r="J12" i="1"/>
  <c r="J13" i="1"/>
  <c r="J14" i="1"/>
  <c r="C21" i="2" l="1"/>
  <c r="AV45" i="3"/>
  <c r="AW45" i="3"/>
  <c r="AX45" i="3" s="1"/>
  <c r="AU45" i="3"/>
  <c r="AA45" i="3"/>
  <c r="AB45" i="3" s="1"/>
  <c r="Y45" i="3"/>
  <c r="Z45" i="3"/>
  <c r="J44" i="3"/>
  <c r="K44" i="3" s="1"/>
  <c r="F45" i="3"/>
  <c r="G45" i="3" s="1"/>
  <c r="AK44" i="3"/>
  <c r="AO44" i="3" s="1"/>
  <c r="AP44" i="3" s="1"/>
  <c r="AI44" i="3"/>
  <c r="AJ44" i="3"/>
  <c r="BA44" i="3"/>
  <c r="BB44" i="3" s="1"/>
  <c r="AT46" i="3"/>
  <c r="AH45" i="3"/>
  <c r="AO43" i="3"/>
  <c r="AP43" i="3" s="1"/>
  <c r="AD44" i="3"/>
  <c r="AE44" i="3" s="1"/>
  <c r="X46" i="3"/>
  <c r="O45" i="3"/>
  <c r="P45" i="3"/>
  <c r="R45" i="3"/>
  <c r="N46" i="3"/>
  <c r="Q46" i="3" s="1"/>
  <c r="B47" i="3"/>
  <c r="C46" i="3"/>
  <c r="D45" i="3"/>
  <c r="E45" i="3"/>
  <c r="N15" i="1"/>
  <c r="K15" i="1" s="1"/>
  <c r="D69" i="2" l="1"/>
  <c r="D72" i="2" s="1"/>
  <c r="AL44" i="3"/>
  <c r="F46" i="3"/>
  <c r="G46" i="3" s="1"/>
  <c r="J46" i="3"/>
  <c r="K46" i="3" s="1"/>
  <c r="AW46" i="3"/>
  <c r="AX46" i="3" s="1"/>
  <c r="AU46" i="3"/>
  <c r="AV46" i="3"/>
  <c r="AA46" i="3"/>
  <c r="AB46" i="3" s="1"/>
  <c r="Y46" i="3"/>
  <c r="Z46" i="3"/>
  <c r="AJ45" i="3"/>
  <c r="AK45" i="3"/>
  <c r="AL45" i="3" s="1"/>
  <c r="AI45" i="3"/>
  <c r="J45" i="3"/>
  <c r="K45" i="3" s="1"/>
  <c r="AT47" i="3"/>
  <c r="BA45" i="3"/>
  <c r="BB45" i="3" s="1"/>
  <c r="AH46" i="3"/>
  <c r="AD45" i="3"/>
  <c r="AE45" i="3" s="1"/>
  <c r="X47" i="3"/>
  <c r="O46" i="3"/>
  <c r="P46" i="3"/>
  <c r="R46" i="3"/>
  <c r="T46" i="3"/>
  <c r="U46" i="3" s="1"/>
  <c r="N47" i="3"/>
  <c r="Q47" i="3" s="1"/>
  <c r="T45" i="3"/>
  <c r="U45" i="3" s="1"/>
  <c r="E46" i="3"/>
  <c r="D46" i="3"/>
  <c r="B48" i="3"/>
  <c r="C47" i="3"/>
  <c r="C44" i="2" l="1"/>
  <c r="C47" i="2" s="1"/>
  <c r="C53" i="2" s="1"/>
  <c r="C73" i="2"/>
  <c r="C74" i="2" s="1"/>
  <c r="C76" i="2" s="1"/>
  <c r="D60" i="2" s="1"/>
  <c r="Z47" i="3"/>
  <c r="AA47" i="3"/>
  <c r="AB47" i="3" s="1"/>
  <c r="Y47" i="3"/>
  <c r="F47" i="3"/>
  <c r="G47" i="3" s="1"/>
  <c r="AJ46" i="3"/>
  <c r="AI46" i="3"/>
  <c r="AK46" i="3"/>
  <c r="AL46" i="3" s="1"/>
  <c r="AW47" i="3"/>
  <c r="AX47" i="3" s="1"/>
  <c r="AU47" i="3"/>
  <c r="AV47" i="3"/>
  <c r="BA46" i="3"/>
  <c r="BB46" i="3" s="1"/>
  <c r="AT48" i="3"/>
  <c r="AH47" i="3"/>
  <c r="AO45" i="3"/>
  <c r="AP45" i="3" s="1"/>
  <c r="AD46" i="3"/>
  <c r="AE46" i="3" s="1"/>
  <c r="X48" i="3"/>
  <c r="P47" i="3"/>
  <c r="O47" i="3"/>
  <c r="R47" i="3"/>
  <c r="T47" i="3"/>
  <c r="U47" i="3" s="1"/>
  <c r="N48" i="3"/>
  <c r="Q48" i="3" s="1"/>
  <c r="B49" i="3"/>
  <c r="C48" i="3"/>
  <c r="D47" i="3"/>
  <c r="E47" i="3"/>
  <c r="C75" i="2" l="1"/>
  <c r="F48" i="3"/>
  <c r="G48" i="3" s="1"/>
  <c r="Z48" i="3"/>
  <c r="AA48" i="3"/>
  <c r="AB48" i="3" s="1"/>
  <c r="Y48" i="3"/>
  <c r="AV48" i="3"/>
  <c r="AW48" i="3"/>
  <c r="AX48" i="3" s="1"/>
  <c r="AU48" i="3"/>
  <c r="AK47" i="3"/>
  <c r="AL47" i="3" s="1"/>
  <c r="AI47" i="3"/>
  <c r="AJ47" i="3"/>
  <c r="J47" i="3"/>
  <c r="K47" i="3" s="1"/>
  <c r="BA47" i="3"/>
  <c r="BB47" i="3" s="1"/>
  <c r="AT49" i="3"/>
  <c r="AO46" i="3"/>
  <c r="AP46" i="3" s="1"/>
  <c r="AH48" i="3"/>
  <c r="AD47" i="3"/>
  <c r="AE47" i="3" s="1"/>
  <c r="X49" i="3"/>
  <c r="P48" i="3"/>
  <c r="O48" i="3"/>
  <c r="R48" i="3"/>
  <c r="N49" i="3"/>
  <c r="Q49" i="3" s="1"/>
  <c r="D48" i="3"/>
  <c r="E48" i="3"/>
  <c r="B50" i="3"/>
  <c r="C49" i="3"/>
  <c r="E69" i="2" l="1"/>
  <c r="E72" i="2" s="1"/>
  <c r="D73" i="2" s="1"/>
  <c r="D74" i="2" s="1"/>
  <c r="J48" i="3"/>
  <c r="K48" i="3" s="1"/>
  <c r="AV49" i="3"/>
  <c r="AW49" i="3"/>
  <c r="AX49" i="3" s="1"/>
  <c r="AU49" i="3"/>
  <c r="AK48" i="3"/>
  <c r="AL48" i="3" s="1"/>
  <c r="AI48" i="3"/>
  <c r="AJ48" i="3"/>
  <c r="F49" i="3"/>
  <c r="G49" i="3" s="1"/>
  <c r="J49" i="3"/>
  <c r="K49" i="3" s="1"/>
  <c r="AA49" i="3"/>
  <c r="AB49" i="3" s="1"/>
  <c r="Y49" i="3"/>
  <c r="Z49" i="3"/>
  <c r="BA48" i="3"/>
  <c r="BB48" i="3" s="1"/>
  <c r="AT50" i="3"/>
  <c r="AH49" i="3"/>
  <c r="AO47" i="3"/>
  <c r="AP47" i="3" s="1"/>
  <c r="X50" i="3"/>
  <c r="AD48" i="3"/>
  <c r="AE48" i="3" s="1"/>
  <c r="T48" i="3"/>
  <c r="U48" i="3" s="1"/>
  <c r="O49" i="3"/>
  <c r="P49" i="3"/>
  <c r="R49" i="3"/>
  <c r="N50" i="3"/>
  <c r="Q50" i="3" s="1"/>
  <c r="B51" i="3"/>
  <c r="C50" i="3"/>
  <c r="E49" i="3"/>
  <c r="D49" i="3"/>
  <c r="D76" i="2" l="1"/>
  <c r="D75" i="2"/>
  <c r="F50" i="3"/>
  <c r="G50" i="3" s="1"/>
  <c r="AJ49" i="3"/>
  <c r="AK49" i="3"/>
  <c r="AL49" i="3" s="1"/>
  <c r="AI49" i="3"/>
  <c r="AA50" i="3"/>
  <c r="AB50" i="3" s="1"/>
  <c r="Z50" i="3"/>
  <c r="Y50" i="3"/>
  <c r="AW50" i="3"/>
  <c r="AX50" i="3" s="1"/>
  <c r="AU50" i="3"/>
  <c r="AV50" i="3"/>
  <c r="AT51" i="3"/>
  <c r="BA49" i="3"/>
  <c r="BB49" i="3" s="1"/>
  <c r="AO48" i="3"/>
  <c r="AP48" i="3" s="1"/>
  <c r="AH50" i="3"/>
  <c r="AD49" i="3"/>
  <c r="AE49" i="3" s="1"/>
  <c r="X51" i="3"/>
  <c r="O50" i="3"/>
  <c r="P50" i="3"/>
  <c r="R50" i="3"/>
  <c r="T50" i="3"/>
  <c r="U50" i="3" s="1"/>
  <c r="N51" i="3"/>
  <c r="Q51" i="3" s="1"/>
  <c r="T49" i="3"/>
  <c r="U49" i="3" s="1"/>
  <c r="E50" i="3"/>
  <c r="D50" i="3"/>
  <c r="B52" i="3"/>
  <c r="C51" i="3"/>
  <c r="E60" i="2" l="1"/>
  <c r="F69" i="2"/>
  <c r="F72" i="2" s="1"/>
  <c r="E73" i="2" s="1"/>
  <c r="E74" i="2" s="1"/>
  <c r="Z51" i="3"/>
  <c r="AA51" i="3"/>
  <c r="Y51" i="3"/>
  <c r="F51" i="3"/>
  <c r="G51" i="3" s="1"/>
  <c r="J50" i="3"/>
  <c r="K50" i="3" s="1"/>
  <c r="AJ50" i="3"/>
  <c r="AK50" i="3"/>
  <c r="AI50" i="3"/>
  <c r="AW51" i="3"/>
  <c r="AU51" i="3"/>
  <c r="AV51" i="3"/>
  <c r="BA50" i="3"/>
  <c r="BB50" i="3" s="1"/>
  <c r="AX51" i="3"/>
  <c r="AT52" i="3"/>
  <c r="AL50" i="3"/>
  <c r="AH51" i="3"/>
  <c r="AO49" i="3"/>
  <c r="AP49" i="3" s="1"/>
  <c r="AB51" i="3"/>
  <c r="AD51" i="3"/>
  <c r="AE51" i="3" s="1"/>
  <c r="AD50" i="3"/>
  <c r="AE50" i="3" s="1"/>
  <c r="X52" i="3"/>
  <c r="P51" i="3"/>
  <c r="O51" i="3"/>
  <c r="R51" i="3"/>
  <c r="T51" i="3"/>
  <c r="U51" i="3" s="1"/>
  <c r="N52" i="3"/>
  <c r="Q52" i="3" s="1"/>
  <c r="B53" i="3"/>
  <c r="C52" i="3"/>
  <c r="E51" i="3"/>
  <c r="D51" i="3"/>
  <c r="E76" i="2" l="1"/>
  <c r="E75" i="2"/>
  <c r="Z52" i="3"/>
  <c r="Y52" i="3"/>
  <c r="AA52" i="3"/>
  <c r="AB52" i="3" s="1"/>
  <c r="AV52" i="3"/>
  <c r="AW52" i="3"/>
  <c r="AX52" i="3" s="1"/>
  <c r="AU52" i="3"/>
  <c r="F52" i="3"/>
  <c r="G52" i="3" s="1"/>
  <c r="AK51" i="3"/>
  <c r="AI51" i="3"/>
  <c r="AJ51" i="3"/>
  <c r="J51" i="3"/>
  <c r="K51" i="3" s="1"/>
  <c r="BA51" i="3"/>
  <c r="BB51" i="3" s="1"/>
  <c r="AT53" i="3"/>
  <c r="AL51" i="3"/>
  <c r="AO51" i="3"/>
  <c r="AP51" i="3" s="1"/>
  <c r="AO50" i="3"/>
  <c r="AP50" i="3" s="1"/>
  <c r="AH52" i="3"/>
  <c r="X53" i="3"/>
  <c r="P52" i="3"/>
  <c r="O52" i="3"/>
  <c r="R52" i="3"/>
  <c r="N53" i="3"/>
  <c r="Q53" i="3" s="1"/>
  <c r="D52" i="3"/>
  <c r="E52" i="3"/>
  <c r="B54" i="3"/>
  <c r="C53" i="3"/>
  <c r="D42" i="2"/>
  <c r="D44" i="2" s="1"/>
  <c r="D47" i="2" s="1"/>
  <c r="F60" i="2" l="1"/>
  <c r="G69" i="2"/>
  <c r="G72" i="2" s="1"/>
  <c r="F73" i="2" s="1"/>
  <c r="F74" i="2" s="1"/>
  <c r="J52" i="3"/>
  <c r="K52" i="3" s="1"/>
  <c r="AK52" i="3"/>
  <c r="AI52" i="3"/>
  <c r="AJ52" i="3"/>
  <c r="AV53" i="3"/>
  <c r="AU53" i="3"/>
  <c r="AW53" i="3"/>
  <c r="AX53" i="3" s="1"/>
  <c r="AA53" i="3"/>
  <c r="AB53" i="3" s="1"/>
  <c r="Y53" i="3"/>
  <c r="Z53" i="3"/>
  <c r="F53" i="3"/>
  <c r="G53" i="3" s="1"/>
  <c r="BA52" i="3"/>
  <c r="BB52" i="3" s="1"/>
  <c r="AT54" i="3"/>
  <c r="AL52" i="3"/>
  <c r="AH53" i="3"/>
  <c r="AD52" i="3"/>
  <c r="AE52" i="3" s="1"/>
  <c r="AD53" i="3"/>
  <c r="AE53" i="3" s="1"/>
  <c r="X54" i="3"/>
  <c r="T52" i="3"/>
  <c r="U52" i="3" s="1"/>
  <c r="O53" i="3"/>
  <c r="P53" i="3"/>
  <c r="R53" i="3"/>
  <c r="N54" i="3"/>
  <c r="Q54" i="3" s="1"/>
  <c r="B55" i="3"/>
  <c r="C54" i="3"/>
  <c r="D53" i="3"/>
  <c r="E53" i="3"/>
  <c r="D53" i="2"/>
  <c r="C48" i="2"/>
  <c r="C49" i="2" s="1"/>
  <c r="F76" i="2" l="1"/>
  <c r="F75" i="2"/>
  <c r="J53" i="3"/>
  <c r="K53" i="3" s="1"/>
  <c r="AW54" i="3"/>
  <c r="AX54" i="3" s="1"/>
  <c r="AU54" i="3"/>
  <c r="AV54" i="3"/>
  <c r="AA54" i="3"/>
  <c r="AB54" i="3" s="1"/>
  <c r="Z54" i="3"/>
  <c r="Y54" i="3"/>
  <c r="AJ53" i="3"/>
  <c r="AK53" i="3"/>
  <c r="AL53" i="3" s="1"/>
  <c r="AI53" i="3"/>
  <c r="F54" i="3"/>
  <c r="G54" i="3" s="1"/>
  <c r="AT55" i="3"/>
  <c r="BA53" i="3"/>
  <c r="BB53" i="3" s="1"/>
  <c r="AO52" i="3"/>
  <c r="AP52" i="3" s="1"/>
  <c r="AH54" i="3"/>
  <c r="X55" i="3"/>
  <c r="O54" i="3"/>
  <c r="P54" i="3"/>
  <c r="R54" i="3"/>
  <c r="T54" i="3"/>
  <c r="U54" i="3" s="1"/>
  <c r="N55" i="3"/>
  <c r="Q55" i="3" s="1"/>
  <c r="T53" i="3"/>
  <c r="U53" i="3" s="1"/>
  <c r="E54" i="3"/>
  <c r="D54" i="3"/>
  <c r="B56" i="3"/>
  <c r="C55" i="3"/>
  <c r="C51" i="2"/>
  <c r="D35" i="2" s="1"/>
  <c r="E39" i="2" s="1"/>
  <c r="E40" i="2" s="1"/>
  <c r="C50" i="2"/>
  <c r="G60" i="2" l="1"/>
  <c r="J54" i="3"/>
  <c r="K54" i="3" s="1"/>
  <c r="F55" i="3"/>
  <c r="G55" i="3" s="1"/>
  <c r="Z55" i="3"/>
  <c r="AA55" i="3"/>
  <c r="Y55" i="3"/>
  <c r="AJ54" i="3"/>
  <c r="AK54" i="3"/>
  <c r="AI54" i="3"/>
  <c r="AW55" i="3"/>
  <c r="AU55" i="3"/>
  <c r="AV55" i="3"/>
  <c r="BA54" i="3"/>
  <c r="BB54" i="3" s="1"/>
  <c r="AX55" i="3"/>
  <c r="AT56" i="3"/>
  <c r="AL54" i="3"/>
  <c r="AH55" i="3"/>
  <c r="AO53" i="3"/>
  <c r="AP53" i="3" s="1"/>
  <c r="AD54" i="3"/>
  <c r="AE54" i="3" s="1"/>
  <c r="X56" i="3"/>
  <c r="AB55" i="3"/>
  <c r="P55" i="3"/>
  <c r="O55" i="3"/>
  <c r="R55" i="3"/>
  <c r="T55" i="3"/>
  <c r="U55" i="3" s="1"/>
  <c r="N56" i="3"/>
  <c r="Q56" i="3" s="1"/>
  <c r="B57" i="3"/>
  <c r="C56" i="3"/>
  <c r="E55" i="3"/>
  <c r="D55" i="3"/>
  <c r="E42" i="2"/>
  <c r="E44" i="2" s="1"/>
  <c r="E47" i="2" s="1"/>
  <c r="H69" i="2" l="1"/>
  <c r="H72" i="2" s="1"/>
  <c r="J55" i="3"/>
  <c r="K55" i="3" s="1"/>
  <c r="AK55" i="3"/>
  <c r="AL55" i="3" s="1"/>
  <c r="AI55" i="3"/>
  <c r="AJ55" i="3"/>
  <c r="F56" i="3"/>
  <c r="G56" i="3" s="1"/>
  <c r="Z56" i="3"/>
  <c r="AA56" i="3"/>
  <c r="AB56" i="3" s="1"/>
  <c r="Y56" i="3"/>
  <c r="AV56" i="3"/>
  <c r="AW56" i="3"/>
  <c r="AX56" i="3" s="1"/>
  <c r="AU56" i="3"/>
  <c r="BA55" i="3"/>
  <c r="BB55" i="3" s="1"/>
  <c r="AT57" i="3"/>
  <c r="AO54" i="3"/>
  <c r="AP54" i="3" s="1"/>
  <c r="AH56" i="3"/>
  <c r="AD55" i="3"/>
  <c r="AE55" i="3" s="1"/>
  <c r="X57" i="3"/>
  <c r="P56" i="3"/>
  <c r="O56" i="3"/>
  <c r="N57" i="3"/>
  <c r="Q57" i="3" s="1"/>
  <c r="R56" i="3"/>
  <c r="D56" i="3"/>
  <c r="E56" i="3"/>
  <c r="B58" i="3"/>
  <c r="C57" i="3"/>
  <c r="E53" i="2"/>
  <c r="D48" i="2"/>
  <c r="D49" i="2" s="1"/>
  <c r="G73" i="2" l="1"/>
  <c r="G74" i="2" s="1"/>
  <c r="G76" i="2" s="1"/>
  <c r="F57" i="3"/>
  <c r="G57" i="3" s="1"/>
  <c r="AA57" i="3"/>
  <c r="AB57" i="3" s="1"/>
  <c r="Y57" i="3"/>
  <c r="Z57" i="3"/>
  <c r="AK56" i="3"/>
  <c r="AI56" i="3"/>
  <c r="AJ56" i="3"/>
  <c r="AV57" i="3"/>
  <c r="AW57" i="3"/>
  <c r="AU57" i="3"/>
  <c r="J56" i="3"/>
  <c r="K56" i="3" s="1"/>
  <c r="BA56" i="3"/>
  <c r="BB56" i="3" s="1"/>
  <c r="AX57" i="3"/>
  <c r="AT58" i="3"/>
  <c r="AL56" i="3"/>
  <c r="AO56" i="3"/>
  <c r="AP56" i="3" s="1"/>
  <c r="AO55" i="3"/>
  <c r="AP55" i="3" s="1"/>
  <c r="AH57" i="3"/>
  <c r="X58" i="3"/>
  <c r="AD56" i="3"/>
  <c r="AE56" i="3" s="1"/>
  <c r="O57" i="3"/>
  <c r="P57" i="3"/>
  <c r="T56" i="3"/>
  <c r="U56" i="3" s="1"/>
  <c r="R57" i="3"/>
  <c r="N58" i="3"/>
  <c r="Q58" i="3" s="1"/>
  <c r="B59" i="3"/>
  <c r="C58" i="3"/>
  <c r="D57" i="3"/>
  <c r="E57" i="3"/>
  <c r="D51" i="2"/>
  <c r="E35" i="2" s="1"/>
  <c r="D50" i="2"/>
  <c r="H60" i="2" l="1"/>
  <c r="L77" i="2"/>
  <c r="L79" i="2" s="1"/>
  <c r="F39" i="2"/>
  <c r="F40" i="2" s="1"/>
  <c r="F42" i="2" s="1"/>
  <c r="G75" i="2"/>
  <c r="I69" i="2"/>
  <c r="I72" i="2" s="1"/>
  <c r="H73" i="2" s="1"/>
  <c r="H74" i="2" s="1"/>
  <c r="H76" i="2" s="1"/>
  <c r="J57" i="3"/>
  <c r="K57" i="3" s="1"/>
  <c r="AJ57" i="3"/>
  <c r="AK57" i="3"/>
  <c r="AI57" i="3"/>
  <c r="AW58" i="3"/>
  <c r="AU58" i="3"/>
  <c r="AV58" i="3"/>
  <c r="F58" i="3"/>
  <c r="G58" i="3" s="1"/>
  <c r="J58" i="3"/>
  <c r="K58" i="3" s="1"/>
  <c r="AA58" i="3"/>
  <c r="Y58" i="3"/>
  <c r="Z58" i="3"/>
  <c r="AX58" i="3"/>
  <c r="AT59" i="3"/>
  <c r="BA57" i="3"/>
  <c r="BB57" i="3" s="1"/>
  <c r="AH58" i="3"/>
  <c r="AL57" i="3"/>
  <c r="AD57" i="3"/>
  <c r="AE57" i="3" s="1"/>
  <c r="AB58" i="3"/>
  <c r="AD58" i="3"/>
  <c r="AE58" i="3" s="1"/>
  <c r="X59" i="3"/>
  <c r="T57" i="3"/>
  <c r="U57" i="3" s="1"/>
  <c r="O58" i="3"/>
  <c r="P58" i="3"/>
  <c r="R58" i="3"/>
  <c r="N59" i="3"/>
  <c r="Q59" i="3" s="1"/>
  <c r="E58" i="3"/>
  <c r="D58" i="3"/>
  <c r="B60" i="3"/>
  <c r="C59" i="3"/>
  <c r="I60" i="2" l="1"/>
  <c r="D83" i="2" s="1"/>
  <c r="H75" i="2"/>
  <c r="Z59" i="3"/>
  <c r="AA59" i="3"/>
  <c r="AB59" i="3" s="1"/>
  <c r="Y59" i="3"/>
  <c r="AJ58" i="3"/>
  <c r="AI58" i="3"/>
  <c r="AK58" i="3"/>
  <c r="AL58" i="3" s="1"/>
  <c r="F59" i="3"/>
  <c r="G59" i="3" s="1"/>
  <c r="AW59" i="3"/>
  <c r="AU59" i="3"/>
  <c r="AV59" i="3"/>
  <c r="BA58" i="3"/>
  <c r="BB58" i="3" s="1"/>
  <c r="AX59" i="3"/>
  <c r="AT60" i="3"/>
  <c r="AO57" i="3"/>
  <c r="AP57" i="3" s="1"/>
  <c r="AH59" i="3"/>
  <c r="X60" i="3"/>
  <c r="P59" i="3"/>
  <c r="O59" i="3"/>
  <c r="T58" i="3"/>
  <c r="U58" i="3" s="1"/>
  <c r="R59" i="3"/>
  <c r="N60" i="3"/>
  <c r="Q60" i="3" s="1"/>
  <c r="B61" i="3"/>
  <c r="C60" i="3"/>
  <c r="D59" i="3"/>
  <c r="E59" i="3"/>
  <c r="F44" i="2"/>
  <c r="F47" i="2" s="1"/>
  <c r="AO58" i="3" l="1"/>
  <c r="AP58" i="3" s="1"/>
  <c r="F83" i="2"/>
  <c r="C83" i="2"/>
  <c r="G83" i="2"/>
  <c r="H83" i="2"/>
  <c r="E83" i="2"/>
  <c r="I83" i="2"/>
  <c r="J59" i="3"/>
  <c r="K59" i="3" s="1"/>
  <c r="Z60" i="3"/>
  <c r="Y60" i="3"/>
  <c r="AA60" i="3"/>
  <c r="AK59" i="3"/>
  <c r="AL59" i="3" s="1"/>
  <c r="AI59" i="3"/>
  <c r="AJ59" i="3"/>
  <c r="AV60" i="3"/>
  <c r="AW60" i="3"/>
  <c r="AX60" i="3" s="1"/>
  <c r="AU60" i="3"/>
  <c r="F60" i="3"/>
  <c r="G60" i="3" s="1"/>
  <c r="BA59" i="3"/>
  <c r="BB59" i="3" s="1"/>
  <c r="AT61" i="3"/>
  <c r="AH60" i="3"/>
  <c r="X61" i="3"/>
  <c r="AD59" i="3"/>
  <c r="AE59" i="3" s="1"/>
  <c r="AB60" i="3"/>
  <c r="P60" i="3"/>
  <c r="O60" i="3"/>
  <c r="T59" i="3"/>
  <c r="U59" i="3" s="1"/>
  <c r="R60" i="3"/>
  <c r="N61" i="3"/>
  <c r="Q61" i="3" s="1"/>
  <c r="D60" i="3"/>
  <c r="E60" i="3"/>
  <c r="B62" i="3"/>
  <c r="C61" i="3"/>
  <c r="E48" i="2"/>
  <c r="E49" i="2" s="1"/>
  <c r="F53" i="2"/>
  <c r="I84" i="2" l="1"/>
  <c r="I85" i="2" s="1"/>
  <c r="I87" i="2" s="1"/>
  <c r="D84" i="2"/>
  <c r="D85" i="2" s="1"/>
  <c r="D87" i="2" s="1"/>
  <c r="G84" i="2"/>
  <c r="G85" i="2" s="1"/>
  <c r="G87" i="2" s="1"/>
  <c r="E84" i="2"/>
  <c r="E85" i="2" s="1"/>
  <c r="E87" i="2" s="1"/>
  <c r="C84" i="2"/>
  <c r="C85" i="2" s="1"/>
  <c r="C87" i="2" s="1"/>
  <c r="H84" i="2"/>
  <c r="H85" i="2" s="1"/>
  <c r="H87" i="2" s="1"/>
  <c r="F84" i="2"/>
  <c r="F85" i="2" s="1"/>
  <c r="F87" i="2" s="1"/>
  <c r="F88" i="2" s="1"/>
  <c r="F89" i="2" s="1"/>
  <c r="J60" i="3"/>
  <c r="K60" i="3" s="1"/>
  <c r="AK60" i="3"/>
  <c r="AI60" i="3"/>
  <c r="AJ60" i="3"/>
  <c r="F61" i="3"/>
  <c r="G61" i="3" s="1"/>
  <c r="AA61" i="3"/>
  <c r="Y61" i="3"/>
  <c r="Z61" i="3"/>
  <c r="AV61" i="3"/>
  <c r="AW61" i="3"/>
  <c r="AX61" i="3" s="1"/>
  <c r="AU61" i="3"/>
  <c r="BA60" i="3"/>
  <c r="BB60" i="3" s="1"/>
  <c r="AT62" i="3"/>
  <c r="AL60" i="3"/>
  <c r="AO60" i="3"/>
  <c r="AP60" i="3" s="1"/>
  <c r="AO59" i="3"/>
  <c r="AP59" i="3" s="1"/>
  <c r="AH61" i="3"/>
  <c r="AD60" i="3"/>
  <c r="AE60" i="3" s="1"/>
  <c r="AB61" i="3"/>
  <c r="X62" i="3"/>
  <c r="O61" i="3"/>
  <c r="P61" i="3"/>
  <c r="R61" i="3"/>
  <c r="T60" i="3"/>
  <c r="U60" i="3" s="1"/>
  <c r="N62" i="3"/>
  <c r="Q62" i="3" s="1"/>
  <c r="B63" i="3"/>
  <c r="C62" i="3"/>
  <c r="E61" i="3"/>
  <c r="D61" i="3"/>
  <c r="E51" i="2"/>
  <c r="F35" i="2" s="1"/>
  <c r="G39" i="2" s="1"/>
  <c r="G40" i="2" s="1"/>
  <c r="E50" i="2"/>
  <c r="I90" i="2" l="1"/>
  <c r="I91" i="2" s="1"/>
  <c r="F90" i="2"/>
  <c r="F91" i="2" s="1"/>
  <c r="G90" i="2"/>
  <c r="G91" i="2" s="1"/>
  <c r="H90" i="2"/>
  <c r="H91" i="2" s="1"/>
  <c r="C90" i="2"/>
  <c r="C91" i="2" s="1"/>
  <c r="D90" i="2"/>
  <c r="D91" i="2" s="1"/>
  <c r="E90" i="2"/>
  <c r="E91" i="2" s="1"/>
  <c r="C88" i="2"/>
  <c r="G88" i="2"/>
  <c r="G89" i="2" s="1"/>
  <c r="H88" i="2"/>
  <c r="H89" i="2" s="1"/>
  <c r="D88" i="2"/>
  <c r="D89" i="2" s="1"/>
  <c r="E88" i="2"/>
  <c r="E89" i="2" s="1"/>
  <c r="G42" i="2"/>
  <c r="G44" i="2" s="1"/>
  <c r="G47" i="2" s="1"/>
  <c r="F62" i="3"/>
  <c r="G62" i="3" s="1"/>
  <c r="J62" i="3"/>
  <c r="K62" i="3" s="1"/>
  <c r="AJ61" i="3"/>
  <c r="AK61" i="3"/>
  <c r="AL61" i="3" s="1"/>
  <c r="AI61" i="3"/>
  <c r="AW62" i="3"/>
  <c r="AX62" i="3" s="1"/>
  <c r="AU62" i="3"/>
  <c r="AV62" i="3"/>
  <c r="AA62" i="3"/>
  <c r="Y62" i="3"/>
  <c r="Z62" i="3"/>
  <c r="J61" i="3"/>
  <c r="K61" i="3" s="1"/>
  <c r="AT64" i="3"/>
  <c r="AT63" i="3"/>
  <c r="BA61" i="3"/>
  <c r="BB61" i="3" s="1"/>
  <c r="AH62" i="3"/>
  <c r="AD61" i="3"/>
  <c r="AE61" i="3" s="1"/>
  <c r="AB62" i="3"/>
  <c r="X63" i="3"/>
  <c r="X64" i="3"/>
  <c r="O62" i="3"/>
  <c r="P62" i="3"/>
  <c r="R62" i="3"/>
  <c r="N64" i="3"/>
  <c r="Q64" i="3" s="1"/>
  <c r="N63" i="3"/>
  <c r="Q63" i="3" s="1"/>
  <c r="T61" i="3"/>
  <c r="U61" i="3" s="1"/>
  <c r="E62" i="3"/>
  <c r="D62" i="3"/>
  <c r="B64" i="3"/>
  <c r="C64" i="3" s="1"/>
  <c r="C63" i="3"/>
  <c r="G53" i="2" l="1"/>
  <c r="F48" i="2"/>
  <c r="F49" i="2" s="1"/>
  <c r="F50" i="2" s="1"/>
  <c r="F63" i="3"/>
  <c r="G63" i="3" s="1"/>
  <c r="F64" i="3"/>
  <c r="G64" i="3" s="1"/>
  <c r="AJ62" i="3"/>
  <c r="AI62" i="3"/>
  <c r="AK62" i="3"/>
  <c r="AL62" i="3" s="1"/>
  <c r="AW63" i="3"/>
  <c r="AX63" i="3" s="1"/>
  <c r="AU63" i="3"/>
  <c r="AV63" i="3"/>
  <c r="Z64" i="3"/>
  <c r="AA64" i="3"/>
  <c r="AB64" i="3" s="1"/>
  <c r="Y64" i="3"/>
  <c r="Z63" i="3"/>
  <c r="AA63" i="3"/>
  <c r="AB63" i="3" s="1"/>
  <c r="Y63" i="3"/>
  <c r="AV64" i="3"/>
  <c r="AW64" i="3"/>
  <c r="AX64" i="3" s="1"/>
  <c r="AU64" i="3"/>
  <c r="BA62" i="3"/>
  <c r="BB62" i="3" s="1"/>
  <c r="AH64" i="3"/>
  <c r="AH63" i="3"/>
  <c r="AO61" i="3"/>
  <c r="AP61" i="3" s="1"/>
  <c r="AD62" i="3"/>
  <c r="AE62" i="3" s="1"/>
  <c r="P64" i="3"/>
  <c r="O64" i="3"/>
  <c r="P63" i="3"/>
  <c r="O63" i="3"/>
  <c r="R63" i="3"/>
  <c r="T63" i="3"/>
  <c r="U63" i="3" s="1"/>
  <c r="T62" i="3"/>
  <c r="U62" i="3" s="1"/>
  <c r="R64" i="3"/>
  <c r="D64" i="3"/>
  <c r="E64" i="3"/>
  <c r="E63" i="3"/>
  <c r="D63" i="3"/>
  <c r="F51" i="2" l="1"/>
  <c r="G35" i="2" s="1"/>
  <c r="J64" i="3"/>
  <c r="K64" i="3" s="1"/>
  <c r="J63" i="3"/>
  <c r="K63" i="3" s="1"/>
  <c r="AK64" i="3"/>
  <c r="AL64" i="3" s="1"/>
  <c r="AI64" i="3"/>
  <c r="AJ64" i="3"/>
  <c r="AK63" i="3"/>
  <c r="AL63" i="3" s="1"/>
  <c r="AI63" i="3"/>
  <c r="AJ63" i="3"/>
  <c r="BA64" i="3"/>
  <c r="BB64" i="3" s="1"/>
  <c r="BA63" i="3"/>
  <c r="BB63" i="3" s="1"/>
  <c r="AO62" i="3"/>
  <c r="AP62" i="3" s="1"/>
  <c r="AD63" i="3"/>
  <c r="AE63" i="3" s="1"/>
  <c r="AD64" i="3"/>
  <c r="AE64" i="3" s="1"/>
  <c r="T64" i="3"/>
  <c r="U64" i="3" s="1"/>
  <c r="AO64" i="3" l="1"/>
  <c r="AP64" i="3" s="1"/>
  <c r="H39" i="2"/>
  <c r="H40" i="2" s="1"/>
  <c r="H42" i="2" s="1"/>
  <c r="H44" i="2" s="1"/>
  <c r="H47" i="2" s="1"/>
  <c r="AO63" i="3"/>
  <c r="AP63" i="3" s="1"/>
  <c r="G48" i="2" l="1"/>
  <c r="G49" i="2" s="1"/>
  <c r="G50" i="2" s="1"/>
  <c r="H53" i="2"/>
  <c r="G51" i="2" l="1"/>
  <c r="H35" i="2" s="1"/>
  <c r="I39" i="2" s="1"/>
  <c r="I40" i="2" s="1"/>
  <c r="I42" i="2" l="1"/>
  <c r="I44" i="2" s="1"/>
  <c r="I47" i="2" s="1"/>
  <c r="I53" i="2" l="1"/>
  <c r="H48" i="2"/>
  <c r="H49" i="2" s="1"/>
  <c r="H51" i="2" l="1"/>
  <c r="I35" i="2" s="1"/>
  <c r="H50" i="2"/>
</calcChain>
</file>

<file path=xl/sharedStrings.xml><?xml version="1.0" encoding="utf-8"?>
<sst xmlns="http://schemas.openxmlformats.org/spreadsheetml/2006/main" count="346" uniqueCount="170">
  <si>
    <t>ITEM</t>
  </si>
  <si>
    <t>L/MAC</t>
  </si>
  <si>
    <t>Re (flight)</t>
  </si>
  <si>
    <t>Re(cut-off)</t>
  </si>
  <si>
    <t>Cf</t>
  </si>
  <si>
    <t>t/c  OR l/d</t>
  </si>
  <si>
    <t>Q</t>
  </si>
  <si>
    <t>Swet</t>
  </si>
  <si>
    <t>D/q</t>
  </si>
  <si>
    <t>WING</t>
  </si>
  <si>
    <t>HORIZONTAL TAIL</t>
  </si>
  <si>
    <t>VERTICAL TAIL</t>
  </si>
  <si>
    <t>FUSELAGE</t>
  </si>
  <si>
    <t>Use cut-off Re(f)&gt;cut-off Re</t>
  </si>
  <si>
    <t>ENGINE</t>
  </si>
  <si>
    <t>PYLON</t>
  </si>
  <si>
    <t>Cd</t>
  </si>
  <si>
    <t>OEW</t>
  </si>
  <si>
    <t>MTOW</t>
  </si>
  <si>
    <t>MLW</t>
  </si>
  <si>
    <t>Payload(cargo+ Passangers)</t>
  </si>
  <si>
    <t>Fuel Payload</t>
  </si>
  <si>
    <t>W in Kg</t>
  </si>
  <si>
    <t>Cd take-off</t>
  </si>
  <si>
    <t>Cl landing</t>
  </si>
  <si>
    <t>Cd landing</t>
  </si>
  <si>
    <t>Take-off</t>
  </si>
  <si>
    <t>Landing</t>
  </si>
  <si>
    <t>Weight</t>
  </si>
  <si>
    <t>α</t>
  </si>
  <si>
    <t>Cl take-off</t>
  </si>
  <si>
    <t>Cl clean at 150m/s</t>
  </si>
  <si>
    <t>Cd clean</t>
  </si>
  <si>
    <t>Sref = 18.35sqrm, V= 180m/s at cruise, altitude 30000ft. T=228.76K</t>
  </si>
  <si>
    <t>Ground Run</t>
  </si>
  <si>
    <t>Airborne phase</t>
  </si>
  <si>
    <t>ISA</t>
  </si>
  <si>
    <r>
      <t>V</t>
    </r>
    <r>
      <rPr>
        <sz val="8"/>
        <color theme="1"/>
        <rFont val="Times New Roman"/>
        <family val="1"/>
      </rPr>
      <t xml:space="preserve">s </t>
    </r>
    <r>
      <rPr>
        <sz val="11"/>
        <color theme="1"/>
        <rFont val="Times New Roman"/>
        <family val="1"/>
      </rPr>
      <t>[m/s]</t>
    </r>
  </si>
  <si>
    <r>
      <t>V</t>
    </r>
    <r>
      <rPr>
        <sz val="8"/>
        <color theme="1"/>
        <rFont val="Times New Roman"/>
        <family val="1"/>
      </rPr>
      <t xml:space="preserve">LO </t>
    </r>
    <r>
      <rPr>
        <sz val="11"/>
        <color theme="1"/>
        <rFont val="Times New Roman"/>
        <family val="1"/>
      </rPr>
      <t>[m/s]</t>
    </r>
  </si>
  <si>
    <t>n/a</t>
  </si>
  <si>
    <r>
      <t>V</t>
    </r>
    <r>
      <rPr>
        <sz val="8"/>
        <color theme="1"/>
        <rFont val="Times New Roman"/>
        <family val="1"/>
      </rPr>
      <t xml:space="preserve">obs </t>
    </r>
    <r>
      <rPr>
        <sz val="11"/>
        <color theme="1"/>
        <rFont val="Times New Roman"/>
        <family val="1"/>
      </rPr>
      <t>[m/s]</t>
    </r>
  </si>
  <si>
    <r>
      <t>T</t>
    </r>
    <r>
      <rPr>
        <sz val="8"/>
        <color theme="1"/>
        <rFont val="Times New Roman"/>
        <family val="1"/>
      </rPr>
      <t xml:space="preserve">o </t>
    </r>
    <r>
      <rPr>
        <sz val="11"/>
        <color theme="1"/>
        <rFont val="Times New Roman"/>
        <family val="1"/>
      </rPr>
      <t>[kg]</t>
    </r>
  </si>
  <si>
    <r>
      <t>D</t>
    </r>
    <r>
      <rPr>
        <sz val="8"/>
        <color theme="1"/>
        <rFont val="Times New Roman"/>
        <family val="1"/>
      </rPr>
      <t xml:space="preserve">o </t>
    </r>
    <r>
      <rPr>
        <sz val="11"/>
        <color theme="1"/>
        <rFont val="Times New Roman"/>
        <family val="1"/>
      </rPr>
      <t>[kg]</t>
    </r>
  </si>
  <si>
    <r>
      <t>D</t>
    </r>
    <r>
      <rPr>
        <sz val="8"/>
        <color theme="1"/>
        <rFont val="Times New Roman"/>
        <family val="1"/>
      </rPr>
      <t xml:space="preserve">LO </t>
    </r>
    <r>
      <rPr>
        <sz val="11"/>
        <color theme="1"/>
        <rFont val="Times New Roman"/>
        <family val="1"/>
      </rPr>
      <t>[kg]</t>
    </r>
  </si>
  <si>
    <r>
      <t>D</t>
    </r>
    <r>
      <rPr>
        <sz val="8"/>
        <color theme="1"/>
        <rFont val="Times New Roman"/>
        <family val="1"/>
      </rPr>
      <t xml:space="preserve">i </t>
    </r>
    <r>
      <rPr>
        <sz val="11"/>
        <color theme="1"/>
        <rFont val="Times New Roman"/>
        <family val="1"/>
      </rPr>
      <t>[kg]</t>
    </r>
  </si>
  <si>
    <r>
      <t>T</t>
    </r>
    <r>
      <rPr>
        <vertAlign val="subscript"/>
        <sz val="11"/>
        <color rgb="FF000000"/>
        <rFont val="Times New Roman"/>
        <family val="1"/>
      </rPr>
      <t>LO</t>
    </r>
    <r>
      <rPr>
        <sz val="11"/>
        <color rgb="FF000000"/>
        <rFont val="Times New Roman"/>
        <family val="1"/>
      </rPr>
      <t xml:space="preserve"> [kg]</t>
    </r>
  </si>
  <si>
    <r>
      <t>T</t>
    </r>
    <r>
      <rPr>
        <sz val="8"/>
        <color theme="1"/>
        <rFont val="Times New Roman"/>
        <family val="1"/>
      </rPr>
      <t xml:space="preserve">obs </t>
    </r>
    <r>
      <rPr>
        <sz val="11"/>
        <color theme="1"/>
        <rFont val="Times New Roman"/>
        <family val="1"/>
      </rPr>
      <t>[kg]</t>
    </r>
  </si>
  <si>
    <r>
      <t>D</t>
    </r>
    <r>
      <rPr>
        <sz val="8"/>
        <color theme="1"/>
        <rFont val="Times New Roman"/>
        <family val="1"/>
      </rPr>
      <t xml:space="preserve">obs </t>
    </r>
    <r>
      <rPr>
        <sz val="11"/>
        <color theme="1"/>
        <rFont val="Times New Roman"/>
        <family val="1"/>
      </rPr>
      <t>[kg]</t>
    </r>
  </si>
  <si>
    <r>
      <t> </t>
    </r>
    <r>
      <rPr>
        <sz val="11"/>
        <color theme="1"/>
        <rFont val="cmr10"/>
        <family val="2"/>
      </rPr>
      <t>MTOW [kg]</t>
    </r>
  </si>
  <si>
    <t>Take-Off</t>
  </si>
  <si>
    <t>Sg [m]</t>
  </si>
  <si>
    <t>Sga [m]</t>
  </si>
  <si>
    <t>Sgr [m]</t>
  </si>
  <si>
    <t>Height</t>
  </si>
  <si>
    <t>sea level</t>
  </si>
  <si>
    <t>5000ft</t>
  </si>
  <si>
    <t>σ</t>
  </si>
  <si>
    <t>v</t>
  </si>
  <si>
    <t>V air</t>
  </si>
  <si>
    <t>T max</t>
  </si>
  <si>
    <t>D</t>
  </si>
  <si>
    <t>D max</t>
  </si>
  <si>
    <t>Mach</t>
  </si>
  <si>
    <t>sep</t>
  </si>
  <si>
    <t>mach</t>
  </si>
  <si>
    <t>T-D</t>
  </si>
  <si>
    <t>T/To</t>
  </si>
  <si>
    <t>v knots</t>
  </si>
  <si>
    <t>v m/s</t>
  </si>
  <si>
    <t>Cl</t>
  </si>
  <si>
    <t>T</t>
  </si>
  <si>
    <t>V ave</t>
  </si>
  <si>
    <t>SFC</t>
  </si>
  <si>
    <t>FF</t>
  </si>
  <si>
    <t>SEP</t>
  </si>
  <si>
    <t>Mass</t>
  </si>
  <si>
    <t>Ave SEP</t>
  </si>
  <si>
    <t>Time [s]</t>
  </si>
  <si>
    <t>Distance [m]</t>
  </si>
  <si>
    <t>Fuel used</t>
  </si>
  <si>
    <t>SEP ft/min</t>
  </si>
  <si>
    <t>Thrust</t>
  </si>
  <si>
    <t>Altitude</t>
  </si>
  <si>
    <t>Max thrust plot</t>
  </si>
  <si>
    <t>Max thrust</t>
  </si>
  <si>
    <t>Speed</t>
  </si>
  <si>
    <t>Max thrust vs speed vs altitude</t>
  </si>
  <si>
    <t>Best cruise plot</t>
  </si>
  <si>
    <t>velocity</t>
  </si>
  <si>
    <t>Drag</t>
  </si>
  <si>
    <t>Range nm</t>
  </si>
  <si>
    <t>FF ave</t>
  </si>
  <si>
    <t>Cruise performance</t>
  </si>
  <si>
    <t>cruise velocity [m/s]</t>
  </si>
  <si>
    <t>Mass A</t>
  </si>
  <si>
    <t>Mass between A-B</t>
  </si>
  <si>
    <t xml:space="preserve"> Mass B</t>
  </si>
  <si>
    <t>Drag=Thrust [kg]</t>
  </si>
  <si>
    <t>endurance</t>
  </si>
  <si>
    <t>Endurance</t>
  </si>
  <si>
    <t>Range [km]</t>
  </si>
  <si>
    <t>Range [nm]</t>
  </si>
  <si>
    <t>Range km</t>
  </si>
  <si>
    <t>Fuel used [kg] climb</t>
  </si>
  <si>
    <t>Mission Fuel [kg]</t>
  </si>
  <si>
    <t xml:space="preserve"> Fuel avail [kg]</t>
  </si>
  <si>
    <t>Load factor</t>
  </si>
  <si>
    <t>Input data for V-N Diagram</t>
  </si>
  <si>
    <t>Sref</t>
  </si>
  <si>
    <t>AR</t>
  </si>
  <si>
    <t>e</t>
  </si>
  <si>
    <t>Cdo</t>
  </si>
  <si>
    <t>Z</t>
  </si>
  <si>
    <t>Sigma</t>
  </si>
  <si>
    <t>Vsound</t>
  </si>
  <si>
    <t>Clmax</t>
  </si>
  <si>
    <t>Load Factor</t>
  </si>
  <si>
    <t>kg</t>
  </si>
  <si>
    <t>m^2</t>
  </si>
  <si>
    <t>ft</t>
  </si>
  <si>
    <t>kts</t>
  </si>
  <si>
    <t>V [m/s]</t>
  </si>
  <si>
    <t>R [m]</t>
  </si>
  <si>
    <t>Omega [deg/s]</t>
  </si>
  <si>
    <t>Y/N</t>
  </si>
  <si>
    <t>D [kg]</t>
  </si>
  <si>
    <t>SEP [ft/min]</t>
  </si>
  <si>
    <t>V-N and SEP chart</t>
  </si>
  <si>
    <t>0.15MAC</t>
  </si>
  <si>
    <t>0.25MAC</t>
  </si>
  <si>
    <t>0.35MAC</t>
  </si>
  <si>
    <t>ho=0.40MAC</t>
  </si>
  <si>
    <t>MAC</t>
  </si>
  <si>
    <t>SHT</t>
  </si>
  <si>
    <t>lt</t>
  </si>
  <si>
    <t>Vt</t>
  </si>
  <si>
    <t>Cmo</t>
  </si>
  <si>
    <t>Clt</t>
  </si>
  <si>
    <t>Cmcg</t>
  </si>
  <si>
    <t>1000ft</t>
  </si>
  <si>
    <t>2000ft</t>
  </si>
  <si>
    <t>3000ft</t>
  </si>
  <si>
    <t>4000ft</t>
  </si>
  <si>
    <t>6000ft</t>
  </si>
  <si>
    <r>
      <t>CT int Airport 38</t>
    </r>
    <r>
      <rPr>
        <sz val="11"/>
        <color theme="1"/>
        <rFont val="Calibri"/>
        <family val="2"/>
      </rPr>
      <t>°</t>
    </r>
  </si>
  <si>
    <r>
      <t>KNP Airport 38</t>
    </r>
    <r>
      <rPr>
        <sz val="11"/>
        <color theme="1"/>
        <rFont val="Calibri"/>
        <family val="2"/>
      </rPr>
      <t>°</t>
    </r>
  </si>
  <si>
    <t>KNP Air 38°</t>
  </si>
  <si>
    <t>CT Int Air 38°</t>
  </si>
  <si>
    <t>REQUIREMENTS</t>
  </si>
  <si>
    <t>Climb rate must be greater than 2000 ft/min.</t>
  </si>
  <si>
    <t>Minimum cruise flight range must be at least 2000 km.</t>
  </si>
  <si>
    <t>Take-off and landing distance of below 1200 m.</t>
  </si>
  <si>
    <t>Value required</t>
  </si>
  <si>
    <t>Results</t>
  </si>
  <si>
    <t>%</t>
  </si>
  <si>
    <t>Radius of turn should be more than 120 m.(average)</t>
  </si>
  <si>
    <t>Load factor of less than 3 during loitering. (average)</t>
  </si>
  <si>
    <t>requirements</t>
  </si>
  <si>
    <t>Constraints</t>
  </si>
  <si>
    <t>Criteria</t>
  </si>
  <si>
    <t>Maintain aircraft structural integrity.</t>
  </si>
  <si>
    <t>Low maximum take-off weight.</t>
  </si>
  <si>
    <t>Luxury Cabin.</t>
  </si>
  <si>
    <t xml:space="preserve"> High wing configuration. (100% or 0%)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</si>
  <si>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>Low flying capability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</si>
  <si>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>Low noise engine retrofit</t>
    </r>
  </si>
  <si>
    <t>Aircraft should be popular in the African market.</t>
  </si>
  <si>
    <t>Aircraft first release should be at least 30 years old.</t>
  </si>
  <si>
    <t>Flight mission should adhere to area flight regulations.</t>
  </si>
  <si>
    <t>Engine retrofit with low fuel consumption.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</si>
</sst>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E+00"/>
    <numFmt numFmtId="165" formatCode="0.00000"/>
    <numFmt numFmtId="166" formatCode="0.000"/>
    <numFmt numFmtId="167" formatCode="0.0000"/>
    <numFmt numFmtId="172" formatCode="0.0"/>
  </numFmts>
  <fonts count="14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8"/>
      <color theme="1"/>
      <name val="Times New Roman"/>
      <family val="1"/>
    </font>
    <font>
      <vertAlign val="subscript"/>
      <sz val="11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color theme="1"/>
      <name val="cmr10"/>
      <family val="2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theme="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119">
    <xf numFmtId="0" fontId="0" fillId="0" borderId="0" xfId="0"/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2" fillId="0" borderId="5" xfId="0" applyFont="1" applyBorder="1"/>
    <xf numFmtId="0" fontId="2" fillId="0" borderId="1" xfId="0" applyFont="1" applyBorder="1"/>
    <xf numFmtId="0" fontId="2" fillId="0" borderId="6" xfId="0" applyFont="1" applyBorder="1"/>
    <xf numFmtId="0" fontId="1" fillId="0" borderId="7" xfId="0" applyFont="1" applyBorder="1" applyAlignment="1">
      <alignment horizontal="center" vertical="center" wrapText="1"/>
    </xf>
    <xf numFmtId="164" fontId="2" fillId="0" borderId="1" xfId="0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165" fontId="0" fillId="0" borderId="1" xfId="0" applyNumberFormat="1" applyBorder="1"/>
    <xf numFmtId="0" fontId="0" fillId="0" borderId="7" xfId="0" applyBorder="1"/>
    <xf numFmtId="0" fontId="0" fillId="0" borderId="15" xfId="0" applyBorder="1"/>
    <xf numFmtId="0" fontId="4" fillId="0" borderId="5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6" fillId="0" borderId="18" xfId="0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6" fillId="0" borderId="31" xfId="0" applyFont="1" applyBorder="1" applyAlignment="1">
      <alignment vertical="center"/>
    </xf>
    <xf numFmtId="0" fontId="9" fillId="0" borderId="31" xfId="0" applyFont="1" applyBorder="1" applyAlignment="1">
      <alignment vertical="center"/>
    </xf>
    <xf numFmtId="2" fontId="6" fillId="0" borderId="18" xfId="0" applyNumberFormat="1" applyFont="1" applyBorder="1" applyAlignment="1">
      <alignment vertical="center"/>
    </xf>
    <xf numFmtId="2" fontId="9" fillId="0" borderId="18" xfId="0" applyNumberFormat="1" applyFont="1" applyBorder="1" applyAlignment="1">
      <alignment vertical="center"/>
    </xf>
    <xf numFmtId="0" fontId="0" fillId="0" borderId="0" xfId="0" applyBorder="1"/>
    <xf numFmtId="0" fontId="5" fillId="0" borderId="7" xfId="0" applyFont="1" applyFill="1" applyBorder="1"/>
    <xf numFmtId="0" fontId="4" fillId="0" borderId="1" xfId="0" applyFont="1" applyBorder="1"/>
    <xf numFmtId="0" fontId="0" fillId="0" borderId="1" xfId="0" applyFill="1" applyBorder="1"/>
    <xf numFmtId="0" fontId="0" fillId="4" borderId="35" xfId="0" applyFill="1" applyBorder="1"/>
    <xf numFmtId="0" fontId="0" fillId="4" borderId="36" xfId="0" applyFill="1" applyBorder="1"/>
    <xf numFmtId="0" fontId="0" fillId="4" borderId="15" xfId="0" applyFill="1" applyBorder="1"/>
    <xf numFmtId="0" fontId="0" fillId="4" borderId="33" xfId="0" applyFill="1" applyBorder="1"/>
    <xf numFmtId="0" fontId="0" fillId="4" borderId="37" xfId="0" applyFill="1" applyBorder="1"/>
    <xf numFmtId="0" fontId="0" fillId="4" borderId="18" xfId="0" applyFill="1" applyBorder="1"/>
    <xf numFmtId="0" fontId="0" fillId="7" borderId="1" xfId="0" applyFill="1" applyBorder="1"/>
    <xf numFmtId="0" fontId="1" fillId="0" borderId="0" xfId="0" applyFont="1" applyBorder="1" applyAlignment="1">
      <alignment vertical="center"/>
    </xf>
    <xf numFmtId="0" fontId="2" fillId="0" borderId="0" xfId="0" applyFont="1" applyBorder="1"/>
    <xf numFmtId="164" fontId="2" fillId="0" borderId="0" xfId="0" applyNumberFormat="1" applyFont="1" applyBorder="1"/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165" fontId="0" fillId="0" borderId="0" xfId="0" applyNumberFormat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3" borderId="1" xfId="0" applyFill="1" applyBorder="1"/>
    <xf numFmtId="0" fontId="0" fillId="13" borderId="1" xfId="0" applyFill="1" applyBorder="1"/>
    <xf numFmtId="0" fontId="0" fillId="10" borderId="0" xfId="0" applyFill="1"/>
    <xf numFmtId="0" fontId="0" fillId="10" borderId="0" xfId="0" applyFill="1" applyBorder="1"/>
    <xf numFmtId="0" fontId="0" fillId="4" borderId="1" xfId="0" applyFill="1" applyBorder="1"/>
    <xf numFmtId="2" fontId="0" fillId="4" borderId="1" xfId="0" applyNumberFormat="1" applyFill="1" applyBorder="1"/>
    <xf numFmtId="0" fontId="0" fillId="0" borderId="38" xfId="0" applyBorder="1"/>
    <xf numFmtId="166" fontId="0" fillId="0" borderId="1" xfId="0" applyNumberFormat="1" applyBorder="1"/>
    <xf numFmtId="166" fontId="0" fillId="0" borderId="6" xfId="0" applyNumberFormat="1" applyBorder="1"/>
    <xf numFmtId="166" fontId="0" fillId="0" borderId="8" xfId="0" applyNumberFormat="1" applyBorder="1"/>
    <xf numFmtId="166" fontId="0" fillId="0" borderId="9" xfId="0" applyNumberFormat="1" applyBorder="1"/>
    <xf numFmtId="167" fontId="0" fillId="0" borderId="1" xfId="0" applyNumberFormat="1" applyBorder="1"/>
    <xf numFmtId="167" fontId="0" fillId="0" borderId="21" xfId="0" applyNumberFormat="1" applyBorder="1"/>
    <xf numFmtId="167" fontId="0" fillId="0" borderId="8" xfId="0" applyNumberFormat="1" applyBorder="1"/>
    <xf numFmtId="167" fontId="0" fillId="0" borderId="9" xfId="0" applyNumberFormat="1" applyBorder="1"/>
    <xf numFmtId="1" fontId="5" fillId="0" borderId="8" xfId="0" applyNumberFormat="1" applyFont="1" applyFill="1" applyBorder="1"/>
    <xf numFmtId="1" fontId="5" fillId="0" borderId="9" xfId="0" applyNumberFormat="1" applyFont="1" applyFill="1" applyBorder="1"/>
    <xf numFmtId="166" fontId="0" fillId="0" borderId="33" xfId="0" applyNumberFormat="1" applyBorder="1"/>
    <xf numFmtId="0" fontId="6" fillId="14" borderId="18" xfId="0" applyFont="1" applyFill="1" applyBorder="1" applyAlignment="1">
      <alignment vertical="center"/>
    </xf>
    <xf numFmtId="2" fontId="0" fillId="0" borderId="1" xfId="0" applyNumberFormat="1" applyBorder="1"/>
    <xf numFmtId="0" fontId="3" fillId="0" borderId="1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6" fillId="14" borderId="32" xfId="0" applyFont="1" applyFill="1" applyBorder="1" applyAlignment="1">
      <alignment horizontal="center" vertical="center"/>
    </xf>
    <xf numFmtId="0" fontId="6" fillId="14" borderId="30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6" fillId="14" borderId="28" xfId="0" applyFont="1" applyFill="1" applyBorder="1" applyAlignment="1">
      <alignment vertical="center"/>
    </xf>
    <xf numFmtId="0" fontId="6" fillId="14" borderId="29" xfId="0" applyFont="1" applyFill="1" applyBorder="1" applyAlignment="1">
      <alignment vertical="center"/>
    </xf>
    <xf numFmtId="0" fontId="6" fillId="14" borderId="12" xfId="0" applyFont="1" applyFill="1" applyBorder="1" applyAlignment="1">
      <alignment horizontal="center" vertical="center"/>
    </xf>
    <xf numFmtId="1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1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72" fontId="0" fillId="0" borderId="6" xfId="0" applyNumberFormat="1" applyBorder="1"/>
    <xf numFmtId="172" fontId="0" fillId="0" borderId="9" xfId="0" applyNumberForma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9" fontId="0" fillId="0" borderId="0" xfId="1" applyFont="1"/>
    <xf numFmtId="0" fontId="2" fillId="0" borderId="0" xfId="0" applyFont="1" applyAlignment="1">
      <alignment horizontal="justify" vertical="center"/>
    </xf>
    <xf numFmtId="0" fontId="0" fillId="15" borderId="1" xfId="0" applyFill="1" applyBorder="1"/>
    <xf numFmtId="0" fontId="0" fillId="15" borderId="1" xfId="0" applyFill="1" applyBorder="1" applyAlignment="1">
      <alignment horizontal="center"/>
    </xf>
    <xf numFmtId="0" fontId="0" fillId="16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Cd clean</c:v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Sheet1!$R$8:$R$16</c:f>
              <c:numCache>
                <c:formatCode>0.00000</c:formatCode>
                <c:ptCount val="9"/>
                <c:pt idx="0">
                  <c:v>1.7732464999999999E-2</c:v>
                </c:pt>
                <c:pt idx="1">
                  <c:v>2.0658107336248076E-2</c:v>
                </c:pt>
                <c:pt idx="2">
                  <c:v>2.9435034344992304E-2</c:v>
                </c:pt>
                <c:pt idx="3">
                  <c:v>4.4063246026232683E-2</c:v>
                </c:pt>
                <c:pt idx="4">
                  <c:v>6.4542742379969223E-2</c:v>
                </c:pt>
                <c:pt idx="5">
                  <c:v>0.10948060866473966</c:v>
                </c:pt>
                <c:pt idx="6">
                  <c:v>0.13756677509272122</c:v>
                </c:pt>
                <c:pt idx="7">
                  <c:v>0.18760813186884279</c:v>
                </c:pt>
                <c:pt idx="8">
                  <c:v>0.20497357451987688</c:v>
                </c:pt>
              </c:numCache>
            </c:numRef>
          </c:xVal>
          <c:yVal>
            <c:numRef>
              <c:f>Sheet1!$Q$8:$Q$16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1.4</c:v>
                </c:pt>
                <c:pt idx="6">
                  <c:v>1.6</c:v>
                </c:pt>
                <c:pt idx="7">
                  <c:v>1.905</c:v>
                </c:pt>
                <c:pt idx="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89-499B-B34B-1B275E55E807}"/>
            </c:ext>
          </c:extLst>
        </c:ser>
        <c:ser>
          <c:idx val="1"/>
          <c:order val="1"/>
          <c:tx>
            <c:v>Cd take-off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Sheet1!$S$8:$S$16</c:f>
              <c:numCache>
                <c:formatCode>General</c:formatCode>
                <c:ptCount val="9"/>
                <c:pt idx="0">
                  <c:v>6.5251000000000003E-2</c:v>
                </c:pt>
                <c:pt idx="1">
                  <c:v>6.8176642336248081E-2</c:v>
                </c:pt>
                <c:pt idx="2">
                  <c:v>7.6953569344992312E-2</c:v>
                </c:pt>
                <c:pt idx="3">
                  <c:v>9.1581781026232684E-2</c:v>
                </c:pt>
                <c:pt idx="4">
                  <c:v>0.11206127737996922</c:v>
                </c:pt>
                <c:pt idx="5">
                  <c:v>0.15699914366473966</c:v>
                </c:pt>
                <c:pt idx="6">
                  <c:v>0.18508531009272122</c:v>
                </c:pt>
                <c:pt idx="7">
                  <c:v>0.23512666686884279</c:v>
                </c:pt>
                <c:pt idx="8">
                  <c:v>0.25249210951987688</c:v>
                </c:pt>
              </c:numCache>
            </c:numRef>
          </c:xVal>
          <c:yVal>
            <c:numRef>
              <c:f>Sheet1!$T$8:$T$16</c:f>
              <c:numCache>
                <c:formatCode>General</c:formatCode>
                <c:ptCount val="9"/>
                <c:pt idx="0">
                  <c:v>0.489564</c:v>
                </c:pt>
                <c:pt idx="1">
                  <c:v>0.739564</c:v>
                </c:pt>
                <c:pt idx="2">
                  <c:v>0.989564</c:v>
                </c:pt>
                <c:pt idx="3">
                  <c:v>1.2395640000000001</c:v>
                </c:pt>
                <c:pt idx="4">
                  <c:v>1.4895640000000001</c:v>
                </c:pt>
                <c:pt idx="5">
                  <c:v>1.889564</c:v>
                </c:pt>
                <c:pt idx="6">
                  <c:v>2.0895640000000002</c:v>
                </c:pt>
                <c:pt idx="7">
                  <c:v>2.3945639999999999</c:v>
                </c:pt>
                <c:pt idx="8">
                  <c:v>2.4895640000000001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89-499B-B34B-1B275E55E807}"/>
            </c:ext>
          </c:extLst>
        </c:ser>
        <c:ser>
          <c:idx val="2"/>
          <c:order val="2"/>
          <c:tx>
            <c:v>Cd landing</c:v>
          </c:tx>
          <c:spPr>
            <a:ln w="19050" cap="rnd">
              <a:solidFill>
                <a:schemeClr val="tx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Sheet1!$V$8:$V$16</c:f>
              <c:numCache>
                <c:formatCode>General</c:formatCode>
                <c:ptCount val="9"/>
                <c:pt idx="0">
                  <c:v>0.19812305498274885</c:v>
                </c:pt>
                <c:pt idx="1">
                  <c:v>0.22396466861036085</c:v>
                </c:pt>
                <c:pt idx="2">
                  <c:v>0.25565756691046898</c:v>
                </c:pt>
                <c:pt idx="3">
                  <c:v>0.29320174988307329</c:v>
                </c:pt>
                <c:pt idx="4">
                  <c:v>0.33659721752817373</c:v>
                </c:pt>
                <c:pt idx="5">
                  <c:v>0.41820063787912642</c:v>
                </c:pt>
                <c:pt idx="6">
                  <c:v>0.46461958134019921</c:v>
                </c:pt>
                <c:pt idx="7">
                  <c:v>0.54261842309178476</c:v>
                </c:pt>
                <c:pt idx="8">
                  <c:v>0.56869193483353708</c:v>
                </c:pt>
              </c:numCache>
            </c:numRef>
          </c:xVal>
          <c:yVal>
            <c:numRef>
              <c:f>Sheet1!$U$8:$U$16</c:f>
              <c:numCache>
                <c:formatCode>General</c:formatCode>
                <c:ptCount val="9"/>
                <c:pt idx="0">
                  <c:v>0.97909999999999997</c:v>
                </c:pt>
                <c:pt idx="1">
                  <c:v>1.2290999999999999</c:v>
                </c:pt>
                <c:pt idx="2">
                  <c:v>1.4790999999999999</c:v>
                </c:pt>
                <c:pt idx="3">
                  <c:v>1.7290999999999999</c:v>
                </c:pt>
                <c:pt idx="4">
                  <c:v>1.9790999999999999</c:v>
                </c:pt>
                <c:pt idx="5">
                  <c:v>2.3790999999999998</c:v>
                </c:pt>
                <c:pt idx="6">
                  <c:v>2.5790999999999999</c:v>
                </c:pt>
                <c:pt idx="7">
                  <c:v>2.8841000000000001</c:v>
                </c:pt>
                <c:pt idx="8">
                  <c:v>2.9790999999999999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89-499B-B34B-1B275E55E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704600"/>
        <c:axId val="398705776"/>
      </c:scatterChart>
      <c:valAx>
        <c:axId val="398704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05776"/>
        <c:crosses val="autoZero"/>
        <c:crossBetween val="midCat"/>
      </c:valAx>
      <c:valAx>
        <c:axId val="398705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04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119548915380785"/>
          <c:y val="0.46852674528359173"/>
          <c:w val="0.18083691472021707"/>
          <c:h val="0.1532543505636478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18760130500787"/>
          <c:y val="7.1824146981627313E-2"/>
          <c:w val="0.38487170860667907"/>
          <c:h val="0.8515583989501311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Sheet4!$L$21:$L$25</c:f>
              <c:strCache>
                <c:ptCount val="5"/>
                <c:pt idx="0">
                  <c:v> Low flying capability</c:v>
                </c:pt>
                <c:pt idx="1">
                  <c:v> Low noise engine retrofit</c:v>
                </c:pt>
                <c:pt idx="2">
                  <c:v>Maintain aircraft structural integrity.</c:v>
                </c:pt>
                <c:pt idx="3">
                  <c:v>Low maximum take-off weight.</c:v>
                </c:pt>
                <c:pt idx="4">
                  <c:v>Luxury Cabin.</c:v>
                </c:pt>
              </c:strCache>
            </c:strRef>
          </c:cat>
          <c:val>
            <c:numRef>
              <c:f>Sheet4!$M$21:$M$25</c:f>
              <c:numCache>
                <c:formatCode>0%</c:formatCode>
                <c:ptCount val="5"/>
                <c:pt idx="0">
                  <c:v>1</c:v>
                </c:pt>
                <c:pt idx="1">
                  <c:v>0.4</c:v>
                </c:pt>
                <c:pt idx="2">
                  <c:v>1</c:v>
                </c:pt>
                <c:pt idx="3">
                  <c:v>0.2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CF-406D-AE83-FBE8D1F63AC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415372692041679"/>
          <c:y val="5.4975211431904356E-2"/>
          <c:w val="0.38919905323993143"/>
          <c:h val="0.870950714494021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4394771032967702E-2"/>
          <c:y val="4.1666666666666664E-2"/>
          <c:w val="0.43118615161284796"/>
          <c:h val="0.870024788568095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Sheet4!$L$29:$L$32</c:f>
              <c:strCache>
                <c:ptCount val="4"/>
                <c:pt idx="0">
                  <c:v>Aircraft should be popular in the African market.</c:v>
                </c:pt>
                <c:pt idx="1">
                  <c:v>Aircraft first release should be at least 30 years old.</c:v>
                </c:pt>
                <c:pt idx="2">
                  <c:v>Flight mission should adhere to area flight regulations.</c:v>
                </c:pt>
                <c:pt idx="3">
                  <c:v>Engine retrofit with low fuel consumption.</c:v>
                </c:pt>
              </c:strCache>
            </c:strRef>
          </c:cat>
          <c:val>
            <c:numRef>
              <c:f>Sheet4!$M$29:$M$32</c:f>
              <c:numCache>
                <c:formatCode>0%</c:formatCode>
                <c:ptCount val="4"/>
                <c:pt idx="0">
                  <c:v>0.9</c:v>
                </c:pt>
                <c:pt idx="1">
                  <c:v>1</c:v>
                </c:pt>
                <c:pt idx="2">
                  <c:v>0.7</c:v>
                </c:pt>
                <c:pt idx="3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3-4731-BEE8-8BED2E95AE3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728165807690375"/>
          <c:y val="0.12499781277340333"/>
          <c:w val="0.47992578253089158"/>
          <c:h val="0.755788130650335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499999999999994E-2"/>
          <c:y val="0.25495479731700205"/>
          <c:w val="0.81388888888888888"/>
          <c:h val="0.6804833770778652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Sheet4!$J$25:$J$27</c:f>
              <c:strCache>
                <c:ptCount val="3"/>
                <c:pt idx="0">
                  <c:v>requirements</c:v>
                </c:pt>
                <c:pt idx="1">
                  <c:v>Constraints</c:v>
                </c:pt>
                <c:pt idx="2">
                  <c:v>Criteria</c:v>
                </c:pt>
              </c:strCache>
            </c:strRef>
          </c:cat>
          <c:val>
            <c:numRef>
              <c:f>Sheet4!$K$25:$K$27</c:f>
              <c:numCache>
                <c:formatCode>0%</c:formatCode>
                <c:ptCount val="3"/>
                <c:pt idx="0">
                  <c:v>0.6</c:v>
                </c:pt>
                <c:pt idx="1">
                  <c:v>0.35</c:v>
                </c:pt>
                <c:pt idx="2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4-4073-9BED-7E48F35C724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005839895013124"/>
          <c:y val="0.10243000874890641"/>
          <c:w val="0.4932165354330708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10799254931842"/>
          <c:y val="4.4715447154471545E-2"/>
          <c:w val="0.77445430512521685"/>
          <c:h val="0.79512557634129011"/>
        </c:manualLayout>
      </c:layout>
      <c:scatterChart>
        <c:scatterStyle val="smoothMarker"/>
        <c:varyColors val="0"/>
        <c:ser>
          <c:idx val="0"/>
          <c:order val="0"/>
          <c:tx>
            <c:v>T-D</c:v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Sheet2!$E$36:$I$36</c:f>
              <c:numCache>
                <c:formatCode>General</c:formatCode>
                <c:ptCount val="5"/>
                <c:pt idx="0">
                  <c:v>0.15070787029989344</c:v>
                </c:pt>
                <c:pt idx="1">
                  <c:v>0.20164986251145736</c:v>
                </c:pt>
                <c:pt idx="2">
                  <c:v>0.25295109612141653</c:v>
                </c:pt>
                <c:pt idx="3">
                  <c:v>0.30461538461538462</c:v>
                </c:pt>
                <c:pt idx="4">
                  <c:v>0.35664659564613244</c:v>
                </c:pt>
              </c:numCache>
            </c:numRef>
          </c:xVal>
          <c:yVal>
            <c:numRef>
              <c:f>Sheet2!$E$44:$I$44</c:f>
              <c:numCache>
                <c:formatCode>General</c:formatCode>
                <c:ptCount val="5"/>
                <c:pt idx="0">
                  <c:v>288.16072706968157</c:v>
                </c:pt>
                <c:pt idx="1">
                  <c:v>507.90523319931873</c:v>
                </c:pt>
                <c:pt idx="2">
                  <c:v>532.87714691543022</c:v>
                </c:pt>
                <c:pt idx="3">
                  <c:v>535.51253837343825</c:v>
                </c:pt>
                <c:pt idx="4">
                  <c:v>521.85859348675535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79-4F51-B8D2-9A6DBA898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704992"/>
        <c:axId val="398703816"/>
      </c:scatterChart>
      <c:scatterChart>
        <c:scatterStyle val="smoothMarker"/>
        <c:varyColors val="0"/>
        <c:ser>
          <c:idx val="1"/>
          <c:order val="1"/>
          <c:tx>
            <c:v>SEP</c:v>
          </c:tx>
          <c:spPr>
            <a:ln w="158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Sheet2!$E$36:$I$36</c:f>
              <c:numCache>
                <c:formatCode>General</c:formatCode>
                <c:ptCount val="5"/>
                <c:pt idx="0">
                  <c:v>0.15070787029989344</c:v>
                </c:pt>
                <c:pt idx="1">
                  <c:v>0.20164986251145736</c:v>
                </c:pt>
                <c:pt idx="2">
                  <c:v>0.25295109612141653</c:v>
                </c:pt>
                <c:pt idx="3">
                  <c:v>0.30461538461538462</c:v>
                </c:pt>
                <c:pt idx="4">
                  <c:v>0.35664659564613244</c:v>
                </c:pt>
              </c:numCache>
            </c:numRef>
          </c:xVal>
          <c:yVal>
            <c:numRef>
              <c:f>Sheet2!$E$53:$I$53</c:f>
              <c:numCache>
                <c:formatCode>General</c:formatCode>
                <c:ptCount val="5"/>
                <c:pt idx="0">
                  <c:v>703.35147022258082</c:v>
                </c:pt>
                <c:pt idx="1">
                  <c:v>1652.9473956530219</c:v>
                </c:pt>
                <c:pt idx="2">
                  <c:v>2167.7712558909861</c:v>
                </c:pt>
                <c:pt idx="3">
                  <c:v>2614.1905943796673</c:v>
                </c:pt>
                <c:pt idx="4">
                  <c:v>2972.1261105080839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79-4F51-B8D2-9A6DBA898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702248"/>
        <c:axId val="398706952"/>
      </c:scatterChart>
      <c:valAx>
        <c:axId val="398704992"/>
        <c:scaling>
          <c:orientation val="minMax"/>
          <c:min val="0.1200000000000000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Mach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03816"/>
        <c:crosses val="autoZero"/>
        <c:crossBetween val="midCat"/>
      </c:valAx>
      <c:valAx>
        <c:axId val="398703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T-D [kg]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04992"/>
        <c:crosses val="autoZero"/>
        <c:crossBetween val="midCat"/>
      </c:valAx>
      <c:valAx>
        <c:axId val="3987069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SEP [ft/min]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02248"/>
        <c:crosses val="max"/>
        <c:crossBetween val="midCat"/>
      </c:valAx>
      <c:valAx>
        <c:axId val="398702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8706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590073623468542"/>
          <c:y val="0.62374520260399136"/>
          <c:w val="0.17955803178032348"/>
          <c:h val="0.196679477937149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Sheet2!$P$42:$V$42</c:f>
              <c:numCache>
                <c:formatCode>General</c:formatCode>
                <c:ptCount val="7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</c:numCache>
            </c:numRef>
          </c:xVal>
          <c:yVal>
            <c:numRef>
              <c:f>Sheet2!$P$43:$V$43</c:f>
              <c:numCache>
                <c:formatCode>General</c:formatCode>
                <c:ptCount val="7"/>
                <c:pt idx="0">
                  <c:v>763.875</c:v>
                </c:pt>
                <c:pt idx="1">
                  <c:v>741.7990125</c:v>
                </c:pt>
                <c:pt idx="2">
                  <c:v>720.18134999999995</c:v>
                </c:pt>
                <c:pt idx="3">
                  <c:v>699.02201249999996</c:v>
                </c:pt>
                <c:pt idx="4">
                  <c:v>678.39738749999992</c:v>
                </c:pt>
                <c:pt idx="5">
                  <c:v>658.23108749999994</c:v>
                </c:pt>
                <c:pt idx="6">
                  <c:v>638.52311249999991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CE-4621-BADB-1EEC4A15F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704208"/>
        <c:axId val="398707344"/>
      </c:scatterChart>
      <c:valAx>
        <c:axId val="39870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Altitude</a:t>
                </a:r>
                <a:r>
                  <a:rPr lang="en-GB" baseline="0"/>
                  <a:t> [ft]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07344"/>
        <c:crosses val="autoZero"/>
        <c:crossBetween val="midCat"/>
      </c:valAx>
      <c:valAx>
        <c:axId val="398707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 Thrust</a:t>
                </a:r>
                <a:r>
                  <a:rPr lang="en-GB" baseline="0"/>
                  <a:t> [kg]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0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35717964051963"/>
          <c:y val="5.0925925925925923E-2"/>
          <c:w val="0.74178211900727586"/>
          <c:h val="0.79296726067136325"/>
        </c:manualLayout>
      </c:layout>
      <c:scatterChart>
        <c:scatterStyle val="smoothMarker"/>
        <c:varyColors val="0"/>
        <c:ser>
          <c:idx val="0"/>
          <c:order val="0"/>
          <c:tx>
            <c:v>T vs speed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Sheet2!$P$47:$V$47</c:f>
              <c:numCache>
                <c:formatCode>General</c:formatCode>
                <c:ptCount val="7"/>
                <c:pt idx="0">
                  <c:v>0</c:v>
                </c:pt>
                <c:pt idx="1">
                  <c:v>66</c:v>
                </c:pt>
                <c:pt idx="2">
                  <c:v>99</c:v>
                </c:pt>
                <c:pt idx="3">
                  <c:v>132</c:v>
                </c:pt>
                <c:pt idx="4">
                  <c:v>165</c:v>
                </c:pt>
                <c:pt idx="5">
                  <c:v>198</c:v>
                </c:pt>
                <c:pt idx="6">
                  <c:v>231</c:v>
                </c:pt>
              </c:numCache>
            </c:numRef>
          </c:xVal>
          <c:yVal>
            <c:numRef>
              <c:f>Sheet2!$P$46:$V$46</c:f>
              <c:numCache>
                <c:formatCode>General</c:formatCode>
                <c:ptCount val="7"/>
                <c:pt idx="0">
                  <c:v>882</c:v>
                </c:pt>
                <c:pt idx="1">
                  <c:v>795.33090000000004</c:v>
                </c:pt>
                <c:pt idx="2">
                  <c:v>729.72719999999993</c:v>
                </c:pt>
                <c:pt idx="3">
                  <c:v>658.87200000000007</c:v>
                </c:pt>
                <c:pt idx="4">
                  <c:v>591.47460000000001</c:v>
                </c:pt>
                <c:pt idx="5">
                  <c:v>550.6262999999999</c:v>
                </c:pt>
                <c:pt idx="6">
                  <c:v>511.57080000000002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DC-479F-B646-7DD061680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701464"/>
        <c:axId val="398702640"/>
      </c:scatterChart>
      <c:scatterChart>
        <c:scatterStyle val="smoothMarker"/>
        <c:varyColors val="0"/>
        <c:ser>
          <c:idx val="1"/>
          <c:order val="1"/>
          <c:tx>
            <c:v>Altitude vs speed</c:v>
          </c:tx>
          <c:spPr>
            <a:ln w="19050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Sheet2!$P$47:$V$47</c:f>
              <c:numCache>
                <c:formatCode>General</c:formatCode>
                <c:ptCount val="7"/>
                <c:pt idx="0">
                  <c:v>0</c:v>
                </c:pt>
                <c:pt idx="1">
                  <c:v>66</c:v>
                </c:pt>
                <c:pt idx="2">
                  <c:v>99</c:v>
                </c:pt>
                <c:pt idx="3">
                  <c:v>132</c:v>
                </c:pt>
                <c:pt idx="4">
                  <c:v>165</c:v>
                </c:pt>
                <c:pt idx="5">
                  <c:v>198</c:v>
                </c:pt>
                <c:pt idx="6">
                  <c:v>231</c:v>
                </c:pt>
              </c:numCache>
            </c:numRef>
          </c:xVal>
          <c:yVal>
            <c:numRef>
              <c:f>Sheet2!$P$48:$V$48</c:f>
              <c:numCache>
                <c:formatCode>General</c:formatCode>
                <c:ptCount val="7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DC-479F-B646-7DD061680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556544"/>
        <c:axId val="393045392"/>
      </c:scatterChart>
      <c:valAx>
        <c:axId val="398701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KTAS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02640"/>
        <c:crosses val="autoZero"/>
        <c:crossBetween val="midCat"/>
      </c:valAx>
      <c:valAx>
        <c:axId val="398702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 Thrust [kg]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01464"/>
        <c:crosses val="autoZero"/>
        <c:crossBetween val="midCat"/>
      </c:valAx>
      <c:valAx>
        <c:axId val="3930453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Altitude</a:t>
                </a:r>
                <a:r>
                  <a:rPr lang="en-GB" baseline="0"/>
                  <a:t> [ft]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56544"/>
        <c:crosses val="max"/>
        <c:crossBetween val="midCat"/>
      </c:valAx>
      <c:valAx>
        <c:axId val="400556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304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026312335958005"/>
          <c:y val="9.8374161563138177E-3"/>
          <c:w val="0.26478184491179108"/>
          <c:h val="0.14802735184417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9492563429572E-2"/>
          <c:y val="4.7743055555555552E-2"/>
          <c:w val="0.80303237095363078"/>
          <c:h val="0.78991620188101486"/>
        </c:manualLayout>
      </c:layout>
      <c:scatterChart>
        <c:scatterStyle val="smoothMarker"/>
        <c:varyColors val="0"/>
        <c:ser>
          <c:idx val="0"/>
          <c:order val="0"/>
          <c:tx>
            <c:v>indurance</c:v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Sheet2!$C$82:$F$82</c:f>
              <c:numCache>
                <c:formatCode>General</c:formatCode>
                <c:ptCount val="4"/>
                <c:pt idx="0">
                  <c:v>5</c:v>
                </c:pt>
                <c:pt idx="1">
                  <c:v>80</c:v>
                </c:pt>
                <c:pt idx="2">
                  <c:v>190</c:v>
                </c:pt>
                <c:pt idx="3">
                  <c:v>195</c:v>
                </c:pt>
              </c:numCache>
            </c:numRef>
          </c:xVal>
          <c:yVal>
            <c:numRef>
              <c:f>Sheet2!$C$89:$F$89</c:f>
              <c:numCache>
                <c:formatCode>General</c:formatCode>
                <c:ptCount val="4"/>
                <c:pt idx="0">
                  <c:v>0.32</c:v>
                </c:pt>
                <c:pt idx="1">
                  <c:v>2.3126466465354496</c:v>
                </c:pt>
                <c:pt idx="2">
                  <c:v>1.3271350062883938</c:v>
                </c:pt>
                <c:pt idx="3">
                  <c:v>1.2608213860234463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C8-465C-B4F2-B5F7E483E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554976"/>
        <c:axId val="400558112"/>
      </c:scatterChart>
      <c:scatterChart>
        <c:scatterStyle val="smoothMarker"/>
        <c:varyColors val="0"/>
        <c:ser>
          <c:idx val="1"/>
          <c:order val="1"/>
          <c:tx>
            <c:v>range</c:v>
          </c:tx>
          <c:spPr>
            <a:ln w="19050" cap="rnd">
              <a:solidFill>
                <a:schemeClr val="bg2">
                  <a:lumMod val="2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Sheet2!$C$82:$F$82</c:f>
              <c:numCache>
                <c:formatCode>General</c:formatCode>
                <c:ptCount val="4"/>
                <c:pt idx="0">
                  <c:v>5</c:v>
                </c:pt>
                <c:pt idx="1">
                  <c:v>80</c:v>
                </c:pt>
                <c:pt idx="2">
                  <c:v>190</c:v>
                </c:pt>
                <c:pt idx="3">
                  <c:v>195</c:v>
                </c:pt>
              </c:numCache>
            </c:numRef>
          </c:xVal>
          <c:yVal>
            <c:numRef>
              <c:f>Sheet2!$C$91:$F$91</c:f>
              <c:numCache>
                <c:formatCode>General</c:formatCode>
                <c:ptCount val="4"/>
                <c:pt idx="0">
                  <c:v>49.03552859398188</c:v>
                </c:pt>
                <c:pt idx="1">
                  <c:v>1193.5944417967467</c:v>
                </c:pt>
                <c:pt idx="2">
                  <c:v>505.4681033583131</c:v>
                </c:pt>
                <c:pt idx="3">
                  <c:v>492.51649027565873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C8-465C-B4F2-B5F7E483E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556152"/>
        <c:axId val="400562032"/>
      </c:scatterChart>
      <c:valAx>
        <c:axId val="40055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</a:t>
                </a:r>
                <a:r>
                  <a:rPr lang="en-GB" baseline="0"/>
                  <a:t> [m/s]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58112"/>
        <c:crosses val="autoZero"/>
        <c:crossBetween val="midCat"/>
      </c:valAx>
      <c:valAx>
        <c:axId val="400558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Indurance [hr]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54976"/>
        <c:crosses val="autoZero"/>
        <c:crossBetween val="midCat"/>
      </c:valAx>
      <c:valAx>
        <c:axId val="4005620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Range [nm]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56152"/>
        <c:crosses val="max"/>
        <c:crossBetween val="midCat"/>
      </c:valAx>
      <c:valAx>
        <c:axId val="400556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056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938867016622925"/>
          <c:y val="4.4812855424321937E-2"/>
          <c:w val="0.1819119576964644"/>
          <c:h val="0.14648540026246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56714785651793"/>
          <c:y val="6.4102564102564097E-2"/>
          <c:w val="0.85476618547681549"/>
          <c:h val="0.75211908607577904"/>
        </c:manualLayout>
      </c:layout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dPt>
            <c:idx val="0"/>
            <c:marker>
              <c:symbol val="dot"/>
              <c:size val="5"/>
              <c:spPr>
                <a:solidFill>
                  <a:schemeClr val="dk1">
                    <a:tint val="88500"/>
                  </a:schemeClr>
                </a:solidFill>
                <a:ln w="9525">
                  <a:solidFill>
                    <a:schemeClr val="dk1">
                      <a:tint val="885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C36-4897-8E72-CB86777C399D}"/>
              </c:ext>
            </c:extLst>
          </c:dPt>
          <c:dPt>
            <c:idx val="1"/>
            <c:marker>
              <c:symbol val="circle"/>
              <c:size val="2"/>
              <c:spPr>
                <a:solidFill>
                  <a:schemeClr val="dk1">
                    <a:tint val="88500"/>
                  </a:schemeClr>
                </a:solidFill>
                <a:ln w="9525">
                  <a:solidFill>
                    <a:schemeClr val="dk1">
                      <a:tint val="885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C36-4897-8E72-CB86777C399D}"/>
              </c:ext>
            </c:extLst>
          </c:dPt>
          <c:dPt>
            <c:idx val="2"/>
            <c:marker>
              <c:symbol val="diamond"/>
              <c:size val="5"/>
              <c:spPr>
                <a:solidFill>
                  <a:schemeClr val="dk1">
                    <a:tint val="88500"/>
                  </a:schemeClr>
                </a:solidFill>
                <a:ln w="9525">
                  <a:solidFill>
                    <a:schemeClr val="dk1">
                      <a:tint val="88500"/>
                    </a:schemeClr>
                  </a:solidFill>
                </a:ln>
                <a:effectLst/>
              </c:spPr>
            </c:marker>
            <c:bubble3D val="0"/>
            <c:spPr>
              <a:ln w="15875" cap="rnd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C36-4897-8E72-CB86777C399D}"/>
              </c:ext>
            </c:extLst>
          </c:dPt>
          <c:dPt>
            <c:idx val="3"/>
            <c:marker>
              <c:symbol val="square"/>
              <c:size val="5"/>
              <c:spPr>
                <a:solidFill>
                  <a:schemeClr val="dk1">
                    <a:tint val="88500"/>
                  </a:schemeClr>
                </a:solidFill>
                <a:ln w="9525">
                  <a:solidFill>
                    <a:schemeClr val="dk1">
                      <a:tint val="885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C36-4897-8E72-CB86777C399D}"/>
              </c:ext>
            </c:extLst>
          </c:dPt>
          <c:dPt>
            <c:idx val="5"/>
            <c:marker>
              <c:symbol val="dot"/>
              <c:size val="3"/>
              <c:spPr>
                <a:solidFill>
                  <a:schemeClr val="dk1">
                    <a:tint val="88500"/>
                  </a:schemeClr>
                </a:solidFill>
                <a:ln w="9525">
                  <a:solidFill>
                    <a:schemeClr val="dk1">
                      <a:tint val="885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C36-4897-8E72-CB86777C399D}"/>
              </c:ext>
            </c:extLst>
          </c:dPt>
          <c:xVal>
            <c:numRef>
              <c:f>Sheet3!$C$10:$C$15</c:f>
              <c:numCache>
                <c:formatCode>General</c:formatCode>
                <c:ptCount val="6"/>
                <c:pt idx="0">
                  <c:v>45.933027487078711</c:v>
                </c:pt>
                <c:pt idx="1">
                  <c:v>45.933027487078711</c:v>
                </c:pt>
                <c:pt idx="2">
                  <c:v>147.8647449789581</c:v>
                </c:pt>
                <c:pt idx="3">
                  <c:v>167.02836435767429</c:v>
                </c:pt>
                <c:pt idx="4">
                  <c:v>236.49648460552058</c:v>
                </c:pt>
                <c:pt idx="5">
                  <c:v>236.49648460552058</c:v>
                </c:pt>
              </c:numCache>
            </c:numRef>
          </c:xVal>
          <c:yVal>
            <c:numRef>
              <c:f>Sheet3!$D$10:$D$15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36-4897-8E72-CB86777C3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556936"/>
        <c:axId val="400557328"/>
      </c:scatterChart>
      <c:valAx>
        <c:axId val="400556936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</a:t>
                </a:r>
                <a:r>
                  <a:rPr lang="en-GB" baseline="0"/>
                  <a:t> [KTAS]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57328"/>
        <c:crosses val="autoZero"/>
        <c:crossBetween val="midCat"/>
      </c:valAx>
      <c:valAx>
        <c:axId val="400557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 Load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56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56714785651793"/>
          <c:y val="6.4102564102564097E-2"/>
          <c:w val="0.85476618547681549"/>
          <c:h val="0.75211908607577904"/>
        </c:manualLayout>
      </c:layout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dPt>
            <c:idx val="0"/>
            <c:marker>
              <c:symbol val="dot"/>
              <c:size val="5"/>
              <c:spPr>
                <a:solidFill>
                  <a:schemeClr val="dk1">
                    <a:tint val="88500"/>
                  </a:schemeClr>
                </a:solidFill>
                <a:ln w="9525">
                  <a:solidFill>
                    <a:schemeClr val="dk1">
                      <a:tint val="885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D6F-4F92-A132-6866C24D5250}"/>
              </c:ext>
            </c:extLst>
          </c:dPt>
          <c:dPt>
            <c:idx val="1"/>
            <c:marker>
              <c:symbol val="circle"/>
              <c:size val="2"/>
              <c:spPr>
                <a:solidFill>
                  <a:schemeClr val="dk1">
                    <a:tint val="88500"/>
                  </a:schemeClr>
                </a:solidFill>
                <a:ln w="9525">
                  <a:solidFill>
                    <a:schemeClr val="dk1">
                      <a:tint val="885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D6F-4F92-A132-6866C24D5250}"/>
              </c:ext>
            </c:extLst>
          </c:dPt>
          <c:dPt>
            <c:idx val="2"/>
            <c:marker>
              <c:symbol val="diamond"/>
              <c:size val="5"/>
              <c:spPr>
                <a:solidFill>
                  <a:schemeClr val="dk1">
                    <a:tint val="88500"/>
                  </a:schemeClr>
                </a:solidFill>
                <a:ln w="9525">
                  <a:solidFill>
                    <a:schemeClr val="dk1">
                      <a:tint val="88500"/>
                    </a:schemeClr>
                  </a:solidFill>
                </a:ln>
                <a:effectLst/>
              </c:spPr>
            </c:marker>
            <c:bubble3D val="0"/>
            <c:spPr>
              <a:ln w="15875" cap="rnd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6F-4F92-A132-6866C24D5250}"/>
              </c:ext>
            </c:extLst>
          </c:dPt>
          <c:dPt>
            <c:idx val="3"/>
            <c:marker>
              <c:symbol val="square"/>
              <c:size val="5"/>
              <c:spPr>
                <a:solidFill>
                  <a:schemeClr val="dk1">
                    <a:tint val="88500"/>
                  </a:schemeClr>
                </a:solidFill>
                <a:ln w="9525">
                  <a:solidFill>
                    <a:schemeClr val="dk1">
                      <a:tint val="885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D6F-4F92-A132-6866C24D5250}"/>
              </c:ext>
            </c:extLst>
          </c:dPt>
          <c:dPt>
            <c:idx val="5"/>
            <c:marker>
              <c:symbol val="dot"/>
              <c:size val="3"/>
              <c:spPr>
                <a:solidFill>
                  <a:schemeClr val="dk1">
                    <a:tint val="88500"/>
                  </a:schemeClr>
                </a:solidFill>
                <a:ln w="9525">
                  <a:solidFill>
                    <a:schemeClr val="dk1">
                      <a:tint val="885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D6F-4F92-A132-6866C24D5250}"/>
              </c:ext>
            </c:extLst>
          </c:dPt>
          <c:xVal>
            <c:numRef>
              <c:f>Sheet3!$C$10:$C$15</c:f>
              <c:numCache>
                <c:formatCode>General</c:formatCode>
                <c:ptCount val="6"/>
                <c:pt idx="0">
                  <c:v>45.933027487078711</c:v>
                </c:pt>
                <c:pt idx="1">
                  <c:v>45.933027487078711</c:v>
                </c:pt>
                <c:pt idx="2">
                  <c:v>147.8647449789581</c:v>
                </c:pt>
                <c:pt idx="3">
                  <c:v>167.02836435767429</c:v>
                </c:pt>
                <c:pt idx="4">
                  <c:v>236.49648460552058</c:v>
                </c:pt>
                <c:pt idx="5">
                  <c:v>236.49648460552058</c:v>
                </c:pt>
              </c:numCache>
            </c:numRef>
          </c:xVal>
          <c:yVal>
            <c:numRef>
              <c:f>Sheet3!$D$10:$D$15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D6F-4F92-A132-6866C24D5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556936"/>
        <c:axId val="400557328"/>
      </c:scatterChart>
      <c:valAx>
        <c:axId val="400556936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</a:t>
                </a:r>
                <a:r>
                  <a:rPr lang="en-GB" baseline="0"/>
                  <a:t> [KTAS]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57328"/>
        <c:crosses val="autoZero"/>
        <c:crossBetween val="midCat"/>
      </c:valAx>
      <c:valAx>
        <c:axId val="400557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 Load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56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7755905511811"/>
          <c:y val="6.9444444444444448E-2"/>
          <c:w val="0.80847440944881888"/>
          <c:h val="0.82775444736074655"/>
        </c:manualLayout>
      </c:layout>
      <c:scatterChart>
        <c:scatterStyle val="lineMarker"/>
        <c:varyColors val="0"/>
        <c:ser>
          <c:idx val="0"/>
          <c:order val="0"/>
          <c:tx>
            <c:v>15%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Sheet4!$A$3:$A$16</c:f>
              <c:numCache>
                <c:formatCode>General</c:formatCode>
                <c:ptCount val="14"/>
                <c:pt idx="0">
                  <c:v>0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</c:numCache>
            </c:numRef>
          </c:xVal>
          <c:yVal>
            <c:numRef>
              <c:f>Sheet4!$B$3:$B$16</c:f>
              <c:numCache>
                <c:formatCode>General</c:formatCode>
                <c:ptCount val="14"/>
                <c:pt idx="0">
                  <c:v>-0.04</c:v>
                </c:pt>
                <c:pt idx="1">
                  <c:v>-0.27015307176045433</c:v>
                </c:pt>
                <c:pt idx="2">
                  <c:v>-0.38522960764068148</c:v>
                </c:pt>
                <c:pt idx="3">
                  <c:v>-0.50030614352090863</c:v>
                </c:pt>
                <c:pt idx="4">
                  <c:v>-0.61538267940113578</c:v>
                </c:pt>
                <c:pt idx="5">
                  <c:v>-0.73045921528136293</c:v>
                </c:pt>
                <c:pt idx="6">
                  <c:v>-0.84553575116158997</c:v>
                </c:pt>
                <c:pt idx="7">
                  <c:v>-0.960612287041817</c:v>
                </c:pt>
                <c:pt idx="8">
                  <c:v>-1.0756888229220443</c:v>
                </c:pt>
                <c:pt idx="9">
                  <c:v>-1.1907653588022713</c:v>
                </c:pt>
                <c:pt idx="10">
                  <c:v>-1.3058418946824983</c:v>
                </c:pt>
                <c:pt idx="11">
                  <c:v>-1.4209184305627258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41-4329-821C-F81334268354}"/>
            </c:ext>
          </c:extLst>
        </c:ser>
        <c:ser>
          <c:idx val="1"/>
          <c:order val="1"/>
          <c:tx>
            <c:v>25%</c:v>
          </c:tx>
          <c:spPr>
            <a:ln w="12700" cap="rnd">
              <a:solidFill>
                <a:schemeClr val="bg2">
                  <a:lumMod val="2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Sheet4!$A$3:$A$16</c:f>
              <c:numCache>
                <c:formatCode>General</c:formatCode>
                <c:ptCount val="14"/>
                <c:pt idx="0">
                  <c:v>0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</c:numCache>
            </c:numRef>
          </c:xVal>
          <c:yVal>
            <c:numRef>
              <c:f>Sheet4!$C$3:$C$16</c:f>
              <c:numCache>
                <c:formatCode>General</c:formatCode>
                <c:ptCount val="14"/>
                <c:pt idx="0">
                  <c:v>-0.04</c:v>
                </c:pt>
                <c:pt idx="1">
                  <c:v>-0.24035307176045431</c:v>
                </c:pt>
                <c:pt idx="2">
                  <c:v>-0.34052960764068152</c:v>
                </c:pt>
                <c:pt idx="3">
                  <c:v>-0.44070614352090864</c:v>
                </c:pt>
                <c:pt idx="4">
                  <c:v>-0.54088267940113577</c:v>
                </c:pt>
                <c:pt idx="5">
                  <c:v>-0.64105921528136289</c:v>
                </c:pt>
                <c:pt idx="6">
                  <c:v>-0.74123575116159002</c:v>
                </c:pt>
                <c:pt idx="7">
                  <c:v>-0.84141228704181714</c:v>
                </c:pt>
                <c:pt idx="8">
                  <c:v>-0.94158882292204427</c:v>
                </c:pt>
                <c:pt idx="9">
                  <c:v>-1.0417653588022713</c:v>
                </c:pt>
                <c:pt idx="10">
                  <c:v>-1.1419418946824984</c:v>
                </c:pt>
                <c:pt idx="11">
                  <c:v>-1.2421184305627258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41-4329-821C-F81334268354}"/>
            </c:ext>
          </c:extLst>
        </c:ser>
        <c:ser>
          <c:idx val="2"/>
          <c:order val="2"/>
          <c:tx>
            <c:v>35%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Sheet4!$A$3:$A$16</c:f>
              <c:numCache>
                <c:formatCode>General</c:formatCode>
                <c:ptCount val="14"/>
                <c:pt idx="0">
                  <c:v>0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</c:numCache>
            </c:numRef>
          </c:xVal>
          <c:yVal>
            <c:numRef>
              <c:f>Sheet4!$D$3:$D$16</c:f>
              <c:numCache>
                <c:formatCode>General</c:formatCode>
                <c:ptCount val="14"/>
                <c:pt idx="0">
                  <c:v>-0.04</c:v>
                </c:pt>
                <c:pt idx="1">
                  <c:v>-0.21055307176045432</c:v>
                </c:pt>
                <c:pt idx="2">
                  <c:v>-0.2958296076406815</c:v>
                </c:pt>
                <c:pt idx="3">
                  <c:v>-0.38110614352090866</c:v>
                </c:pt>
                <c:pt idx="4">
                  <c:v>-0.46638267940113576</c:v>
                </c:pt>
                <c:pt idx="5">
                  <c:v>-0.55165921528136286</c:v>
                </c:pt>
                <c:pt idx="6">
                  <c:v>-0.63693575116159007</c:v>
                </c:pt>
                <c:pt idx="7">
                  <c:v>-0.72221228704181717</c:v>
                </c:pt>
                <c:pt idx="8">
                  <c:v>-0.80748882292204427</c:v>
                </c:pt>
                <c:pt idx="9">
                  <c:v>-0.89276535880227148</c:v>
                </c:pt>
                <c:pt idx="10">
                  <c:v>-0.97804189468249858</c:v>
                </c:pt>
                <c:pt idx="11">
                  <c:v>-1.0633184305627259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41-4329-821C-F81334268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273744"/>
        <c:axId val="461274920"/>
      </c:scatterChart>
      <c:valAx>
        <c:axId val="46127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74920"/>
        <c:crosses val="autoZero"/>
        <c:crossBetween val="midCat"/>
      </c:valAx>
      <c:valAx>
        <c:axId val="461274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7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318044619422571"/>
          <c:y val="0.22077464275298922"/>
          <c:w val="0.1473751093613298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19545499850494"/>
          <c:y val="0.1020875987630878"/>
          <c:w val="0.48738124190172433"/>
          <c:h val="0.7963413768237256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Sheet4!$J$25:$J$27</c:f>
              <c:strCache>
                <c:ptCount val="3"/>
                <c:pt idx="0">
                  <c:v>requirements</c:v>
                </c:pt>
                <c:pt idx="1">
                  <c:v>Constraints</c:v>
                </c:pt>
                <c:pt idx="2">
                  <c:v>Criteria</c:v>
                </c:pt>
              </c:strCache>
            </c:strRef>
          </c:cat>
          <c:val>
            <c:numRef>
              <c:f>Sheet4!$K$25:$K$27</c:f>
              <c:numCache>
                <c:formatCode>0%</c:formatCode>
                <c:ptCount val="3"/>
                <c:pt idx="0">
                  <c:v>0.6</c:v>
                </c:pt>
                <c:pt idx="1">
                  <c:v>0.35</c:v>
                </c:pt>
                <c:pt idx="2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8-44E9-BD4E-44A7CFD95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131904714442344"/>
          <c:y val="9.0485846970223008E-2"/>
          <c:w val="0.18115937406558361"/>
          <c:h val="0.346949703376884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image" Target="../media/image5.png"/><Relationship Id="rId10" Type="http://schemas.openxmlformats.org/officeDocument/2006/relationships/chart" Target="../charts/chart6.xml"/><Relationship Id="rId4" Type="http://schemas.openxmlformats.org/officeDocument/2006/relationships/image" Target="../media/image4.png"/><Relationship Id="rId9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413586</xdr:colOff>
      <xdr:row>3</xdr:row>
      <xdr:rowOff>175462</xdr:rowOff>
    </xdr:from>
    <xdr:to>
      <xdr:col>31</xdr:col>
      <xdr:colOff>388521</xdr:colOff>
      <xdr:row>19</xdr:row>
      <xdr:rowOff>37599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</xdr:col>
      <xdr:colOff>144780</xdr:colOff>
      <xdr:row>5</xdr:row>
      <xdr:rowOff>30480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39140"/>
          <a:ext cx="14478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</xdr:row>
      <xdr:rowOff>0</xdr:rowOff>
    </xdr:from>
    <xdr:to>
      <xdr:col>2</xdr:col>
      <xdr:colOff>502920</xdr:colOff>
      <xdr:row>7</xdr:row>
      <xdr:rowOff>7620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04900"/>
          <a:ext cx="50292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53340</xdr:colOff>
      <xdr:row>7</xdr:row>
      <xdr:rowOff>7620</xdr:rowOff>
    </xdr:from>
    <xdr:to>
      <xdr:col>2</xdr:col>
      <xdr:colOff>464820</xdr:colOff>
      <xdr:row>8</xdr:row>
      <xdr:rowOff>15240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2540" y="1295400"/>
          <a:ext cx="41148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</xdr:row>
      <xdr:rowOff>0</xdr:rowOff>
    </xdr:from>
    <xdr:to>
      <xdr:col>2</xdr:col>
      <xdr:colOff>121920</xdr:colOff>
      <xdr:row>9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70660"/>
          <a:ext cx="12192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22860</xdr:colOff>
      <xdr:row>5</xdr:row>
      <xdr:rowOff>53340</xdr:rowOff>
    </xdr:from>
    <xdr:to>
      <xdr:col>2</xdr:col>
      <xdr:colOff>563880</xdr:colOff>
      <xdr:row>5</xdr:row>
      <xdr:rowOff>402385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" y="975360"/>
          <a:ext cx="541020" cy="349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434340</xdr:colOff>
      <xdr:row>6</xdr:row>
      <xdr:rowOff>60960</xdr:rowOff>
    </xdr:from>
    <xdr:ext cx="65" cy="172227"/>
    <xdr:sp macro="" textlink="">
      <xdr:nvSpPr>
        <xdr:cNvPr id="2" name="TextBox 1"/>
        <xdr:cNvSpPr txBox="1"/>
      </xdr:nvSpPr>
      <xdr:spPr>
        <a:xfrm>
          <a:off x="3482340" y="1409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53340</xdr:colOff>
      <xdr:row>4</xdr:row>
      <xdr:rowOff>30480</xdr:rowOff>
    </xdr:from>
    <xdr:ext cx="363048" cy="3858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3710940" y="769620"/>
              <a:ext cx="363048" cy="3858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𝑓𝑙𝑎𝑝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𝑤𝑖𝑛𝑔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710940" y="769620"/>
              <a:ext cx="363048" cy="3858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𝑆_𝑓𝑙𝑎𝑝/𝑆_𝑤𝑖𝑛𝑔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45720</xdr:colOff>
      <xdr:row>5</xdr:row>
      <xdr:rowOff>152400</xdr:rowOff>
    </xdr:from>
    <xdr:ext cx="504562" cy="1833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3703320" y="1303020"/>
              <a:ext cx="504562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𝑔𝑒𝑎𝑟𝑙𝑒𝑔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3703320" y="1303020"/>
              <a:ext cx="504562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𝑆_𝑔𝑒𝑎𝑟𝑙𝑒𝑔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6</xdr:row>
      <xdr:rowOff>0</xdr:rowOff>
    </xdr:from>
    <xdr:ext cx="4058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3657600" y="1577340"/>
              <a:ext cx="4058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𝑤h𝑒𝑒𝑙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3657600" y="1577340"/>
              <a:ext cx="4058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𝑆_𝑤ℎ𝑒𝑒𝑙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7</xdr:row>
      <xdr:rowOff>0</xdr:rowOff>
    </xdr:from>
    <xdr:ext cx="609847" cy="1833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3657600" y="1760220"/>
              <a:ext cx="609847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𝑔𝑒𝑎𝑟𝑙𝑒𝑔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3657600" y="1760220"/>
              <a:ext cx="609847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𝐶_(𝑑 𝑔𝑒𝑎𝑟𝑙𝑒𝑔)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8</xdr:row>
      <xdr:rowOff>0</xdr:rowOff>
    </xdr:from>
    <xdr:ext cx="5051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3657600" y="1943100"/>
              <a:ext cx="5051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𝑤h𝑒𝑒𝑙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3657600" y="1943100"/>
              <a:ext cx="5051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𝐶_(𝑑 𝑤ℎ𝑒𝑒𝑙)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9</xdr:row>
      <xdr:rowOff>0</xdr:rowOff>
    </xdr:from>
    <xdr:ext cx="624915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3657600" y="2133600"/>
              <a:ext cx="62491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𝑓𝑙𝑎𝑝𝑠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3657600" y="2133600"/>
              <a:ext cx="62491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</a:rPr>
                <a:t>𝐶〗_(𝑑0 𝑓𝑙𝑎𝑝𝑠)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22860</xdr:colOff>
      <xdr:row>11</xdr:row>
      <xdr:rowOff>15240</xdr:rowOff>
    </xdr:from>
    <xdr:ext cx="2389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/>
            <xdr:cNvSpPr txBox="1"/>
          </xdr:nvSpPr>
          <xdr:spPr>
            <a:xfrm>
              <a:off x="3680460" y="2514600"/>
              <a:ext cx="2389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3680460" y="2514600"/>
              <a:ext cx="2389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𝐶_𝑑0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10</xdr:row>
      <xdr:rowOff>0</xdr:rowOff>
    </xdr:from>
    <xdr:ext cx="750205" cy="1833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3657600" y="2316480"/>
              <a:ext cx="750205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𝑔𝑒𝑎𝑟𝑙𝑒𝑔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3657600" y="2316480"/>
              <a:ext cx="750205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</a:rPr>
                <a:t>𝐶〗_(𝑑0 𝑔𝑒𝑎𝑟𝑙𝑒𝑔)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53340</xdr:colOff>
      <xdr:row>4</xdr:row>
      <xdr:rowOff>30480</xdr:rowOff>
    </xdr:from>
    <xdr:ext cx="363048" cy="3858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/>
            <xdr:cNvSpPr txBox="1"/>
          </xdr:nvSpPr>
          <xdr:spPr>
            <a:xfrm>
              <a:off x="3710940" y="802005"/>
              <a:ext cx="363048" cy="3858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𝑓𝑙𝑎𝑝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𝑤𝑖𝑛𝑔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1" name="TextBox 40"/>
            <xdr:cNvSpPr txBox="1"/>
          </xdr:nvSpPr>
          <xdr:spPr>
            <a:xfrm>
              <a:off x="3710940" y="802005"/>
              <a:ext cx="363048" cy="3858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𝑆_𝑓𝑙𝑎𝑝/𝑆_𝑤𝑖𝑛𝑔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45720</xdr:colOff>
      <xdr:row>5</xdr:row>
      <xdr:rowOff>152400</xdr:rowOff>
    </xdr:from>
    <xdr:ext cx="504562" cy="1833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/>
            <xdr:cNvSpPr txBox="1"/>
          </xdr:nvSpPr>
          <xdr:spPr>
            <a:xfrm>
              <a:off x="3703320" y="1333500"/>
              <a:ext cx="504562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𝑔𝑒𝑎𝑟𝑙𝑒𝑔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2" name="TextBox 41"/>
            <xdr:cNvSpPr txBox="1"/>
          </xdr:nvSpPr>
          <xdr:spPr>
            <a:xfrm>
              <a:off x="3703320" y="1333500"/>
              <a:ext cx="504562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𝑆_𝑔𝑒𝑎𝑟𝑙𝑒𝑔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6</xdr:row>
      <xdr:rowOff>0</xdr:rowOff>
    </xdr:from>
    <xdr:ext cx="330090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/>
            <xdr:cNvSpPr txBox="1"/>
          </xdr:nvSpPr>
          <xdr:spPr>
            <a:xfrm>
              <a:off x="6219825" y="1600200"/>
              <a:ext cx="33009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ZA" sz="1100" b="0" i="1">
                            <a:latin typeface="Cambria Math" panose="02040503050406030204" pitchFamily="18" charset="0"/>
                          </a:rPr>
                          <m:t>𝑡𝑦𝑟𝑒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3" name="TextBox 42"/>
            <xdr:cNvSpPr txBox="1"/>
          </xdr:nvSpPr>
          <xdr:spPr>
            <a:xfrm>
              <a:off x="6219825" y="1600200"/>
              <a:ext cx="33009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𝑆_</a:t>
              </a:r>
              <a:r>
                <a:rPr lang="en-ZA" sz="1100" b="0" i="0">
                  <a:latin typeface="Cambria Math" panose="02040503050406030204" pitchFamily="18" charset="0"/>
                </a:rPr>
                <a:t>𝑡𝑦𝑟𝑒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7</xdr:row>
      <xdr:rowOff>0</xdr:rowOff>
    </xdr:from>
    <xdr:ext cx="709040" cy="1833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/>
            <xdr:cNvSpPr txBox="1"/>
          </xdr:nvSpPr>
          <xdr:spPr>
            <a:xfrm>
              <a:off x="6219825" y="1790700"/>
              <a:ext cx="709040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ZA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ZA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ZA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𝑔𝑒𝑎𝑟𝑙𝑒𝑔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4" name="TextBox 43"/>
            <xdr:cNvSpPr txBox="1"/>
          </xdr:nvSpPr>
          <xdr:spPr>
            <a:xfrm>
              <a:off x="6219825" y="1790700"/>
              <a:ext cx="709040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ZA" sz="1100" b="0" i="0">
                  <a:latin typeface="Cambria Math" panose="02040503050406030204" pitchFamily="18" charset="0"/>
                </a:rPr>
                <a:t>𝐷/𝑞</a:t>
              </a:r>
              <a:r>
                <a:rPr lang="en-US" sz="1100" b="0" i="0">
                  <a:latin typeface="Cambria Math" panose="02040503050406030204" pitchFamily="18" charset="0"/>
                </a:rPr>
                <a:t>〗_( 𝑔𝑒𝑎𝑟𝑙𝑒𝑔)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8</xdr:row>
      <xdr:rowOff>0</xdr:rowOff>
    </xdr:from>
    <xdr:ext cx="528542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TextBox 44"/>
            <xdr:cNvSpPr txBox="1"/>
          </xdr:nvSpPr>
          <xdr:spPr>
            <a:xfrm>
              <a:off x="6219825" y="1981200"/>
              <a:ext cx="528542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ZA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ZA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ZA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ZA" sz="1100" b="0" i="1">
                            <a:latin typeface="Cambria Math" panose="02040503050406030204" pitchFamily="18" charset="0"/>
                          </a:rPr>
                          <m:t>𝑡𝑦𝑟𝑒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5" name="TextBox 44"/>
            <xdr:cNvSpPr txBox="1"/>
          </xdr:nvSpPr>
          <xdr:spPr>
            <a:xfrm>
              <a:off x="6219825" y="1981200"/>
              <a:ext cx="528542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ZA" sz="1100" b="0" i="0">
                  <a:latin typeface="Cambria Math" panose="02040503050406030204" pitchFamily="18" charset="0"/>
                </a:rPr>
                <a:t>𝐷/𝑞</a:t>
              </a:r>
              <a:r>
                <a:rPr lang="en-US" sz="1100" b="0" i="0">
                  <a:latin typeface="Cambria Math" panose="02040503050406030204" pitchFamily="18" charset="0"/>
                </a:rPr>
                <a:t>〗_( </a:t>
              </a:r>
              <a:r>
                <a:rPr lang="en-ZA" sz="1100" b="0" i="0">
                  <a:latin typeface="Cambria Math" panose="02040503050406030204" pitchFamily="18" charset="0"/>
                </a:rPr>
                <a:t>𝑡𝑦𝑟𝑒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9</xdr:row>
      <xdr:rowOff>0</xdr:rowOff>
    </xdr:from>
    <xdr:ext cx="624915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TextBox 45"/>
            <xdr:cNvSpPr txBox="1"/>
          </xdr:nvSpPr>
          <xdr:spPr>
            <a:xfrm>
              <a:off x="3657600" y="2181225"/>
              <a:ext cx="62491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𝑓𝑙𝑎𝑝𝑠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6" name="TextBox 45"/>
            <xdr:cNvSpPr txBox="1"/>
          </xdr:nvSpPr>
          <xdr:spPr>
            <a:xfrm>
              <a:off x="3657600" y="2181225"/>
              <a:ext cx="62491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</a:rPr>
                <a:t>𝐶〗_(𝑑0 𝑓𝑙𝑎𝑝𝑠)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22860</xdr:colOff>
      <xdr:row>11</xdr:row>
      <xdr:rowOff>15240</xdr:rowOff>
    </xdr:from>
    <xdr:ext cx="65" cy="172227"/>
    <xdr:sp macro="" textlink="">
      <xdr:nvSpPr>
        <xdr:cNvPr id="47" name="TextBox 46"/>
        <xdr:cNvSpPr txBox="1"/>
      </xdr:nvSpPr>
      <xdr:spPr>
        <a:xfrm>
          <a:off x="6242685" y="25774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10</xdr:row>
      <xdr:rowOff>0</xdr:rowOff>
    </xdr:from>
    <xdr:ext cx="750205" cy="1833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TextBox 47"/>
            <xdr:cNvSpPr txBox="1"/>
          </xdr:nvSpPr>
          <xdr:spPr>
            <a:xfrm>
              <a:off x="6219825" y="2371725"/>
              <a:ext cx="750205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100" i="1">
                            <a:latin typeface="Cambria Math" panose="02040503050406030204" pitchFamily="18" charset="0"/>
                          </a:rPr>
                          <m:t>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𝑔𝑒𝑎𝑟𝑙𝑒𝑔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8" name="TextBox 47"/>
            <xdr:cNvSpPr txBox="1"/>
          </xdr:nvSpPr>
          <xdr:spPr>
            <a:xfrm>
              <a:off x="6219825" y="2371725"/>
              <a:ext cx="750205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l-GR" sz="1100" i="0">
                  <a:latin typeface="Cambria Math" panose="02040503050406030204" pitchFamily="18" charset="0"/>
                </a:rPr>
                <a:t>Δ</a:t>
              </a:r>
              <a:r>
                <a:rPr lang="en-US" sz="1100" b="0" i="0">
                  <a:latin typeface="Cambria Math" panose="02040503050406030204" pitchFamily="18" charset="0"/>
                </a:rPr>
                <a:t>𝐶〗_(𝑑0 𝑔𝑒𝑎𝑟𝑙𝑒𝑔)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0</xdr:colOff>
      <xdr:row>17</xdr:row>
      <xdr:rowOff>0</xdr:rowOff>
    </xdr:from>
    <xdr:ext cx="65" cy="172227"/>
    <xdr:sp macro="" textlink="">
      <xdr:nvSpPr>
        <xdr:cNvPr id="51" name="TextBox 50"/>
        <xdr:cNvSpPr txBox="1"/>
      </xdr:nvSpPr>
      <xdr:spPr>
        <a:xfrm>
          <a:off x="9972675" y="3714750"/>
          <a:ext cx="65" cy="17222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0" tIns="0" rIns="0" bIns="0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0</xdr:colOff>
      <xdr:row>11</xdr:row>
      <xdr:rowOff>0</xdr:rowOff>
    </xdr:from>
    <xdr:ext cx="65" cy="172227"/>
    <xdr:sp macro="" textlink="">
      <xdr:nvSpPr>
        <xdr:cNvPr id="52" name="TextBox 51"/>
        <xdr:cNvSpPr txBox="1"/>
      </xdr:nvSpPr>
      <xdr:spPr>
        <a:xfrm>
          <a:off x="6219825" y="256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11</xdr:row>
      <xdr:rowOff>0</xdr:rowOff>
    </xdr:from>
    <xdr:ext cx="560538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TextBox 52"/>
            <xdr:cNvSpPr txBox="1"/>
          </xdr:nvSpPr>
          <xdr:spPr>
            <a:xfrm>
              <a:off x="6219825" y="2562225"/>
              <a:ext cx="560538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100" i="1">
                            <a:latin typeface="Cambria Math" panose="02040503050406030204" pitchFamily="18" charset="0"/>
                          </a:rPr>
                          <m:t>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0 </m:t>
                        </m:r>
                        <m:r>
                          <a:rPr lang="en-ZA" sz="1100" b="0" i="1">
                            <a:latin typeface="Cambria Math" panose="02040503050406030204" pitchFamily="18" charset="0"/>
                          </a:rPr>
                          <m:t>𝑡𝑦𝑡𝑒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3" name="TextBox 52"/>
            <xdr:cNvSpPr txBox="1"/>
          </xdr:nvSpPr>
          <xdr:spPr>
            <a:xfrm>
              <a:off x="6219825" y="2562225"/>
              <a:ext cx="560538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l-GR" sz="1100" i="0">
                  <a:latin typeface="Cambria Math" panose="02040503050406030204" pitchFamily="18" charset="0"/>
                </a:rPr>
                <a:t>Δ</a:t>
              </a:r>
              <a:r>
                <a:rPr lang="en-US" sz="1100" b="0" i="0">
                  <a:latin typeface="Cambria Math" panose="02040503050406030204" pitchFamily="18" charset="0"/>
                </a:rPr>
                <a:t>𝐶〗_(𝑑0 </a:t>
              </a:r>
              <a:r>
                <a:rPr lang="en-ZA" sz="1100" b="0" i="0">
                  <a:latin typeface="Cambria Math" panose="02040503050406030204" pitchFamily="18" charset="0"/>
                </a:rPr>
                <a:t>𝑡𝑦𝑡𝑒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12</xdr:row>
      <xdr:rowOff>0</xdr:rowOff>
    </xdr:from>
    <xdr:ext cx="2389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/>
            <xdr:cNvSpPr txBox="1"/>
          </xdr:nvSpPr>
          <xdr:spPr>
            <a:xfrm>
              <a:off x="6219825" y="2762250"/>
              <a:ext cx="2389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6219825" y="2762250"/>
              <a:ext cx="2389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𝐶_𝑑0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7</xdr:col>
      <xdr:colOff>247650</xdr:colOff>
      <xdr:row>42</xdr:row>
      <xdr:rowOff>95409</xdr:rowOff>
    </xdr:from>
    <xdr:to>
      <xdr:col>13</xdr:col>
      <xdr:colOff>82550</xdr:colOff>
      <xdr:row>55</xdr:row>
      <xdr:rowOff>180976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42498</xdr:colOff>
      <xdr:row>20</xdr:row>
      <xdr:rowOff>54521</xdr:rowOff>
    </xdr:from>
    <xdr:to>
      <xdr:col>23</xdr:col>
      <xdr:colOff>163421</xdr:colOff>
      <xdr:row>34</xdr:row>
      <xdr:rowOff>146980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135753</xdr:colOff>
      <xdr:row>49</xdr:row>
      <xdr:rowOff>66402</xdr:rowOff>
    </xdr:from>
    <xdr:to>
      <xdr:col>24</xdr:col>
      <xdr:colOff>518204</xdr:colOff>
      <xdr:row>65</xdr:row>
      <xdr:rowOff>35922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30754</xdr:colOff>
      <xdr:row>58</xdr:row>
      <xdr:rowOff>151766</xdr:rowOff>
    </xdr:from>
    <xdr:to>
      <xdr:col>17</xdr:col>
      <xdr:colOff>25765</xdr:colOff>
      <xdr:row>74</xdr:row>
      <xdr:rowOff>148137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89</xdr:row>
      <xdr:rowOff>0</xdr:rowOff>
    </xdr:from>
    <xdr:to>
      <xdr:col>24</xdr:col>
      <xdr:colOff>321128</xdr:colOff>
      <xdr:row>101</xdr:row>
      <xdr:rowOff>180975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129540</xdr:colOff>
      <xdr:row>0</xdr:row>
      <xdr:rowOff>0</xdr:rowOff>
    </xdr:from>
    <xdr:to>
      <xdr:col>18</xdr:col>
      <xdr:colOff>434340</xdr:colOff>
      <xdr:row>13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229871</xdr:colOff>
      <xdr:row>6</xdr:row>
      <xdr:rowOff>5504</xdr:rowOff>
    </xdr:from>
    <xdr:to>
      <xdr:col>26</xdr:col>
      <xdr:colOff>534670</xdr:colOff>
      <xdr:row>21</xdr:row>
      <xdr:rowOff>5504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1206499</xdr:colOff>
      <xdr:row>19</xdr:row>
      <xdr:rowOff>115356</xdr:rowOff>
    </xdr:from>
    <xdr:to>
      <xdr:col>22</xdr:col>
      <xdr:colOff>254000</xdr:colOff>
      <xdr:row>34</xdr:row>
      <xdr:rowOff>158749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153459</xdr:colOff>
      <xdr:row>5</xdr:row>
      <xdr:rowOff>9524</xdr:rowOff>
    </xdr:from>
    <xdr:to>
      <xdr:col>27</xdr:col>
      <xdr:colOff>84667</xdr:colOff>
      <xdr:row>19</xdr:row>
      <xdr:rowOff>64557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1047748</xdr:colOff>
      <xdr:row>19</xdr:row>
      <xdr:rowOff>178857</xdr:rowOff>
    </xdr:from>
    <xdr:to>
      <xdr:col>15</xdr:col>
      <xdr:colOff>328083</xdr:colOff>
      <xdr:row>34</xdr:row>
      <xdr:rowOff>64557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1121833</xdr:colOff>
      <xdr:row>11</xdr:row>
      <xdr:rowOff>125941</xdr:rowOff>
    </xdr:from>
    <xdr:to>
      <xdr:col>14</xdr:col>
      <xdr:colOff>867833</xdr:colOff>
      <xdr:row>26</xdr:row>
      <xdr:rowOff>1057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6:V39"/>
  <sheetViews>
    <sheetView zoomScale="80" zoomScaleNormal="80" workbookViewId="0">
      <selection activeCell="Q24" sqref="Q24"/>
    </sheetView>
  </sheetViews>
  <sheetFormatPr defaultRowHeight="15"/>
  <cols>
    <col min="6" max="6" width="12.5703125" customWidth="1"/>
    <col min="7" max="7" width="19.28515625" customWidth="1"/>
    <col min="8" max="8" width="7.28515625" customWidth="1"/>
    <col min="9" max="9" width="11.140625" customWidth="1"/>
    <col min="10" max="10" width="11.28515625" customWidth="1"/>
    <col min="11" max="11" width="9.28515625" customWidth="1"/>
    <col min="12" max="12" width="8.85546875" customWidth="1"/>
    <col min="13" max="13" width="12.28515625" customWidth="1"/>
    <col min="14" max="14" width="7.28515625" customWidth="1"/>
    <col min="15" max="15" width="12.7109375" customWidth="1"/>
    <col min="17" max="17" width="9.7109375" customWidth="1"/>
    <col min="18" max="18" width="8.5703125" customWidth="1"/>
    <col min="19" max="19" width="9.85546875" customWidth="1"/>
    <col min="20" max="20" width="9.28515625" customWidth="1"/>
    <col min="22" max="22" width="10.5703125" customWidth="1"/>
  </cols>
  <sheetData>
    <row r="6" spans="7:22" ht="15.75" thickBot="1"/>
    <row r="7" spans="7:22" ht="36.75" customHeight="1">
      <c r="G7" s="1" t="s">
        <v>0</v>
      </c>
      <c r="H7" s="2" t="s">
        <v>1</v>
      </c>
      <c r="I7" s="2" t="s">
        <v>2</v>
      </c>
      <c r="J7" s="2" t="s">
        <v>3</v>
      </c>
      <c r="K7" s="2" t="s">
        <v>4</v>
      </c>
      <c r="L7" s="2" t="s">
        <v>5</v>
      </c>
      <c r="M7" s="2" t="s">
        <v>6</v>
      </c>
      <c r="N7" s="2" t="s">
        <v>7</v>
      </c>
      <c r="O7" s="3" t="s">
        <v>8</v>
      </c>
      <c r="Q7" s="10" t="s">
        <v>31</v>
      </c>
      <c r="R7" s="11" t="s">
        <v>32</v>
      </c>
      <c r="S7" s="11" t="s">
        <v>23</v>
      </c>
      <c r="T7" s="11" t="s">
        <v>30</v>
      </c>
      <c r="U7" s="11" t="s">
        <v>24</v>
      </c>
      <c r="V7" s="12" t="s">
        <v>25</v>
      </c>
    </row>
    <row r="8" spans="7:22">
      <c r="G8" s="4"/>
      <c r="H8" s="5"/>
      <c r="I8" s="5"/>
      <c r="J8" s="5"/>
      <c r="K8" s="5"/>
      <c r="L8" s="5"/>
      <c r="M8" s="5"/>
      <c r="N8" s="5"/>
      <c r="O8" s="6"/>
      <c r="Q8" s="13">
        <v>0</v>
      </c>
      <c r="R8" s="17">
        <f>0.017732465+(Q8^2) /(8*0.85*PI())</f>
        <v>1.7732464999999999E-2</v>
      </c>
      <c r="S8" s="9">
        <f>0.065251+(Q8^2)/(PI()*0.85*8)</f>
        <v>6.5251000000000003E-2</v>
      </c>
      <c r="T8" s="9">
        <f>Q8+0.489564</f>
        <v>0.489564</v>
      </c>
      <c r="U8" s="9">
        <f t="shared" ref="U8:U15" si="0">Q8+0.9791</f>
        <v>0.97909999999999997</v>
      </c>
      <c r="V8" s="14">
        <f>0.153249+(U8^2)/(8*0.85*PI())</f>
        <v>0.19812305498274885</v>
      </c>
    </row>
    <row r="9" spans="7:22">
      <c r="G9" s="4" t="s">
        <v>9</v>
      </c>
      <c r="H9" s="5">
        <v>1.43</v>
      </c>
      <c r="I9" s="8">
        <f t="shared" ref="I9:I14" si="1">1.225*0.3741*180*H9/0.0000147</f>
        <v>8024445.0000000009</v>
      </c>
      <c r="J9" s="8">
        <f t="shared" ref="J9:J14" si="2">31.3714*(H9/0.00003048)^1.067</f>
        <v>3025753.1008949112</v>
      </c>
      <c r="K9" s="5">
        <v>3.3E-3</v>
      </c>
      <c r="L9" s="5">
        <v>0.15</v>
      </c>
      <c r="M9" s="5">
        <f>1+H9*L9+100*(L9)^4</f>
        <v>1.2651249999999998</v>
      </c>
      <c r="N9" s="5">
        <v>26.3</v>
      </c>
      <c r="O9" s="6">
        <f t="shared" ref="O9:O14" si="3">K9*M9*N9</f>
        <v>0.10980019874999998</v>
      </c>
      <c r="Q9" s="13">
        <v>0.25</v>
      </c>
      <c r="R9" s="17">
        <f t="shared" ref="R9:R16" si="4">0.017732465+(Q9^2) /(8*0.85*PI())</f>
        <v>2.0658107336248076E-2</v>
      </c>
      <c r="S9" s="9">
        <f t="shared" ref="S9:S16" si="5">0.065251+(Q9^2)/(PI()*0.85*8)</f>
        <v>6.8176642336248081E-2</v>
      </c>
      <c r="T9" s="9">
        <f t="shared" ref="T9:T16" si="6">Q9+0.489564</f>
        <v>0.739564</v>
      </c>
      <c r="U9" s="9">
        <f t="shared" si="0"/>
        <v>1.2290999999999999</v>
      </c>
      <c r="V9" s="14">
        <f t="shared" ref="V9:V16" si="7">0.153249+(U9^2)/(8*0.85*PI())</f>
        <v>0.22396466861036085</v>
      </c>
    </row>
    <row r="10" spans="7:22">
      <c r="G10" s="4" t="s">
        <v>10</v>
      </c>
      <c r="H10" s="5">
        <v>0.98</v>
      </c>
      <c r="I10" s="8">
        <f t="shared" si="1"/>
        <v>5499270</v>
      </c>
      <c r="J10" s="8">
        <f t="shared" si="2"/>
        <v>2021753.2868254776</v>
      </c>
      <c r="K10" s="5">
        <v>3.5000000000000001E-3</v>
      </c>
      <c r="L10" s="5">
        <v>0.09</v>
      </c>
      <c r="M10" s="5">
        <f>1+H10*L10+100*(L10)^4</f>
        <v>1.0947610000000001</v>
      </c>
      <c r="N10" s="5">
        <v>8.5</v>
      </c>
      <c r="O10" s="6">
        <f t="shared" si="3"/>
        <v>3.2569139750000003E-2</v>
      </c>
      <c r="Q10" s="13">
        <v>0.5</v>
      </c>
      <c r="R10" s="17">
        <f t="shared" si="4"/>
        <v>2.9435034344992304E-2</v>
      </c>
      <c r="S10" s="9">
        <f t="shared" si="5"/>
        <v>7.6953569344992312E-2</v>
      </c>
      <c r="T10" s="9">
        <f t="shared" si="6"/>
        <v>0.989564</v>
      </c>
      <c r="U10" s="9">
        <f t="shared" si="0"/>
        <v>1.4790999999999999</v>
      </c>
      <c r="V10" s="14">
        <f t="shared" si="7"/>
        <v>0.25565756691046898</v>
      </c>
    </row>
    <row r="11" spans="7:22">
      <c r="G11" s="4" t="s">
        <v>11</v>
      </c>
      <c r="H11" s="5">
        <v>1.35</v>
      </c>
      <c r="I11" s="8">
        <f t="shared" si="1"/>
        <v>7575525.0000000009</v>
      </c>
      <c r="J11" s="8">
        <f t="shared" si="2"/>
        <v>2845483.4634721205</v>
      </c>
      <c r="K11" s="5">
        <v>3.3E-3</v>
      </c>
      <c r="L11" s="5">
        <v>0.09</v>
      </c>
      <c r="M11" s="5">
        <f>1+H11*L11+100*(L11)^4</f>
        <v>1.128061</v>
      </c>
      <c r="N11" s="5">
        <v>7.08</v>
      </c>
      <c r="O11" s="6">
        <f t="shared" si="3"/>
        <v>2.6356017204E-2</v>
      </c>
      <c r="Q11" s="13">
        <v>0.75</v>
      </c>
      <c r="R11" s="17">
        <f t="shared" si="4"/>
        <v>4.4063246026232683E-2</v>
      </c>
      <c r="S11" s="9">
        <f t="shared" si="5"/>
        <v>9.1581781026232684E-2</v>
      </c>
      <c r="T11" s="9">
        <f t="shared" si="6"/>
        <v>1.2395640000000001</v>
      </c>
      <c r="U11" s="9">
        <f t="shared" si="0"/>
        <v>1.7290999999999999</v>
      </c>
      <c r="V11" s="14">
        <f t="shared" si="7"/>
        <v>0.29320174988307329</v>
      </c>
    </row>
    <row r="12" spans="7:22">
      <c r="G12" s="4" t="s">
        <v>14</v>
      </c>
      <c r="H12" s="5">
        <v>1.1499999999999999</v>
      </c>
      <c r="I12" s="8">
        <f t="shared" si="1"/>
        <v>6453225</v>
      </c>
      <c r="J12" s="8">
        <f t="shared" si="2"/>
        <v>2398029.551556516</v>
      </c>
      <c r="K12" s="5">
        <v>3.3999999999999998E-3</v>
      </c>
      <c r="L12" s="5">
        <v>0.06</v>
      </c>
      <c r="M12" s="5">
        <f>1+H12*L12+100*(L12)^4</f>
        <v>1.0702959999999999</v>
      </c>
      <c r="N12" s="5">
        <v>8.6</v>
      </c>
      <c r="O12" s="6">
        <f t="shared" si="3"/>
        <v>3.1295455039999996E-2</v>
      </c>
      <c r="Q12" s="13">
        <v>1</v>
      </c>
      <c r="R12" s="17">
        <f t="shared" si="4"/>
        <v>6.4542742379969223E-2</v>
      </c>
      <c r="S12" s="9">
        <f t="shared" si="5"/>
        <v>0.11206127737996922</v>
      </c>
      <c r="T12" s="9">
        <f t="shared" si="6"/>
        <v>1.4895640000000001</v>
      </c>
      <c r="U12" s="9">
        <f t="shared" si="0"/>
        <v>1.9790999999999999</v>
      </c>
      <c r="V12" s="14">
        <f t="shared" si="7"/>
        <v>0.33659721752817373</v>
      </c>
    </row>
    <row r="13" spans="7:22">
      <c r="G13" s="4" t="s">
        <v>15</v>
      </c>
      <c r="H13" s="5">
        <v>0.72</v>
      </c>
      <c r="I13" s="8">
        <f t="shared" si="1"/>
        <v>4040280</v>
      </c>
      <c r="J13" s="8">
        <f t="shared" si="2"/>
        <v>1455002.3968970126</v>
      </c>
      <c r="K13" s="5">
        <v>3.5999999999999999E-3</v>
      </c>
      <c r="L13" s="5">
        <v>0.06</v>
      </c>
      <c r="M13" s="5">
        <f>1+H13*L13+100*(L13)^4</f>
        <v>1.0444959999999999</v>
      </c>
      <c r="N13" s="5">
        <v>5.4</v>
      </c>
      <c r="O13" s="6">
        <f t="shared" si="3"/>
        <v>2.0305002239999998E-2</v>
      </c>
      <c r="Q13" s="13">
        <v>1.4</v>
      </c>
      <c r="R13" s="17">
        <f t="shared" si="4"/>
        <v>0.10948060866473966</v>
      </c>
      <c r="S13" s="9">
        <f t="shared" si="5"/>
        <v>0.15699914366473966</v>
      </c>
      <c r="T13" s="9">
        <f t="shared" si="6"/>
        <v>1.889564</v>
      </c>
      <c r="U13" s="9">
        <f t="shared" si="0"/>
        <v>2.3790999999999998</v>
      </c>
      <c r="V13" s="14">
        <f t="shared" si="7"/>
        <v>0.41820063787912642</v>
      </c>
    </row>
    <row r="14" spans="7:22">
      <c r="G14" s="4" t="s">
        <v>12</v>
      </c>
      <c r="H14" s="5">
        <v>11.62</v>
      </c>
      <c r="I14" s="8">
        <f t="shared" si="1"/>
        <v>65205630.000000007</v>
      </c>
      <c r="J14" s="8">
        <f t="shared" si="2"/>
        <v>28292079.756068837</v>
      </c>
      <c r="K14" s="5">
        <v>2.2000000000000001E-3</v>
      </c>
      <c r="L14" s="5">
        <v>8.5</v>
      </c>
      <c r="M14" s="5">
        <f>1+0.0025*L14+60/L14^3</f>
        <v>1.1189499796458375</v>
      </c>
      <c r="N14" s="5">
        <v>42.68</v>
      </c>
      <c r="O14" s="6">
        <f t="shared" si="3"/>
        <v>0.10506492728882556</v>
      </c>
      <c r="Q14" s="13">
        <v>1.6</v>
      </c>
      <c r="R14" s="17">
        <f t="shared" si="4"/>
        <v>0.13756677509272122</v>
      </c>
      <c r="S14" s="9">
        <f t="shared" si="5"/>
        <v>0.18508531009272122</v>
      </c>
      <c r="T14" s="9">
        <f t="shared" si="6"/>
        <v>2.0895640000000002</v>
      </c>
      <c r="U14" s="9">
        <f t="shared" si="0"/>
        <v>2.5790999999999999</v>
      </c>
      <c r="V14" s="14">
        <f t="shared" si="7"/>
        <v>0.46461958134019921</v>
      </c>
    </row>
    <row r="15" spans="7:22" ht="60" customHeight="1" thickBot="1">
      <c r="G15" s="7" t="s">
        <v>33</v>
      </c>
      <c r="H15" s="77" t="s">
        <v>13</v>
      </c>
      <c r="I15" s="78"/>
      <c r="J15" s="79"/>
      <c r="K15" s="73">
        <f>N15/18.35</f>
        <v>1.7732465409963243E-2</v>
      </c>
      <c r="L15" s="74"/>
      <c r="M15" s="75"/>
      <c r="N15" s="71">
        <f>SUM(O9:O14)</f>
        <v>0.32539074027282555</v>
      </c>
      <c r="O15" s="72"/>
      <c r="Q15" s="13">
        <v>1.905</v>
      </c>
      <c r="R15" s="17">
        <f t="shared" si="4"/>
        <v>0.18760813186884279</v>
      </c>
      <c r="S15" s="9">
        <f t="shared" si="5"/>
        <v>0.23512666686884279</v>
      </c>
      <c r="T15" s="9">
        <f t="shared" si="6"/>
        <v>2.3945639999999999</v>
      </c>
      <c r="U15" s="9">
        <f t="shared" si="0"/>
        <v>2.8841000000000001</v>
      </c>
      <c r="V15" s="14">
        <f t="shared" si="7"/>
        <v>0.54261842309178476</v>
      </c>
    </row>
    <row r="16" spans="7:22">
      <c r="Q16" s="13">
        <v>2</v>
      </c>
      <c r="R16" s="17">
        <f t="shared" si="4"/>
        <v>0.20497357451987688</v>
      </c>
      <c r="S16" s="9">
        <f t="shared" si="5"/>
        <v>0.25249210951987688</v>
      </c>
      <c r="T16" s="9">
        <f t="shared" si="6"/>
        <v>2.4895640000000001</v>
      </c>
      <c r="U16" s="9">
        <f>Q16+0.9791</f>
        <v>2.9790999999999999</v>
      </c>
      <c r="V16" s="14">
        <f t="shared" si="7"/>
        <v>0.56869193483353708</v>
      </c>
    </row>
    <row r="17" spans="7:22" ht="15.75" thickBot="1">
      <c r="Q17" s="18"/>
      <c r="R17" s="15"/>
      <c r="S17" s="15"/>
      <c r="T17" s="15"/>
      <c r="U17" s="15"/>
      <c r="V17" s="16"/>
    </row>
    <row r="18" spans="7:22">
      <c r="G18" s="10"/>
      <c r="H18" s="12" t="s">
        <v>22</v>
      </c>
    </row>
    <row r="19" spans="7:22">
      <c r="G19" s="13" t="s">
        <v>17</v>
      </c>
      <c r="H19" s="14">
        <v>3275</v>
      </c>
    </row>
    <row r="20" spans="7:22">
      <c r="G20" s="13" t="s">
        <v>18</v>
      </c>
      <c r="H20" s="14">
        <v>4800</v>
      </c>
      <c r="I20" s="41"/>
      <c r="J20" s="41"/>
      <c r="K20" s="41"/>
      <c r="L20" s="41"/>
      <c r="M20" s="41"/>
      <c r="N20" s="41"/>
      <c r="O20" s="41"/>
    </row>
    <row r="21" spans="7:22">
      <c r="G21" s="13" t="s">
        <v>19</v>
      </c>
      <c r="H21" s="14">
        <v>4480</v>
      </c>
      <c r="I21" s="42"/>
      <c r="J21" s="42"/>
      <c r="K21" s="42"/>
      <c r="L21" s="42"/>
      <c r="M21" s="42"/>
      <c r="N21" s="42"/>
      <c r="O21" s="42"/>
    </row>
    <row r="22" spans="7:22">
      <c r="G22" s="13" t="s">
        <v>20</v>
      </c>
      <c r="H22" s="14">
        <v>755</v>
      </c>
      <c r="I22" s="43"/>
      <c r="J22" s="43"/>
      <c r="K22" s="42"/>
      <c r="L22" s="42"/>
      <c r="M22" s="42"/>
      <c r="N22" s="42"/>
      <c r="O22" s="42"/>
    </row>
    <row r="23" spans="7:22" ht="15.75" thickBot="1">
      <c r="G23" s="18" t="s">
        <v>21</v>
      </c>
      <c r="H23" s="16">
        <v>253</v>
      </c>
      <c r="I23" s="43"/>
      <c r="J23" s="43"/>
      <c r="K23" s="42"/>
      <c r="L23" s="42"/>
      <c r="M23" s="42"/>
      <c r="N23" s="42"/>
      <c r="O23" s="42"/>
    </row>
    <row r="24" spans="7:22">
      <c r="G24" s="42"/>
      <c r="H24" s="42"/>
      <c r="I24" s="43"/>
      <c r="J24" s="43"/>
      <c r="K24" s="42"/>
      <c r="L24" s="42"/>
      <c r="M24" s="42"/>
      <c r="N24" s="42"/>
      <c r="O24" s="42"/>
    </row>
    <row r="25" spans="7:22">
      <c r="G25" s="42"/>
      <c r="H25" s="42"/>
      <c r="I25" s="43"/>
      <c r="J25" s="43"/>
      <c r="K25" s="42"/>
      <c r="L25" s="42"/>
      <c r="M25" s="42"/>
      <c r="N25" s="42"/>
      <c r="O25" s="42"/>
    </row>
    <row r="26" spans="7:22">
      <c r="G26" s="42"/>
      <c r="H26" s="42"/>
      <c r="I26" s="43"/>
      <c r="J26" s="43"/>
      <c r="K26" s="42"/>
      <c r="L26" s="42"/>
      <c r="M26" s="42"/>
      <c r="N26" s="42"/>
      <c r="O26" s="42"/>
    </row>
    <row r="27" spans="7:22">
      <c r="G27" s="42"/>
      <c r="H27" s="42"/>
      <c r="I27" s="43"/>
      <c r="J27" s="43"/>
      <c r="K27" s="42"/>
      <c r="L27" s="42"/>
      <c r="M27" s="42"/>
      <c r="N27" s="42"/>
      <c r="O27" s="42"/>
    </row>
    <row r="28" spans="7:22" ht="15.75">
      <c r="G28" s="44"/>
      <c r="H28" s="42"/>
      <c r="I28" s="76"/>
      <c r="J28" s="76"/>
      <c r="K28" s="76"/>
      <c r="L28" s="76"/>
      <c r="M28" s="76"/>
      <c r="N28" s="45"/>
      <c r="O28" s="45"/>
    </row>
    <row r="32" spans="7:22">
      <c r="G32" s="30"/>
      <c r="H32" s="30"/>
      <c r="I32" s="30"/>
      <c r="J32" s="30"/>
      <c r="K32" s="30"/>
      <c r="L32" s="30"/>
    </row>
    <row r="33" spans="7:12">
      <c r="G33" s="30"/>
      <c r="H33" s="46"/>
      <c r="I33" s="30"/>
      <c r="J33" s="30"/>
      <c r="K33" s="30"/>
      <c r="L33" s="30"/>
    </row>
    <row r="34" spans="7:12">
      <c r="G34" s="30"/>
      <c r="H34" s="46"/>
      <c r="I34" s="30"/>
      <c r="J34" s="30"/>
      <c r="K34" s="30"/>
      <c r="L34" s="30"/>
    </row>
    <row r="35" spans="7:12">
      <c r="G35" s="30"/>
      <c r="H35" s="46"/>
      <c r="I35" s="30"/>
      <c r="J35" s="30"/>
      <c r="K35" s="30"/>
      <c r="L35" s="30"/>
    </row>
    <row r="36" spans="7:12">
      <c r="G36" s="30"/>
      <c r="H36" s="46"/>
      <c r="I36" s="30"/>
      <c r="J36" s="30"/>
      <c r="K36" s="30"/>
      <c r="L36" s="30"/>
    </row>
    <row r="37" spans="7:12">
      <c r="G37" s="30"/>
      <c r="H37" s="46"/>
      <c r="I37" s="30"/>
      <c r="J37" s="30"/>
      <c r="K37" s="30"/>
      <c r="L37" s="30"/>
    </row>
    <row r="38" spans="7:12">
      <c r="G38" s="30"/>
      <c r="H38" s="46"/>
      <c r="I38" s="30"/>
      <c r="J38" s="30"/>
      <c r="K38" s="30"/>
      <c r="L38" s="30"/>
    </row>
    <row r="39" spans="7:12">
      <c r="G39" s="30"/>
      <c r="H39" s="46"/>
      <c r="I39" s="30"/>
      <c r="J39" s="30"/>
      <c r="K39" s="30"/>
      <c r="L39" s="30"/>
    </row>
  </sheetData>
  <mergeCells count="5">
    <mergeCell ref="N15:O15"/>
    <mergeCell ref="K15:M15"/>
    <mergeCell ref="I28:J28"/>
    <mergeCell ref="K28:M28"/>
    <mergeCell ref="H15:J1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2"/>
  <sheetViews>
    <sheetView tabSelected="1" topLeftCell="I77" zoomScaleNormal="100" workbookViewId="0">
      <selection activeCell="Q95" sqref="Q95"/>
    </sheetView>
  </sheetViews>
  <sheetFormatPr defaultRowHeight="15"/>
  <cols>
    <col min="2" max="2" width="11.5703125" customWidth="1"/>
    <col min="4" max="4" width="14.7109375" customWidth="1"/>
    <col min="6" max="6" width="16.140625" customWidth="1"/>
    <col min="7" max="7" width="11" customWidth="1"/>
    <col min="10" max="10" width="8.28515625" customWidth="1"/>
    <col min="11" max="11" width="16.7109375" customWidth="1"/>
    <col min="12" max="12" width="11" customWidth="1"/>
    <col min="13" max="13" width="18.42578125" customWidth="1"/>
    <col min="18" max="18" width="12" bestFit="1" customWidth="1"/>
    <col min="19" max="19" width="11.5703125" customWidth="1"/>
  </cols>
  <sheetData>
    <row r="1" spans="1:14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4" ht="15.75" thickBot="1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</row>
    <row r="3" spans="1:14">
      <c r="A3" s="53"/>
      <c r="C3" s="10"/>
      <c r="D3" s="11" t="s">
        <v>26</v>
      </c>
      <c r="E3" s="12" t="s">
        <v>27</v>
      </c>
      <c r="G3" s="10"/>
      <c r="H3" s="11" t="s">
        <v>26</v>
      </c>
      <c r="I3" s="12" t="s">
        <v>27</v>
      </c>
      <c r="K3" s="10"/>
      <c r="L3" s="11" t="s">
        <v>26</v>
      </c>
      <c r="M3" s="12" t="s">
        <v>27</v>
      </c>
      <c r="N3" s="53"/>
    </row>
    <row r="4" spans="1:14">
      <c r="A4" s="53"/>
      <c r="C4" s="13" t="s">
        <v>28</v>
      </c>
      <c r="D4" s="9">
        <v>4110</v>
      </c>
      <c r="E4" s="14">
        <v>3023</v>
      </c>
      <c r="G4" s="20" t="s">
        <v>29</v>
      </c>
      <c r="H4" s="9">
        <v>20</v>
      </c>
      <c r="I4" s="14">
        <v>40</v>
      </c>
      <c r="K4" s="20" t="s">
        <v>29</v>
      </c>
      <c r="L4" s="9">
        <v>20</v>
      </c>
      <c r="M4" s="14">
        <v>40</v>
      </c>
      <c r="N4" s="53"/>
    </row>
    <row r="5" spans="1:14" ht="32.450000000000003" customHeight="1">
      <c r="A5" s="53"/>
      <c r="C5" s="13"/>
      <c r="D5" s="9">
        <v>20</v>
      </c>
      <c r="E5" s="14">
        <v>40</v>
      </c>
      <c r="G5" s="13"/>
      <c r="H5" s="9">
        <v>0.16200000000000001</v>
      </c>
      <c r="I5" s="14">
        <v>0.16200000000000001</v>
      </c>
      <c r="K5" s="13"/>
      <c r="L5" s="9">
        <v>0.16200000000000001</v>
      </c>
      <c r="M5" s="9">
        <v>0.16200000000000001</v>
      </c>
      <c r="N5" s="53"/>
    </row>
    <row r="6" spans="1:14" ht="33.6" customHeight="1">
      <c r="A6" s="53"/>
      <c r="C6" s="13"/>
      <c r="D6" s="9">
        <v>0.47499999999999998</v>
      </c>
      <c r="E6" s="14">
        <v>0.47499999999999998</v>
      </c>
      <c r="G6" s="13"/>
      <c r="H6" s="9">
        <v>0.52100000000000002</v>
      </c>
      <c r="I6" s="14">
        <v>0.52100000000000002</v>
      </c>
      <c r="K6" s="13"/>
      <c r="L6" s="9">
        <v>0.52100000000000002</v>
      </c>
      <c r="M6" s="14">
        <v>0.52100000000000002</v>
      </c>
      <c r="N6" s="53"/>
    </row>
    <row r="7" spans="1:14">
      <c r="A7" s="53"/>
      <c r="C7" s="13"/>
      <c r="D7" s="58">
        <f>3.65*D5*PI()*D6/180</f>
        <v>0.60519291812903375</v>
      </c>
      <c r="E7" s="59">
        <f>3.65*E5*PI()*E6/180</f>
        <v>1.2103858362580675</v>
      </c>
      <c r="G7" s="13"/>
      <c r="H7" s="9">
        <v>0.37</v>
      </c>
      <c r="I7" s="14">
        <v>0.37</v>
      </c>
      <c r="K7" s="13"/>
      <c r="L7" s="9">
        <v>0.37</v>
      </c>
      <c r="M7" s="14">
        <v>0.37</v>
      </c>
      <c r="N7" s="53"/>
    </row>
    <row r="8" spans="1:14">
      <c r="A8" s="53"/>
      <c r="C8" s="19"/>
      <c r="D8" s="58">
        <f>1.2+D7</f>
        <v>1.8051929181290336</v>
      </c>
      <c r="E8" s="59">
        <f>1.2+E7</f>
        <v>2.4103858362580675</v>
      </c>
      <c r="G8" s="13"/>
      <c r="H8" s="9">
        <v>0.22</v>
      </c>
      <c r="I8" s="14">
        <v>0.22</v>
      </c>
      <c r="K8" s="13"/>
      <c r="L8" s="9">
        <v>6.5100000000000005E-2</v>
      </c>
      <c r="M8" s="9">
        <v>6.5100000000000005E-2</v>
      </c>
      <c r="N8" s="53"/>
    </row>
    <row r="9" spans="1:14" ht="15.75" thickBot="1">
      <c r="A9" s="53"/>
      <c r="C9" s="18"/>
      <c r="D9" s="60">
        <f>((2*9.81*D4)/(1.225*18.35*D8))^0.5</f>
        <v>44.578199478944299</v>
      </c>
      <c r="E9" s="61">
        <f>((2*9.81*E4)/(1.225*18.35*E8))^0.5</f>
        <v>33.085615101702501</v>
      </c>
      <c r="G9" s="13"/>
      <c r="H9" s="9">
        <v>0.18</v>
      </c>
      <c r="I9" s="14">
        <v>0.18</v>
      </c>
      <c r="K9" s="13"/>
      <c r="L9" s="9">
        <v>4.6300000000000001E-2</v>
      </c>
      <c r="M9" s="9">
        <v>4.6300000000000001E-2</v>
      </c>
      <c r="N9" s="53"/>
    </row>
    <row r="10" spans="1:14">
      <c r="A10" s="53"/>
      <c r="G10" s="13"/>
      <c r="H10" s="9">
        <v>3.8699999999999998E-2</v>
      </c>
      <c r="I10" s="14">
        <v>0.14443</v>
      </c>
      <c r="K10" s="13"/>
      <c r="L10" s="62">
        <f>1.1*SIN(L4*PI()/180)*L5</f>
        <v>6.0947989540634177E-2</v>
      </c>
      <c r="M10" s="62">
        <f>1.1*SIN(M4*PI()/180)*M5</f>
        <v>0.11454475204614131</v>
      </c>
      <c r="N10" s="53"/>
    </row>
    <row r="11" spans="1:14">
      <c r="A11" s="53"/>
      <c r="G11" s="13"/>
      <c r="H11" s="9">
        <v>1.2800000000000001E-2</v>
      </c>
      <c r="I11" s="14">
        <v>1.2800000000000001E-2</v>
      </c>
      <c r="K11" s="13"/>
      <c r="L11" s="62">
        <f>L8/26</f>
        <v>2.5038461538461542E-3</v>
      </c>
      <c r="M11" s="62">
        <f>M8/26</f>
        <v>2.5038461538461542E-3</v>
      </c>
      <c r="N11" s="53"/>
    </row>
    <row r="12" spans="1:14" ht="15.75" thickBot="1">
      <c r="A12" s="53"/>
      <c r="G12" s="18"/>
      <c r="H12" s="15">
        <v>6.8680000000000005E-2</v>
      </c>
      <c r="I12" s="16">
        <v>0.1744</v>
      </c>
      <c r="K12" s="21"/>
      <c r="L12" s="63">
        <f>L9/26</f>
        <v>1.7807692307692307E-3</v>
      </c>
      <c r="M12" s="63">
        <f>M9/26</f>
        <v>1.7807692307692307E-3</v>
      </c>
      <c r="N12" s="53"/>
    </row>
    <row r="13" spans="1:14" ht="15.75" thickBot="1">
      <c r="A13" s="53"/>
      <c r="K13" s="18"/>
      <c r="L13" s="64">
        <f>L10+L11+L12+Sheet1!K15</f>
        <v>8.2965070335212804E-2</v>
      </c>
      <c r="M13" s="65">
        <f>Sheet1!K15+M10+M11+M12</f>
        <v>0.13656183284071993</v>
      </c>
      <c r="N13" s="53"/>
    </row>
    <row r="14" spans="1:14">
      <c r="A14" s="53"/>
      <c r="N14" s="53"/>
    </row>
    <row r="15" spans="1:14" ht="15.75" thickBot="1">
      <c r="A15" s="53"/>
      <c r="N15" s="53"/>
    </row>
    <row r="16" spans="1:14" ht="15.75" thickBot="1">
      <c r="A16" s="53"/>
      <c r="B16" s="98"/>
      <c r="C16" s="95" t="s">
        <v>49</v>
      </c>
      <c r="D16" s="96"/>
      <c r="E16" s="95" t="s">
        <v>27</v>
      </c>
      <c r="F16" s="97"/>
      <c r="I16" s="100"/>
      <c r="J16" s="102" t="s">
        <v>34</v>
      </c>
      <c r="K16" s="94"/>
      <c r="L16" s="93" t="s">
        <v>35</v>
      </c>
      <c r="M16" s="94"/>
      <c r="N16" s="53"/>
    </row>
    <row r="17" spans="1:16" ht="15.75" thickBot="1">
      <c r="A17" s="53"/>
      <c r="B17" s="99"/>
      <c r="C17" s="9" t="s">
        <v>36</v>
      </c>
      <c r="D17" s="9" t="s">
        <v>145</v>
      </c>
      <c r="E17" s="9" t="s">
        <v>36</v>
      </c>
      <c r="F17" s="14" t="s">
        <v>144</v>
      </c>
      <c r="I17" s="101"/>
      <c r="J17" s="69" t="s">
        <v>36</v>
      </c>
      <c r="K17" s="69" t="s">
        <v>146</v>
      </c>
      <c r="L17" s="69" t="s">
        <v>36</v>
      </c>
      <c r="M17" s="69" t="s">
        <v>147</v>
      </c>
      <c r="N17" s="53"/>
    </row>
    <row r="18" spans="1:16" ht="15.75" thickBot="1">
      <c r="A18" s="53"/>
      <c r="B18" s="13"/>
      <c r="C18" s="9"/>
      <c r="D18" s="9"/>
      <c r="E18" s="9"/>
      <c r="F18" s="14"/>
      <c r="I18" s="25" t="s">
        <v>37</v>
      </c>
      <c r="J18" s="28">
        <f>D9</f>
        <v>44.578199478944299</v>
      </c>
      <c r="K18" s="28">
        <v>49.75</v>
      </c>
      <c r="L18" s="28">
        <f>J18</f>
        <v>44.578199478944299</v>
      </c>
      <c r="M18" s="28">
        <v>41.91</v>
      </c>
      <c r="N18" s="53"/>
    </row>
    <row r="19" spans="1:16" ht="15.75" thickBot="1">
      <c r="A19" s="53"/>
      <c r="B19" s="13" t="s">
        <v>52</v>
      </c>
      <c r="C19" s="9">
        <f>(J28*J19^1.98)/(9.81*(J21-J22+J25-J23))</f>
        <v>670.26283126004546</v>
      </c>
      <c r="D19" s="58">
        <f>(J28*K19^1.98)/(9.81*(K21-K22+K25-K23))</f>
        <v>854.93727041299155</v>
      </c>
      <c r="E19" s="9">
        <f>(1.3*J18)^2/(2*9.81*0.33)</f>
        <v>518.70305783305366</v>
      </c>
      <c r="F19" s="59">
        <f>(1.3*K18)^2/(2*9.81*0.33)</f>
        <v>646.04077858091603</v>
      </c>
      <c r="I19" s="25" t="s">
        <v>38</v>
      </c>
      <c r="J19" s="28">
        <f>1.1*J18</f>
        <v>49.036019426838735</v>
      </c>
      <c r="K19" s="28">
        <f>1.1*K18</f>
        <v>54.725000000000001</v>
      </c>
      <c r="L19" s="24" t="s">
        <v>39</v>
      </c>
      <c r="M19" s="24" t="s">
        <v>39</v>
      </c>
      <c r="N19" s="53"/>
    </row>
    <row r="20" spans="1:16" ht="15.75" thickBot="1">
      <c r="A20" s="53"/>
      <c r="B20" s="13" t="s">
        <v>51</v>
      </c>
      <c r="C20" s="9">
        <f>2*J28*(10.668+(L20^2-J19^2)/(2*9.81))/(L25-L24+L26-L27)</f>
        <v>285.83335019106869</v>
      </c>
      <c r="D20" s="58">
        <f>2*J28*(10.668+(M20^2-K19^2)/(2*9.81))/(M25-M24+M26-M27)</f>
        <v>286.39398844891048</v>
      </c>
      <c r="E20" s="30">
        <f>10.668/TAN(3*PI()/180)</f>
        <v>203.55756618468456</v>
      </c>
      <c r="F20" s="68">
        <f>10.668/TAN(3*PI()/180)</f>
        <v>203.55756618468456</v>
      </c>
      <c r="I20" s="25" t="s">
        <v>40</v>
      </c>
      <c r="J20" s="24" t="s">
        <v>39</v>
      </c>
      <c r="K20" s="24" t="s">
        <v>39</v>
      </c>
      <c r="L20" s="24">
        <f>L18*1.2</f>
        <v>53.493839374733156</v>
      </c>
      <c r="M20" s="24">
        <f>58.03</f>
        <v>58.03</v>
      </c>
      <c r="N20" s="53"/>
    </row>
    <row r="21" spans="1:16" ht="15.75" thickBot="1">
      <c r="A21" s="53"/>
      <c r="B21" s="31" t="s">
        <v>50</v>
      </c>
      <c r="C21" s="66">
        <f>C19+C20</f>
        <v>956.09618145111415</v>
      </c>
      <c r="D21" s="66">
        <f>D19+D20</f>
        <v>1141.3312588619019</v>
      </c>
      <c r="E21" s="66">
        <f>E19+E20</f>
        <v>722.26062401773822</v>
      </c>
      <c r="F21" s="67">
        <f>F19+F20</f>
        <v>849.59834476560059</v>
      </c>
      <c r="I21" s="25" t="s">
        <v>41</v>
      </c>
      <c r="J21" s="28">
        <v>900</v>
      </c>
      <c r="K21" s="28">
        <v>900</v>
      </c>
      <c r="L21" s="24" t="s">
        <v>39</v>
      </c>
      <c r="M21" s="24" t="s">
        <v>39</v>
      </c>
      <c r="N21" s="53"/>
    </row>
    <row r="22" spans="1:16" ht="15.75" thickBot="1">
      <c r="A22" s="54"/>
      <c r="B22" s="30"/>
      <c r="C22" s="30"/>
      <c r="D22" s="30"/>
      <c r="E22" s="30"/>
      <c r="F22" s="30"/>
      <c r="G22" s="30"/>
      <c r="I22" s="25" t="s">
        <v>42</v>
      </c>
      <c r="J22" s="28">
        <f>0.025*J28</f>
        <v>102.75</v>
      </c>
      <c r="K22" s="28">
        <f>0.025*K28</f>
        <v>102.75</v>
      </c>
      <c r="L22" s="24" t="s">
        <v>39</v>
      </c>
      <c r="M22" s="24" t="s">
        <v>39</v>
      </c>
      <c r="N22" s="53"/>
    </row>
    <row r="23" spans="1:16" ht="15.75" thickBot="1">
      <c r="A23" s="54"/>
      <c r="B23" s="30"/>
      <c r="C23" s="30"/>
      <c r="D23" s="30"/>
      <c r="E23" s="30"/>
      <c r="F23" s="30"/>
      <c r="I23" s="25" t="s">
        <v>43</v>
      </c>
      <c r="J23" s="28">
        <f>0.5/9.81*1.225*0.7535*26*J19^2*0.037</f>
        <v>108.82428719907323</v>
      </c>
      <c r="K23" s="28">
        <f>0.5/9.81*1.225*0.7535*26*K19^2*0.037</f>
        <v>135.53983569001895</v>
      </c>
      <c r="L23" s="24" t="s">
        <v>39</v>
      </c>
      <c r="M23" s="24" t="s">
        <v>39</v>
      </c>
      <c r="N23" s="53"/>
    </row>
    <row r="24" spans="1:16" ht="15.75" thickBot="1">
      <c r="A24" s="54"/>
      <c r="B24" s="30"/>
      <c r="C24" s="30"/>
      <c r="D24" s="30"/>
      <c r="I24" s="25" t="s">
        <v>44</v>
      </c>
      <c r="J24" s="24" t="s">
        <v>39</v>
      </c>
      <c r="K24" s="24" t="s">
        <v>39</v>
      </c>
      <c r="L24" s="28">
        <f>0.5/9.81*1.225*0.7535*26*J19^2*0.037</f>
        <v>108.82428719907323</v>
      </c>
      <c r="M24" s="28">
        <f>0.5/9.81*1.225*0.7535*26*K19^2*0.037</f>
        <v>135.53983569001895</v>
      </c>
      <c r="N24" s="53"/>
    </row>
    <row r="25" spans="1:16" ht="17.25" thickBot="1">
      <c r="A25" s="53"/>
      <c r="I25" s="26" t="s">
        <v>45</v>
      </c>
      <c r="J25" s="28">
        <f>J21*0.78</f>
        <v>702</v>
      </c>
      <c r="K25" s="24">
        <f>K21*0.77</f>
        <v>693</v>
      </c>
      <c r="L25" s="28">
        <f>J25</f>
        <v>702</v>
      </c>
      <c r="M25" s="28">
        <f>K25</f>
        <v>693</v>
      </c>
      <c r="N25" s="53"/>
    </row>
    <row r="26" spans="1:16" ht="15.75" thickBot="1">
      <c r="A26" s="53"/>
      <c r="I26" s="25" t="s">
        <v>46</v>
      </c>
      <c r="J26" s="24" t="s">
        <v>39</v>
      </c>
      <c r="K26" s="24" t="s">
        <v>39</v>
      </c>
      <c r="L26" s="28">
        <v>678.6</v>
      </c>
      <c r="M26" s="28">
        <v>614.13</v>
      </c>
      <c r="N26" s="53"/>
    </row>
    <row r="27" spans="1:16" ht="15.75" thickBot="1">
      <c r="A27" s="53"/>
      <c r="F27" s="30"/>
      <c r="I27" s="25" t="s">
        <v>47</v>
      </c>
      <c r="J27" s="24" t="s">
        <v>39</v>
      </c>
      <c r="K27" s="24" t="s">
        <v>39</v>
      </c>
      <c r="L27" s="28">
        <v>295.05</v>
      </c>
      <c r="M27" s="28">
        <v>320.25</v>
      </c>
      <c r="N27" s="53"/>
    </row>
    <row r="28" spans="1:16" ht="15.75" thickBot="1">
      <c r="A28" s="53"/>
      <c r="I28" s="27" t="s">
        <v>48</v>
      </c>
      <c r="J28" s="29">
        <v>4110</v>
      </c>
      <c r="K28" s="29">
        <v>4110</v>
      </c>
      <c r="L28" s="29">
        <v>4110</v>
      </c>
      <c r="M28" s="29">
        <v>4110</v>
      </c>
      <c r="N28" s="53"/>
    </row>
    <row r="29" spans="1:16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</row>
    <row r="30" spans="1:16">
      <c r="B30" s="90"/>
      <c r="C30" s="90"/>
      <c r="D30" s="90"/>
    </row>
    <row r="31" spans="1:16">
      <c r="B31" s="9" t="s">
        <v>53</v>
      </c>
      <c r="C31" s="9" t="s">
        <v>54</v>
      </c>
      <c r="D31" s="9" t="s">
        <v>139</v>
      </c>
      <c r="E31" s="9" t="s">
        <v>140</v>
      </c>
      <c r="F31" s="9" t="s">
        <v>141</v>
      </c>
      <c r="G31" s="9" t="s">
        <v>142</v>
      </c>
      <c r="H31" s="9" t="s">
        <v>55</v>
      </c>
      <c r="I31" s="57" t="s">
        <v>143</v>
      </c>
      <c r="J31" s="30"/>
      <c r="K31" s="30"/>
      <c r="O31" s="55" t="s">
        <v>57</v>
      </c>
      <c r="P31" s="55">
        <v>198</v>
      </c>
    </row>
    <row r="32" spans="1:16">
      <c r="B32" s="32" t="s">
        <v>56</v>
      </c>
      <c r="C32" s="9">
        <v>1</v>
      </c>
      <c r="D32" s="9">
        <v>0.97109999999999996</v>
      </c>
      <c r="E32" s="9">
        <v>0.94279999999999997</v>
      </c>
      <c r="F32" s="9">
        <v>0.91510000000000002</v>
      </c>
      <c r="G32" s="9">
        <v>0.8881</v>
      </c>
      <c r="H32" s="9">
        <v>0.86170000000000002</v>
      </c>
      <c r="I32" s="57">
        <v>0.83589999999999998</v>
      </c>
      <c r="J32" s="30"/>
      <c r="K32" s="30"/>
      <c r="O32" s="55" t="s">
        <v>62</v>
      </c>
      <c r="P32" s="55">
        <f>P31/I33</f>
        <v>0.30569708198239925</v>
      </c>
    </row>
    <row r="33" spans="2:22">
      <c r="B33" s="9" t="s">
        <v>58</v>
      </c>
      <c r="C33" s="9">
        <v>661.5</v>
      </c>
      <c r="D33" s="9">
        <v>659.2</v>
      </c>
      <c r="E33" s="9">
        <v>656.9</v>
      </c>
      <c r="F33" s="9">
        <v>654.6</v>
      </c>
      <c r="G33" s="9">
        <v>652.29999999999995</v>
      </c>
      <c r="H33" s="9">
        <v>650</v>
      </c>
      <c r="I33" s="57">
        <v>647.70000000000005</v>
      </c>
      <c r="J33" s="30"/>
      <c r="K33" s="30"/>
      <c r="O33" s="55" t="s">
        <v>59</v>
      </c>
      <c r="P33" s="56">
        <v>900</v>
      </c>
    </row>
    <row r="34" spans="2:22">
      <c r="B34" s="9" t="s">
        <v>67</v>
      </c>
      <c r="C34" s="9">
        <v>33</v>
      </c>
      <c r="D34" s="9">
        <v>66</v>
      </c>
      <c r="E34" s="9">
        <v>99</v>
      </c>
      <c r="F34" s="9">
        <v>132</v>
      </c>
      <c r="G34" s="9">
        <v>165</v>
      </c>
      <c r="H34" s="9">
        <v>198</v>
      </c>
      <c r="I34" s="57">
        <v>231</v>
      </c>
      <c r="J34" s="30"/>
      <c r="K34" s="30"/>
      <c r="O34" s="55" t="s">
        <v>61</v>
      </c>
      <c r="P34" s="56">
        <f>J23</f>
        <v>108.82428719907323</v>
      </c>
    </row>
    <row r="35" spans="2:22">
      <c r="B35" s="9" t="s">
        <v>75</v>
      </c>
      <c r="C35" s="70">
        <f>J28</f>
        <v>4110</v>
      </c>
      <c r="D35" s="9">
        <f t="shared" ref="D35:I35" si="0">C35-C51</f>
        <v>4110.0573143992169</v>
      </c>
      <c r="E35" s="9">
        <f t="shared" si="0"/>
        <v>4114.4317090276891</v>
      </c>
      <c r="F35" s="9">
        <f t="shared" si="0"/>
        <v>4108.8636283718342</v>
      </c>
      <c r="G35" s="9">
        <f t="shared" si="0"/>
        <v>4102.8333206691395</v>
      </c>
      <c r="H35" s="9">
        <f t="shared" si="0"/>
        <v>4094.9465023496327</v>
      </c>
      <c r="I35" s="57">
        <f t="shared" si="0"/>
        <v>4084.7337446824667</v>
      </c>
      <c r="J35" s="30"/>
      <c r="K35" s="30"/>
      <c r="O35" s="55"/>
      <c r="P35" s="56"/>
    </row>
    <row r="36" spans="2:22">
      <c r="B36" s="9" t="s">
        <v>64</v>
      </c>
      <c r="C36" s="9">
        <f>C34/C33</f>
        <v>4.9886621315192746E-2</v>
      </c>
      <c r="D36" s="9">
        <f t="shared" ref="D36:I36" si="1">D34/D33</f>
        <v>0.10012135922330097</v>
      </c>
      <c r="E36" s="9">
        <f t="shared" si="1"/>
        <v>0.15070787029989344</v>
      </c>
      <c r="F36" s="9">
        <f t="shared" si="1"/>
        <v>0.20164986251145736</v>
      </c>
      <c r="G36" s="9">
        <f t="shared" si="1"/>
        <v>0.25295109612141653</v>
      </c>
      <c r="H36" s="9">
        <f t="shared" si="1"/>
        <v>0.30461538461538462</v>
      </c>
      <c r="I36" s="57">
        <f t="shared" si="1"/>
        <v>0.35664659564613244</v>
      </c>
      <c r="J36" s="30"/>
      <c r="K36" s="30"/>
      <c r="O36" s="55" t="s">
        <v>63</v>
      </c>
      <c r="P36" s="55">
        <f>(P33-P34)*P31/L28</f>
        <v>38.115034339314718</v>
      </c>
    </row>
    <row r="37" spans="2:22">
      <c r="B37" s="9" t="s">
        <v>68</v>
      </c>
      <c r="C37" s="9">
        <f>0.51477*C34</f>
        <v>16.987409999999997</v>
      </c>
      <c r="D37" s="9">
        <f t="shared" ref="D37:I37" si="2">0.51477*D34</f>
        <v>33.974819999999994</v>
      </c>
      <c r="E37" s="9">
        <f t="shared" si="2"/>
        <v>50.962229999999998</v>
      </c>
      <c r="F37" s="9">
        <f t="shared" si="2"/>
        <v>67.949639999999988</v>
      </c>
      <c r="G37" s="9">
        <f t="shared" si="2"/>
        <v>84.937049999999985</v>
      </c>
      <c r="H37" s="9">
        <f t="shared" si="2"/>
        <v>101.92446</v>
      </c>
      <c r="I37" s="57">
        <f t="shared" si="2"/>
        <v>118.91186999999999</v>
      </c>
      <c r="J37" s="30"/>
      <c r="K37" s="30"/>
      <c r="N37" s="30"/>
    </row>
    <row r="38" spans="2:22">
      <c r="B38" s="9" t="s">
        <v>71</v>
      </c>
      <c r="C38" s="9">
        <f t="shared" ref="C38:H38" si="3">(C37+D37)/2</f>
        <v>25.481114999999996</v>
      </c>
      <c r="D38" s="9">
        <f t="shared" si="3"/>
        <v>42.468525</v>
      </c>
      <c r="E38" s="9">
        <f t="shared" si="3"/>
        <v>59.455934999999997</v>
      </c>
      <c r="F38" s="9">
        <f t="shared" si="3"/>
        <v>76.443344999999994</v>
      </c>
      <c r="G38" s="9">
        <f t="shared" si="3"/>
        <v>93.430754999999991</v>
      </c>
      <c r="H38" s="9">
        <f t="shared" si="3"/>
        <v>110.41816499999999</v>
      </c>
      <c r="I38" s="57"/>
      <c r="J38" s="30"/>
      <c r="K38" s="30"/>
    </row>
    <row r="39" spans="2:22">
      <c r="B39" s="9" t="s">
        <v>69</v>
      </c>
      <c r="C39" s="9">
        <f>2*$J$28*9.81/(1.225*C32*18.35*C37^2)</f>
        <v>12.431236532116818</v>
      </c>
      <c r="D39" s="9">
        <f>2*$J$28*9.81/(1.225*D32*18.35*D37^2)</f>
        <v>3.2002977376472095</v>
      </c>
      <c r="E39" s="9">
        <f>2*D35*9.81/(1.225*E32*18.35*E37^2)</f>
        <v>1.4650697552289837</v>
      </c>
      <c r="F39" s="9">
        <f>2*E35*9.81/(1.225*F32*18.35*F37^2)</f>
        <v>0.84995088105066707</v>
      </c>
      <c r="G39" s="9">
        <f>2*F35*9.81/(1.225*G32*18.35*G37^2)</f>
        <v>0.55974775031638413</v>
      </c>
      <c r="H39" s="9">
        <f>2*G35*9.81/(1.225*H32*18.35*H37^2)</f>
        <v>0.40003481381124995</v>
      </c>
      <c r="I39" s="57">
        <f>2*H35*9.81/(1.225*I32*18.35*I37^2)</f>
        <v>0.3023920263147839</v>
      </c>
      <c r="J39" s="30"/>
      <c r="K39" s="30"/>
    </row>
    <row r="40" spans="2:22">
      <c r="B40" s="9" t="s">
        <v>16</v>
      </c>
      <c r="C40" s="9">
        <f>Sheet1!$K$15+C39^2/(PI()*8*0.85)</f>
        <v>7.2515887192946744</v>
      </c>
      <c r="D40" s="9">
        <f>Sheet1!$K$15+D39^2/(PI()*8*0.85)</f>
        <v>0.49715890789432676</v>
      </c>
      <c r="E40" s="9">
        <f>Sheet1!$K$15+E39^2/(PI()*8*0.85)</f>
        <v>0.11820742042409582</v>
      </c>
      <c r="F40" s="9">
        <f>Sheet1!$K$15+F39^2/(PI()*8*0.85)</f>
        <v>5.1548982168135901E-2</v>
      </c>
      <c r="G40" s="9">
        <f>Sheet1!$K$15+G39^2/(PI()*8*0.85)</f>
        <v>3.2398946551876834E-2</v>
      </c>
      <c r="H40" s="9">
        <f>Sheet1!$K$15+H39^2/(PI()*8*0.85)</f>
        <v>2.5223413562821453E-2</v>
      </c>
      <c r="I40" s="57">
        <f>Sheet1!$K$15+I39^2/(PI()*8*0.85)</f>
        <v>2.2012841061909497E-2</v>
      </c>
      <c r="J40" s="30"/>
      <c r="K40" s="30"/>
    </row>
    <row r="41" spans="2:22">
      <c r="B41" s="9" t="s">
        <v>66</v>
      </c>
      <c r="C41" s="9">
        <v>0.98</v>
      </c>
      <c r="D41" s="9">
        <v>0.91</v>
      </c>
      <c r="E41" s="9">
        <v>0.86</v>
      </c>
      <c r="F41" s="9">
        <v>0.8</v>
      </c>
      <c r="G41" s="9">
        <v>0.74</v>
      </c>
      <c r="H41" s="9">
        <v>0.71</v>
      </c>
      <c r="I41" s="9">
        <v>0.68</v>
      </c>
      <c r="J41" s="30"/>
      <c r="K41" s="30"/>
      <c r="O41" s="91" t="s">
        <v>83</v>
      </c>
      <c r="P41" s="91"/>
      <c r="Q41" s="9"/>
      <c r="R41" s="9"/>
      <c r="S41" s="9"/>
      <c r="T41" s="9"/>
      <c r="U41" s="9"/>
      <c r="V41" s="9"/>
    </row>
    <row r="42" spans="2:22">
      <c r="B42" s="9" t="s">
        <v>60</v>
      </c>
      <c r="C42" s="9">
        <f>$J$28*C40</f>
        <v>29804.029636301111</v>
      </c>
      <c r="D42" s="9">
        <f>$J$28*D40</f>
        <v>2043.323111445683</v>
      </c>
      <c r="E42" s="9">
        <f>D35*E40</f>
        <v>485.83927293031843</v>
      </c>
      <c r="F42" s="9">
        <f>E35*F40</f>
        <v>212.09476680068127</v>
      </c>
      <c r="G42" s="9">
        <f>F35*G40</f>
        <v>133.12285308456978</v>
      </c>
      <c r="H42" s="9">
        <f>G35*H40</f>
        <v>103.48746162656175</v>
      </c>
      <c r="I42" s="57">
        <f>H35*I40</f>
        <v>90.141406513244675</v>
      </c>
      <c r="J42" s="30"/>
      <c r="K42" s="30"/>
      <c r="O42" s="9" t="s">
        <v>82</v>
      </c>
      <c r="P42" s="9">
        <v>0</v>
      </c>
      <c r="Q42" s="9">
        <v>1000</v>
      </c>
      <c r="R42" s="9">
        <v>2000</v>
      </c>
      <c r="S42" s="9">
        <v>3000</v>
      </c>
      <c r="T42" s="9">
        <v>4000</v>
      </c>
      <c r="U42" s="9">
        <v>5000</v>
      </c>
      <c r="V42" s="9">
        <v>6000</v>
      </c>
    </row>
    <row r="43" spans="2:22">
      <c r="B43" s="9" t="s">
        <v>70</v>
      </c>
      <c r="C43" s="9">
        <f>C41*$P$33</f>
        <v>882</v>
      </c>
      <c r="D43" s="9">
        <f t="shared" ref="D43:I43" si="4">D41*$P$33</f>
        <v>819</v>
      </c>
      <c r="E43" s="9">
        <f t="shared" si="4"/>
        <v>774</v>
      </c>
      <c r="F43" s="9">
        <f t="shared" si="4"/>
        <v>720</v>
      </c>
      <c r="G43" s="9">
        <f t="shared" si="4"/>
        <v>666</v>
      </c>
      <c r="H43" s="9">
        <f t="shared" si="4"/>
        <v>639</v>
      </c>
      <c r="I43" s="57">
        <f t="shared" si="4"/>
        <v>612</v>
      </c>
      <c r="J43" s="30"/>
      <c r="K43" s="30"/>
      <c r="O43" s="9" t="s">
        <v>81</v>
      </c>
      <c r="P43" s="9">
        <f>$P$33*C32*0.97*0.875</f>
        <v>763.875</v>
      </c>
      <c r="Q43" s="9">
        <f t="shared" ref="Q43:V43" si="5">$P$33*D32*0.97*0.875</f>
        <v>741.7990125</v>
      </c>
      <c r="R43" s="9">
        <f t="shared" si="5"/>
        <v>720.18134999999995</v>
      </c>
      <c r="S43" s="9">
        <f t="shared" si="5"/>
        <v>699.02201249999996</v>
      </c>
      <c r="T43" s="9">
        <f t="shared" si="5"/>
        <v>678.39738749999992</v>
      </c>
      <c r="U43" s="9">
        <f t="shared" si="5"/>
        <v>658.23108749999994</v>
      </c>
      <c r="V43" s="9">
        <f t="shared" si="5"/>
        <v>638.52311249999991</v>
      </c>
    </row>
    <row r="44" spans="2:22">
      <c r="B44" s="9" t="s">
        <v>65</v>
      </c>
      <c r="C44" s="9">
        <f>C43-C42</f>
        <v>-28922.029636301111</v>
      </c>
      <c r="D44" s="9">
        <f t="shared" ref="D44:I44" si="6">D43-D42</f>
        <v>-1224.323111445683</v>
      </c>
      <c r="E44" s="9">
        <f t="shared" si="6"/>
        <v>288.16072706968157</v>
      </c>
      <c r="F44" s="9">
        <f t="shared" si="6"/>
        <v>507.90523319931873</v>
      </c>
      <c r="G44" s="9">
        <f t="shared" si="6"/>
        <v>532.87714691543022</v>
      </c>
      <c r="H44" s="9">
        <f t="shared" si="6"/>
        <v>535.51253837343825</v>
      </c>
      <c r="I44" s="57">
        <f t="shared" si="6"/>
        <v>521.85859348675535</v>
      </c>
      <c r="J44" s="30"/>
      <c r="K44" s="30"/>
    </row>
    <row r="45" spans="2:22">
      <c r="B45" s="9" t="s">
        <v>72</v>
      </c>
      <c r="C45" s="9">
        <v>0.32</v>
      </c>
      <c r="D45" s="9">
        <v>0.37</v>
      </c>
      <c r="E45" s="9">
        <v>0.41</v>
      </c>
      <c r="F45" s="9">
        <v>0.42</v>
      </c>
      <c r="G45" s="9">
        <v>0.45</v>
      </c>
      <c r="H45" s="9">
        <v>0.48</v>
      </c>
      <c r="I45" s="9">
        <v>0.49</v>
      </c>
      <c r="J45" s="30"/>
      <c r="K45" s="30"/>
      <c r="O45" s="92" t="s">
        <v>86</v>
      </c>
      <c r="P45" s="92"/>
      <c r="Q45" s="92"/>
      <c r="R45" s="92"/>
      <c r="S45" s="9"/>
      <c r="T45" s="9"/>
      <c r="U45" s="9"/>
      <c r="V45" s="9"/>
    </row>
    <row r="46" spans="2:22">
      <c r="B46" s="9" t="s">
        <v>73</v>
      </c>
      <c r="C46" s="9">
        <f>$P$33*C45/(0.95*3600)</f>
        <v>8.4210526315789472E-2</v>
      </c>
      <c r="D46" s="9">
        <f t="shared" ref="D46:I46" si="7">$P$33*D45/(0.95*3600)</f>
        <v>9.7368421052631576E-2</v>
      </c>
      <c r="E46" s="9">
        <f t="shared" si="7"/>
        <v>0.10789473684210527</v>
      </c>
      <c r="F46" s="9">
        <f t="shared" si="7"/>
        <v>0.11052631578947368</v>
      </c>
      <c r="G46" s="9">
        <f t="shared" si="7"/>
        <v>0.11842105263157894</v>
      </c>
      <c r="H46" s="9">
        <f t="shared" si="7"/>
        <v>0.12631578947368421</v>
      </c>
      <c r="I46" s="57">
        <f t="shared" si="7"/>
        <v>0.12894736842105264</v>
      </c>
      <c r="J46" s="30"/>
      <c r="K46" s="30"/>
      <c r="O46" s="9" t="s">
        <v>84</v>
      </c>
      <c r="P46" s="9">
        <f t="shared" ref="P46:V46" si="8">$P$33*C32*C41</f>
        <v>882</v>
      </c>
      <c r="Q46" s="9">
        <f t="shared" si="8"/>
        <v>795.33090000000004</v>
      </c>
      <c r="R46" s="9">
        <f t="shared" si="8"/>
        <v>729.72719999999993</v>
      </c>
      <c r="S46" s="9">
        <f t="shared" si="8"/>
        <v>658.87200000000007</v>
      </c>
      <c r="T46" s="9">
        <f t="shared" si="8"/>
        <v>591.47460000000001</v>
      </c>
      <c r="U46" s="9">
        <f t="shared" si="8"/>
        <v>550.6262999999999</v>
      </c>
      <c r="V46" s="9">
        <f t="shared" si="8"/>
        <v>511.57080000000002</v>
      </c>
    </row>
    <row r="47" spans="2:22">
      <c r="B47" s="9" t="s">
        <v>74</v>
      </c>
      <c r="C47" s="9">
        <f>C44*C37/$C$35</f>
        <v>-119.54023733917221</v>
      </c>
      <c r="D47" s="9">
        <f t="shared" ref="D47:I47" si="9">D44*D37/$C$35</f>
        <v>-10.120719545792459</v>
      </c>
      <c r="E47" s="9">
        <f t="shared" si="9"/>
        <v>3.5730689172487438</v>
      </c>
      <c r="F47" s="9">
        <f t="shared" si="9"/>
        <v>8.3970748783478708</v>
      </c>
      <c r="G47" s="9">
        <f t="shared" si="9"/>
        <v>11.012411890854802</v>
      </c>
      <c r="H47" s="9">
        <f t="shared" si="9"/>
        <v>13.280249707285151</v>
      </c>
      <c r="I47" s="57">
        <f t="shared" si="9"/>
        <v>15.098584240165426</v>
      </c>
      <c r="J47" s="30"/>
      <c r="K47" s="30"/>
      <c r="O47" s="9" t="s">
        <v>85</v>
      </c>
      <c r="P47" s="9">
        <v>0</v>
      </c>
      <c r="Q47" s="9">
        <f t="shared" ref="Q47:V47" si="10">D59</f>
        <v>66</v>
      </c>
      <c r="R47" s="9">
        <f t="shared" si="10"/>
        <v>99</v>
      </c>
      <c r="S47" s="9">
        <f t="shared" si="10"/>
        <v>132</v>
      </c>
      <c r="T47" s="9">
        <f t="shared" si="10"/>
        <v>165</v>
      </c>
      <c r="U47" s="9">
        <f t="shared" si="10"/>
        <v>198</v>
      </c>
      <c r="V47" s="9">
        <f t="shared" si="10"/>
        <v>231</v>
      </c>
    </row>
    <row r="48" spans="2:22">
      <c r="B48" s="9" t="s">
        <v>76</v>
      </c>
      <c r="C48" s="9">
        <f t="shared" ref="C48:H48" si="11">(C47+D47)/2</f>
        <v>-64.830478442482331</v>
      </c>
      <c r="D48" s="9">
        <f t="shared" si="11"/>
        <v>-3.2738253142718579</v>
      </c>
      <c r="E48" s="9">
        <f t="shared" si="11"/>
        <v>5.9850718977983073</v>
      </c>
      <c r="F48" s="9">
        <f t="shared" si="11"/>
        <v>9.7047433846013362</v>
      </c>
      <c r="G48" s="9">
        <f t="shared" si="11"/>
        <v>12.146330799069975</v>
      </c>
      <c r="H48" s="9">
        <f t="shared" si="11"/>
        <v>14.189416973725288</v>
      </c>
      <c r="I48" s="57"/>
      <c r="J48" s="30"/>
      <c r="K48" s="30"/>
      <c r="O48" s="9" t="s">
        <v>82</v>
      </c>
      <c r="P48" s="9">
        <f t="shared" ref="P48:V48" si="12">P42</f>
        <v>0</v>
      </c>
      <c r="Q48" s="9">
        <f t="shared" si="12"/>
        <v>1000</v>
      </c>
      <c r="R48" s="9">
        <f t="shared" si="12"/>
        <v>2000</v>
      </c>
      <c r="S48" s="9">
        <f t="shared" si="12"/>
        <v>3000</v>
      </c>
      <c r="T48" s="9">
        <f t="shared" si="12"/>
        <v>4000</v>
      </c>
      <c r="U48" s="9">
        <f t="shared" si="12"/>
        <v>5000</v>
      </c>
      <c r="V48" s="9">
        <f t="shared" si="12"/>
        <v>6000</v>
      </c>
    </row>
    <row r="49" spans="2:9">
      <c r="B49" s="33" t="s">
        <v>77</v>
      </c>
      <c r="C49" s="9">
        <f t="shared" ref="C49:H49" si="13">C37*C38/(9.81*C48)</f>
        <v>-0.68060849069553497</v>
      </c>
      <c r="D49" s="9">
        <f t="shared" si="13"/>
        <v>-44.926215103224109</v>
      </c>
      <c r="E49" s="9">
        <f t="shared" si="13"/>
        <v>51.60660120060934</v>
      </c>
      <c r="F49" s="9">
        <f t="shared" si="13"/>
        <v>54.559926833906587</v>
      </c>
      <c r="G49" s="9">
        <f t="shared" si="13"/>
        <v>66.59979914250377</v>
      </c>
      <c r="H49" s="9">
        <f t="shared" si="13"/>
        <v>80.850998198398671</v>
      </c>
      <c r="I49" s="9"/>
    </row>
    <row r="50" spans="2:9">
      <c r="B50" s="33" t="s">
        <v>78</v>
      </c>
      <c r="C50" s="9">
        <f t="shared" ref="C50:H50" si="14">C49*C38</f>
        <v>-17.342663221389355</v>
      </c>
      <c r="D50" s="9">
        <f t="shared" si="14"/>
        <v>-1907.9500892666506</v>
      </c>
      <c r="E50" s="9">
        <f t="shared" si="14"/>
        <v>3068.3187265543506</v>
      </c>
      <c r="F50" s="9">
        <f t="shared" si="14"/>
        <v>4170.7433101390789</v>
      </c>
      <c r="G50" s="9">
        <f t="shared" si="14"/>
        <v>6222.469516732479</v>
      </c>
      <c r="H50" s="9">
        <f t="shared" si="14"/>
        <v>8927.4188594854859</v>
      </c>
      <c r="I50" s="9"/>
    </row>
    <row r="51" spans="2:9">
      <c r="B51" s="33" t="s">
        <v>79</v>
      </c>
      <c r="C51" s="9">
        <f t="shared" ref="C51:H51" si="15">C46*C49</f>
        <v>-5.7314399216466104E-2</v>
      </c>
      <c r="D51" s="9">
        <f t="shared" si="15"/>
        <v>-4.3743946284718209</v>
      </c>
      <c r="E51" s="9">
        <f t="shared" si="15"/>
        <v>5.5680806558552183</v>
      </c>
      <c r="F51" s="9">
        <f t="shared" si="15"/>
        <v>6.0303077026949383</v>
      </c>
      <c r="G51" s="9">
        <f t="shared" si="15"/>
        <v>7.8868183195070252</v>
      </c>
      <c r="H51" s="9">
        <f t="shared" si="15"/>
        <v>10.212757667166148</v>
      </c>
      <c r="I51" s="9"/>
    </row>
    <row r="52" spans="2:9">
      <c r="B52" s="9"/>
      <c r="C52" s="9"/>
      <c r="D52" s="9"/>
      <c r="E52" s="9"/>
      <c r="F52" s="9"/>
      <c r="G52" s="9"/>
      <c r="H52" s="9"/>
      <c r="I52" s="9"/>
    </row>
    <row r="53" spans="2:9">
      <c r="B53" s="9" t="s">
        <v>80</v>
      </c>
      <c r="C53" s="9">
        <f>196.848*C47</f>
        <v>-23531.256639741372</v>
      </c>
      <c r="D53" s="9">
        <f t="shared" ref="D53:I53" si="16">196.848*D47</f>
        <v>-1992.2434011501541</v>
      </c>
      <c r="E53" s="9">
        <f t="shared" si="16"/>
        <v>703.35147022258082</v>
      </c>
      <c r="F53" s="9">
        <f t="shared" si="16"/>
        <v>1652.9473956530219</v>
      </c>
      <c r="G53" s="9">
        <f t="shared" si="16"/>
        <v>2167.7712558909861</v>
      </c>
      <c r="H53" s="9">
        <f t="shared" si="16"/>
        <v>2614.1905943796673</v>
      </c>
      <c r="I53" s="9">
        <f t="shared" si="16"/>
        <v>2972.1261105080839</v>
      </c>
    </row>
    <row r="56" spans="2:9">
      <c r="B56" s="9" t="s">
        <v>53</v>
      </c>
      <c r="C56" s="9" t="s">
        <v>54</v>
      </c>
      <c r="D56" s="9" t="s">
        <v>139</v>
      </c>
      <c r="E56" s="9" t="s">
        <v>140</v>
      </c>
      <c r="F56" s="9" t="s">
        <v>141</v>
      </c>
      <c r="G56" s="9" t="s">
        <v>142</v>
      </c>
      <c r="H56" s="9" t="s">
        <v>55</v>
      </c>
      <c r="I56" s="57" t="s">
        <v>143</v>
      </c>
    </row>
    <row r="57" spans="2:9">
      <c r="B57" s="32" t="s">
        <v>56</v>
      </c>
      <c r="C57" s="9">
        <v>1</v>
      </c>
      <c r="D57" s="9">
        <v>0.97109999999999996</v>
      </c>
      <c r="E57" s="9">
        <v>0.94279999999999997</v>
      </c>
      <c r="F57" s="9">
        <v>0.91510000000000002</v>
      </c>
      <c r="G57" s="9">
        <v>0.8881</v>
      </c>
      <c r="H57" s="9">
        <v>0.86170000000000002</v>
      </c>
      <c r="I57" s="57">
        <v>0.83589999999999998</v>
      </c>
    </row>
    <row r="58" spans="2:9">
      <c r="B58" s="9" t="s">
        <v>58</v>
      </c>
      <c r="C58" s="9">
        <v>661.5</v>
      </c>
      <c r="D58" s="9">
        <v>659.2</v>
      </c>
      <c r="E58" s="9">
        <v>656.9</v>
      </c>
      <c r="F58" s="9">
        <v>654.6</v>
      </c>
      <c r="G58" s="9">
        <v>652.29999999999995</v>
      </c>
      <c r="H58" s="9">
        <v>650</v>
      </c>
      <c r="I58" s="57">
        <v>647.70000000000005</v>
      </c>
    </row>
    <row r="59" spans="2:9">
      <c r="B59" s="9" t="s">
        <v>67</v>
      </c>
      <c r="C59" s="9">
        <v>33</v>
      </c>
      <c r="D59" s="9">
        <v>66</v>
      </c>
      <c r="E59" s="9">
        <v>99</v>
      </c>
      <c r="F59" s="9">
        <v>132</v>
      </c>
      <c r="G59" s="9">
        <v>165</v>
      </c>
      <c r="H59" s="9">
        <v>198</v>
      </c>
      <c r="I59" s="57">
        <v>231</v>
      </c>
    </row>
    <row r="60" spans="2:9">
      <c r="B60" s="9" t="s">
        <v>75</v>
      </c>
      <c r="C60" s="70">
        <f>J28</f>
        <v>4110</v>
      </c>
      <c r="D60" s="9">
        <f t="shared" ref="D60:I60" si="17">C60-C76</f>
        <v>4126.2003967422224</v>
      </c>
      <c r="E60" s="9">
        <f t="shared" si="17"/>
        <v>4123.0703790773096</v>
      </c>
      <c r="F60" s="9">
        <f t="shared" si="17"/>
        <v>4118.3766480380409</v>
      </c>
      <c r="G60" s="9">
        <f t="shared" si="17"/>
        <v>4111.1870988822056</v>
      </c>
      <c r="H60" s="9">
        <f t="shared" si="17"/>
        <v>4099.4573612606064</v>
      </c>
      <c r="I60" s="9">
        <f t="shared" si="17"/>
        <v>4079.5137271518565</v>
      </c>
    </row>
    <row r="61" spans="2:9">
      <c r="B61" s="9" t="s">
        <v>64</v>
      </c>
      <c r="C61" s="9">
        <f t="shared" ref="C61:I61" si="18">C59/C58</f>
        <v>4.9886621315192746E-2</v>
      </c>
      <c r="D61" s="9">
        <f t="shared" si="18"/>
        <v>0.10012135922330097</v>
      </c>
      <c r="E61" s="9">
        <f t="shared" si="18"/>
        <v>0.15070787029989344</v>
      </c>
      <c r="F61" s="9">
        <f t="shared" si="18"/>
        <v>0.20164986251145736</v>
      </c>
      <c r="G61" s="9">
        <f t="shared" si="18"/>
        <v>0.25295109612141653</v>
      </c>
      <c r="H61" s="9">
        <f t="shared" si="18"/>
        <v>0.30461538461538462</v>
      </c>
      <c r="I61" s="9">
        <f t="shared" si="18"/>
        <v>0.35664659564613244</v>
      </c>
    </row>
    <row r="62" spans="2:9">
      <c r="B62" s="9" t="s">
        <v>68</v>
      </c>
      <c r="C62" s="9">
        <f>0.51477*C59</f>
        <v>16.987409999999997</v>
      </c>
      <c r="D62" s="9">
        <f t="shared" ref="D62:I62" si="19">0.51477*D59</f>
        <v>33.974819999999994</v>
      </c>
      <c r="E62" s="9">
        <f t="shared" si="19"/>
        <v>50.962229999999998</v>
      </c>
      <c r="F62" s="9">
        <f t="shared" si="19"/>
        <v>67.949639999999988</v>
      </c>
      <c r="G62" s="9">
        <f t="shared" si="19"/>
        <v>84.937049999999985</v>
      </c>
      <c r="H62" s="9">
        <f t="shared" si="19"/>
        <v>101.92446</v>
      </c>
      <c r="I62" s="9">
        <f t="shared" si="19"/>
        <v>118.91186999999999</v>
      </c>
    </row>
    <row r="63" spans="2:9">
      <c r="B63" s="9" t="s">
        <v>71</v>
      </c>
      <c r="C63" s="9">
        <f t="shared" ref="C63:H63" si="20">(C62+D62)/2</f>
        <v>25.481114999999996</v>
      </c>
      <c r="D63" s="9">
        <f t="shared" si="20"/>
        <v>42.468525</v>
      </c>
      <c r="E63" s="9">
        <f t="shared" si="20"/>
        <v>59.455934999999997</v>
      </c>
      <c r="F63" s="9">
        <f t="shared" si="20"/>
        <v>76.443344999999994</v>
      </c>
      <c r="G63" s="9">
        <f t="shared" si="20"/>
        <v>93.430754999999991</v>
      </c>
      <c r="H63" s="9">
        <f t="shared" si="20"/>
        <v>110.41816499999999</v>
      </c>
      <c r="I63" s="9"/>
    </row>
    <row r="64" spans="2:9">
      <c r="B64" s="9" t="s">
        <v>69</v>
      </c>
      <c r="C64" s="9">
        <f>2*$J$28*9.81/(1.225*C57*26*C62^2)</f>
        <v>8.7735842447824481</v>
      </c>
      <c r="D64" s="9">
        <f t="shared" ref="D64:I64" si="21">2*$J$28*9.81/(1.225*D57*26*D62^2)</f>
        <v>2.2586716725317806</v>
      </c>
      <c r="E64" s="9">
        <f t="shared" si="21"/>
        <v>1.0339867351131908</v>
      </c>
      <c r="F64" s="9">
        <f t="shared" si="21"/>
        <v>0.59922305245208507</v>
      </c>
      <c r="G64" s="9">
        <f t="shared" si="21"/>
        <v>0.39516199728780305</v>
      </c>
      <c r="H64" s="9">
        <f t="shared" si="21"/>
        <v>0.28282543050502384</v>
      </c>
      <c r="I64" s="9">
        <f t="shared" si="21"/>
        <v>0.21420354072190173</v>
      </c>
    </row>
    <row r="65" spans="2:20">
      <c r="B65" s="9" t="s">
        <v>16</v>
      </c>
      <c r="C65" s="9">
        <f>0.018+C64^2/(PI()*8*0.85)</f>
        <v>3.621257636758425</v>
      </c>
      <c r="D65" s="9">
        <f t="shared" ref="D65:I65" si="22">0.018+D64^2/(PI()*8*0.85)</f>
        <v>0.25680720455538619</v>
      </c>
      <c r="E65" s="9">
        <f t="shared" si="22"/>
        <v>6.8046204841186966E-2</v>
      </c>
      <c r="F65" s="9">
        <f t="shared" si="22"/>
        <v>3.4808085157422369E-2</v>
      </c>
      <c r="G65" s="9">
        <f t="shared" si="22"/>
        <v>2.5309565435659202E-2</v>
      </c>
      <c r="H65" s="9">
        <f t="shared" si="22"/>
        <v>2.174436457969579E-2</v>
      </c>
      <c r="I65" s="9">
        <f t="shared" si="22"/>
        <v>2.0147803299582226E-2</v>
      </c>
    </row>
    <row r="66" spans="2:20">
      <c r="B66" s="9" t="s">
        <v>66</v>
      </c>
      <c r="C66" s="9">
        <v>0.98</v>
      </c>
      <c r="D66" s="9">
        <v>0.91</v>
      </c>
      <c r="E66" s="9">
        <v>0.86</v>
      </c>
      <c r="F66" s="9">
        <v>0.8</v>
      </c>
      <c r="G66" s="9">
        <v>0.74</v>
      </c>
      <c r="H66" s="9">
        <v>0.71</v>
      </c>
      <c r="I66" s="9">
        <v>0.68</v>
      </c>
    </row>
    <row r="67" spans="2:20">
      <c r="B67" s="9" t="s">
        <v>60</v>
      </c>
      <c r="C67" s="9">
        <f>0.5*1.225*C57*26*C65*C62^2/9.81</f>
        <v>1696.3841084592193</v>
      </c>
      <c r="D67" s="9">
        <f t="shared" ref="D67:I67" si="23">0.5*1.225*D57*26*D65*D62^2/9.81</f>
        <v>467.30014971123961</v>
      </c>
      <c r="E67" s="9">
        <f t="shared" si="23"/>
        <v>270.47726281194781</v>
      </c>
      <c r="F67" s="9">
        <f t="shared" si="23"/>
        <v>238.74453663220069</v>
      </c>
      <c r="G67" s="9">
        <f t="shared" si="23"/>
        <v>263.23967045039035</v>
      </c>
      <c r="H67" s="9">
        <f t="shared" si="23"/>
        <v>315.98763330075525</v>
      </c>
      <c r="I67" s="9">
        <f t="shared" si="23"/>
        <v>386.58311287576254</v>
      </c>
    </row>
    <row r="68" spans="2:20">
      <c r="B68" s="9" t="s">
        <v>70</v>
      </c>
      <c r="C68" s="9">
        <f>C66*$P$33</f>
        <v>882</v>
      </c>
      <c r="D68" s="9">
        <f t="shared" ref="D68:I68" si="24">D66*$P$33</f>
        <v>819</v>
      </c>
      <c r="E68" s="9">
        <f t="shared" si="24"/>
        <v>774</v>
      </c>
      <c r="F68" s="9">
        <f t="shared" si="24"/>
        <v>720</v>
      </c>
      <c r="G68" s="9">
        <f t="shared" si="24"/>
        <v>666</v>
      </c>
      <c r="H68" s="9">
        <f>H66*$P$33</f>
        <v>639</v>
      </c>
      <c r="I68" s="9">
        <f t="shared" si="24"/>
        <v>612</v>
      </c>
    </row>
    <row r="69" spans="2:20">
      <c r="B69" s="9" t="s">
        <v>65</v>
      </c>
      <c r="C69" s="9">
        <f t="shared" ref="C69:I69" si="25">C68-C67</f>
        <v>-814.38410845921931</v>
      </c>
      <c r="D69" s="9">
        <f t="shared" si="25"/>
        <v>351.69985028876039</v>
      </c>
      <c r="E69" s="9">
        <f t="shared" si="25"/>
        <v>503.52273718805219</v>
      </c>
      <c r="F69" s="9">
        <f t="shared" si="25"/>
        <v>481.25546336779928</v>
      </c>
      <c r="G69" s="9">
        <f t="shared" si="25"/>
        <v>402.76032954960965</v>
      </c>
      <c r="H69" s="9">
        <f t="shared" si="25"/>
        <v>323.01236669924475</v>
      </c>
      <c r="I69" s="9">
        <f t="shared" si="25"/>
        <v>225.41688712423746</v>
      </c>
    </row>
    <row r="70" spans="2:20">
      <c r="B70" s="9" t="s">
        <v>72</v>
      </c>
      <c r="C70" s="9">
        <v>0.32</v>
      </c>
      <c r="D70" s="9">
        <v>0.37</v>
      </c>
      <c r="E70" s="9">
        <v>0.41</v>
      </c>
      <c r="F70" s="9">
        <v>0.42</v>
      </c>
      <c r="G70" s="9">
        <v>0.45</v>
      </c>
      <c r="H70" s="9">
        <v>0.48</v>
      </c>
      <c r="I70" s="9">
        <v>0.49</v>
      </c>
    </row>
    <row r="71" spans="2:20">
      <c r="B71" s="9" t="s">
        <v>73</v>
      </c>
      <c r="C71" s="9">
        <f>$P$33*C70/(0.95*3600)</f>
        <v>8.4210526315789472E-2</v>
      </c>
      <c r="D71" s="9">
        <f t="shared" ref="D71:I71" si="26">$P$33*D70/(0.95*3600)</f>
        <v>9.7368421052631576E-2</v>
      </c>
      <c r="E71" s="9">
        <f t="shared" si="26"/>
        <v>0.10789473684210527</v>
      </c>
      <c r="F71" s="9">
        <f t="shared" si="26"/>
        <v>0.11052631578947368</v>
      </c>
      <c r="G71" s="9">
        <f t="shared" si="26"/>
        <v>0.11842105263157894</v>
      </c>
      <c r="H71" s="9">
        <f t="shared" si="26"/>
        <v>0.12631578947368421</v>
      </c>
      <c r="I71" s="9">
        <f t="shared" si="26"/>
        <v>0.12894736842105264</v>
      </c>
    </row>
    <row r="72" spans="2:20">
      <c r="B72" s="9" t="s">
        <v>74</v>
      </c>
      <c r="C72" s="9">
        <f>C69*C62/$C$35</f>
        <v>-3.3660040749102733</v>
      </c>
      <c r="D72" s="9">
        <f t="shared" ref="D72:I72" si="27">D69*D62/$C$35</f>
        <v>2.9072844544008709</v>
      </c>
      <c r="E72" s="9">
        <f t="shared" si="27"/>
        <v>6.2434650955734963</v>
      </c>
      <c r="F72" s="9">
        <f t="shared" si="27"/>
        <v>7.9564806530109839</v>
      </c>
      <c r="G72" s="9">
        <f t="shared" si="27"/>
        <v>8.3234243914772925</v>
      </c>
      <c r="H72" s="9">
        <f t="shared" si="27"/>
        <v>8.0104284791100984</v>
      </c>
      <c r="I72" s="9">
        <f t="shared" si="27"/>
        <v>6.5218354203216533</v>
      </c>
    </row>
    <row r="73" spans="2:20">
      <c r="B73" s="9" t="s">
        <v>76</v>
      </c>
      <c r="C73" s="9">
        <f t="shared" ref="C73:H73" si="28">(C72+D72)/2</f>
        <v>-0.2293598102547012</v>
      </c>
      <c r="D73" s="9">
        <f t="shared" si="28"/>
        <v>4.5753747749871838</v>
      </c>
      <c r="E73" s="9">
        <f t="shared" si="28"/>
        <v>7.0999728742922397</v>
      </c>
      <c r="F73" s="9">
        <f t="shared" si="28"/>
        <v>8.1399525222441387</v>
      </c>
      <c r="G73" s="9">
        <f t="shared" si="28"/>
        <v>8.1669264352936963</v>
      </c>
      <c r="H73" s="9">
        <f t="shared" si="28"/>
        <v>7.2661319497158754</v>
      </c>
      <c r="I73" s="9"/>
    </row>
    <row r="74" spans="2:20">
      <c r="B74" s="33" t="s">
        <v>77</v>
      </c>
      <c r="C74" s="9">
        <f t="shared" ref="C74:H74" si="29">C62*C63/(9.81*C73)</f>
        <v>-192.37971131388704</v>
      </c>
      <c r="D74" s="9">
        <f t="shared" si="29"/>
        <v>32.146127369373751</v>
      </c>
      <c r="E74" s="9">
        <f t="shared" si="29"/>
        <v>43.50287304688343</v>
      </c>
      <c r="F74" s="9">
        <f t="shared" si="29"/>
        <v>65.048301886128257</v>
      </c>
      <c r="G74" s="9">
        <f t="shared" si="29"/>
        <v>99.051117693504324</v>
      </c>
      <c r="H74" s="9">
        <f t="shared" si="29"/>
        <v>157.88710336093609</v>
      </c>
      <c r="I74" s="9"/>
    </row>
    <row r="75" spans="2:20">
      <c r="B75" s="33" t="s">
        <v>78</v>
      </c>
      <c r="C75" s="9">
        <f t="shared" ref="C75:H75" si="30">C74*C63</f>
        <v>-4902.0495476559563</v>
      </c>
      <c r="D75" s="9">
        <f t="shared" si="30"/>
        <v>1365.1986138394334</v>
      </c>
      <c r="E75" s="9">
        <f t="shared" si="30"/>
        <v>2586.5039921887528</v>
      </c>
      <c r="F75" s="9">
        <f t="shared" si="30"/>
        <v>4972.5097827454529</v>
      </c>
      <c r="G75" s="9">
        <f t="shared" si="30"/>
        <v>9254.4207096979662</v>
      </c>
      <c r="H75" s="9">
        <f t="shared" si="30"/>
        <v>17433.604230279896</v>
      </c>
      <c r="I75" s="9"/>
    </row>
    <row r="76" spans="2:20" ht="15.75" thickBot="1">
      <c r="B76" s="33" t="s">
        <v>79</v>
      </c>
      <c r="C76" s="9">
        <f t="shared" ref="C76:H76" si="31">C71*C74</f>
        <v>-16.200396742222065</v>
      </c>
      <c r="D76" s="9">
        <f t="shared" si="31"/>
        <v>3.1300176649127072</v>
      </c>
      <c r="E76" s="9">
        <f t="shared" si="31"/>
        <v>4.6937310392690019</v>
      </c>
      <c r="F76" s="9">
        <f t="shared" si="31"/>
        <v>7.1895491558352278</v>
      </c>
      <c r="G76" s="9">
        <f t="shared" si="31"/>
        <v>11.729737621599195</v>
      </c>
      <c r="H76" s="9">
        <f t="shared" si="31"/>
        <v>19.943634108749823</v>
      </c>
      <c r="I76" s="9"/>
    </row>
    <row r="77" spans="2:20">
      <c r="K77" s="34" t="s">
        <v>103</v>
      </c>
      <c r="L77" s="35">
        <f>SUM(D76:H76)</f>
        <v>46.686669590365952</v>
      </c>
      <c r="M77" s="84"/>
      <c r="N77" s="85"/>
    </row>
    <row r="78" spans="2:20">
      <c r="K78" s="36" t="s">
        <v>104</v>
      </c>
      <c r="L78" s="37">
        <v>460</v>
      </c>
      <c r="M78" s="86"/>
      <c r="N78" s="87"/>
    </row>
    <row r="79" spans="2:20" ht="15.75" thickBot="1">
      <c r="K79" s="38" t="s">
        <v>105</v>
      </c>
      <c r="L79" s="39">
        <f>L78-L77</f>
        <v>413.31333040963403</v>
      </c>
      <c r="M79" s="88"/>
      <c r="N79" s="89"/>
    </row>
    <row r="80" spans="2:20">
      <c r="B80" s="80" t="s">
        <v>87</v>
      </c>
      <c r="C80" s="80"/>
      <c r="K80" s="81" t="s">
        <v>92</v>
      </c>
      <c r="L80" s="82"/>
      <c r="M80" s="82"/>
      <c r="N80" s="83"/>
      <c r="R80" s="117" t="s">
        <v>107</v>
      </c>
      <c r="S80" s="117"/>
      <c r="T80" s="117"/>
    </row>
    <row r="81" spans="2:20">
      <c r="K81" s="13" t="s">
        <v>93</v>
      </c>
      <c r="L81" s="9">
        <v>115</v>
      </c>
      <c r="M81" s="9"/>
      <c r="N81" s="14"/>
      <c r="Q81" s="118"/>
      <c r="R81" s="116" t="s">
        <v>85</v>
      </c>
      <c r="S81" s="116" t="s">
        <v>106</v>
      </c>
      <c r="T81" s="9"/>
    </row>
    <row r="82" spans="2:20">
      <c r="B82" s="50" t="s">
        <v>88</v>
      </c>
      <c r="C82" s="50">
        <v>5</v>
      </c>
      <c r="D82" s="50">
        <v>80</v>
      </c>
      <c r="E82" s="50">
        <v>190</v>
      </c>
      <c r="F82" s="50">
        <v>195</v>
      </c>
      <c r="G82">
        <v>200</v>
      </c>
      <c r="H82">
        <v>230</v>
      </c>
      <c r="I82">
        <v>250</v>
      </c>
      <c r="K82" s="13"/>
      <c r="L82" s="9" t="s">
        <v>94</v>
      </c>
      <c r="M82" s="9" t="s">
        <v>95</v>
      </c>
      <c r="N82" s="14" t="s">
        <v>96</v>
      </c>
      <c r="R82" s="9">
        <f>R83</f>
        <v>45.933027487078711</v>
      </c>
      <c r="S82" s="9">
        <v>0</v>
      </c>
      <c r="T82" s="9"/>
    </row>
    <row r="83" spans="2:20">
      <c r="B83" s="50" t="s">
        <v>69</v>
      </c>
      <c r="C83" s="50">
        <f>2*$I$60/($I$57*1.225*26*C82^2)</f>
        <v>12.258423578348177</v>
      </c>
      <c r="D83" s="50">
        <f>2*$I$60/($I$57*1.225*26*D82^2)</f>
        <v>4.7884467102922566E-2</v>
      </c>
      <c r="E83" s="50">
        <f t="shared" ref="E83:I83" si="32">2*$I$60/($I$57*1.225*26*E82^2)</f>
        <v>8.4892130043962444E-3</v>
      </c>
      <c r="F83" s="50">
        <f t="shared" si="32"/>
        <v>8.0594500843840736E-3</v>
      </c>
      <c r="G83" s="50">
        <f t="shared" si="32"/>
        <v>7.6615147364676095E-3</v>
      </c>
      <c r="H83" s="50">
        <f t="shared" si="32"/>
        <v>5.7932058498809912E-3</v>
      </c>
      <c r="I83" s="50">
        <f t="shared" si="32"/>
        <v>4.903369431339271E-3</v>
      </c>
      <c r="K83" s="13"/>
      <c r="L83" s="9">
        <v>4110</v>
      </c>
      <c r="M83" s="9">
        <v>3870</v>
      </c>
      <c r="N83" s="14">
        <v>3038</v>
      </c>
      <c r="R83" s="9">
        <f>(2*4110*9.81*S83/(1.225*26*1.2))^0.5</f>
        <v>45.933027487078711</v>
      </c>
      <c r="S83" s="9">
        <v>1</v>
      </c>
      <c r="T83" s="9"/>
    </row>
    <row r="84" spans="2:20">
      <c r="B84" s="50" t="s">
        <v>16</v>
      </c>
      <c r="C84" s="50">
        <f>0.018+C83^2/(8*0.85*PI())</f>
        <v>7.0521311667888842</v>
      </c>
      <c r="D84" s="50">
        <f t="shared" ref="D84:I84" si="33">0.018+D83^2/(8*0.85*PI())</f>
        <v>1.8107332323711988E-2</v>
      </c>
      <c r="E84" s="50">
        <f t="shared" si="33"/>
        <v>1.8003373463969154E-2</v>
      </c>
      <c r="F84" s="50">
        <f t="shared" si="33"/>
        <v>1.8003040549193512E-2</v>
      </c>
      <c r="G84" s="50">
        <f t="shared" si="33"/>
        <v>1.8002747707487027E-2</v>
      </c>
      <c r="H84" s="50">
        <f t="shared" si="33"/>
        <v>1.8001571010673647E-2</v>
      </c>
      <c r="I84" s="50">
        <f t="shared" si="33"/>
        <v>1.8001125460986686E-2</v>
      </c>
      <c r="K84" s="13" t="s">
        <v>69</v>
      </c>
      <c r="L84" s="9">
        <f>2*L83*9.81/(26*1.225*$I$57*$L$81^2)</f>
        <v>0.2290242039656134</v>
      </c>
      <c r="M84" s="9">
        <f t="shared" ref="M84:N84" si="34">2*M83*9.81/(26*1.225*$I$57*$L$81^2)</f>
        <v>0.21565052782163602</v>
      </c>
      <c r="N84" s="9">
        <f t="shared" si="34"/>
        <v>0.16928845052251426</v>
      </c>
      <c r="R84" s="9">
        <f>6.79*(S84*4110/26)^0.5</f>
        <v>147.8647449789581</v>
      </c>
      <c r="S84" s="9">
        <v>3</v>
      </c>
      <c r="T84" s="9"/>
    </row>
    <row r="85" spans="2:20">
      <c r="B85" s="50" t="s">
        <v>89</v>
      </c>
      <c r="C85" s="50">
        <f>0.5*1.225*$I$57*C84*26*C82^2/9.81</f>
        <v>239.23523787952939</v>
      </c>
      <c r="D85" s="50">
        <f t="shared" ref="D85:I85" si="35">0.5*1.225*$I$57*D84*26*D82^2/9.81</f>
        <v>157.25309618661726</v>
      </c>
      <c r="E85" s="50">
        <f t="shared" si="35"/>
        <v>881.91321717827248</v>
      </c>
      <c r="F85" s="50">
        <f t="shared" si="35"/>
        <v>928.92326773747868</v>
      </c>
      <c r="G85" s="50">
        <f t="shared" si="35"/>
        <v>977.15519542655591</v>
      </c>
      <c r="H85" s="50">
        <f t="shared" si="35"/>
        <v>1292.2032793525577</v>
      </c>
      <c r="I85" s="50">
        <f t="shared" si="35"/>
        <v>1526.6674108528123</v>
      </c>
      <c r="K85" s="13" t="s">
        <v>16</v>
      </c>
      <c r="L85" s="9">
        <f>0.018+L84^2/(8*0.85*PI())</f>
        <v>2.0455296694915498E-2</v>
      </c>
      <c r="M85" s="9">
        <f t="shared" ref="M85:N85" si="36">0.018+M84^2/(8*0.85*PI())</f>
        <v>2.0176918978106924E-2</v>
      </c>
      <c r="N85" s="9">
        <f t="shared" si="36"/>
        <v>1.9341516054789381E-2</v>
      </c>
      <c r="R85" s="9">
        <f>7.67*(S85*4110/26)^0.5</f>
        <v>167.02836435767429</v>
      </c>
      <c r="S85" s="9">
        <v>3</v>
      </c>
      <c r="T85" s="9"/>
    </row>
    <row r="86" spans="2:20">
      <c r="B86" s="50" t="s">
        <v>72</v>
      </c>
      <c r="C86" s="50">
        <v>0.49</v>
      </c>
      <c r="D86" s="50">
        <v>0.49</v>
      </c>
      <c r="E86" s="50">
        <v>0.49</v>
      </c>
      <c r="F86" s="50">
        <v>0.49</v>
      </c>
      <c r="G86" s="50">
        <v>0.49</v>
      </c>
      <c r="H86" s="50">
        <v>0.49</v>
      </c>
      <c r="I86" s="50">
        <v>0.49</v>
      </c>
      <c r="K86" s="13" t="s">
        <v>97</v>
      </c>
      <c r="L86" s="9">
        <f>0.5*1.225*$I$57*L85*18.35*$L$81^2/9.81</f>
        <v>259.07705001565824</v>
      </c>
      <c r="M86" s="9">
        <f>0.5*1.225*$I$57*M85*18.35*$L$81^2/9.81</f>
        <v>255.55125037869743</v>
      </c>
      <c r="N86" s="14">
        <f>0.5*1.225*$I$57*N85*18.35*$L$81^2/9.81</f>
        <v>244.97043465279481</v>
      </c>
      <c r="R86" s="9">
        <f>10.86*(S86*4110/26)^0.5</f>
        <v>236.49648460552058</v>
      </c>
      <c r="S86" s="9">
        <v>3</v>
      </c>
      <c r="T86" s="9"/>
    </row>
    <row r="87" spans="2:20">
      <c r="B87" s="50" t="s">
        <v>73</v>
      </c>
      <c r="C87" s="50">
        <f>C86*C85/(0.97)</f>
        <v>120.85079026904063</v>
      </c>
      <c r="D87" s="50">
        <f t="shared" ref="D87:I87" si="37">D86*D85/(0.97)</f>
        <v>79.437131063342733</v>
      </c>
      <c r="E87" s="50">
        <f t="shared" si="37"/>
        <v>445.50255300758096</v>
      </c>
      <c r="F87" s="50">
        <f t="shared" si="37"/>
        <v>469.24989813542737</v>
      </c>
      <c r="G87">
        <f t="shared" si="37"/>
        <v>493.6144801639303</v>
      </c>
      <c r="H87">
        <f t="shared" si="37"/>
        <v>652.76248132242608</v>
      </c>
      <c r="I87">
        <f t="shared" si="37"/>
        <v>771.20312506997732</v>
      </c>
      <c r="K87" s="13" t="s">
        <v>72</v>
      </c>
      <c r="L87" s="9">
        <v>0.49</v>
      </c>
      <c r="M87" s="9">
        <v>0.49</v>
      </c>
      <c r="N87" s="14">
        <v>0.61499999999999999</v>
      </c>
      <c r="R87" s="9">
        <f>R86</f>
        <v>236.49648460552058</v>
      </c>
      <c r="S87" s="9">
        <v>0</v>
      </c>
      <c r="T87" s="9"/>
    </row>
    <row r="88" spans="2:20">
      <c r="B88" s="50" t="s">
        <v>91</v>
      </c>
      <c r="C88" s="50">
        <f t="shared" ref="C88" si="38">(C87+D87)*0.5</f>
        <v>100.14396066619167</v>
      </c>
      <c r="D88" s="50">
        <f t="shared" ref="D88" si="39">(D87+E87)*0.5</f>
        <v>262.46984203546185</v>
      </c>
      <c r="E88" s="50">
        <f t="shared" ref="E88" si="40">(E87+F87)*0.5</f>
        <v>457.37622557150416</v>
      </c>
      <c r="F88" s="50">
        <f t="shared" ref="F88" si="41">(F87+G87)*0.5</f>
        <v>481.43218914967883</v>
      </c>
      <c r="G88" s="50">
        <f t="shared" ref="G88" si="42">(G87+H87)*0.5</f>
        <v>573.18848074317816</v>
      </c>
      <c r="H88" s="50">
        <f t="shared" ref="H88" si="43">(H87+I87)*0.5</f>
        <v>711.98280319620176</v>
      </c>
      <c r="K88" s="13" t="s">
        <v>73</v>
      </c>
      <c r="L88" s="9">
        <f>L86*L87/0.97</f>
        <v>130.87397371925005</v>
      </c>
      <c r="M88" s="9">
        <f>M86*M87/0.97</f>
        <v>129.09289967583686</v>
      </c>
      <c r="N88" s="14">
        <f>N86*N87/0.97</f>
        <v>155.31630650666889</v>
      </c>
    </row>
    <row r="89" spans="2:20">
      <c r="B89" s="50" t="s">
        <v>98</v>
      </c>
      <c r="C89" s="50">
        <v>0.32</v>
      </c>
      <c r="D89" s="50">
        <f t="shared" ref="D89:H89" si="44">607/D88</f>
        <v>2.3126466465354496</v>
      </c>
      <c r="E89" s="50">
        <f t="shared" si="44"/>
        <v>1.3271350062883938</v>
      </c>
      <c r="F89" s="50">
        <f t="shared" si="44"/>
        <v>1.2608213860234463</v>
      </c>
      <c r="G89" s="50">
        <f t="shared" si="44"/>
        <v>1.0589884835316001</v>
      </c>
      <c r="H89" s="50">
        <f t="shared" si="44"/>
        <v>0.85254868133764239</v>
      </c>
      <c r="K89" s="13" t="s">
        <v>91</v>
      </c>
      <c r="L89" s="9">
        <f>(L88+M88)/2</f>
        <v>129.98343669754345</v>
      </c>
      <c r="M89" s="9">
        <f>(M88+N88)/2</f>
        <v>142.20460309125286</v>
      </c>
      <c r="N89" s="14"/>
    </row>
    <row r="90" spans="2:20">
      <c r="B90" s="50" t="s">
        <v>100</v>
      </c>
      <c r="C90" s="50">
        <f>(3600/1853)*(C83^0.5)/C84*(2*2^0.5/C86)*($J$28^0.5-$E$4^0.5)/((3*$I$57*1.225/9.81)^0.5)</f>
        <v>90.813798956054441</v>
      </c>
      <c r="D90" s="50">
        <f t="shared" ref="D90:I90" si="45">(3600/1853)*(D83^0.5)/D84*(2*2^0.5/D86)*($J$28^0.5-$E$4^0.5)/((3*$I$57*1.225/9.81)^0.5)</f>
        <v>2210.5369062075747</v>
      </c>
      <c r="E90" s="50">
        <f t="shared" si="45"/>
        <v>936.12692741959586</v>
      </c>
      <c r="F90" s="50">
        <f t="shared" si="45"/>
        <v>912.14053999051998</v>
      </c>
      <c r="G90" s="50">
        <f t="shared" si="45"/>
        <v>889.35149289203684</v>
      </c>
      <c r="H90" s="50">
        <f t="shared" si="45"/>
        <v>773.39967525583268</v>
      </c>
      <c r="I90" s="50">
        <f t="shared" si="45"/>
        <v>711.54531240891413</v>
      </c>
      <c r="K90" s="13" t="s">
        <v>99</v>
      </c>
      <c r="L90" s="9">
        <f>445/L89</f>
        <v>3.4235131129473362</v>
      </c>
      <c r="M90" s="9">
        <f>445/M89</f>
        <v>3.1292939210585398</v>
      </c>
      <c r="N90" s="14"/>
    </row>
    <row r="91" spans="2:20">
      <c r="B91" s="50" t="s">
        <v>101</v>
      </c>
      <c r="C91" s="50">
        <f>C90/1.852</f>
        <v>49.03552859398188</v>
      </c>
      <c r="D91" s="50">
        <f t="shared" ref="D91:I91" si="46">D90/1.852</f>
        <v>1193.5944417967467</v>
      </c>
      <c r="E91" s="50">
        <f t="shared" si="46"/>
        <v>505.4681033583131</v>
      </c>
      <c r="F91" s="50">
        <f t="shared" si="46"/>
        <v>492.51649027565873</v>
      </c>
      <c r="G91" s="9">
        <f t="shared" si="46"/>
        <v>480.21138925055982</v>
      </c>
      <c r="H91" s="9">
        <f t="shared" si="46"/>
        <v>417.60241644483403</v>
      </c>
      <c r="I91" s="9">
        <f t="shared" si="46"/>
        <v>384.20373240222142</v>
      </c>
      <c r="K91" s="21" t="s">
        <v>102</v>
      </c>
      <c r="L91" s="22">
        <f>(3600/1853)*(L84^0.5)/L85*(2*2^0.5/L87)*(L83^0.5-M83^0.5)/((3*$I$57*1.225/9.81)^0.5)</f>
        <v>890.8067321910753</v>
      </c>
      <c r="M91" s="22">
        <f>(3600/1853)*(M84^0.5)/M85*(2*2^0.5/M87)*(M83^0.5-N83^0.5)/((3*$I$57*1.225/9.81)^0.5)</f>
        <v>3270.7626789614478</v>
      </c>
      <c r="N91" s="23"/>
    </row>
    <row r="92" spans="2:20" ht="15.75" thickBot="1">
      <c r="K92" s="18" t="s">
        <v>90</v>
      </c>
      <c r="L92" s="15">
        <f>L91/1.852</f>
        <v>480.9971556107318</v>
      </c>
      <c r="M92" s="15">
        <f>M91/1.852</f>
        <v>1766.0705609943022</v>
      </c>
      <c r="N92" s="16"/>
    </row>
  </sheetData>
  <mergeCells count="13">
    <mergeCell ref="L16:M16"/>
    <mergeCell ref="C16:D16"/>
    <mergeCell ref="E16:F16"/>
    <mergeCell ref="B16:B17"/>
    <mergeCell ref="I16:I17"/>
    <mergeCell ref="J16:K16"/>
    <mergeCell ref="B80:C80"/>
    <mergeCell ref="K80:N80"/>
    <mergeCell ref="M77:N79"/>
    <mergeCell ref="B30:D30"/>
    <mergeCell ref="O41:P41"/>
    <mergeCell ref="O45:R45"/>
    <mergeCell ref="R80:T8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4"/>
  <sheetViews>
    <sheetView zoomScale="70" zoomScaleNormal="70" workbookViewId="0">
      <selection activeCell="C8" sqref="C8:E15"/>
    </sheetView>
  </sheetViews>
  <sheetFormatPr defaultRowHeight="15"/>
  <cols>
    <col min="4" max="4" width="8.85546875" customWidth="1"/>
  </cols>
  <sheetData>
    <row r="1" spans="1:5">
      <c r="A1" s="105" t="s">
        <v>127</v>
      </c>
      <c r="B1" s="106"/>
      <c r="C1" s="106"/>
      <c r="D1" s="106"/>
    </row>
    <row r="2" spans="1:5">
      <c r="A2" s="106"/>
      <c r="B2" s="106"/>
      <c r="C2" s="106"/>
      <c r="D2" s="106"/>
    </row>
    <row r="8" spans="1:5">
      <c r="C8" s="107" t="s">
        <v>107</v>
      </c>
      <c r="D8" s="107"/>
      <c r="E8" s="107"/>
    </row>
    <row r="9" spans="1:5">
      <c r="C9" s="40" t="s">
        <v>85</v>
      </c>
      <c r="D9" s="40" t="s">
        <v>106</v>
      </c>
      <c r="E9" s="9"/>
    </row>
    <row r="10" spans="1:5">
      <c r="C10" s="9">
        <f>C11</f>
        <v>45.933027487078711</v>
      </c>
      <c r="D10" s="9">
        <v>0</v>
      </c>
      <c r="E10" s="9"/>
    </row>
    <row r="11" spans="1:5">
      <c r="C11" s="9">
        <f>(2*4110*9.81*D11/(1.225*26*1.2))^0.5</f>
        <v>45.933027487078711</v>
      </c>
      <c r="D11" s="9">
        <v>1</v>
      </c>
      <c r="E11" s="9"/>
    </row>
    <row r="12" spans="1:5">
      <c r="C12" s="9">
        <f>6.79*(D12*4110/26)^0.5</f>
        <v>147.8647449789581</v>
      </c>
      <c r="D12" s="9">
        <v>3</v>
      </c>
      <c r="E12" s="9"/>
    </row>
    <row r="13" spans="1:5">
      <c r="C13" s="9">
        <f>7.67*(D13*4110/26)^0.5</f>
        <v>167.02836435767429</v>
      </c>
      <c r="D13" s="9">
        <v>3</v>
      </c>
      <c r="E13" s="9"/>
    </row>
    <row r="14" spans="1:5">
      <c r="C14" s="9">
        <f>10.86*(D14*4110/26)^0.5</f>
        <v>236.49648460552058</v>
      </c>
      <c r="D14" s="9">
        <v>3</v>
      </c>
      <c r="E14" s="9"/>
    </row>
    <row r="15" spans="1:5">
      <c r="C15" s="9">
        <f>C14</f>
        <v>236.49648460552058</v>
      </c>
      <c r="D15" s="9">
        <v>0</v>
      </c>
      <c r="E15" s="9"/>
    </row>
    <row r="17" spans="2:54">
      <c r="B17" s="103">
        <v>43344</v>
      </c>
      <c r="C17" s="104"/>
      <c r="D17" s="104"/>
      <c r="M17" s="103">
        <v>43345</v>
      </c>
      <c r="N17" s="104"/>
      <c r="O17" s="104"/>
      <c r="W17" s="103">
        <v>43346</v>
      </c>
      <c r="X17" s="104"/>
      <c r="Y17" s="104"/>
      <c r="AG17" s="103">
        <v>43347</v>
      </c>
      <c r="AH17" s="104"/>
      <c r="AI17" s="104"/>
      <c r="AS17" s="103">
        <v>43348</v>
      </c>
      <c r="AT17" s="104"/>
      <c r="AU17" s="104"/>
    </row>
    <row r="18" spans="2:54">
      <c r="B18" s="9" t="s">
        <v>28</v>
      </c>
      <c r="C18" s="9">
        <v>4110</v>
      </c>
      <c r="D18" s="9" t="s">
        <v>117</v>
      </c>
      <c r="M18" s="9" t="s">
        <v>28</v>
      </c>
      <c r="N18" s="9">
        <v>4110</v>
      </c>
      <c r="O18" s="9" t="s">
        <v>117</v>
      </c>
      <c r="W18" s="9" t="s">
        <v>28</v>
      </c>
      <c r="X18" s="9">
        <v>4800</v>
      </c>
      <c r="Y18" s="9" t="s">
        <v>117</v>
      </c>
      <c r="AG18" s="9" t="s">
        <v>28</v>
      </c>
      <c r="AH18" s="9">
        <v>4800</v>
      </c>
      <c r="AI18" s="9" t="s">
        <v>117</v>
      </c>
      <c r="AS18" s="9" t="s">
        <v>28</v>
      </c>
      <c r="AT18" s="9">
        <v>4800</v>
      </c>
      <c r="AU18" s="9" t="s">
        <v>117</v>
      </c>
    </row>
    <row r="19" spans="2:54">
      <c r="B19" s="9" t="s">
        <v>108</v>
      </c>
      <c r="C19" s="9">
        <v>26</v>
      </c>
      <c r="D19" s="9" t="s">
        <v>118</v>
      </c>
      <c r="M19" s="9" t="s">
        <v>108</v>
      </c>
      <c r="N19" s="9">
        <v>26</v>
      </c>
      <c r="O19" s="9" t="s">
        <v>118</v>
      </c>
      <c r="W19" s="9" t="s">
        <v>108</v>
      </c>
      <c r="X19" s="9">
        <v>18.350000000000001</v>
      </c>
      <c r="Y19" s="9" t="s">
        <v>118</v>
      </c>
      <c r="AG19" s="9" t="s">
        <v>108</v>
      </c>
      <c r="AH19" s="9">
        <v>18.350000000000001</v>
      </c>
      <c r="AI19" s="9" t="s">
        <v>118</v>
      </c>
      <c r="AS19" s="9" t="s">
        <v>108</v>
      </c>
      <c r="AT19" s="9">
        <v>18.350000000000001</v>
      </c>
      <c r="AU19" s="9" t="s">
        <v>118</v>
      </c>
    </row>
    <row r="20" spans="2:54">
      <c r="B20" s="9" t="s">
        <v>109</v>
      </c>
      <c r="C20" s="9">
        <v>8.5</v>
      </c>
      <c r="D20" s="9"/>
      <c r="M20" s="9" t="s">
        <v>109</v>
      </c>
      <c r="N20" s="9">
        <v>8.5</v>
      </c>
      <c r="O20" s="9"/>
      <c r="W20" s="9" t="s">
        <v>109</v>
      </c>
      <c r="X20" s="9">
        <v>8</v>
      </c>
      <c r="Y20" s="9"/>
      <c r="AG20" s="9" t="s">
        <v>109</v>
      </c>
      <c r="AH20" s="9">
        <v>8</v>
      </c>
      <c r="AI20" s="9"/>
      <c r="AS20" s="9" t="s">
        <v>109</v>
      </c>
      <c r="AT20" s="9">
        <v>8</v>
      </c>
      <c r="AU20" s="9"/>
    </row>
    <row r="21" spans="2:54">
      <c r="B21" s="9" t="s">
        <v>110</v>
      </c>
      <c r="C21" s="9">
        <v>0.85</v>
      </c>
      <c r="D21" s="9"/>
      <c r="M21" s="9" t="s">
        <v>110</v>
      </c>
      <c r="N21" s="9">
        <v>0.85</v>
      </c>
      <c r="O21" s="9"/>
      <c r="W21" s="9" t="s">
        <v>110</v>
      </c>
      <c r="X21" s="9">
        <v>0.85</v>
      </c>
      <c r="Y21" s="9"/>
      <c r="AG21" s="9" t="s">
        <v>110</v>
      </c>
      <c r="AH21" s="9">
        <v>0.85</v>
      </c>
      <c r="AI21" s="9"/>
      <c r="AS21" s="9" t="s">
        <v>110</v>
      </c>
      <c r="AT21" s="9">
        <v>0.85</v>
      </c>
      <c r="AU21" s="9"/>
    </row>
    <row r="22" spans="2:54">
      <c r="B22" s="9" t="s">
        <v>70</v>
      </c>
      <c r="C22" s="9">
        <v>882</v>
      </c>
      <c r="D22" s="9" t="s">
        <v>117</v>
      </c>
      <c r="M22" s="9" t="s">
        <v>70</v>
      </c>
      <c r="N22" s="9">
        <v>882</v>
      </c>
      <c r="O22" s="9" t="s">
        <v>117</v>
      </c>
      <c r="W22" s="9" t="s">
        <v>70</v>
      </c>
      <c r="X22" s="9">
        <v>1114.83</v>
      </c>
      <c r="Y22" s="9" t="s">
        <v>117</v>
      </c>
      <c r="AG22" s="9" t="s">
        <v>70</v>
      </c>
      <c r="AH22" s="9">
        <v>1114.83</v>
      </c>
      <c r="AI22" s="9" t="s">
        <v>117</v>
      </c>
      <c r="AS22" s="9" t="s">
        <v>70</v>
      </c>
      <c r="AT22" s="9">
        <v>1114.83</v>
      </c>
      <c r="AU22" s="9" t="s">
        <v>117</v>
      </c>
    </row>
    <row r="23" spans="2:54">
      <c r="B23" s="9" t="s">
        <v>111</v>
      </c>
      <c r="C23" s="9">
        <v>1.7999999999999999E-2</v>
      </c>
      <c r="D23" s="9"/>
      <c r="M23" s="9" t="s">
        <v>111</v>
      </c>
      <c r="N23" s="9">
        <v>1.7999999999999999E-2</v>
      </c>
      <c r="O23" s="9"/>
      <c r="W23" s="9" t="s">
        <v>111</v>
      </c>
      <c r="X23" s="9">
        <v>1.7732464999999999E-2</v>
      </c>
      <c r="Y23" s="9"/>
      <c r="AG23" s="9" t="s">
        <v>111</v>
      </c>
      <c r="AH23" s="9">
        <v>1.7732464999999999E-2</v>
      </c>
      <c r="AI23" s="9"/>
      <c r="AS23" s="9" t="s">
        <v>111</v>
      </c>
      <c r="AT23" s="9">
        <v>1.7732464999999999E-2</v>
      </c>
      <c r="AU23" s="9"/>
    </row>
    <row r="24" spans="2:54">
      <c r="B24" s="9" t="s">
        <v>112</v>
      </c>
      <c r="C24" s="9">
        <v>0</v>
      </c>
      <c r="D24" s="9" t="s">
        <v>119</v>
      </c>
      <c r="M24" s="9" t="s">
        <v>112</v>
      </c>
      <c r="N24" s="9">
        <v>0</v>
      </c>
      <c r="O24" s="9" t="s">
        <v>119</v>
      </c>
      <c r="W24" s="9" t="s">
        <v>112</v>
      </c>
      <c r="X24" s="9">
        <v>0</v>
      </c>
      <c r="Y24" s="9" t="s">
        <v>119</v>
      </c>
      <c r="AG24" s="9" t="s">
        <v>112</v>
      </c>
      <c r="AH24" s="9">
        <v>0</v>
      </c>
      <c r="AI24" s="9" t="s">
        <v>119</v>
      </c>
      <c r="AS24" s="9" t="s">
        <v>112</v>
      </c>
      <c r="AT24" s="9">
        <v>0</v>
      </c>
      <c r="AU24" s="9" t="s">
        <v>119</v>
      </c>
    </row>
    <row r="25" spans="2:54">
      <c r="B25" s="9" t="s">
        <v>113</v>
      </c>
      <c r="C25" s="9">
        <v>1</v>
      </c>
      <c r="D25" s="9"/>
      <c r="M25" s="9" t="s">
        <v>113</v>
      </c>
      <c r="N25" s="9">
        <v>1</v>
      </c>
      <c r="O25" s="9"/>
      <c r="W25" s="9" t="s">
        <v>113</v>
      </c>
      <c r="X25" s="9">
        <v>1</v>
      </c>
      <c r="Y25" s="9"/>
      <c r="AG25" s="9" t="s">
        <v>113</v>
      </c>
      <c r="AH25" s="9">
        <v>1</v>
      </c>
      <c r="AI25" s="9"/>
      <c r="AS25" s="9" t="s">
        <v>113</v>
      </c>
      <c r="AT25" s="9">
        <v>1</v>
      </c>
      <c r="AU25" s="9"/>
    </row>
    <row r="26" spans="2:54">
      <c r="B26" s="9" t="s">
        <v>114</v>
      </c>
      <c r="C26" s="9">
        <v>659.2</v>
      </c>
      <c r="D26" s="9" t="s">
        <v>120</v>
      </c>
      <c r="M26" s="9" t="s">
        <v>114</v>
      </c>
      <c r="N26" s="9">
        <v>659.2</v>
      </c>
      <c r="O26" s="9" t="s">
        <v>120</v>
      </c>
      <c r="W26" s="9" t="s">
        <v>114</v>
      </c>
      <c r="X26" s="9">
        <v>659.2</v>
      </c>
      <c r="Y26" s="9" t="s">
        <v>120</v>
      </c>
      <c r="AG26" s="9" t="s">
        <v>114</v>
      </c>
      <c r="AH26" s="9">
        <v>659.2</v>
      </c>
      <c r="AI26" s="9" t="s">
        <v>120</v>
      </c>
      <c r="AS26" s="9" t="s">
        <v>114</v>
      </c>
      <c r="AT26" s="9">
        <v>659.2</v>
      </c>
      <c r="AU26" s="9" t="s">
        <v>120</v>
      </c>
    </row>
    <row r="27" spans="2:54">
      <c r="B27" s="9" t="s">
        <v>115</v>
      </c>
      <c r="C27" s="9">
        <v>1.2</v>
      </c>
      <c r="D27" s="9"/>
      <c r="M27" s="9" t="s">
        <v>115</v>
      </c>
      <c r="N27" s="9">
        <v>1.2</v>
      </c>
      <c r="O27" s="9"/>
      <c r="W27" s="9" t="s">
        <v>115</v>
      </c>
      <c r="X27" s="9">
        <v>1.4</v>
      </c>
      <c r="Y27" s="9"/>
      <c r="AG27" s="9" t="s">
        <v>115</v>
      </c>
      <c r="AH27" s="9">
        <v>1.4</v>
      </c>
      <c r="AI27" s="9"/>
      <c r="AS27" s="9" t="s">
        <v>115</v>
      </c>
      <c r="AT27" s="9">
        <v>1.4</v>
      </c>
      <c r="AU27" s="9"/>
    </row>
    <row r="28" spans="2:54">
      <c r="B28" s="47" t="s">
        <v>116</v>
      </c>
      <c r="C28" s="47">
        <v>1</v>
      </c>
      <c r="D28" s="47"/>
      <c r="M28" s="48" t="s">
        <v>116</v>
      </c>
      <c r="N28" s="48">
        <v>1.5</v>
      </c>
      <c r="O28" s="48"/>
      <c r="W28" s="49" t="s">
        <v>116</v>
      </c>
      <c r="X28" s="49">
        <v>2</v>
      </c>
      <c r="Y28" s="49"/>
      <c r="AG28" s="51" t="s">
        <v>116</v>
      </c>
      <c r="AH28" s="51">
        <v>2.5</v>
      </c>
      <c r="AI28" s="51"/>
      <c r="AS28" s="52" t="s">
        <v>116</v>
      </c>
      <c r="AT28" s="52">
        <v>3</v>
      </c>
      <c r="AU28" s="52"/>
    </row>
    <row r="29" spans="2:54" ht="15.75" thickBot="1"/>
    <row r="30" spans="2:54">
      <c r="B30" s="10" t="s">
        <v>62</v>
      </c>
      <c r="C30" s="11" t="s">
        <v>121</v>
      </c>
      <c r="D30" s="11" t="s">
        <v>122</v>
      </c>
      <c r="E30" s="11" t="s">
        <v>123</v>
      </c>
      <c r="F30" s="11" t="s">
        <v>69</v>
      </c>
      <c r="G30" s="11" t="s">
        <v>124</v>
      </c>
      <c r="H30" s="11" t="s">
        <v>66</v>
      </c>
      <c r="I30" s="11" t="s">
        <v>70</v>
      </c>
      <c r="J30" s="11" t="s">
        <v>125</v>
      </c>
      <c r="K30" s="12" t="s">
        <v>126</v>
      </c>
      <c r="M30" s="10" t="s">
        <v>62</v>
      </c>
      <c r="N30" s="11" t="s">
        <v>121</v>
      </c>
      <c r="O30" s="11" t="s">
        <v>122</v>
      </c>
      <c r="P30" s="11" t="s">
        <v>123</v>
      </c>
      <c r="Q30" s="11" t="s">
        <v>69</v>
      </c>
      <c r="R30" s="11" t="s">
        <v>124</v>
      </c>
      <c r="S30" s="11" t="s">
        <v>70</v>
      </c>
      <c r="T30" s="11" t="s">
        <v>125</v>
      </c>
      <c r="U30" s="12" t="s">
        <v>126</v>
      </c>
      <c r="W30" s="10" t="s">
        <v>62</v>
      </c>
      <c r="X30" s="11" t="s">
        <v>121</v>
      </c>
      <c r="Y30" s="11" t="s">
        <v>122</v>
      </c>
      <c r="Z30" s="11" t="s">
        <v>123</v>
      </c>
      <c r="AA30" s="11" t="s">
        <v>69</v>
      </c>
      <c r="AB30" s="11" t="s">
        <v>124</v>
      </c>
      <c r="AC30" s="11" t="s">
        <v>70</v>
      </c>
      <c r="AD30" s="11" t="s">
        <v>125</v>
      </c>
      <c r="AE30" s="12" t="s">
        <v>126</v>
      </c>
      <c r="AG30" s="10" t="s">
        <v>62</v>
      </c>
      <c r="AH30" s="11" t="s">
        <v>121</v>
      </c>
      <c r="AI30" s="11" t="s">
        <v>122</v>
      </c>
      <c r="AJ30" s="11" t="s">
        <v>123</v>
      </c>
      <c r="AK30" s="11" t="s">
        <v>69</v>
      </c>
      <c r="AL30" s="11" t="s">
        <v>124</v>
      </c>
      <c r="AM30" s="11" t="s">
        <v>66</v>
      </c>
      <c r="AN30" s="11" t="s">
        <v>70</v>
      </c>
      <c r="AO30" s="11" t="s">
        <v>125</v>
      </c>
      <c r="AP30" s="12" t="s">
        <v>126</v>
      </c>
      <c r="AS30" s="10" t="s">
        <v>62</v>
      </c>
      <c r="AT30" s="11" t="s">
        <v>121</v>
      </c>
      <c r="AU30" s="11" t="s">
        <v>122</v>
      </c>
      <c r="AV30" s="11" t="s">
        <v>123</v>
      </c>
      <c r="AW30" s="11" t="s">
        <v>69</v>
      </c>
      <c r="AX30" s="11" t="s">
        <v>124</v>
      </c>
      <c r="AY30" s="11" t="s">
        <v>66</v>
      </c>
      <c r="AZ30" s="11" t="s">
        <v>70</v>
      </c>
      <c r="BA30" s="11" t="s">
        <v>125</v>
      </c>
      <c r="BB30" s="12" t="s">
        <v>126</v>
      </c>
    </row>
    <row r="31" spans="2:54">
      <c r="B31" s="13">
        <f>((2*$C$18*9.81/(1.225*$C$19*$C$27))^0.5)*$C$28^0.5/($C$26*0.51477)</f>
        <v>0.1353613395228456</v>
      </c>
      <c r="C31" s="9">
        <f>B31*$C$26*0.51477</f>
        <v>45.933027487078704</v>
      </c>
      <c r="D31" s="9" t="e">
        <f>C31^2/(9.81*($C$28^2-1))</f>
        <v>#DIV/0!</v>
      </c>
      <c r="E31" s="9">
        <f>180*9.81*($C$28^2-1)^0.5/(PI()*C31)</f>
        <v>0</v>
      </c>
      <c r="F31" s="9">
        <f>2*$C$18*9.81*$C$28/(1.225*$C$25*$C$19*C31^2)</f>
        <v>1.2000000000000002</v>
      </c>
      <c r="G31" s="9">
        <f>IF(F31&gt;=$C$27,0,1)</f>
        <v>0</v>
      </c>
      <c r="H31" s="9">
        <v>0.77500000000000002</v>
      </c>
      <c r="I31" s="9">
        <f>H31*1537.69*0.97</f>
        <v>1155.9584574999999</v>
      </c>
      <c r="J31" s="9">
        <f>(0.5*1.225*18.35*C31^2*($C$23+F31^2/($C$20*$C$21*PI())))/9.81</f>
        <v>196.86571689583531</v>
      </c>
      <c r="K31" s="14">
        <f>(I31-J31)*C31/$C$18*(60/0.3048)</f>
        <v>2109.988754948979</v>
      </c>
      <c r="M31" s="13">
        <f>((2*$C$18*9.81/(1.225*$C$19*$C$27))^0.5)*$N$28^0.5/($C$26*0.51477)</f>
        <v>0.16578310636530075</v>
      </c>
      <c r="N31" s="9">
        <f>M31*$C$26*0.51477</f>
        <v>56.256239842288544</v>
      </c>
      <c r="O31" s="9">
        <f>N31^2/(9.81*($N$28^2-1))</f>
        <v>258.08477237048669</v>
      </c>
      <c r="P31" s="9">
        <f>180*9.81*($N$28^2-1)^0.5/(PI()*N31)</f>
        <v>11.170585722486164</v>
      </c>
      <c r="Q31" s="9">
        <f>2*$C$18*9.81*$N$28/(1.225*$C$25*$C$19*N31^2)</f>
        <v>1.1999999999999997</v>
      </c>
      <c r="R31" s="9">
        <f>IF(Q31&gt;=$C$27,0,1)</f>
        <v>0</v>
      </c>
      <c r="S31" s="9">
        <f t="shared" ref="S31:S64" si="0">H31*1537.69*0.97</f>
        <v>1155.9584574999999</v>
      </c>
      <c r="T31" s="9">
        <f t="shared" ref="T31:T64" si="1">(0.5*1.225*18.35*N31^2*($C$23+Q31^2/($C$20*$C$21*PI())))/9.81</f>
        <v>295.29857534375293</v>
      </c>
      <c r="U31" s="14">
        <f t="shared" ref="U31:U64" si="2">(S31-T31)*N31/$C$18*(60/0.3048)</f>
        <v>2318.9785214292788</v>
      </c>
      <c r="W31" s="13">
        <f>((2*$C$18*9.81/(1.225*$C$19*$C$27))^0.5)*$X$28^0.5/($C$26*0.51477)</f>
        <v>0.19142984217419751</v>
      </c>
      <c r="X31" s="9">
        <f>W31*$C$26*0.51477</f>
        <v>64.959110433082884</v>
      </c>
      <c r="Y31" s="9">
        <f>X31^2/(9.81*($X$28^2-1))</f>
        <v>143.38042909471486</v>
      </c>
      <c r="Z31" s="9">
        <f>180*9.81*($X$28^2-1)^0.5/(PI()*X31)</f>
        <v>14.986913414380597</v>
      </c>
      <c r="AA31" s="9">
        <f t="shared" ref="AA31:AA64" si="3">2*$C$18*9.81*$X$28/(1.225*$C$25*$C$19*X31^2)</f>
        <v>1.1999999999999995</v>
      </c>
      <c r="AB31" s="9">
        <f>IF(AA31&gt;=$C$27,0,1)</f>
        <v>0</v>
      </c>
      <c r="AC31" s="9">
        <f t="shared" ref="AC31:AC64" si="4">H31*1537.69*0.97</f>
        <v>1155.9584574999999</v>
      </c>
      <c r="AD31" s="9">
        <f t="shared" ref="AD31:AD64" si="5">(0.5*1.225*18.35*X31^2*($C$23+AA31^2/($C$20*$C$21*PI())))/9.81</f>
        <v>393.7314337916705</v>
      </c>
      <c r="AE31" s="14">
        <f t="shared" ref="AE31:AE64" si="6">(AC31-AD31)*X31/$C$18*(60/0.3048)</f>
        <v>2371.4767806650502</v>
      </c>
      <c r="AG31" s="13">
        <f>((2*$C$18*9.81/(1.225*$C$19*$C$27))^0.5)*$AH$28^0.5/($C$26*0.51477)</f>
        <v>0.21402507001178087</v>
      </c>
      <c r="AH31" s="9">
        <f>AG31*$C$26*0.51477</f>
        <v>72.62649334314456</v>
      </c>
      <c r="AI31" s="9">
        <f>AH31^2/(9.81*($AH$28^2-1))</f>
        <v>102.41459221051058</v>
      </c>
      <c r="AJ31" s="9">
        <f>180*9.81*($AH$28^2-1)^0.5/(PI()*AH31)</f>
        <v>17.732755092376301</v>
      </c>
      <c r="AK31" s="9">
        <f t="shared" ref="AK31:AK64" si="7">2*$C$18*9.81*$AH$28/(1.225*$C$25*$C$19*AH31^2)</f>
        <v>1.2</v>
      </c>
      <c r="AL31" s="9">
        <f>IF(AK31&gt;=$C$27,0,1)</f>
        <v>0</v>
      </c>
      <c r="AM31" s="9">
        <v>0.745</v>
      </c>
      <c r="AN31" s="9">
        <f>AM31*1537.69*0.97</f>
        <v>1111.2116785000001</v>
      </c>
      <c r="AO31" s="9">
        <f>(0.5*1.225*18.35*AH31^2*($C$23+AK31^2/($C$20*$C$21*PI())))/9.81</f>
        <v>492.16429223958835</v>
      </c>
      <c r="AP31" s="14">
        <f>(AN31-AO31)*AH31/$C$18*(60/0.3048)</f>
        <v>2153.3441039395379</v>
      </c>
      <c r="AS31" s="13">
        <f>((2*$C$18*9.81/(1.225*$C$19*$C$27))^0.5)*$AT$28^0.5/($C$26*0.51477)</f>
        <v>0.23445271743414969</v>
      </c>
      <c r="AT31" s="9">
        <f>AS31*$C$26*0.51477</f>
        <v>79.558337353078116</v>
      </c>
      <c r="AU31" s="9">
        <f>AT31^2/(9.81*($AT$28^2-1))</f>
        <v>80.651491365777062</v>
      </c>
      <c r="AV31" s="9">
        <f>180*9.81*($AT$28^2-1)^0.5/(PI()*AT31)</f>
        <v>19.982551219174134</v>
      </c>
      <c r="AW31" s="9">
        <f t="shared" ref="AW31:AW64" si="8">2*$C$18*9.81*$AT$28/(1.225*$C$25*$C$19*AT31^2)</f>
        <v>1.2</v>
      </c>
      <c r="AX31" s="9">
        <f>IF(AW31&gt;=$C$27,0,1)</f>
        <v>0</v>
      </c>
      <c r="AY31" s="9">
        <v>0.75</v>
      </c>
      <c r="AZ31" s="9">
        <f>AY31*1537.69*0.97</f>
        <v>1118.6694749999999</v>
      </c>
      <c r="BA31" s="9">
        <f>(0.5*1.225*18.35*AT31^2*($C$23+AW31^2/($C$20*$C$21*PI())))/9.81</f>
        <v>590.59715068750597</v>
      </c>
      <c r="BB31" s="14">
        <f>(AZ31-BA31)*AT31/$C$18*(60/0.3048)</f>
        <v>2012.2112441556728</v>
      </c>
    </row>
    <row r="32" spans="2:54">
      <c r="B32" s="13">
        <f>B31+(0.55-$B$31)/30</f>
        <v>0.14918262820541742</v>
      </c>
      <c r="C32" s="9">
        <f t="shared" ref="C32:C64" si="9">B32*$C$26*0.51477</f>
        <v>50.623093610842751</v>
      </c>
      <c r="D32" s="9" t="e">
        <f t="shared" ref="D32:D64" si="10">C32^2/(9.81*($C$28^2-1))</f>
        <v>#DIV/0!</v>
      </c>
      <c r="E32" s="9">
        <f t="shared" ref="E32:E64" si="11">180*9.81*($C$28^2-1)^0.5/(PI()*C32)</f>
        <v>0</v>
      </c>
      <c r="F32" s="9">
        <f t="shared" ref="F32:F64" si="12">2*$C$18*9.81*$C$28/(1.225*$C$25*$C$19*C32^2)</f>
        <v>0.98794786021708625</v>
      </c>
      <c r="G32" s="9">
        <f t="shared" ref="G32:G64" si="13">IF(F32&gt;=$C$27,0,1)</f>
        <v>1</v>
      </c>
      <c r="H32" s="9">
        <v>0.76</v>
      </c>
      <c r="I32" s="9">
        <f t="shared" ref="I32:I64" si="14">H32*1537.69*0.97</f>
        <v>1133.5850680000001</v>
      </c>
      <c r="J32" s="9">
        <f t="shared" ref="J32:J64" si="15">(0.5*1.225*18.35*C32^2*($C$23+F32^2/($C$20*$C$21*PI())))/9.81</f>
        <v>179.10541655403935</v>
      </c>
      <c r="K32" s="14">
        <f t="shared" ref="K32:K64" si="16">(I32-J32)*C32/$C$18*(60/0.3048)</f>
        <v>2314.2475977926615</v>
      </c>
      <c r="M32" s="13">
        <f>M31+(0.55-$M$31)/30</f>
        <v>0.17859033615312406</v>
      </c>
      <c r="N32" s="9">
        <f t="shared" ref="N32:N64" si="17">M32*$C$26*0.51477</f>
        <v>60.602198887545583</v>
      </c>
      <c r="O32" s="9">
        <f t="shared" ref="O32:O64" si="18">N32^2/(9.81*($N$28^2-1))</f>
        <v>299.50063282410855</v>
      </c>
      <c r="P32" s="9">
        <f t="shared" ref="P32:P64" si="19">180*9.81*($N$28^2-1)^0.5/(PI()*N32)</f>
        <v>10.36951069628881</v>
      </c>
      <c r="Q32" s="9">
        <f t="shared" ref="Q32:Q64" si="20">2*$C$18*9.81*$N$28/(1.225*$C$25*$C$19*N32^2)</f>
        <v>1.0340603421244399</v>
      </c>
      <c r="R32" s="9">
        <f t="shared" ref="R32:R64" si="21">IF(Q32&gt;=$C$27,0,1)</f>
        <v>1</v>
      </c>
      <c r="S32" s="9">
        <f t="shared" si="0"/>
        <v>1133.5850680000001</v>
      </c>
      <c r="T32" s="9">
        <f t="shared" si="1"/>
        <v>273.96245966093403</v>
      </c>
      <c r="U32" s="14">
        <f t="shared" si="2"/>
        <v>2495.1156330246367</v>
      </c>
      <c r="W32" s="13">
        <f>W31+(0.55-$W$31)/30</f>
        <v>0.20338218076839093</v>
      </c>
      <c r="X32" s="9">
        <f t="shared" ref="X32:X64" si="22">W32*$C$26*0.51477</f>
        <v>69.014973791980111</v>
      </c>
      <c r="Y32" s="9">
        <f t="shared" ref="Y32:Y64" si="23">X32^2/(9.81*($X$28^2-1))</f>
        <v>161.843921423979</v>
      </c>
      <c r="Z32" s="9">
        <f t="shared" ref="Z32:Z64" si="24">180*9.81*($X$28^2-1)^0.5/(PI()*X32)</f>
        <v>14.106164358913809</v>
      </c>
      <c r="AA32" s="9">
        <f t="shared" si="3"/>
        <v>1.0631014955632783</v>
      </c>
      <c r="AB32" s="9">
        <f t="shared" ref="AB32:AB64" si="25">IF(AA32&gt;=$C$27,0,1)</f>
        <v>1</v>
      </c>
      <c r="AC32" s="9">
        <f t="shared" si="4"/>
        <v>1133.5850680000001</v>
      </c>
      <c r="AD32" s="9">
        <f t="shared" si="5"/>
        <v>369.94728504191301</v>
      </c>
      <c r="AE32" s="14">
        <f t="shared" si="6"/>
        <v>2524.2083633838233</v>
      </c>
      <c r="AG32" s="13">
        <f>AG31+(0.55-$AG$31)/30</f>
        <v>0.2252242343447215</v>
      </c>
      <c r="AH32" s="9">
        <f t="shared" ref="AH32:AH64" si="26">AG32*$C$26*0.51477</f>
        <v>76.426777271706399</v>
      </c>
      <c r="AI32" s="9">
        <f t="shared" ref="AI32:AI64" si="27">AH32^2/(9.81*($AH$28^2-1))</f>
        <v>113.41298546942414</v>
      </c>
      <c r="AJ32" s="9">
        <f t="shared" ref="AJ32:AJ64" si="28">180*9.81*($AH$28^2-1)^0.5/(PI()*AH32)</f>
        <v>16.851002562800144</v>
      </c>
      <c r="AK32" s="9">
        <f t="shared" si="7"/>
        <v>1.0836282119188683</v>
      </c>
      <c r="AL32" s="9">
        <f t="shared" ref="AL32:AL64" si="29">IF(AK32&gt;=$C$27,0,1)</f>
        <v>1</v>
      </c>
      <c r="AM32" s="9">
        <v>0.74</v>
      </c>
      <c r="AN32" s="9">
        <f t="shared" ref="AN32:AN64" si="30">AM32*1537.69*0.97</f>
        <v>1103.753882</v>
      </c>
      <c r="AO32" s="9">
        <f t="shared" ref="AO32:AO64" si="31">(0.5*1.225*18.35*AH32^2*($C$23+AK32^2/($C$20*$C$21*PI())))/9.81</f>
        <v>466.66633128943278</v>
      </c>
      <c r="AP32" s="14">
        <f t="shared" ref="AP32:AP64" si="32">(AN32-AO32)*AH32/$C$18*(60/0.3048)</f>
        <v>2332.056839508663</v>
      </c>
      <c r="AS32" s="13">
        <f>AS31+(0.55-$AS$31)/30</f>
        <v>0.24497096018634471</v>
      </c>
      <c r="AT32" s="9">
        <f t="shared" ref="AT32:AT64" si="33">AS32*$C$26*0.51477</f>
        <v>83.127559814642183</v>
      </c>
      <c r="AU32" s="9">
        <f t="shared" ref="AU32:AU64" si="34">AT32^2/(9.81*($AT$28^2-1))</f>
        <v>88.050346594507047</v>
      </c>
      <c r="AV32" s="9">
        <f t="shared" ref="AV32:AV64" si="35">180*9.81*($AT$28^2-1)^0.5/(PI()*AT32)</f>
        <v>19.124566565109166</v>
      </c>
      <c r="AW32" s="9">
        <f t="shared" si="8"/>
        <v>1.0991642098200456</v>
      </c>
      <c r="AX32" s="9">
        <f t="shared" ref="AX32:AX64" si="36">IF(AW32&gt;=$C$27,0,1)</f>
        <v>1</v>
      </c>
      <c r="AY32" s="9">
        <v>0.745</v>
      </c>
      <c r="AZ32" s="9">
        <f t="shared" ref="AZ32:AZ64" si="37">AY32*1537.69*0.97</f>
        <v>1111.2116785000001</v>
      </c>
      <c r="BA32" s="9">
        <f t="shared" ref="BA32:BA64" si="38">(0.5*1.225*18.35*AT32^2*($C$23+AW32^2/($C$20*$C$21*PI())))/9.81</f>
        <v>563.91278335564471</v>
      </c>
      <c r="BB32" s="14">
        <f t="shared" ref="BB32:BB64" si="39">(AZ32-BA32)*AT32/$C$18*(60/0.3048)</f>
        <v>2179.0343143571458</v>
      </c>
    </row>
    <row r="33" spans="2:54">
      <c r="B33" s="13">
        <f t="shared" ref="B33:B64" si="40">B32+(0.55-$B$31)/30</f>
        <v>0.16300391688798924</v>
      </c>
      <c r="C33" s="9">
        <f t="shared" si="9"/>
        <v>55.313159734606799</v>
      </c>
      <c r="D33" s="9" t="e">
        <f t="shared" si="10"/>
        <v>#DIV/0!</v>
      </c>
      <c r="E33" s="9">
        <f t="shared" si="11"/>
        <v>0</v>
      </c>
      <c r="F33" s="9">
        <f t="shared" si="12"/>
        <v>0.82751228940593813</v>
      </c>
      <c r="G33" s="9">
        <f t="shared" si="13"/>
        <v>1</v>
      </c>
      <c r="H33" s="9">
        <v>0.75</v>
      </c>
      <c r="I33" s="9">
        <f t="shared" si="14"/>
        <v>1118.6694749999999</v>
      </c>
      <c r="J33" s="9">
        <f t="shared" si="15"/>
        <v>168.84876435034721</v>
      </c>
      <c r="K33" s="14">
        <f t="shared" si="16"/>
        <v>2516.3124646723941</v>
      </c>
      <c r="M33" s="13">
        <f t="shared" ref="M33:M64" si="41">M32+(0.55-$M$31)/30</f>
        <v>0.19139756594094737</v>
      </c>
      <c r="N33" s="9">
        <f t="shared" si="17"/>
        <v>64.94815793280263</v>
      </c>
      <c r="O33" s="9">
        <f t="shared" si="18"/>
        <v>343.99700051900288</v>
      </c>
      <c r="P33" s="9">
        <f t="shared" si="19"/>
        <v>9.6756423828556226</v>
      </c>
      <c r="Q33" s="9">
        <f t="shared" si="20"/>
        <v>0.90030356769775266</v>
      </c>
      <c r="R33" s="9">
        <f t="shared" si="21"/>
        <v>1</v>
      </c>
      <c r="S33" s="9">
        <f t="shared" si="0"/>
        <v>1118.6694749999999</v>
      </c>
      <c r="T33" s="9">
        <f t="shared" si="1"/>
        <v>259.57462031670082</v>
      </c>
      <c r="U33" s="14">
        <f t="shared" si="2"/>
        <v>2672.4058998232194</v>
      </c>
      <c r="W33" s="13">
        <f t="shared" ref="W33:W64" si="42">W32+(0.55-$W$31)/30</f>
        <v>0.21533451936258435</v>
      </c>
      <c r="X33" s="9">
        <f t="shared" si="22"/>
        <v>73.070837150877352</v>
      </c>
      <c r="Y33" s="9">
        <f t="shared" si="23"/>
        <v>181.42532252565539</v>
      </c>
      <c r="Z33" s="9">
        <f t="shared" si="24"/>
        <v>13.323188860223855</v>
      </c>
      <c r="AA33" s="9">
        <f t="shared" si="3"/>
        <v>0.94835997819062567</v>
      </c>
      <c r="AB33" s="9">
        <f t="shared" si="25"/>
        <v>1</v>
      </c>
      <c r="AC33" s="9">
        <f t="shared" si="4"/>
        <v>1118.6694749999999</v>
      </c>
      <c r="AD33" s="9">
        <f t="shared" si="5"/>
        <v>352.5047673414133</v>
      </c>
      <c r="AE33" s="14">
        <f t="shared" si="6"/>
        <v>2681.3943609819594</v>
      </c>
      <c r="AG33" s="13">
        <f t="shared" ref="AG33:AG64" si="43">AG32+(0.55-$AG$31)/30</f>
        <v>0.23642339867766213</v>
      </c>
      <c r="AH33" s="9">
        <f t="shared" si="26"/>
        <v>80.227061200268238</v>
      </c>
      <c r="AI33" s="9">
        <f t="shared" si="27"/>
        <v>124.97221200585574</v>
      </c>
      <c r="AJ33" s="9">
        <f t="shared" si="28"/>
        <v>16.052785686081869</v>
      </c>
      <c r="AK33" s="9">
        <f t="shared" si="7"/>
        <v>0.98339869863913554</v>
      </c>
      <c r="AL33" s="9">
        <f t="shared" si="29"/>
        <v>1</v>
      </c>
      <c r="AM33" s="9">
        <v>0.73</v>
      </c>
      <c r="AN33" s="9">
        <f t="shared" si="30"/>
        <v>1088.838289</v>
      </c>
      <c r="AO33" s="9">
        <f t="shared" si="31"/>
        <v>446.92133322974547</v>
      </c>
      <c r="AP33" s="14">
        <f t="shared" si="32"/>
        <v>2466.5742713216318</v>
      </c>
      <c r="AS33" s="13">
        <f t="shared" ref="AS33:AS64" si="44">AS32+(0.55-$AS$31)/30</f>
        <v>0.25548920293853972</v>
      </c>
      <c r="AT33" s="9">
        <f t="shared" si="33"/>
        <v>86.696782276206235</v>
      </c>
      <c r="AU33" s="9">
        <f t="shared" si="34"/>
        <v>95.773853937919299</v>
      </c>
      <c r="AV33" s="9">
        <f t="shared" si="35"/>
        <v>18.337226703585859</v>
      </c>
      <c r="AW33" s="9">
        <f t="shared" si="8"/>
        <v>1.0105241217677898</v>
      </c>
      <c r="AX33" s="9">
        <f t="shared" si="36"/>
        <v>1</v>
      </c>
      <c r="AY33" s="9">
        <v>0.74</v>
      </c>
      <c r="AZ33" s="9">
        <f t="shared" si="37"/>
        <v>1103.753882</v>
      </c>
      <c r="BA33" s="9">
        <f t="shared" si="38"/>
        <v>542.42953681732229</v>
      </c>
      <c r="BB33" s="14">
        <f t="shared" si="39"/>
        <v>2330.833886077583</v>
      </c>
    </row>
    <row r="34" spans="2:54">
      <c r="B34" s="13">
        <f t="shared" si="40"/>
        <v>0.17682520557056106</v>
      </c>
      <c r="C34" s="9">
        <f t="shared" si="9"/>
        <v>60.003225858370847</v>
      </c>
      <c r="D34" s="9" t="e">
        <f t="shared" si="10"/>
        <v>#DIV/0!</v>
      </c>
      <c r="E34" s="9">
        <f t="shared" si="11"/>
        <v>0</v>
      </c>
      <c r="F34" s="9">
        <f t="shared" si="12"/>
        <v>0.70320538797731569</v>
      </c>
      <c r="G34" s="9">
        <f t="shared" si="13"/>
        <v>1</v>
      </c>
      <c r="H34" s="9">
        <v>0.72499999999999998</v>
      </c>
      <c r="I34" s="9">
        <f t="shared" si="14"/>
        <v>1081.3804925000002</v>
      </c>
      <c r="J34" s="9">
        <f t="shared" si="15"/>
        <v>164.11647068461656</v>
      </c>
      <c r="K34" s="14">
        <f t="shared" si="16"/>
        <v>2636.1093680070721</v>
      </c>
      <c r="M34" s="13">
        <f t="shared" si="41"/>
        <v>0.20420479572877068</v>
      </c>
      <c r="N34" s="9">
        <f t="shared" si="17"/>
        <v>69.294116978059691</v>
      </c>
      <c r="O34" s="9">
        <f t="shared" si="18"/>
        <v>391.5738754551698</v>
      </c>
      <c r="P34" s="9">
        <f t="shared" si="19"/>
        <v>9.0688095467324903</v>
      </c>
      <c r="Q34" s="9">
        <f t="shared" si="20"/>
        <v>0.79091519188961001</v>
      </c>
      <c r="R34" s="9">
        <f t="shared" si="21"/>
        <v>1</v>
      </c>
      <c r="S34" s="9">
        <f t="shared" si="0"/>
        <v>1081.3804925000002</v>
      </c>
      <c r="T34" s="9">
        <f t="shared" si="1"/>
        <v>250.63706898158202</v>
      </c>
      <c r="U34" s="14">
        <f t="shared" si="2"/>
        <v>2757.1331670421214</v>
      </c>
      <c r="W34" s="13">
        <f t="shared" si="42"/>
        <v>0.22728685795677778</v>
      </c>
      <c r="X34" s="9">
        <f t="shared" si="22"/>
        <v>77.126700509774594</v>
      </c>
      <c r="Y34" s="9">
        <f t="shared" si="23"/>
        <v>202.12463239974394</v>
      </c>
      <c r="Z34" s="9">
        <f t="shared" si="24"/>
        <v>12.622562058290308</v>
      </c>
      <c r="AA34" s="9">
        <f t="shared" si="3"/>
        <v>0.85123971715322577</v>
      </c>
      <c r="AB34" s="9">
        <f t="shared" si="25"/>
        <v>1</v>
      </c>
      <c r="AC34" s="9">
        <f t="shared" si="4"/>
        <v>1081.3804925000002</v>
      </c>
      <c r="AD34" s="9">
        <f t="shared" si="5"/>
        <v>340.24458538239082</v>
      </c>
      <c r="AE34" s="14">
        <f t="shared" si="6"/>
        <v>2737.7707121721542</v>
      </c>
      <c r="AG34" s="13">
        <f t="shared" si="43"/>
        <v>0.24762256301060276</v>
      </c>
      <c r="AH34" s="9">
        <f t="shared" si="26"/>
        <v>84.027345128830092</v>
      </c>
      <c r="AI34" s="9">
        <f t="shared" si="27"/>
        <v>137.09227181980535</v>
      </c>
      <c r="AJ34" s="9">
        <f t="shared" si="28"/>
        <v>15.326770323369505</v>
      </c>
      <c r="AK34" s="9">
        <f t="shared" si="7"/>
        <v>0.89645834167916971</v>
      </c>
      <c r="AL34" s="9">
        <f t="shared" si="29"/>
        <v>1</v>
      </c>
      <c r="AM34" s="9">
        <v>0.72499999999999998</v>
      </c>
      <c r="AN34" s="9">
        <f t="shared" si="30"/>
        <v>1081.3804925000002</v>
      </c>
      <c r="AO34" s="9">
        <f t="shared" si="31"/>
        <v>432.01775616517006</v>
      </c>
      <c r="AP34" s="14">
        <f t="shared" si="32"/>
        <v>2613.3794451696581</v>
      </c>
      <c r="AS34" s="13">
        <f t="shared" si="44"/>
        <v>0.26600744569073476</v>
      </c>
      <c r="AT34" s="9">
        <f t="shared" si="33"/>
        <v>90.266004737770317</v>
      </c>
      <c r="AU34" s="9">
        <f t="shared" si="34"/>
        <v>103.82201339601392</v>
      </c>
      <c r="AV34" s="9">
        <f t="shared" si="35"/>
        <v>17.61215150364356</v>
      </c>
      <c r="AW34" s="9">
        <f t="shared" si="8"/>
        <v>0.93218948923454659</v>
      </c>
      <c r="AX34" s="9">
        <f t="shared" si="36"/>
        <v>1</v>
      </c>
      <c r="AY34" s="9">
        <v>0.72499999999999998</v>
      </c>
      <c r="AZ34" s="9">
        <f t="shared" si="37"/>
        <v>1081.3804925000002</v>
      </c>
      <c r="BA34" s="9">
        <f t="shared" si="38"/>
        <v>525.42271394377985</v>
      </c>
      <c r="BB34" s="14">
        <f t="shared" si="39"/>
        <v>2403.5906025804184</v>
      </c>
    </row>
    <row r="35" spans="2:54">
      <c r="B35" s="13">
        <f t="shared" si="40"/>
        <v>0.19064649425313288</v>
      </c>
      <c r="C35" s="9">
        <f t="shared" si="9"/>
        <v>64.693291982134895</v>
      </c>
      <c r="D35" s="9" t="e">
        <f t="shared" si="10"/>
        <v>#DIV/0!</v>
      </c>
      <c r="E35" s="9">
        <f t="shared" si="11"/>
        <v>0</v>
      </c>
      <c r="F35" s="9">
        <f t="shared" si="12"/>
        <v>0.60494081325368554</v>
      </c>
      <c r="G35" s="9">
        <f t="shared" si="13"/>
        <v>1</v>
      </c>
      <c r="H35" s="9">
        <v>0.71499999999999997</v>
      </c>
      <c r="I35" s="9">
        <f t="shared" si="14"/>
        <v>1066.4648994999998</v>
      </c>
      <c r="J35" s="9">
        <f t="shared" si="15"/>
        <v>163.619542620776</v>
      </c>
      <c r="K35" s="14">
        <f t="shared" si="16"/>
        <v>2797.480616093952</v>
      </c>
      <c r="M35" s="13">
        <f t="shared" si="41"/>
        <v>0.21701202551659399</v>
      </c>
      <c r="N35" s="9">
        <f t="shared" si="17"/>
        <v>73.640076023316738</v>
      </c>
      <c r="O35" s="9">
        <f t="shared" si="18"/>
        <v>442.23125763260902</v>
      </c>
      <c r="P35" s="9">
        <f t="shared" si="19"/>
        <v>8.5336026728713588</v>
      </c>
      <c r="Q35" s="9">
        <f t="shared" si="20"/>
        <v>0.70031622934684956</v>
      </c>
      <c r="R35" s="9">
        <f t="shared" si="21"/>
        <v>1</v>
      </c>
      <c r="S35" s="9">
        <f t="shared" si="0"/>
        <v>1066.4648994999998</v>
      </c>
      <c r="T35" s="9">
        <f t="shared" si="1"/>
        <v>246.08034872645331</v>
      </c>
      <c r="U35" s="14">
        <f t="shared" si="2"/>
        <v>2893.5178596144656</v>
      </c>
      <c r="W35" s="13">
        <f t="shared" si="42"/>
        <v>0.2392391965509712</v>
      </c>
      <c r="X35" s="9">
        <f t="shared" si="22"/>
        <v>81.182563868671835</v>
      </c>
      <c r="Y35" s="9">
        <f t="shared" si="23"/>
        <v>223.94185104624472</v>
      </c>
      <c r="Z35" s="9">
        <f t="shared" si="24"/>
        <v>11.991941583794768</v>
      </c>
      <c r="AA35" s="9">
        <f t="shared" si="3"/>
        <v>0.76830888960602339</v>
      </c>
      <c r="AB35" s="9">
        <f t="shared" si="25"/>
        <v>1</v>
      </c>
      <c r="AC35" s="9">
        <f t="shared" si="4"/>
        <v>1066.4648994999998</v>
      </c>
      <c r="AD35" s="9">
        <f t="shared" si="5"/>
        <v>332.28959359354178</v>
      </c>
      <c r="AE35" s="14">
        <f t="shared" si="6"/>
        <v>2854.6771683503221</v>
      </c>
      <c r="AG35" s="13">
        <f t="shared" si="43"/>
        <v>0.25882172734354342</v>
      </c>
      <c r="AH35" s="9">
        <f t="shared" si="26"/>
        <v>87.827629057391945</v>
      </c>
      <c r="AI35" s="9">
        <f t="shared" si="27"/>
        <v>149.773164911273</v>
      </c>
      <c r="AJ35" s="9">
        <f t="shared" si="28"/>
        <v>14.6635840394884</v>
      </c>
      <c r="AK35" s="9">
        <f t="shared" si="7"/>
        <v>0.82055761274336625</v>
      </c>
      <c r="AL35" s="9">
        <f t="shared" si="29"/>
        <v>1</v>
      </c>
      <c r="AM35" s="9">
        <v>0.71499999999999997</v>
      </c>
      <c r="AN35" s="9">
        <f t="shared" si="30"/>
        <v>1066.4648994999998</v>
      </c>
      <c r="AO35" s="9">
        <f t="shared" si="31"/>
        <v>421.23689903248874</v>
      </c>
      <c r="AP35" s="14">
        <f t="shared" si="32"/>
        <v>2714.1811542092105</v>
      </c>
      <c r="AS35" s="13">
        <f t="shared" si="44"/>
        <v>0.2765256884429298</v>
      </c>
      <c r="AT35" s="9">
        <f t="shared" si="33"/>
        <v>93.835227199334383</v>
      </c>
      <c r="AU35" s="9">
        <f t="shared" si="34"/>
        <v>112.19482496879081</v>
      </c>
      <c r="AV35" s="9">
        <f t="shared" si="35"/>
        <v>16.942235858746823</v>
      </c>
      <c r="AW35" s="9">
        <f t="shared" si="8"/>
        <v>0.86262258233260081</v>
      </c>
      <c r="AX35" s="9">
        <f t="shared" si="36"/>
        <v>1</v>
      </c>
      <c r="AY35" s="9">
        <v>0.71499999999999997</v>
      </c>
      <c r="AZ35" s="9">
        <f t="shared" si="37"/>
        <v>1066.4648994999998</v>
      </c>
      <c r="BA35" s="9">
        <f t="shared" si="38"/>
        <v>512.30276814923707</v>
      </c>
      <c r="BB35" s="14">
        <f t="shared" si="39"/>
        <v>2490.5612152310573</v>
      </c>
    </row>
    <row r="36" spans="2:54">
      <c r="B36" s="13">
        <f t="shared" si="40"/>
        <v>0.20446778293570469</v>
      </c>
      <c r="C36" s="9">
        <f t="shared" si="9"/>
        <v>69.383358105898935</v>
      </c>
      <c r="D36" s="9" t="e">
        <f t="shared" si="10"/>
        <v>#DIV/0!</v>
      </c>
      <c r="E36" s="9">
        <f t="shared" si="11"/>
        <v>0</v>
      </c>
      <c r="F36" s="9">
        <f t="shared" si="12"/>
        <v>0.52592129621119432</v>
      </c>
      <c r="G36" s="9">
        <f t="shared" si="13"/>
        <v>1</v>
      </c>
      <c r="H36" s="9">
        <v>0.72499999999999998</v>
      </c>
      <c r="I36" s="9">
        <f t="shared" si="14"/>
        <v>1081.3804925000002</v>
      </c>
      <c r="J36" s="9">
        <f t="shared" si="15"/>
        <v>166.48931725132385</v>
      </c>
      <c r="K36" s="14">
        <f t="shared" si="16"/>
        <v>3040.3194647300438</v>
      </c>
      <c r="M36" s="13">
        <f t="shared" si="41"/>
        <v>0.2298192553044173</v>
      </c>
      <c r="N36" s="9">
        <f t="shared" si="17"/>
        <v>77.986035068573784</v>
      </c>
      <c r="O36" s="9">
        <f t="shared" si="18"/>
        <v>495.9691470513207</v>
      </c>
      <c r="P36" s="9">
        <f t="shared" si="19"/>
        <v>8.0580471751186611</v>
      </c>
      <c r="Q36" s="9">
        <f t="shared" si="20"/>
        <v>0.62443748504488594</v>
      </c>
      <c r="R36" s="9">
        <f t="shared" si="21"/>
        <v>1</v>
      </c>
      <c r="S36" s="9">
        <f t="shared" si="0"/>
        <v>1081.3804925000002</v>
      </c>
      <c r="T36" s="9">
        <f t="shared" si="1"/>
        <v>245.12442007468587</v>
      </c>
      <c r="U36" s="14">
        <f t="shared" si="2"/>
        <v>3123.5653098103498</v>
      </c>
      <c r="W36" s="13">
        <f t="shared" si="42"/>
        <v>0.25119153514516462</v>
      </c>
      <c r="X36" s="9">
        <f t="shared" si="22"/>
        <v>85.238427227569076</v>
      </c>
      <c r="Y36" s="9">
        <f t="shared" si="23"/>
        <v>246.87697846515763</v>
      </c>
      <c r="Z36" s="9">
        <f t="shared" si="24"/>
        <v>11.421334193985746</v>
      </c>
      <c r="AA36" s="9">
        <f t="shared" si="3"/>
        <v>0.69693219668896955</v>
      </c>
      <c r="AB36" s="9">
        <f t="shared" si="25"/>
        <v>1</v>
      </c>
      <c r="AC36" s="9">
        <f t="shared" si="4"/>
        <v>1081.3804925000002</v>
      </c>
      <c r="AD36" s="9">
        <f t="shared" si="5"/>
        <v>327.96623135460169</v>
      </c>
      <c r="AE36" s="14">
        <f t="shared" si="6"/>
        <v>3075.8399271440298</v>
      </c>
      <c r="AG36" s="13">
        <f t="shared" si="43"/>
        <v>0.27002089167648408</v>
      </c>
      <c r="AH36" s="9">
        <f t="shared" si="26"/>
        <v>91.627912985953813</v>
      </c>
      <c r="AI36" s="9">
        <f t="shared" si="27"/>
        <v>163.01489128025867</v>
      </c>
      <c r="AJ36" s="9">
        <f t="shared" si="28"/>
        <v>14.055409292902972</v>
      </c>
      <c r="AK36" s="9">
        <f t="shared" si="7"/>
        <v>0.75390358320900064</v>
      </c>
      <c r="AL36" s="9">
        <f t="shared" si="29"/>
        <v>1</v>
      </c>
      <c r="AM36" s="9">
        <v>0.72499999999999998</v>
      </c>
      <c r="AN36" s="9">
        <f t="shared" si="30"/>
        <v>1081.3804925000002</v>
      </c>
      <c r="AO36" s="9">
        <f t="shared" si="31"/>
        <v>414.00593964940578</v>
      </c>
      <c r="AP36" s="14">
        <f t="shared" si="32"/>
        <v>2928.8147526502526</v>
      </c>
      <c r="AS36" s="13">
        <f t="shared" si="44"/>
        <v>0.28704393119512484</v>
      </c>
      <c r="AT36" s="9">
        <f t="shared" si="33"/>
        <v>97.404449660898464</v>
      </c>
      <c r="AU36" s="9">
        <f t="shared" si="34"/>
        <v>120.89228865625003</v>
      </c>
      <c r="AV36" s="9">
        <f t="shared" si="35"/>
        <v>16.321416081142445</v>
      </c>
      <c r="AW36" s="9">
        <f t="shared" si="8"/>
        <v>0.80056214267003989</v>
      </c>
      <c r="AX36" s="9">
        <f t="shared" si="36"/>
        <v>1</v>
      </c>
      <c r="AY36" s="9">
        <v>0.72499999999999998</v>
      </c>
      <c r="AZ36" s="9">
        <f t="shared" si="37"/>
        <v>1081.3804925000002</v>
      </c>
      <c r="BA36" s="9">
        <f t="shared" si="38"/>
        <v>502.58614859379662</v>
      </c>
      <c r="BB36" s="14">
        <f t="shared" si="39"/>
        <v>2700.2099993785341</v>
      </c>
    </row>
    <row r="37" spans="2:54">
      <c r="B37" s="13">
        <f t="shared" si="40"/>
        <v>0.21828907161827651</v>
      </c>
      <c r="C37" s="9">
        <f t="shared" si="9"/>
        <v>74.073424229662976</v>
      </c>
      <c r="D37" s="9" t="e">
        <f t="shared" si="10"/>
        <v>#DIV/0!</v>
      </c>
      <c r="E37" s="9">
        <f t="shared" si="11"/>
        <v>0</v>
      </c>
      <c r="F37" s="9">
        <f t="shared" si="12"/>
        <v>0.46143076332591115</v>
      </c>
      <c r="G37" s="9">
        <f t="shared" si="13"/>
        <v>1</v>
      </c>
      <c r="H37" s="9">
        <v>0.72</v>
      </c>
      <c r="I37" s="9">
        <f t="shared" si="14"/>
        <v>1073.9226959999999</v>
      </c>
      <c r="J37" s="9">
        <f t="shared" si="15"/>
        <v>172.12309985799715</v>
      </c>
      <c r="K37" s="14">
        <f t="shared" si="16"/>
        <v>3199.3880900801432</v>
      </c>
      <c r="M37" s="13">
        <f t="shared" si="41"/>
        <v>0.24262648509224061</v>
      </c>
      <c r="N37" s="9">
        <f t="shared" si="17"/>
        <v>82.331994113830831</v>
      </c>
      <c r="O37" s="9">
        <f t="shared" si="18"/>
        <v>552.78754371130469</v>
      </c>
      <c r="P37" s="9">
        <f t="shared" si="19"/>
        <v>7.632696819102784</v>
      </c>
      <c r="Q37" s="9">
        <f t="shared" si="20"/>
        <v>0.56025453244714707</v>
      </c>
      <c r="R37" s="9">
        <f t="shared" si="21"/>
        <v>1</v>
      </c>
      <c r="S37" s="9">
        <f t="shared" si="0"/>
        <v>1073.9226959999999</v>
      </c>
      <c r="T37" s="9">
        <f t="shared" si="1"/>
        <v>247.18951919622606</v>
      </c>
      <c r="U37" s="14">
        <f t="shared" si="2"/>
        <v>3260.0815682087555</v>
      </c>
      <c r="W37" s="13">
        <f t="shared" si="42"/>
        <v>0.26314387373935805</v>
      </c>
      <c r="X37" s="9">
        <f t="shared" si="22"/>
        <v>89.294290586466303</v>
      </c>
      <c r="Y37" s="9">
        <f t="shared" si="23"/>
        <v>270.93001465648263</v>
      </c>
      <c r="Z37" s="9">
        <f t="shared" si="24"/>
        <v>10.902562270687355</v>
      </c>
      <c r="AA37" s="9">
        <f t="shared" si="3"/>
        <v>0.63505889198659482</v>
      </c>
      <c r="AB37" s="9">
        <f t="shared" si="25"/>
        <v>1</v>
      </c>
      <c r="AC37" s="9">
        <f t="shared" si="4"/>
        <v>1073.9226959999999</v>
      </c>
      <c r="AD37" s="9">
        <f t="shared" si="5"/>
        <v>326.75034482156093</v>
      </c>
      <c r="AE37" s="14">
        <f t="shared" si="6"/>
        <v>3195.5009408730753</v>
      </c>
      <c r="AG37" s="13">
        <f t="shared" si="43"/>
        <v>0.28122005600942473</v>
      </c>
      <c r="AH37" s="9">
        <f t="shared" si="26"/>
        <v>95.428196914515652</v>
      </c>
      <c r="AI37" s="9">
        <f t="shared" si="27"/>
        <v>176.81745092676226</v>
      </c>
      <c r="AJ37" s="9">
        <f t="shared" si="28"/>
        <v>13.495673829253519</v>
      </c>
      <c r="AK37" s="9">
        <f t="shared" si="7"/>
        <v>0.69505306183560356</v>
      </c>
      <c r="AL37" s="9">
        <f t="shared" si="29"/>
        <v>1</v>
      </c>
      <c r="AM37" s="9">
        <v>0.72</v>
      </c>
      <c r="AN37" s="9">
        <f t="shared" si="30"/>
        <v>1073.9226959999999</v>
      </c>
      <c r="AO37" s="9">
        <f t="shared" si="31"/>
        <v>409.86379331608498</v>
      </c>
      <c r="AP37" s="14">
        <f t="shared" si="32"/>
        <v>3035.1334237675442</v>
      </c>
      <c r="AS37" s="13">
        <f t="shared" si="44"/>
        <v>0.29756217394731987</v>
      </c>
      <c r="AT37" s="9">
        <f t="shared" si="33"/>
        <v>100.97367212246253</v>
      </c>
      <c r="AU37" s="9">
        <f t="shared" si="34"/>
        <v>129.91440445839152</v>
      </c>
      <c r="AV37" s="9">
        <f t="shared" si="35"/>
        <v>15.744485841240959</v>
      </c>
      <c r="AW37" s="9">
        <f t="shared" si="8"/>
        <v>0.74496581069983958</v>
      </c>
      <c r="AX37" s="9">
        <f t="shared" si="36"/>
        <v>1</v>
      </c>
      <c r="AY37" s="9">
        <v>0.72</v>
      </c>
      <c r="AZ37" s="9">
        <f t="shared" si="37"/>
        <v>1073.9226959999999</v>
      </c>
      <c r="BA37" s="9">
        <f t="shared" si="38"/>
        <v>495.87322754243644</v>
      </c>
      <c r="BB37" s="14">
        <f t="shared" si="39"/>
        <v>2795.5523065788148</v>
      </c>
    </row>
    <row r="38" spans="2:54">
      <c r="B38" s="13">
        <f t="shared" si="40"/>
        <v>0.23211036030084833</v>
      </c>
      <c r="C38" s="9">
        <f t="shared" si="9"/>
        <v>78.763490353427031</v>
      </c>
      <c r="D38" s="9" t="e">
        <f t="shared" si="10"/>
        <v>#DIV/0!</v>
      </c>
      <c r="E38" s="9">
        <f t="shared" si="11"/>
        <v>0</v>
      </c>
      <c r="F38" s="9">
        <f t="shared" si="12"/>
        <v>0.40811398907527796</v>
      </c>
      <c r="G38" s="9">
        <f t="shared" si="13"/>
        <v>1</v>
      </c>
      <c r="H38" s="9">
        <v>0.69499999999999995</v>
      </c>
      <c r="I38" s="9">
        <f t="shared" si="14"/>
        <v>1036.6337134999999</v>
      </c>
      <c r="J38" s="9">
        <f t="shared" si="15"/>
        <v>180.09210647660075</v>
      </c>
      <c r="K38" s="14">
        <f t="shared" si="16"/>
        <v>3231.2300803732196</v>
      </c>
      <c r="M38" s="13">
        <f t="shared" si="41"/>
        <v>0.25543371488006394</v>
      </c>
      <c r="N38" s="9">
        <f t="shared" si="17"/>
        <v>86.677953159087892</v>
      </c>
      <c r="O38" s="9">
        <f t="shared" si="18"/>
        <v>612.68644761256144</v>
      </c>
      <c r="P38" s="9">
        <f t="shared" si="19"/>
        <v>7.2499998751659325</v>
      </c>
      <c r="Q38" s="9">
        <f t="shared" si="20"/>
        <v>0.50548160164369593</v>
      </c>
      <c r="R38" s="9">
        <f t="shared" si="21"/>
        <v>1</v>
      </c>
      <c r="S38" s="9">
        <f t="shared" si="0"/>
        <v>1036.6337134999999</v>
      </c>
      <c r="T38" s="9">
        <f t="shared" si="1"/>
        <v>251.83747816020093</v>
      </c>
      <c r="U38" s="14">
        <f t="shared" si="2"/>
        <v>3258.0670980234304</v>
      </c>
      <c r="W38" s="13">
        <f t="shared" si="42"/>
        <v>0.27509621233355147</v>
      </c>
      <c r="X38" s="9">
        <f t="shared" si="22"/>
        <v>93.350153945363544</v>
      </c>
      <c r="Y38" s="9">
        <f t="shared" si="23"/>
        <v>296.10095962021995</v>
      </c>
      <c r="Z38" s="9">
        <f t="shared" si="24"/>
        <v>10.428869395390574</v>
      </c>
      <c r="AA38" s="9">
        <f t="shared" si="3"/>
        <v>0.58107381730318608</v>
      </c>
      <c r="AB38" s="9">
        <f t="shared" si="25"/>
        <v>1</v>
      </c>
      <c r="AC38" s="9">
        <f t="shared" si="4"/>
        <v>1036.6337134999999</v>
      </c>
      <c r="AD38" s="9">
        <f t="shared" si="5"/>
        <v>328.22911290128934</v>
      </c>
      <c r="AE38" s="14">
        <f t="shared" si="6"/>
        <v>3167.3122268278539</v>
      </c>
      <c r="AG38" s="13">
        <f t="shared" si="43"/>
        <v>0.29241922034236539</v>
      </c>
      <c r="AH38" s="9">
        <f t="shared" si="26"/>
        <v>99.228480843077506</v>
      </c>
      <c r="AI38" s="9">
        <f t="shared" si="27"/>
        <v>191.1808438507839</v>
      </c>
      <c r="AJ38" s="9">
        <f t="shared" si="28"/>
        <v>12.97881221933396</v>
      </c>
      <c r="AK38" s="9">
        <f t="shared" si="7"/>
        <v>0.64283381209748092</v>
      </c>
      <c r="AL38" s="9">
        <f t="shared" si="29"/>
        <v>1</v>
      </c>
      <c r="AM38" s="9">
        <v>0.69499999999999995</v>
      </c>
      <c r="AN38" s="9">
        <f t="shared" si="30"/>
        <v>1036.6337134999999</v>
      </c>
      <c r="AO38" s="9">
        <f t="shared" si="31"/>
        <v>408.43594256635157</v>
      </c>
      <c r="AP38" s="14">
        <f t="shared" si="32"/>
        <v>2985.5695958940892</v>
      </c>
      <c r="AS38" s="13">
        <f t="shared" si="44"/>
        <v>0.30808041669951491</v>
      </c>
      <c r="AT38" s="9">
        <f t="shared" si="33"/>
        <v>104.5428945840266</v>
      </c>
      <c r="AU38" s="9">
        <f t="shared" si="34"/>
        <v>139.26117237521532</v>
      </c>
      <c r="AV38" s="9">
        <f t="shared" si="35"/>
        <v>15.20694981132773</v>
      </c>
      <c r="AW38" s="9">
        <f t="shared" si="8"/>
        <v>0.69496606978268549</v>
      </c>
      <c r="AX38" s="9">
        <f t="shared" si="36"/>
        <v>1</v>
      </c>
      <c r="AY38" s="9">
        <v>0.69499999999999995</v>
      </c>
      <c r="AZ38" s="9">
        <f t="shared" si="37"/>
        <v>1036.6337134999999</v>
      </c>
      <c r="BA38" s="9">
        <f t="shared" si="38"/>
        <v>491.83140986456715</v>
      </c>
      <c r="BB38" s="14">
        <f t="shared" si="39"/>
        <v>2727.8967085318068</v>
      </c>
    </row>
    <row r="39" spans="2:54">
      <c r="B39" s="13">
        <f t="shared" si="40"/>
        <v>0.24593164898342015</v>
      </c>
      <c r="C39" s="9">
        <f t="shared" si="9"/>
        <v>83.453556477191071</v>
      </c>
      <c r="D39" s="9" t="e">
        <f t="shared" si="10"/>
        <v>#DIV/0!</v>
      </c>
      <c r="E39" s="9">
        <f t="shared" si="11"/>
        <v>0</v>
      </c>
      <c r="F39" s="9">
        <f t="shared" si="12"/>
        <v>0.36353119948841478</v>
      </c>
      <c r="G39" s="9">
        <f t="shared" si="13"/>
        <v>1</v>
      </c>
      <c r="H39" s="9">
        <v>0.69</v>
      </c>
      <c r="I39" s="9">
        <f t="shared" si="14"/>
        <v>1029.175917</v>
      </c>
      <c r="J39" s="9">
        <f t="shared" si="15"/>
        <v>190.08454407029072</v>
      </c>
      <c r="K39" s="14">
        <f t="shared" si="16"/>
        <v>3353.8881200219021</v>
      </c>
      <c r="M39" s="13">
        <f t="shared" si="41"/>
        <v>0.26824094466788728</v>
      </c>
      <c r="N39" s="9">
        <f t="shared" si="17"/>
        <v>91.023912204344938</v>
      </c>
      <c r="O39" s="9">
        <f t="shared" si="18"/>
        <v>675.66585875509031</v>
      </c>
      <c r="P39" s="9">
        <f t="shared" si="19"/>
        <v>6.9038468503997015</v>
      </c>
      <c r="Q39" s="9">
        <f t="shared" si="20"/>
        <v>0.45836521533766295</v>
      </c>
      <c r="R39" s="9">
        <f t="shared" si="21"/>
        <v>1</v>
      </c>
      <c r="S39" s="9">
        <f t="shared" si="0"/>
        <v>1029.175917</v>
      </c>
      <c r="T39" s="9">
        <f t="shared" si="1"/>
        <v>258.7321662319892</v>
      </c>
      <c r="U39" s="14">
        <f t="shared" si="2"/>
        <v>3358.8522486107263</v>
      </c>
      <c r="W39" s="13">
        <f t="shared" si="42"/>
        <v>0.28704855092774489</v>
      </c>
      <c r="X39" s="9">
        <f t="shared" si="22"/>
        <v>97.4060173042608</v>
      </c>
      <c r="Y39" s="9">
        <f t="shared" si="23"/>
        <v>322.38981335636953</v>
      </c>
      <c r="Z39" s="9">
        <f t="shared" si="24"/>
        <v>9.9946244644704869</v>
      </c>
      <c r="AA39" s="9">
        <f t="shared" si="3"/>
        <v>0.53369091635493648</v>
      </c>
      <c r="AB39" s="9">
        <f t="shared" si="25"/>
        <v>1</v>
      </c>
      <c r="AC39" s="9">
        <f t="shared" si="4"/>
        <v>1029.175917</v>
      </c>
      <c r="AD39" s="9">
        <f t="shared" si="5"/>
        <v>332.07383023085913</v>
      </c>
      <c r="AE39" s="14">
        <f t="shared" si="6"/>
        <v>3252.1954291755865</v>
      </c>
      <c r="AG39" s="13">
        <f t="shared" si="43"/>
        <v>0.30361838467530605</v>
      </c>
      <c r="AH39" s="9">
        <f t="shared" si="26"/>
        <v>103.02876477163937</v>
      </c>
      <c r="AI39" s="9">
        <f t="shared" si="27"/>
        <v>206.10507005232361</v>
      </c>
      <c r="AJ39" s="9">
        <f t="shared" si="28"/>
        <v>12.500080172043278</v>
      </c>
      <c r="AK39" s="9">
        <f t="shared" si="7"/>
        <v>0.59628572272100278</v>
      </c>
      <c r="AL39" s="9">
        <f t="shared" si="29"/>
        <v>1</v>
      </c>
      <c r="AM39" s="9">
        <v>0.69</v>
      </c>
      <c r="AN39" s="9">
        <f t="shared" si="30"/>
        <v>1029.175917</v>
      </c>
      <c r="AO39" s="9">
        <f t="shared" si="31"/>
        <v>409.41564176179213</v>
      </c>
      <c r="AP39" s="14">
        <f t="shared" si="32"/>
        <v>3058.2761275707317</v>
      </c>
      <c r="AS39" s="13">
        <f t="shared" si="44"/>
        <v>0.31859865945170995</v>
      </c>
      <c r="AT39" s="9">
        <f t="shared" si="33"/>
        <v>108.11211704559068</v>
      </c>
      <c r="AU39" s="9">
        <f t="shared" si="34"/>
        <v>148.93259240672145</v>
      </c>
      <c r="AV39" s="9">
        <f t="shared" si="35"/>
        <v>14.704906300186607</v>
      </c>
      <c r="AW39" s="9">
        <f t="shared" si="8"/>
        <v>0.64983619820858396</v>
      </c>
      <c r="AX39" s="9">
        <f t="shared" si="36"/>
        <v>1</v>
      </c>
      <c r="AY39" s="9">
        <v>0.69</v>
      </c>
      <c r="AZ39" s="9">
        <f t="shared" si="37"/>
        <v>1029.175917</v>
      </c>
      <c r="BA39" s="9">
        <f t="shared" si="38"/>
        <v>490.18207946098829</v>
      </c>
      <c r="BB39" s="14">
        <f t="shared" si="39"/>
        <v>2790.9537354095887</v>
      </c>
    </row>
    <row r="40" spans="2:54">
      <c r="B40" s="13">
        <f t="shared" si="40"/>
        <v>0.25975293766599195</v>
      </c>
      <c r="C40" s="9">
        <f t="shared" si="9"/>
        <v>88.143622600955098</v>
      </c>
      <c r="D40" s="9" t="e">
        <f t="shared" si="10"/>
        <v>#DIV/0!</v>
      </c>
      <c r="E40" s="9">
        <f t="shared" si="11"/>
        <v>0</v>
      </c>
      <c r="F40" s="9">
        <f t="shared" si="12"/>
        <v>0.32587391422992901</v>
      </c>
      <c r="G40" s="9">
        <f t="shared" si="13"/>
        <v>1</v>
      </c>
      <c r="H40" s="9">
        <v>0.67</v>
      </c>
      <c r="I40" s="9">
        <f t="shared" si="14"/>
        <v>999.34473100000002</v>
      </c>
      <c r="J40" s="9">
        <f t="shared" si="15"/>
        <v>201.86929632150063</v>
      </c>
      <c r="K40" s="14">
        <f t="shared" si="16"/>
        <v>3366.6864833148579</v>
      </c>
      <c r="M40" s="13">
        <f t="shared" si="41"/>
        <v>0.28104817445571062</v>
      </c>
      <c r="N40" s="9">
        <f t="shared" si="17"/>
        <v>95.369871249601999</v>
      </c>
      <c r="O40" s="9">
        <f t="shared" si="18"/>
        <v>741.72577713889189</v>
      </c>
      <c r="P40" s="9">
        <f t="shared" si="19"/>
        <v>6.589241878478977</v>
      </c>
      <c r="Q40" s="9">
        <f t="shared" si="20"/>
        <v>0.41754208413683153</v>
      </c>
      <c r="R40" s="9">
        <f t="shared" si="21"/>
        <v>1</v>
      </c>
      <c r="S40" s="9">
        <f t="shared" si="0"/>
        <v>999.34473100000002</v>
      </c>
      <c r="T40" s="9">
        <f t="shared" si="1"/>
        <v>267.61224928098943</v>
      </c>
      <c r="U40" s="14">
        <f t="shared" si="2"/>
        <v>3342.3967167985597</v>
      </c>
      <c r="W40" s="13">
        <f t="shared" si="42"/>
        <v>0.29900088952193832</v>
      </c>
      <c r="X40" s="9">
        <f t="shared" si="22"/>
        <v>101.46188066315804</v>
      </c>
      <c r="Y40" s="9">
        <f t="shared" si="23"/>
        <v>349.79657586493113</v>
      </c>
      <c r="Z40" s="9">
        <f t="shared" si="24"/>
        <v>9.5950967710507129</v>
      </c>
      <c r="AA40" s="9">
        <f t="shared" si="3"/>
        <v>0.49187592671031427</v>
      </c>
      <c r="AB40" s="9">
        <f t="shared" si="25"/>
        <v>1</v>
      </c>
      <c r="AC40" s="9">
        <f t="shared" si="4"/>
        <v>999.34473100000002</v>
      </c>
      <c r="AD40" s="9">
        <f t="shared" si="5"/>
        <v>338.02014787609039</v>
      </c>
      <c r="AE40" s="14">
        <f t="shared" si="6"/>
        <v>3213.7496375524865</v>
      </c>
      <c r="AG40" s="13">
        <f t="shared" si="43"/>
        <v>0.31481754900824671</v>
      </c>
      <c r="AH40" s="9">
        <f t="shared" si="26"/>
        <v>106.82904870020121</v>
      </c>
      <c r="AI40" s="9">
        <f t="shared" si="27"/>
        <v>221.59012953138122</v>
      </c>
      <c r="AJ40" s="9">
        <f t="shared" si="28"/>
        <v>12.055408480574203</v>
      </c>
      <c r="AK40" s="9">
        <f t="shared" si="7"/>
        <v>0.55461635819481814</v>
      </c>
      <c r="AL40" s="9">
        <f t="shared" si="29"/>
        <v>1</v>
      </c>
      <c r="AM40" s="9">
        <v>0.67</v>
      </c>
      <c r="AN40" s="9">
        <f t="shared" si="30"/>
        <v>999.34473100000002</v>
      </c>
      <c r="AO40" s="9">
        <f t="shared" si="31"/>
        <v>412.54971593872517</v>
      </c>
      <c r="AP40" s="14">
        <f t="shared" si="32"/>
        <v>3002.4116922915223</v>
      </c>
      <c r="AS40" s="13">
        <f t="shared" si="44"/>
        <v>0.32911690220390499</v>
      </c>
      <c r="AT40" s="9">
        <f t="shared" si="33"/>
        <v>111.68133950715475</v>
      </c>
      <c r="AU40" s="9">
        <f t="shared" si="34"/>
        <v>158.92866455290982</v>
      </c>
      <c r="AV40" s="9">
        <f t="shared" si="35"/>
        <v>14.234952392994629</v>
      </c>
      <c r="AW40" s="9">
        <f t="shared" si="8"/>
        <v>0.6089637128153953</v>
      </c>
      <c r="AX40" s="9">
        <f t="shared" si="36"/>
        <v>1</v>
      </c>
      <c r="AY40" s="9">
        <v>0.67</v>
      </c>
      <c r="AZ40" s="9">
        <f t="shared" si="37"/>
        <v>999.34473100000002</v>
      </c>
      <c r="BA40" s="9">
        <f t="shared" si="38"/>
        <v>490.69041787627913</v>
      </c>
      <c r="BB40" s="14">
        <f t="shared" si="39"/>
        <v>2720.8074714901654</v>
      </c>
    </row>
    <row r="41" spans="2:54">
      <c r="B41" s="13">
        <f t="shared" si="40"/>
        <v>0.27357422634856376</v>
      </c>
      <c r="C41" s="9">
        <f t="shared" si="9"/>
        <v>92.833688724719138</v>
      </c>
      <c r="D41" s="9" t="e">
        <f t="shared" si="10"/>
        <v>#DIV/0!</v>
      </c>
      <c r="E41" s="9">
        <f t="shared" si="11"/>
        <v>0</v>
      </c>
      <c r="F41" s="9">
        <f t="shared" si="12"/>
        <v>0.29377861123397475</v>
      </c>
      <c r="G41" s="9">
        <f t="shared" si="13"/>
        <v>1</v>
      </c>
      <c r="H41" s="9">
        <v>0.65</v>
      </c>
      <c r="I41" s="9">
        <f t="shared" si="14"/>
        <v>969.51354500000002</v>
      </c>
      <c r="J41" s="9">
        <f t="shared" si="15"/>
        <v>215.27211074176731</v>
      </c>
      <c r="K41" s="14">
        <f t="shared" si="16"/>
        <v>3353.5938143578401</v>
      </c>
      <c r="M41" s="13">
        <f t="shared" si="41"/>
        <v>0.29385540424353396</v>
      </c>
      <c r="N41" s="9">
        <f t="shared" si="17"/>
        <v>99.71583029485906</v>
      </c>
      <c r="O41" s="9">
        <f t="shared" si="18"/>
        <v>810.86620276396582</v>
      </c>
      <c r="P41" s="9">
        <f t="shared" si="19"/>
        <v>6.3020600412673318</v>
      </c>
      <c r="Q41" s="9">
        <f t="shared" si="20"/>
        <v>0.38193937025481711</v>
      </c>
      <c r="R41" s="9">
        <f t="shared" si="21"/>
        <v>1</v>
      </c>
      <c r="S41" s="9">
        <f t="shared" si="0"/>
        <v>969.51354500000002</v>
      </c>
      <c r="T41" s="9">
        <f t="shared" si="1"/>
        <v>278.27207095002467</v>
      </c>
      <c r="U41" s="14">
        <f t="shared" si="2"/>
        <v>3301.325627868247</v>
      </c>
      <c r="W41" s="13">
        <f t="shared" si="42"/>
        <v>0.31095322811613174</v>
      </c>
      <c r="X41" s="9">
        <f t="shared" si="22"/>
        <v>105.51774402205528</v>
      </c>
      <c r="Y41" s="9">
        <f t="shared" si="23"/>
        <v>378.32124714590498</v>
      </c>
      <c r="Z41" s="9">
        <f t="shared" si="24"/>
        <v>9.2262829589335436</v>
      </c>
      <c r="AA41" s="9">
        <f t="shared" si="3"/>
        <v>0.45478945793203551</v>
      </c>
      <c r="AB41" s="9">
        <f t="shared" si="25"/>
        <v>1</v>
      </c>
      <c r="AC41" s="9">
        <f t="shared" si="4"/>
        <v>969.51354500000002</v>
      </c>
      <c r="AD41" s="9">
        <f t="shared" si="5"/>
        <v>345.85352457483174</v>
      </c>
      <c r="AE41" s="14">
        <f t="shared" si="6"/>
        <v>3151.8668885191041</v>
      </c>
      <c r="AG41" s="13">
        <f t="shared" si="43"/>
        <v>0.32601671334118737</v>
      </c>
      <c r="AH41" s="9">
        <f t="shared" si="26"/>
        <v>110.62933262876308</v>
      </c>
      <c r="AI41" s="9">
        <f t="shared" si="27"/>
        <v>237.63602228795696</v>
      </c>
      <c r="AJ41" s="9">
        <f t="shared" si="28"/>
        <v>11.641287071610163</v>
      </c>
      <c r="AK41" s="9">
        <f t="shared" si="7"/>
        <v>0.5171670080544053</v>
      </c>
      <c r="AL41" s="9">
        <f t="shared" si="29"/>
        <v>1</v>
      </c>
      <c r="AM41" s="9">
        <v>0.65</v>
      </c>
      <c r="AN41" s="9">
        <f t="shared" si="30"/>
        <v>969.51354500000002</v>
      </c>
      <c r="AO41" s="9">
        <f t="shared" si="31"/>
        <v>417.62771390517054</v>
      </c>
      <c r="AP41" s="14">
        <f t="shared" si="32"/>
        <v>2924.2466607894726</v>
      </c>
      <c r="AS41" s="13">
        <f t="shared" si="44"/>
        <v>0.33963514495610003</v>
      </c>
      <c r="AT41" s="9">
        <f t="shared" si="33"/>
        <v>115.25056196871883</v>
      </c>
      <c r="AU41" s="9">
        <f t="shared" si="34"/>
        <v>169.24938881378057</v>
      </c>
      <c r="AV41" s="9">
        <f t="shared" si="35"/>
        <v>13.794106717689706</v>
      </c>
      <c r="AW41" s="9">
        <f t="shared" si="8"/>
        <v>0.57182947789204863</v>
      </c>
      <c r="AX41" s="9">
        <f t="shared" si="36"/>
        <v>1</v>
      </c>
      <c r="AY41" s="9">
        <v>0.65</v>
      </c>
      <c r="AZ41" s="9">
        <f t="shared" si="37"/>
        <v>969.51354500000002</v>
      </c>
      <c r="BA41" s="9">
        <f t="shared" si="38"/>
        <v>493.15739491114164</v>
      </c>
      <c r="BB41" s="14">
        <f t="shared" si="39"/>
        <v>2629.4765022413308</v>
      </c>
    </row>
    <row r="42" spans="2:54">
      <c r="B42" s="13">
        <f t="shared" si="40"/>
        <v>0.28739551503113558</v>
      </c>
      <c r="C42" s="9">
        <f t="shared" si="9"/>
        <v>97.523754848483193</v>
      </c>
      <c r="D42" s="9" t="e">
        <f t="shared" si="10"/>
        <v>#DIV/0!</v>
      </c>
      <c r="E42" s="9">
        <f t="shared" si="11"/>
        <v>0</v>
      </c>
      <c r="F42" s="9">
        <f t="shared" si="12"/>
        <v>0.26620153784986933</v>
      </c>
      <c r="G42" s="9">
        <f t="shared" si="13"/>
        <v>1</v>
      </c>
      <c r="H42" s="9">
        <v>0.64500000000000002</v>
      </c>
      <c r="I42" s="9">
        <f t="shared" si="14"/>
        <v>962.05574850000005</v>
      </c>
      <c r="J42" s="9">
        <f t="shared" si="15"/>
        <v>230.15960005318956</v>
      </c>
      <c r="K42" s="14">
        <f t="shared" si="16"/>
        <v>3418.647650040989</v>
      </c>
      <c r="M42" s="13">
        <f t="shared" si="41"/>
        <v>0.3066626340313573</v>
      </c>
      <c r="N42" s="9">
        <f t="shared" si="17"/>
        <v>104.06178934011612</v>
      </c>
      <c r="O42" s="9">
        <f t="shared" si="18"/>
        <v>883.08713563031222</v>
      </c>
      <c r="P42" s="9">
        <f t="shared" si="19"/>
        <v>6.0388655006604797</v>
      </c>
      <c r="Q42" s="9">
        <f t="shared" si="20"/>
        <v>0.35070347460506401</v>
      </c>
      <c r="R42" s="9">
        <f t="shared" si="21"/>
        <v>1</v>
      </c>
      <c r="S42" s="9">
        <f t="shared" si="0"/>
        <v>962.05574850000005</v>
      </c>
      <c r="T42" s="9">
        <f t="shared" si="1"/>
        <v>290.54800158244166</v>
      </c>
      <c r="U42" s="14">
        <f t="shared" si="2"/>
        <v>3346.8541151786003</v>
      </c>
      <c r="W42" s="13">
        <f t="shared" si="42"/>
        <v>0.32290556671032516</v>
      </c>
      <c r="X42" s="9">
        <f t="shared" si="22"/>
        <v>109.57360738095252</v>
      </c>
      <c r="Y42" s="9">
        <f t="shared" si="23"/>
        <v>407.96382719929102</v>
      </c>
      <c r="Z42" s="9">
        <f t="shared" si="24"/>
        <v>8.8847724082964987</v>
      </c>
      <c r="AA42" s="9">
        <f t="shared" si="3"/>
        <v>0.42174453577132431</v>
      </c>
      <c r="AB42" s="9">
        <f t="shared" si="25"/>
        <v>1</v>
      </c>
      <c r="AC42" s="9">
        <f t="shared" si="4"/>
        <v>962.05574850000005</v>
      </c>
      <c r="AD42" s="9">
        <f t="shared" si="5"/>
        <v>355.3983753837108</v>
      </c>
      <c r="AE42" s="14">
        <f t="shared" si="6"/>
        <v>3183.7862720369121</v>
      </c>
      <c r="AG42" s="13">
        <f t="shared" si="43"/>
        <v>0.33721587767412803</v>
      </c>
      <c r="AH42" s="9">
        <f t="shared" si="26"/>
        <v>114.42961655732493</v>
      </c>
      <c r="AI42" s="9">
        <f t="shared" si="27"/>
        <v>254.2427483220506</v>
      </c>
      <c r="AJ42" s="9">
        <f t="shared" si="28"/>
        <v>11.254672159343528</v>
      </c>
      <c r="AK42" s="9">
        <f t="shared" si="7"/>
        <v>0.48338649367075659</v>
      </c>
      <c r="AL42" s="9">
        <f t="shared" si="29"/>
        <v>1</v>
      </c>
      <c r="AM42" s="9">
        <v>0.64500000000000002</v>
      </c>
      <c r="AN42" s="9">
        <f t="shared" si="30"/>
        <v>962.05574850000005</v>
      </c>
      <c r="AO42" s="9">
        <f t="shared" si="31"/>
        <v>424.47353978028724</v>
      </c>
      <c r="AP42" s="14">
        <f t="shared" si="32"/>
        <v>2946.3056311587134</v>
      </c>
      <c r="AS42" s="13">
        <f t="shared" si="44"/>
        <v>0.35015338770829507</v>
      </c>
      <c r="AT42" s="9">
        <f t="shared" si="33"/>
        <v>118.81978443028289</v>
      </c>
      <c r="AU42" s="9">
        <f t="shared" si="34"/>
        <v>179.89476518933353</v>
      </c>
      <c r="AV42" s="9">
        <f t="shared" si="35"/>
        <v>13.379746131445099</v>
      </c>
      <c r="AW42" s="9">
        <f t="shared" si="8"/>
        <v>0.53799113908107732</v>
      </c>
      <c r="AX42" s="9">
        <f t="shared" si="36"/>
        <v>1</v>
      </c>
      <c r="AY42" s="9">
        <v>0.64500000000000002</v>
      </c>
      <c r="AZ42" s="9">
        <f t="shared" si="37"/>
        <v>962.05574850000005</v>
      </c>
      <c r="BA42" s="9">
        <f t="shared" si="38"/>
        <v>497.41341738589358</v>
      </c>
      <c r="BB42" s="14">
        <f t="shared" si="39"/>
        <v>2644.2468733912988</v>
      </c>
    </row>
    <row r="43" spans="2:54">
      <c r="B43" s="13">
        <f t="shared" si="40"/>
        <v>0.3012168037137074</v>
      </c>
      <c r="C43" s="9">
        <f t="shared" si="9"/>
        <v>102.21382097224725</v>
      </c>
      <c r="D43" s="9" t="e">
        <f t="shared" si="10"/>
        <v>#DIV/0!</v>
      </c>
      <c r="E43" s="9">
        <f t="shared" si="11"/>
        <v>0</v>
      </c>
      <c r="F43" s="9">
        <f t="shared" si="12"/>
        <v>0.24233276708565887</v>
      </c>
      <c r="G43" s="9">
        <f t="shared" si="13"/>
        <v>1</v>
      </c>
      <c r="H43" s="9">
        <v>0.63800000000000001</v>
      </c>
      <c r="I43" s="9">
        <f t="shared" si="14"/>
        <v>951.61483340000007</v>
      </c>
      <c r="J43" s="9">
        <f t="shared" si="15"/>
        <v>246.42825893131621</v>
      </c>
      <c r="K43" s="14">
        <f t="shared" si="16"/>
        <v>3452.2967926688484</v>
      </c>
      <c r="M43" s="13">
        <f t="shared" si="41"/>
        <v>0.31946986381918063</v>
      </c>
      <c r="N43" s="9">
        <f t="shared" si="17"/>
        <v>108.40774838537318</v>
      </c>
      <c r="O43" s="9">
        <f t="shared" si="18"/>
        <v>958.38857573793109</v>
      </c>
      <c r="P43" s="9">
        <f t="shared" si="19"/>
        <v>5.7967733759131752</v>
      </c>
      <c r="Q43" s="9">
        <f t="shared" si="20"/>
        <v>0.32314839166996817</v>
      </c>
      <c r="R43" s="9">
        <f t="shared" si="21"/>
        <v>1</v>
      </c>
      <c r="S43" s="9">
        <f t="shared" si="0"/>
        <v>951.61483340000007</v>
      </c>
      <c r="T43" s="9">
        <f t="shared" si="1"/>
        <v>304.30853817047523</v>
      </c>
      <c r="U43" s="14">
        <f t="shared" si="2"/>
        <v>3360.9698824410602</v>
      </c>
      <c r="W43" s="13">
        <f t="shared" si="42"/>
        <v>0.33485790530451859</v>
      </c>
      <c r="X43" s="9">
        <f t="shared" si="22"/>
        <v>113.62947073984975</v>
      </c>
      <c r="Y43" s="9">
        <f t="shared" si="23"/>
        <v>438.72431602508902</v>
      </c>
      <c r="Z43" s="9">
        <f t="shared" si="24"/>
        <v>8.5676414507348593</v>
      </c>
      <c r="AA43" s="9">
        <f t="shared" si="3"/>
        <v>0.39217455843915078</v>
      </c>
      <c r="AB43" s="9">
        <f t="shared" si="25"/>
        <v>1</v>
      </c>
      <c r="AC43" s="9">
        <f t="shared" si="4"/>
        <v>951.61483340000007</v>
      </c>
      <c r="AD43" s="9">
        <f t="shared" si="5"/>
        <v>366.50988156575312</v>
      </c>
      <c r="AE43" s="14">
        <f t="shared" si="6"/>
        <v>3184.3384679287492</v>
      </c>
      <c r="AG43" s="13">
        <f t="shared" si="43"/>
        <v>0.34841504200706869</v>
      </c>
      <c r="AH43" s="9">
        <f t="shared" si="26"/>
        <v>118.22990048588679</v>
      </c>
      <c r="AI43" s="9">
        <f t="shared" si="27"/>
        <v>271.41030763366228</v>
      </c>
      <c r="AJ43" s="9">
        <f t="shared" si="28"/>
        <v>10.892911305679515</v>
      </c>
      <c r="AK43" s="9">
        <f t="shared" si="7"/>
        <v>0.45281077098403472</v>
      </c>
      <c r="AL43" s="9">
        <f t="shared" si="29"/>
        <v>1</v>
      </c>
      <c r="AM43" s="9">
        <v>0.63800000000000001</v>
      </c>
      <c r="AN43" s="9">
        <f t="shared" si="30"/>
        <v>951.61483340000007</v>
      </c>
      <c r="AO43" s="9">
        <f t="shared" si="31"/>
        <v>432.93893627838742</v>
      </c>
      <c r="AP43" s="14">
        <f t="shared" si="32"/>
        <v>2937.0940715518282</v>
      </c>
      <c r="AS43" s="13">
        <f t="shared" si="44"/>
        <v>0.36067163046049011</v>
      </c>
      <c r="AT43" s="9">
        <f t="shared" si="33"/>
        <v>122.38900689184696</v>
      </c>
      <c r="AU43" s="9">
        <f t="shared" si="34"/>
        <v>190.86479367956883</v>
      </c>
      <c r="AV43" s="9">
        <f t="shared" si="35"/>
        <v>12.989553485592687</v>
      </c>
      <c r="AW43" s="9">
        <f t="shared" si="8"/>
        <v>0.50706988844371936</v>
      </c>
      <c r="AX43" s="9">
        <f t="shared" si="36"/>
        <v>1</v>
      </c>
      <c r="AY43" s="9">
        <v>0.63800000000000001</v>
      </c>
      <c r="AZ43" s="9">
        <f t="shared" si="37"/>
        <v>951.61483340000007</v>
      </c>
      <c r="BA43" s="9">
        <f t="shared" si="38"/>
        <v>503.31325503041563</v>
      </c>
      <c r="BB43" s="14">
        <f t="shared" si="39"/>
        <v>2627.8897716679567</v>
      </c>
    </row>
    <row r="44" spans="2:54">
      <c r="B44" s="13">
        <f t="shared" si="40"/>
        <v>0.31503809239627922</v>
      </c>
      <c r="C44" s="9">
        <f t="shared" si="9"/>
        <v>106.90388709601129</v>
      </c>
      <c r="D44" s="9" t="e">
        <f t="shared" si="10"/>
        <v>#DIV/0!</v>
      </c>
      <c r="E44" s="9">
        <f t="shared" si="11"/>
        <v>0</v>
      </c>
      <c r="F44" s="9">
        <f t="shared" si="12"/>
        <v>0.22153604328580692</v>
      </c>
      <c r="G44" s="9">
        <f t="shared" si="13"/>
        <v>1</v>
      </c>
      <c r="H44" s="9">
        <v>0.63200000000000001</v>
      </c>
      <c r="I44" s="9">
        <f t="shared" si="14"/>
        <v>942.66547760000003</v>
      </c>
      <c r="J44" s="9">
        <f t="shared" si="15"/>
        <v>263.99677653120165</v>
      </c>
      <c r="K44" s="14">
        <f t="shared" si="16"/>
        <v>3474.9277829499515</v>
      </c>
      <c r="M44" s="13">
        <f t="shared" si="41"/>
        <v>0.33227709360700397</v>
      </c>
      <c r="N44" s="9">
        <f t="shared" si="17"/>
        <v>112.75370743063024</v>
      </c>
      <c r="O44" s="9">
        <f t="shared" si="18"/>
        <v>1036.7705230868225</v>
      </c>
      <c r="P44" s="9">
        <f t="shared" si="19"/>
        <v>5.5733435636220401</v>
      </c>
      <c r="Q44" s="9">
        <f t="shared" si="20"/>
        <v>0.29871772002399855</v>
      </c>
      <c r="R44" s="9">
        <f t="shared" si="21"/>
        <v>1</v>
      </c>
      <c r="S44" s="9">
        <f t="shared" si="0"/>
        <v>942.66547760000003</v>
      </c>
      <c r="T44" s="9">
        <f t="shared" si="1"/>
        <v>319.44702200788379</v>
      </c>
      <c r="U44" s="14">
        <f t="shared" si="2"/>
        <v>3365.6240496198384</v>
      </c>
      <c r="W44" s="13">
        <f t="shared" si="42"/>
        <v>0.34681024389871201</v>
      </c>
      <c r="X44" s="9">
        <f t="shared" si="22"/>
        <v>117.68533409874699</v>
      </c>
      <c r="Y44" s="9">
        <f t="shared" si="23"/>
        <v>470.60271362329939</v>
      </c>
      <c r="Z44" s="9">
        <f t="shared" si="24"/>
        <v>8.2723694587035705</v>
      </c>
      <c r="AA44" s="9">
        <f t="shared" si="3"/>
        <v>0.36560884570543045</v>
      </c>
      <c r="AB44" s="9">
        <f t="shared" si="25"/>
        <v>1</v>
      </c>
      <c r="AC44" s="9">
        <f t="shared" si="4"/>
        <v>942.66547760000003</v>
      </c>
      <c r="AD44" s="9">
        <f t="shared" si="5"/>
        <v>379.06774114211009</v>
      </c>
      <c r="AE44" s="14">
        <f t="shared" si="6"/>
        <v>3176.7720325087807</v>
      </c>
      <c r="AG44" s="13">
        <f t="shared" si="43"/>
        <v>0.35961420634000935</v>
      </c>
      <c r="AH44" s="9">
        <f t="shared" si="26"/>
        <v>122.03018441444864</v>
      </c>
      <c r="AI44" s="9">
        <f t="shared" si="27"/>
        <v>289.13870022279195</v>
      </c>
      <c r="AJ44" s="9">
        <f t="shared" si="28"/>
        <v>10.553682483164335</v>
      </c>
      <c r="AK44" s="9">
        <f t="shared" si="7"/>
        <v>0.42504690848342208</v>
      </c>
      <c r="AL44" s="9">
        <f t="shared" si="29"/>
        <v>1</v>
      </c>
      <c r="AM44" s="9">
        <v>0.63200000000000001</v>
      </c>
      <c r="AN44" s="9">
        <f t="shared" si="30"/>
        <v>942.66547760000003</v>
      </c>
      <c r="AO44" s="9">
        <f t="shared" si="31"/>
        <v>442.89836583893077</v>
      </c>
      <c r="AP44" s="14">
        <f t="shared" si="32"/>
        <v>2920.9855361648961</v>
      </c>
      <c r="AS44" s="13">
        <f t="shared" si="44"/>
        <v>0.37118987321268515</v>
      </c>
      <c r="AT44" s="9">
        <f t="shared" si="33"/>
        <v>125.95822935341104</v>
      </c>
      <c r="AU44" s="9">
        <f t="shared" si="34"/>
        <v>202.15947428448646</v>
      </c>
      <c r="AV44" s="9">
        <f t="shared" si="35"/>
        <v>12.621474271519407</v>
      </c>
      <c r="AW44" s="9">
        <f t="shared" si="8"/>
        <v>0.47873981658033737</v>
      </c>
      <c r="AX44" s="9">
        <f t="shared" si="36"/>
        <v>1</v>
      </c>
      <c r="AY44" s="9">
        <v>0.63200000000000001</v>
      </c>
      <c r="AZ44" s="9">
        <f t="shared" si="37"/>
        <v>942.66547760000003</v>
      </c>
      <c r="BA44" s="9">
        <f t="shared" si="38"/>
        <v>510.73195821905199</v>
      </c>
      <c r="BB44" s="14">
        <f t="shared" si="39"/>
        <v>2605.7810458269378</v>
      </c>
    </row>
    <row r="45" spans="2:54">
      <c r="B45" s="13">
        <f t="shared" si="40"/>
        <v>0.32885938107885104</v>
      </c>
      <c r="C45" s="9">
        <f t="shared" si="9"/>
        <v>111.59395321977533</v>
      </c>
      <c r="D45" s="9" t="e">
        <f t="shared" si="10"/>
        <v>#DIV/0!</v>
      </c>
      <c r="E45" s="9">
        <f t="shared" si="11"/>
        <v>0</v>
      </c>
      <c r="F45" s="9">
        <f t="shared" si="12"/>
        <v>0.20330593771440689</v>
      </c>
      <c r="G45" s="9">
        <f t="shared" si="13"/>
        <v>1</v>
      </c>
      <c r="H45" s="9">
        <v>0.62</v>
      </c>
      <c r="I45" s="9">
        <f t="shared" si="14"/>
        <v>924.76676599999996</v>
      </c>
      <c r="J45" s="9">
        <f t="shared" si="15"/>
        <v>282.80056114789392</v>
      </c>
      <c r="K45" s="14">
        <f t="shared" si="16"/>
        <v>3431.2099657519889</v>
      </c>
      <c r="M45" s="13">
        <f t="shared" si="41"/>
        <v>0.34508432339482731</v>
      </c>
      <c r="N45" s="9">
        <f t="shared" si="17"/>
        <v>117.0996664758873</v>
      </c>
      <c r="O45" s="9">
        <f t="shared" si="18"/>
        <v>1118.2329776769864</v>
      </c>
      <c r="P45" s="9">
        <f t="shared" si="19"/>
        <v>5.3664982018751219</v>
      </c>
      <c r="Q45" s="9">
        <f t="shared" si="20"/>
        <v>0.27695635259117229</v>
      </c>
      <c r="R45" s="9">
        <f t="shared" si="21"/>
        <v>1</v>
      </c>
      <c r="S45" s="9">
        <f t="shared" si="0"/>
        <v>924.76676599999996</v>
      </c>
      <c r="T45" s="9">
        <f t="shared" si="1"/>
        <v>335.87621188769293</v>
      </c>
      <c r="U45" s="14">
        <f t="shared" si="2"/>
        <v>3302.8185277578987</v>
      </c>
      <c r="W45" s="13">
        <f t="shared" si="42"/>
        <v>0.35876258249290544</v>
      </c>
      <c r="X45" s="9">
        <f t="shared" si="22"/>
        <v>121.74119745764423</v>
      </c>
      <c r="Y45" s="9">
        <f t="shared" si="23"/>
        <v>503.5990199939219</v>
      </c>
      <c r="Z45" s="9">
        <f t="shared" si="24"/>
        <v>7.9967717080695699</v>
      </c>
      <c r="AA45" s="9">
        <f t="shared" si="3"/>
        <v>0.34165379216928254</v>
      </c>
      <c r="AB45" s="9">
        <f t="shared" si="25"/>
        <v>1</v>
      </c>
      <c r="AC45" s="9">
        <f t="shared" si="4"/>
        <v>924.76676599999996</v>
      </c>
      <c r="AD45" s="9">
        <f t="shared" si="5"/>
        <v>392.97135182361586</v>
      </c>
      <c r="AE45" s="14">
        <f t="shared" si="6"/>
        <v>3100.8204745635226</v>
      </c>
      <c r="AG45" s="13">
        <f t="shared" si="43"/>
        <v>0.37081337067295</v>
      </c>
      <c r="AH45" s="9">
        <f t="shared" si="26"/>
        <v>125.83046834301049</v>
      </c>
      <c r="AI45" s="9">
        <f t="shared" si="27"/>
        <v>307.42792608943961</v>
      </c>
      <c r="AJ45" s="9">
        <f t="shared" si="28"/>
        <v>10.234944180302874</v>
      </c>
      <c r="AK45" s="9">
        <f t="shared" si="7"/>
        <v>0.39976039983062001</v>
      </c>
      <c r="AL45" s="9">
        <f t="shared" si="29"/>
        <v>1</v>
      </c>
      <c r="AM45" s="9">
        <v>0.62</v>
      </c>
      <c r="AN45" s="9">
        <f t="shared" si="30"/>
        <v>924.76676599999996</v>
      </c>
      <c r="AO45" s="9">
        <f t="shared" si="31"/>
        <v>454.24495714073521</v>
      </c>
      <c r="AP45" s="14">
        <f t="shared" si="32"/>
        <v>2835.6983913999725</v>
      </c>
      <c r="AS45" s="13">
        <f t="shared" si="44"/>
        <v>0.38170811596488019</v>
      </c>
      <c r="AT45" s="9">
        <f t="shared" si="33"/>
        <v>129.52745181497511</v>
      </c>
      <c r="AU45" s="9">
        <f t="shared" si="34"/>
        <v>213.77880700408636</v>
      </c>
      <c r="AV45" s="9">
        <f t="shared" si="35"/>
        <v>12.273680434485458</v>
      </c>
      <c r="AW45" s="9">
        <f t="shared" si="8"/>
        <v>0.45271928960237157</v>
      </c>
      <c r="AX45" s="9">
        <f t="shared" si="36"/>
        <v>1</v>
      </c>
      <c r="AY45" s="9">
        <v>0.62</v>
      </c>
      <c r="AZ45" s="9">
        <f t="shared" si="37"/>
        <v>924.76676599999996</v>
      </c>
      <c r="BA45" s="9">
        <f t="shared" si="38"/>
        <v>519.56155200850003</v>
      </c>
      <c r="BB45" s="14">
        <f t="shared" si="39"/>
        <v>2513.8034192798764</v>
      </c>
    </row>
    <row r="46" spans="2:54">
      <c r="B46" s="13">
        <f t="shared" si="40"/>
        <v>0.34268066976142286</v>
      </c>
      <c r="C46" s="9">
        <f t="shared" si="9"/>
        <v>116.28401934353937</v>
      </c>
      <c r="D46" s="9" t="e">
        <f t="shared" si="10"/>
        <v>#DIV/0!</v>
      </c>
      <c r="E46" s="9">
        <f t="shared" si="11"/>
        <v>0</v>
      </c>
      <c r="F46" s="9">
        <f t="shared" si="12"/>
        <v>0.18723684687072376</v>
      </c>
      <c r="G46" s="9">
        <f t="shared" si="13"/>
        <v>1</v>
      </c>
      <c r="H46" s="9">
        <v>0.6</v>
      </c>
      <c r="I46" s="9">
        <f t="shared" si="14"/>
        <v>894.93557999999996</v>
      </c>
      <c r="J46" s="9">
        <f t="shared" si="15"/>
        <v>302.78777832920275</v>
      </c>
      <c r="K46" s="14">
        <f t="shared" si="16"/>
        <v>3297.9542130640311</v>
      </c>
      <c r="M46" s="13">
        <f t="shared" si="41"/>
        <v>0.35789155318265065</v>
      </c>
      <c r="N46" s="9">
        <f t="shared" si="17"/>
        <v>121.44562552114435</v>
      </c>
      <c r="O46" s="9">
        <f t="shared" si="18"/>
        <v>1202.7759395084222</v>
      </c>
      <c r="P46" s="9">
        <f t="shared" si="19"/>
        <v>5.1744568557853503</v>
      </c>
      <c r="Q46" s="9">
        <f t="shared" si="20"/>
        <v>0.25748912716957062</v>
      </c>
      <c r="R46" s="9">
        <f t="shared" si="21"/>
        <v>1</v>
      </c>
      <c r="S46" s="9">
        <f t="shared" si="0"/>
        <v>894.93557999999996</v>
      </c>
      <c r="T46" s="9">
        <f t="shared" si="1"/>
        <v>353.52419154000938</v>
      </c>
      <c r="U46" s="14">
        <f t="shared" si="2"/>
        <v>3149.2252780712884</v>
      </c>
      <c r="W46" s="13">
        <f t="shared" si="42"/>
        <v>0.37071492108709886</v>
      </c>
      <c r="X46" s="9">
        <f t="shared" si="22"/>
        <v>125.79706081654147</v>
      </c>
      <c r="Y46" s="9">
        <f t="shared" si="23"/>
        <v>537.71323513695665</v>
      </c>
      <c r="Z46" s="9">
        <f t="shared" si="24"/>
        <v>7.7389452282639253</v>
      </c>
      <c r="AA46" s="9">
        <f t="shared" si="3"/>
        <v>0.31997820338164934</v>
      </c>
      <c r="AB46" s="9">
        <f t="shared" si="25"/>
        <v>1</v>
      </c>
      <c r="AC46" s="9">
        <f t="shared" si="4"/>
        <v>894.93557999999996</v>
      </c>
      <c r="AD46" s="9">
        <f t="shared" si="5"/>
        <v>408.13606304485745</v>
      </c>
      <c r="AE46" s="14">
        <f t="shared" si="6"/>
        <v>2933.0205011719577</v>
      </c>
      <c r="AG46" s="13">
        <f t="shared" si="43"/>
        <v>0.38201253500589066</v>
      </c>
      <c r="AH46" s="9">
        <f t="shared" si="26"/>
        <v>129.63075227157236</v>
      </c>
      <c r="AI46" s="9">
        <f t="shared" si="27"/>
        <v>326.27798523360536</v>
      </c>
      <c r="AJ46" s="9">
        <f t="shared" si="28"/>
        <v>9.9348942832179006</v>
      </c>
      <c r="AK46" s="9">
        <f t="shared" si="7"/>
        <v>0.37666504089947017</v>
      </c>
      <c r="AL46" s="9">
        <f t="shared" si="29"/>
        <v>1</v>
      </c>
      <c r="AM46" s="9">
        <v>0.6</v>
      </c>
      <c r="AN46" s="9">
        <f t="shared" si="30"/>
        <v>894.93557999999996</v>
      </c>
      <c r="AO46" s="9">
        <f t="shared" si="31"/>
        <v>466.88727092065864</v>
      </c>
      <c r="AP46" s="14">
        <f t="shared" si="32"/>
        <v>2657.6347450298645</v>
      </c>
      <c r="AS46" s="13">
        <f t="shared" si="44"/>
        <v>0.39222635871707523</v>
      </c>
      <c r="AT46" s="9">
        <f t="shared" si="33"/>
        <v>133.0966742765392</v>
      </c>
      <c r="AU46" s="9">
        <f t="shared" si="34"/>
        <v>225.72279183836866</v>
      </c>
      <c r="AV46" s="9">
        <f t="shared" si="35"/>
        <v>11.944540009820866</v>
      </c>
      <c r="AW46" s="9">
        <f t="shared" si="8"/>
        <v>0.4287639225560978</v>
      </c>
      <c r="AX46" s="9">
        <f t="shared" si="36"/>
        <v>1</v>
      </c>
      <c r="AY46" s="9">
        <v>0.6</v>
      </c>
      <c r="AZ46" s="9">
        <f t="shared" si="37"/>
        <v>894.93557999999996</v>
      </c>
      <c r="BA46" s="9">
        <f t="shared" si="38"/>
        <v>529.70834223554232</v>
      </c>
      <c r="BB46" s="14">
        <f t="shared" si="39"/>
        <v>2328.2243568431209</v>
      </c>
    </row>
    <row r="47" spans="2:54">
      <c r="B47" s="13">
        <f t="shared" si="40"/>
        <v>0.35650195844399468</v>
      </c>
      <c r="C47" s="9">
        <f t="shared" si="9"/>
        <v>120.97408546730341</v>
      </c>
      <c r="D47" s="9" t="e">
        <f t="shared" si="10"/>
        <v>#DIV/0!</v>
      </c>
      <c r="E47" s="9">
        <f t="shared" si="11"/>
        <v>0</v>
      </c>
      <c r="F47" s="9">
        <f t="shared" si="12"/>
        <v>0.17300023496163588</v>
      </c>
      <c r="G47" s="9">
        <f t="shared" si="13"/>
        <v>1</v>
      </c>
      <c r="H47" s="9">
        <v>0.59499999999999997</v>
      </c>
      <c r="I47" s="9">
        <f t="shared" si="14"/>
        <v>887.47778349999999</v>
      </c>
      <c r="J47" s="9">
        <f t="shared" si="15"/>
        <v>323.91644255766971</v>
      </c>
      <c r="K47" s="14">
        <f t="shared" si="16"/>
        <v>3265.3369841765602</v>
      </c>
      <c r="M47" s="13">
        <f t="shared" si="41"/>
        <v>0.37069878297047398</v>
      </c>
      <c r="N47" s="9">
        <f t="shared" si="17"/>
        <v>125.79158456640141</v>
      </c>
      <c r="O47" s="9">
        <f t="shared" si="18"/>
        <v>1290.3994085811307</v>
      </c>
      <c r="P47" s="9">
        <f t="shared" si="19"/>
        <v>4.9956851386294865</v>
      </c>
      <c r="Q47" s="9">
        <f t="shared" si="20"/>
        <v>0.24000454803766455</v>
      </c>
      <c r="R47" s="9">
        <f t="shared" si="21"/>
        <v>1</v>
      </c>
      <c r="S47" s="9">
        <f t="shared" si="0"/>
        <v>887.47778349999999</v>
      </c>
      <c r="T47" s="9">
        <f t="shared" si="1"/>
        <v>372.33124916480273</v>
      </c>
      <c r="U47" s="14">
        <f t="shared" si="2"/>
        <v>3103.6792745710745</v>
      </c>
      <c r="W47" s="13">
        <f t="shared" si="42"/>
        <v>0.38266725968129228</v>
      </c>
      <c r="X47" s="9">
        <f t="shared" si="22"/>
        <v>129.85292417543872</v>
      </c>
      <c r="Y47" s="9">
        <f t="shared" si="23"/>
        <v>572.94535905240355</v>
      </c>
      <c r="Z47" s="9">
        <f t="shared" si="24"/>
        <v>7.4972248004249566</v>
      </c>
      <c r="AA47" s="9">
        <f t="shared" si="3"/>
        <v>0.30030178654073164</v>
      </c>
      <c r="AB47" s="9">
        <f t="shared" si="25"/>
        <v>1</v>
      </c>
      <c r="AC47" s="9">
        <f t="shared" si="4"/>
        <v>887.47778349999999</v>
      </c>
      <c r="AD47" s="9">
        <f t="shared" si="5"/>
        <v>424.49023428099804</v>
      </c>
      <c r="AE47" s="14">
        <f t="shared" si="6"/>
        <v>2879.4895838317939</v>
      </c>
      <c r="AG47" s="13">
        <f t="shared" si="43"/>
        <v>0.39321169933883132</v>
      </c>
      <c r="AH47" s="9">
        <f t="shared" si="26"/>
        <v>133.4310362001342</v>
      </c>
      <c r="AI47" s="9">
        <f t="shared" si="27"/>
        <v>345.68887765528899</v>
      </c>
      <c r="AJ47" s="9">
        <f t="shared" si="28"/>
        <v>9.6519359839220442</v>
      </c>
      <c r="AK47" s="9">
        <f t="shared" si="7"/>
        <v>0.35551479551842141</v>
      </c>
      <c r="AL47" s="9">
        <f t="shared" si="29"/>
        <v>1</v>
      </c>
      <c r="AM47" s="9">
        <v>0.59499999999999997</v>
      </c>
      <c r="AN47" s="9">
        <f t="shared" si="30"/>
        <v>887.47778349999999</v>
      </c>
      <c r="AO47" s="9">
        <f t="shared" si="31"/>
        <v>480.74670116230658</v>
      </c>
      <c r="AP47" s="14">
        <f t="shared" si="32"/>
        <v>2599.3136469107671</v>
      </c>
      <c r="AS47" s="13">
        <f t="shared" si="44"/>
        <v>0.40274460146927027</v>
      </c>
      <c r="AT47" s="9">
        <f t="shared" si="33"/>
        <v>136.66589673810327</v>
      </c>
      <c r="AU47" s="9">
        <f t="shared" si="34"/>
        <v>237.99142878733318</v>
      </c>
      <c r="AV47" s="9">
        <f t="shared" si="35"/>
        <v>11.632591517083121</v>
      </c>
      <c r="AW47" s="9">
        <f t="shared" si="8"/>
        <v>0.40666082023237798</v>
      </c>
      <c r="AX47" s="9">
        <f t="shared" si="36"/>
        <v>1</v>
      </c>
      <c r="AY47" s="9">
        <v>0.59499999999999997</v>
      </c>
      <c r="AZ47" s="9">
        <f t="shared" si="37"/>
        <v>887.47778349999999</v>
      </c>
      <c r="BA47" s="9">
        <f t="shared" si="38"/>
        <v>541.09070751486286</v>
      </c>
      <c r="BB47" s="14">
        <f t="shared" si="39"/>
        <v>2267.3381783435007</v>
      </c>
    </row>
    <row r="48" spans="2:54">
      <c r="B48" s="13">
        <f t="shared" si="40"/>
        <v>0.3703232471265665</v>
      </c>
      <c r="C48" s="9">
        <f t="shared" si="9"/>
        <v>125.66415159106747</v>
      </c>
      <c r="D48" s="9" t="e">
        <f t="shared" si="10"/>
        <v>#DIV/0!</v>
      </c>
      <c r="E48" s="9">
        <f t="shared" si="11"/>
        <v>0</v>
      </c>
      <c r="F48" s="9">
        <f t="shared" si="12"/>
        <v>0.16032770697029919</v>
      </c>
      <c r="G48" s="9">
        <f t="shared" si="13"/>
        <v>1</v>
      </c>
      <c r="H48" s="9">
        <v>0.58199999999999996</v>
      </c>
      <c r="I48" s="9">
        <f t="shared" si="14"/>
        <v>868.08751259999997</v>
      </c>
      <c r="J48" s="9">
        <f t="shared" si="15"/>
        <v>346.15225405865402</v>
      </c>
      <c r="K48" s="14">
        <f t="shared" si="16"/>
        <v>3141.3946898319195</v>
      </c>
      <c r="M48" s="13">
        <f t="shared" si="41"/>
        <v>0.38350601275829732</v>
      </c>
      <c r="N48" s="9">
        <f t="shared" si="17"/>
        <v>130.13754361165849</v>
      </c>
      <c r="O48" s="9">
        <f t="shared" si="18"/>
        <v>1381.1033848951122</v>
      </c>
      <c r="P48" s="9">
        <f t="shared" si="19"/>
        <v>4.828853627806823</v>
      </c>
      <c r="Q48" s="9">
        <f t="shared" si="20"/>
        <v>0.22424224734494022</v>
      </c>
      <c r="R48" s="9">
        <f t="shared" si="21"/>
        <v>1</v>
      </c>
      <c r="S48" s="9">
        <f t="shared" si="0"/>
        <v>868.08751259999997</v>
      </c>
      <c r="T48" s="9">
        <f t="shared" si="1"/>
        <v>392.24747385816715</v>
      </c>
      <c r="U48" s="14">
        <f t="shared" si="2"/>
        <v>2965.9105788617412</v>
      </c>
      <c r="W48" s="13">
        <f t="shared" si="42"/>
        <v>0.39461959827548571</v>
      </c>
      <c r="X48" s="9">
        <f t="shared" si="22"/>
        <v>133.90878753433594</v>
      </c>
      <c r="Y48" s="9">
        <f t="shared" si="23"/>
        <v>609.29539174026252</v>
      </c>
      <c r="Z48" s="9">
        <f t="shared" si="24"/>
        <v>7.2701469519778383</v>
      </c>
      <c r="AA48" s="9">
        <f t="shared" si="3"/>
        <v>0.28238604336433909</v>
      </c>
      <c r="AB48" s="9">
        <f t="shared" si="25"/>
        <v>1</v>
      </c>
      <c r="AC48" s="9">
        <f t="shared" si="4"/>
        <v>868.08751259999997</v>
      </c>
      <c r="AD48" s="9">
        <f t="shared" si="5"/>
        <v>441.97290734117769</v>
      </c>
      <c r="AE48" s="14">
        <f t="shared" si="6"/>
        <v>2732.9391603387671</v>
      </c>
      <c r="AG48" s="13">
        <f t="shared" si="43"/>
        <v>0.40441086367177198</v>
      </c>
      <c r="AH48" s="9">
        <f t="shared" si="26"/>
        <v>137.23132012869607</v>
      </c>
      <c r="AI48" s="9">
        <f t="shared" si="27"/>
        <v>365.66060335449077</v>
      </c>
      <c r="AJ48" s="9">
        <f t="shared" si="28"/>
        <v>9.3846493531091362</v>
      </c>
      <c r="AK48" s="9">
        <f t="shared" si="7"/>
        <v>0.33609721562885819</v>
      </c>
      <c r="AL48" s="9">
        <f t="shared" si="29"/>
        <v>1</v>
      </c>
      <c r="AM48" s="9">
        <v>0.58199999999999996</v>
      </c>
      <c r="AN48" s="9">
        <f t="shared" si="30"/>
        <v>868.08751259999997</v>
      </c>
      <c r="AO48" s="9">
        <f t="shared" si="31"/>
        <v>495.75537290455821</v>
      </c>
      <c r="AP48" s="14">
        <f t="shared" si="32"/>
        <v>2447.2494136036335</v>
      </c>
      <c r="AS48" s="13">
        <f t="shared" si="44"/>
        <v>0.41326284422146531</v>
      </c>
      <c r="AT48" s="9">
        <f t="shared" si="33"/>
        <v>140.23511919966731</v>
      </c>
      <c r="AU48" s="9">
        <f t="shared" si="34"/>
        <v>250.58471785097984</v>
      </c>
      <c r="AV48" s="9">
        <f t="shared" si="35"/>
        <v>11.336522264488435</v>
      </c>
      <c r="AW48" s="9">
        <f t="shared" si="8"/>
        <v>0.38622383068263405</v>
      </c>
      <c r="AX48" s="9">
        <f t="shared" si="36"/>
        <v>1</v>
      </c>
      <c r="AY48" s="9">
        <v>0.58199999999999996</v>
      </c>
      <c r="AZ48" s="9">
        <f t="shared" si="37"/>
        <v>868.08751259999997</v>
      </c>
      <c r="BA48" s="9">
        <f t="shared" si="38"/>
        <v>553.63727949588406</v>
      </c>
      <c r="BB48" s="14">
        <f t="shared" si="39"/>
        <v>2112.0450371534216</v>
      </c>
    </row>
    <row r="49" spans="2:54">
      <c r="B49" s="13">
        <f t="shared" si="40"/>
        <v>0.38414453580913832</v>
      </c>
      <c r="C49" s="9">
        <f t="shared" si="9"/>
        <v>130.35421771483149</v>
      </c>
      <c r="D49" s="9" t="e">
        <f t="shared" si="10"/>
        <v>#DIV/0!</v>
      </c>
      <c r="E49" s="9">
        <f t="shared" si="11"/>
        <v>0</v>
      </c>
      <c r="F49" s="9">
        <f t="shared" si="12"/>
        <v>0.14899826553724393</v>
      </c>
      <c r="G49" s="9">
        <f t="shared" si="13"/>
        <v>1</v>
      </c>
      <c r="H49" s="9">
        <v>0.56999999999999995</v>
      </c>
      <c r="I49" s="9">
        <f t="shared" si="14"/>
        <v>850.18880100000001</v>
      </c>
      <c r="J49" s="9">
        <f t="shared" si="15"/>
        <v>369.46697028236775</v>
      </c>
      <c r="K49" s="14">
        <f t="shared" si="16"/>
        <v>3001.3275754180604</v>
      </c>
      <c r="M49" s="13">
        <f t="shared" si="41"/>
        <v>0.39631324254612066</v>
      </c>
      <c r="N49" s="9">
        <f t="shared" si="17"/>
        <v>134.48350265691553</v>
      </c>
      <c r="O49" s="9">
        <f t="shared" si="18"/>
        <v>1474.8878684503654</v>
      </c>
      <c r="P49" s="9">
        <f t="shared" si="19"/>
        <v>4.6728047468111571</v>
      </c>
      <c r="Q49" s="9">
        <f t="shared" si="20"/>
        <v>0.20998323565436958</v>
      </c>
      <c r="R49" s="9">
        <f t="shared" si="21"/>
        <v>1</v>
      </c>
      <c r="S49" s="9">
        <f t="shared" si="0"/>
        <v>850.18880100000001</v>
      </c>
      <c r="T49" s="9">
        <f t="shared" si="1"/>
        <v>413.23088670171342</v>
      </c>
      <c r="U49" s="14">
        <f t="shared" si="2"/>
        <v>2814.511889021107</v>
      </c>
      <c r="W49" s="13">
        <f t="shared" si="42"/>
        <v>0.40657193686967913</v>
      </c>
      <c r="X49" s="9">
        <f t="shared" si="22"/>
        <v>137.9646508932332</v>
      </c>
      <c r="Y49" s="9">
        <f t="shared" si="23"/>
        <v>646.76333320053391</v>
      </c>
      <c r="Z49" s="9">
        <f t="shared" si="24"/>
        <v>7.0564203021047183</v>
      </c>
      <c r="AA49" s="9">
        <f t="shared" si="3"/>
        <v>0.26602700877031676</v>
      </c>
      <c r="AB49" s="9">
        <f t="shared" si="25"/>
        <v>1</v>
      </c>
      <c r="AC49" s="9">
        <f t="shared" si="4"/>
        <v>850.18880100000001</v>
      </c>
      <c r="AD49" s="9">
        <f t="shared" si="5"/>
        <v>460.53195043521072</v>
      </c>
      <c r="AE49" s="14">
        <f t="shared" si="6"/>
        <v>2574.806567251369</v>
      </c>
      <c r="AG49" s="13">
        <f t="shared" si="43"/>
        <v>0.41561002800471264</v>
      </c>
      <c r="AH49" s="9">
        <f t="shared" si="26"/>
        <v>141.03160405725791</v>
      </c>
      <c r="AI49" s="9">
        <f t="shared" si="27"/>
        <v>386.19316233121043</v>
      </c>
      <c r="AJ49" s="9">
        <f t="shared" si="28"/>
        <v>9.1317675089990065</v>
      </c>
      <c r="AK49" s="9">
        <f t="shared" si="7"/>
        <v>0.31822808542428888</v>
      </c>
      <c r="AL49" s="9">
        <f t="shared" si="29"/>
        <v>1</v>
      </c>
      <c r="AM49" s="9">
        <v>0.56999999999999995</v>
      </c>
      <c r="AN49" s="9">
        <f t="shared" si="30"/>
        <v>850.18880100000001</v>
      </c>
      <c r="AO49" s="9">
        <f t="shared" si="31"/>
        <v>511.85443109933658</v>
      </c>
      <c r="AP49" s="14">
        <f t="shared" si="32"/>
        <v>2285.3726696358121</v>
      </c>
      <c r="AS49" s="13">
        <f t="shared" si="44"/>
        <v>0.42378108697366035</v>
      </c>
      <c r="AT49" s="9">
        <f t="shared" si="33"/>
        <v>143.8043416612314</v>
      </c>
      <c r="AU49" s="9">
        <f t="shared" si="34"/>
        <v>263.50265902930903</v>
      </c>
      <c r="AV49" s="9">
        <f t="shared" si="35"/>
        <v>11.055149884245886</v>
      </c>
      <c r="AW49" s="9">
        <f t="shared" si="8"/>
        <v>0.3672896129225306</v>
      </c>
      <c r="AX49" s="9">
        <f t="shared" si="36"/>
        <v>1</v>
      </c>
      <c r="AY49" s="9">
        <v>0.56999999999999995</v>
      </c>
      <c r="AZ49" s="9">
        <f t="shared" si="37"/>
        <v>850.18880100000001</v>
      </c>
      <c r="BA49" s="9">
        <f t="shared" si="38"/>
        <v>567.28543526908084</v>
      </c>
      <c r="BB49" s="14">
        <f t="shared" si="39"/>
        <v>1948.5187013947832</v>
      </c>
    </row>
    <row r="50" spans="2:54">
      <c r="B50" s="13">
        <f t="shared" si="40"/>
        <v>0.39796582449171014</v>
      </c>
      <c r="C50" s="9">
        <f t="shared" si="9"/>
        <v>135.04428383859556</v>
      </c>
      <c r="D50" s="9" t="e">
        <f t="shared" si="10"/>
        <v>#DIV/0!</v>
      </c>
      <c r="E50" s="9">
        <f t="shared" si="11"/>
        <v>0</v>
      </c>
      <c r="F50" s="9">
        <f t="shared" si="12"/>
        <v>0.13882861023243415</v>
      </c>
      <c r="G50" s="9">
        <f t="shared" si="13"/>
        <v>1</v>
      </c>
      <c r="H50" s="9">
        <v>0.56499999999999995</v>
      </c>
      <c r="I50" s="9">
        <f t="shared" si="14"/>
        <v>842.73100449999993</v>
      </c>
      <c r="J50" s="9">
        <f t="shared" si="15"/>
        <v>393.83716619091103</v>
      </c>
      <c r="K50" s="14">
        <f t="shared" si="16"/>
        <v>2903.4497631094328</v>
      </c>
      <c r="M50" s="13">
        <f t="shared" si="41"/>
        <v>0.409120472333944</v>
      </c>
      <c r="N50" s="9">
        <f t="shared" si="17"/>
        <v>138.82946170217258</v>
      </c>
      <c r="O50" s="9">
        <f t="shared" si="18"/>
        <v>1571.7528592468911</v>
      </c>
      <c r="P50" s="9">
        <f t="shared" si="19"/>
        <v>4.5265258676227473</v>
      </c>
      <c r="Q50" s="9">
        <f t="shared" si="20"/>
        <v>0.19704225446294285</v>
      </c>
      <c r="R50" s="9">
        <f t="shared" si="21"/>
        <v>1</v>
      </c>
      <c r="S50" s="9">
        <f t="shared" si="0"/>
        <v>842.73100449999993</v>
      </c>
      <c r="T50" s="9">
        <f t="shared" si="1"/>
        <v>435.24597478813297</v>
      </c>
      <c r="U50" s="14">
        <f t="shared" si="2"/>
        <v>2709.4913178244096</v>
      </c>
      <c r="W50" s="13">
        <f t="shared" si="42"/>
        <v>0.41852427546387255</v>
      </c>
      <c r="X50" s="9">
        <f t="shared" si="22"/>
        <v>142.02051425213043</v>
      </c>
      <c r="Y50" s="9">
        <f t="shared" si="23"/>
        <v>685.34918343321715</v>
      </c>
      <c r="Z50" s="9">
        <f t="shared" si="24"/>
        <v>6.8549009885112184</v>
      </c>
      <c r="AA50" s="9">
        <f t="shared" si="3"/>
        <v>0.25104941987637691</v>
      </c>
      <c r="AB50" s="9">
        <f t="shared" si="25"/>
        <v>1</v>
      </c>
      <c r="AC50" s="9">
        <f t="shared" si="4"/>
        <v>842.73100449999993</v>
      </c>
      <c r="AD50" s="9">
        <f t="shared" si="5"/>
        <v>480.12256781810839</v>
      </c>
      <c r="AE50" s="14">
        <f t="shared" si="6"/>
        <v>2466.5132406902362</v>
      </c>
      <c r="AG50" s="13">
        <f t="shared" si="43"/>
        <v>0.4268091923376533</v>
      </c>
      <c r="AH50" s="9">
        <f t="shared" si="26"/>
        <v>144.83188798581978</v>
      </c>
      <c r="AI50" s="9">
        <f t="shared" si="27"/>
        <v>407.28655458544819</v>
      </c>
      <c r="AJ50" s="9">
        <f t="shared" si="28"/>
        <v>8.8921565380558523</v>
      </c>
      <c r="AK50" s="9">
        <f t="shared" si="7"/>
        <v>0.30174703600933361</v>
      </c>
      <c r="AL50" s="9">
        <f t="shared" si="29"/>
        <v>1</v>
      </c>
      <c r="AM50" s="9">
        <v>0.56499999999999995</v>
      </c>
      <c r="AN50" s="9">
        <f t="shared" si="30"/>
        <v>842.73100449999993</v>
      </c>
      <c r="AO50" s="9">
        <f t="shared" si="31"/>
        <v>528.99263954043761</v>
      </c>
      <c r="AP50" s="14">
        <f t="shared" si="32"/>
        <v>2176.3377076593279</v>
      </c>
      <c r="AS50" s="13">
        <f t="shared" si="44"/>
        <v>0.43429932972585539</v>
      </c>
      <c r="AT50" s="9">
        <f t="shared" si="33"/>
        <v>147.37356412279547</v>
      </c>
      <c r="AU50" s="9">
        <f t="shared" si="34"/>
        <v>276.74525232232043</v>
      </c>
      <c r="AV50" s="9">
        <f t="shared" si="35"/>
        <v>10.787406551052626</v>
      </c>
      <c r="AW50" s="9">
        <f t="shared" si="8"/>
        <v>0.34971436303525955</v>
      </c>
      <c r="AX50" s="9">
        <f t="shared" si="36"/>
        <v>1</v>
      </c>
      <c r="AY50" s="9">
        <v>0.56499999999999995</v>
      </c>
      <c r="AZ50" s="9">
        <f t="shared" si="37"/>
        <v>842.73100449999993</v>
      </c>
      <c r="BA50" s="9">
        <f t="shared" si="38"/>
        <v>581.98004219454401</v>
      </c>
      <c r="BB50" s="14">
        <f t="shared" si="39"/>
        <v>1840.5175902544074</v>
      </c>
    </row>
    <row r="51" spans="2:54">
      <c r="B51" s="13">
        <f t="shared" si="40"/>
        <v>0.41178711317428196</v>
      </c>
      <c r="C51" s="9">
        <f t="shared" si="9"/>
        <v>139.7343499623596</v>
      </c>
      <c r="D51" s="9" t="e">
        <f t="shared" si="10"/>
        <v>#DIV/0!</v>
      </c>
      <c r="E51" s="9">
        <f t="shared" si="11"/>
        <v>0</v>
      </c>
      <c r="F51" s="9">
        <f t="shared" si="12"/>
        <v>0.12966567653949407</v>
      </c>
      <c r="G51" s="9">
        <f t="shared" si="13"/>
        <v>1</v>
      </c>
      <c r="H51" s="9">
        <v>0.55000000000000004</v>
      </c>
      <c r="I51" s="9">
        <f t="shared" si="14"/>
        <v>820.35761500000012</v>
      </c>
      <c r="J51" s="9">
        <f t="shared" si="15"/>
        <v>419.24328077127018</v>
      </c>
      <c r="K51" s="14">
        <f t="shared" si="16"/>
        <v>2684.5149507651886</v>
      </c>
      <c r="M51" s="13">
        <f t="shared" si="41"/>
        <v>0.42192770212176733</v>
      </c>
      <c r="N51" s="9">
        <f t="shared" si="17"/>
        <v>143.17542074742965</v>
      </c>
      <c r="O51" s="9">
        <f t="shared" si="18"/>
        <v>1671.6983572846898</v>
      </c>
      <c r="P51" s="9">
        <f t="shared" si="19"/>
        <v>4.3891273118141498</v>
      </c>
      <c r="Q51" s="9">
        <f t="shared" si="20"/>
        <v>0.18526172828669102</v>
      </c>
      <c r="R51" s="9">
        <f t="shared" si="21"/>
        <v>1</v>
      </c>
      <c r="S51" s="9">
        <f t="shared" si="0"/>
        <v>820.35761500000012</v>
      </c>
      <c r="T51" s="9">
        <f t="shared" si="1"/>
        <v>458.26253187336488</v>
      </c>
      <c r="U51" s="14">
        <f t="shared" si="2"/>
        <v>2483.0505525811595</v>
      </c>
      <c r="W51" s="13">
        <f t="shared" si="42"/>
        <v>0.43047661405806598</v>
      </c>
      <c r="X51" s="9">
        <f t="shared" si="22"/>
        <v>146.07637761102768</v>
      </c>
      <c r="Y51" s="9">
        <f t="shared" si="23"/>
        <v>725.05294243831293</v>
      </c>
      <c r="Z51" s="9">
        <f t="shared" si="24"/>
        <v>6.6645721879011441</v>
      </c>
      <c r="AA51" s="9">
        <f t="shared" si="3"/>
        <v>0.23730200216144384</v>
      </c>
      <c r="AB51" s="9">
        <f t="shared" si="25"/>
        <v>1</v>
      </c>
      <c r="AC51" s="9">
        <f t="shared" si="4"/>
        <v>820.35761500000012</v>
      </c>
      <c r="AD51" s="9">
        <f t="shared" si="5"/>
        <v>500.70609497185762</v>
      </c>
      <c r="AE51" s="14">
        <f t="shared" si="6"/>
        <v>2236.408995898707</v>
      </c>
      <c r="AG51" s="13">
        <f t="shared" si="43"/>
        <v>0.43800835667059396</v>
      </c>
      <c r="AH51" s="9">
        <f t="shared" si="26"/>
        <v>148.63217191438164</v>
      </c>
      <c r="AI51" s="9">
        <f t="shared" si="27"/>
        <v>428.94078011720399</v>
      </c>
      <c r="AJ51" s="9">
        <f t="shared" si="28"/>
        <v>8.6647984960749014</v>
      </c>
      <c r="AK51" s="9">
        <f t="shared" si="7"/>
        <v>0.28651393467189595</v>
      </c>
      <c r="AL51" s="9">
        <f t="shared" si="29"/>
        <v>1</v>
      </c>
      <c r="AM51" s="9">
        <v>0.55000000000000004</v>
      </c>
      <c r="AN51" s="9">
        <f t="shared" si="30"/>
        <v>820.35761500000012</v>
      </c>
      <c r="AO51" s="9">
        <f t="shared" si="31"/>
        <v>547.1252272732695</v>
      </c>
      <c r="AP51" s="14">
        <f t="shared" si="32"/>
        <v>1945.0889526781427</v>
      </c>
      <c r="AS51" s="13">
        <f t="shared" si="44"/>
        <v>0.44481757247805043</v>
      </c>
      <c r="AT51" s="9">
        <f t="shared" si="33"/>
        <v>150.94278658435954</v>
      </c>
      <c r="AU51" s="9">
        <f t="shared" si="34"/>
        <v>290.31249773001412</v>
      </c>
      <c r="AV51" s="9">
        <f t="shared" si="35"/>
        <v>10.532325439624211</v>
      </c>
      <c r="AW51" s="9">
        <f t="shared" si="8"/>
        <v>0.33337107563635776</v>
      </c>
      <c r="AX51" s="9">
        <f t="shared" si="36"/>
        <v>1</v>
      </c>
      <c r="AY51" s="9">
        <v>0.55000000000000004</v>
      </c>
      <c r="AZ51" s="9">
        <f t="shared" si="37"/>
        <v>820.35761500000012</v>
      </c>
      <c r="BA51" s="9">
        <f t="shared" si="38"/>
        <v>597.67240798152488</v>
      </c>
      <c r="BB51" s="14">
        <f t="shared" si="39"/>
        <v>1609.8973924978268</v>
      </c>
    </row>
    <row r="52" spans="2:54">
      <c r="B52" s="13">
        <f t="shared" si="40"/>
        <v>0.42560840185685378</v>
      </c>
      <c r="C52" s="9">
        <f t="shared" si="9"/>
        <v>144.42441608612364</v>
      </c>
      <c r="D52" s="9" t="e">
        <f t="shared" si="10"/>
        <v>#DIV/0!</v>
      </c>
      <c r="E52" s="9">
        <f t="shared" si="11"/>
        <v>0</v>
      </c>
      <c r="F52" s="9">
        <f t="shared" si="12"/>
        <v>0.12138084249122442</v>
      </c>
      <c r="G52" s="9">
        <f t="shared" si="13"/>
        <v>1</v>
      </c>
      <c r="H52" s="9">
        <v>0.54500000000000004</v>
      </c>
      <c r="I52" s="9">
        <f t="shared" si="14"/>
        <v>812.89981850000004</v>
      </c>
      <c r="J52" s="9">
        <f t="shared" si="15"/>
        <v>445.66887666726552</v>
      </c>
      <c r="K52" s="14">
        <f t="shared" si="16"/>
        <v>2540.2376737623767</v>
      </c>
      <c r="M52" s="13">
        <f t="shared" si="41"/>
        <v>0.43473493190959067</v>
      </c>
      <c r="N52" s="9">
        <f t="shared" si="17"/>
        <v>147.5213797926867</v>
      </c>
      <c r="O52" s="9">
        <f t="shared" si="18"/>
        <v>1774.7243625637602</v>
      </c>
      <c r="P52" s="9">
        <f t="shared" si="19"/>
        <v>4.2598242401619615</v>
      </c>
      <c r="Q52" s="9">
        <f t="shared" si="20"/>
        <v>0.17450694506564948</v>
      </c>
      <c r="R52" s="9">
        <f t="shared" si="21"/>
        <v>1</v>
      </c>
      <c r="S52" s="9">
        <f t="shared" si="0"/>
        <v>812.89981850000004</v>
      </c>
      <c r="T52" s="9">
        <f t="shared" si="1"/>
        <v>482.25473449008541</v>
      </c>
      <c r="U52" s="14">
        <f t="shared" si="2"/>
        <v>2336.2079724319124</v>
      </c>
      <c r="W52" s="13">
        <f t="shared" si="42"/>
        <v>0.4424289526522594</v>
      </c>
      <c r="X52" s="9">
        <f t="shared" si="22"/>
        <v>150.13224096992494</v>
      </c>
      <c r="Y52" s="9">
        <f t="shared" si="23"/>
        <v>765.87461021582089</v>
      </c>
      <c r="Z52" s="9">
        <f t="shared" si="24"/>
        <v>6.484526956010888</v>
      </c>
      <c r="AA52" s="9">
        <f t="shared" si="3"/>
        <v>0.22465363470552027</v>
      </c>
      <c r="AB52" s="9">
        <f t="shared" si="25"/>
        <v>1</v>
      </c>
      <c r="AC52" s="9">
        <f t="shared" si="4"/>
        <v>812.89981850000004</v>
      </c>
      <c r="AD52" s="9">
        <f t="shared" si="5"/>
        <v>522.24901847240494</v>
      </c>
      <c r="AE52" s="14">
        <f t="shared" si="6"/>
        <v>2089.9695359812044</v>
      </c>
      <c r="AG52" s="13">
        <f t="shared" si="43"/>
        <v>0.44920752100353462</v>
      </c>
      <c r="AH52" s="9">
        <f t="shared" si="26"/>
        <v>152.43245584294348</v>
      </c>
      <c r="AI52" s="9">
        <f t="shared" si="27"/>
        <v>451.1558389264776</v>
      </c>
      <c r="AJ52" s="9">
        <f t="shared" si="28"/>
        <v>8.4487769520620706</v>
      </c>
      <c r="AK52" s="9">
        <f t="shared" si="7"/>
        <v>0.27240589625315836</v>
      </c>
      <c r="AL52" s="9">
        <f t="shared" si="29"/>
        <v>1</v>
      </c>
      <c r="AM52" s="9">
        <v>0.54500000000000004</v>
      </c>
      <c r="AN52" s="9">
        <f t="shared" si="30"/>
        <v>812.89981850000004</v>
      </c>
      <c r="AO52" s="9">
        <f t="shared" si="31"/>
        <v>566.21293375842515</v>
      </c>
      <c r="AP52" s="14">
        <f t="shared" si="32"/>
        <v>1801.0176669829395</v>
      </c>
      <c r="AS52" s="13">
        <f t="shared" si="44"/>
        <v>0.45533581523024547</v>
      </c>
      <c r="AT52" s="9">
        <f t="shared" si="33"/>
        <v>154.51200904592363</v>
      </c>
      <c r="AU52" s="9">
        <f t="shared" si="34"/>
        <v>304.20439525239021</v>
      </c>
      <c r="AV52" s="9">
        <f t="shared" si="35"/>
        <v>10.28902905920865</v>
      </c>
      <c r="AW52" s="9">
        <f t="shared" si="8"/>
        <v>0.31814724293722063</v>
      </c>
      <c r="AX52" s="9">
        <f t="shared" si="36"/>
        <v>1</v>
      </c>
      <c r="AY52" s="9">
        <v>0.54500000000000004</v>
      </c>
      <c r="AZ52" s="9">
        <f t="shared" si="37"/>
        <v>812.89981850000004</v>
      </c>
      <c r="BA52" s="9">
        <f t="shared" si="38"/>
        <v>614.31939853789493</v>
      </c>
      <c r="BB52" s="14">
        <f t="shared" si="39"/>
        <v>1469.5796523520553</v>
      </c>
    </row>
    <row r="53" spans="2:54">
      <c r="B53" s="13">
        <f t="shared" si="40"/>
        <v>0.4394296905394256</v>
      </c>
      <c r="C53" s="9">
        <f t="shared" si="9"/>
        <v>149.11448220988768</v>
      </c>
      <c r="D53" s="9" t="e">
        <f t="shared" si="10"/>
        <v>#DIV/0!</v>
      </c>
      <c r="E53" s="9">
        <f t="shared" si="11"/>
        <v>0</v>
      </c>
      <c r="F53" s="9">
        <f t="shared" si="12"/>
        <v>0.11386539017559896</v>
      </c>
      <c r="G53" s="9">
        <f t="shared" si="13"/>
        <v>1</v>
      </c>
      <c r="H53" s="9">
        <v>0.53</v>
      </c>
      <c r="I53" s="9">
        <f t="shared" si="14"/>
        <v>790.52642900000001</v>
      </c>
      <c r="J53" s="9">
        <f t="shared" si="15"/>
        <v>473.10006017876145</v>
      </c>
      <c r="K53" s="14">
        <f t="shared" si="16"/>
        <v>2267.0301275237953</v>
      </c>
      <c r="M53" s="13">
        <f t="shared" si="41"/>
        <v>0.44754216169741401</v>
      </c>
      <c r="N53" s="9">
        <f t="shared" si="17"/>
        <v>151.86733883794378</v>
      </c>
      <c r="O53" s="9">
        <f t="shared" si="18"/>
        <v>1880.830875084104</v>
      </c>
      <c r="P53" s="9">
        <f t="shared" si="19"/>
        <v>4.1379216518279929</v>
      </c>
      <c r="Q53" s="9">
        <f t="shared" si="20"/>
        <v>0.16466218783798686</v>
      </c>
      <c r="R53" s="9">
        <f t="shared" si="21"/>
        <v>1</v>
      </c>
      <c r="S53" s="9">
        <f t="shared" si="0"/>
        <v>790.52642900000001</v>
      </c>
      <c r="T53" s="9">
        <f t="shared" si="1"/>
        <v>507.20040041360471</v>
      </c>
      <c r="U53" s="14">
        <f t="shared" si="2"/>
        <v>2060.8449712119004</v>
      </c>
      <c r="W53" s="13">
        <f t="shared" si="42"/>
        <v>0.45438129124645282</v>
      </c>
      <c r="X53" s="9">
        <f t="shared" si="22"/>
        <v>154.18810432882213</v>
      </c>
      <c r="Y53" s="9">
        <f t="shared" si="23"/>
        <v>807.81418676574037</v>
      </c>
      <c r="Z53" s="9">
        <f t="shared" si="24"/>
        <v>6.3139537759646664</v>
      </c>
      <c r="AA53" s="9">
        <f t="shared" si="3"/>
        <v>0.21299021202205348</v>
      </c>
      <c r="AB53" s="9">
        <f t="shared" si="25"/>
        <v>1</v>
      </c>
      <c r="AC53" s="9">
        <f t="shared" si="4"/>
        <v>790.52642900000001</v>
      </c>
      <c r="AD53" s="9">
        <f t="shared" si="5"/>
        <v>544.72217389993284</v>
      </c>
      <c r="AE53" s="14">
        <f t="shared" si="6"/>
        <v>1815.2428362663354</v>
      </c>
      <c r="AG53" s="13">
        <f t="shared" si="43"/>
        <v>0.46040668533647527</v>
      </c>
      <c r="AH53" s="9">
        <f t="shared" si="26"/>
        <v>156.23273977150532</v>
      </c>
      <c r="AI53" s="9">
        <f t="shared" si="27"/>
        <v>473.9317310132692</v>
      </c>
      <c r="AJ53" s="9">
        <f t="shared" si="28"/>
        <v>8.2432646419413906</v>
      </c>
      <c r="AK53" s="9">
        <f t="shared" si="7"/>
        <v>0.25931479706973193</v>
      </c>
      <c r="AL53" s="9">
        <f t="shared" si="29"/>
        <v>1</v>
      </c>
      <c r="AM53" s="9">
        <v>0.53</v>
      </c>
      <c r="AN53" s="9">
        <f t="shared" si="30"/>
        <v>790.52642900000001</v>
      </c>
      <c r="AO53" s="9">
        <f t="shared" si="31"/>
        <v>586.22121459548032</v>
      </c>
      <c r="AP53" s="14">
        <f t="shared" si="32"/>
        <v>1528.7834260600669</v>
      </c>
      <c r="AS53" s="13">
        <f t="shared" si="44"/>
        <v>0.46585405798244051</v>
      </c>
      <c r="AT53" s="9">
        <f t="shared" si="33"/>
        <v>158.0812315074877</v>
      </c>
      <c r="AU53" s="9">
        <f t="shared" si="34"/>
        <v>318.42094488944855</v>
      </c>
      <c r="AV53" s="9">
        <f t="shared" si="35"/>
        <v>10.056719168429026</v>
      </c>
      <c r="AW53" s="9">
        <f t="shared" si="8"/>
        <v>0.30394291327957024</v>
      </c>
      <c r="AX53" s="9">
        <f t="shared" si="36"/>
        <v>1</v>
      </c>
      <c r="AY53" s="9">
        <v>0.53</v>
      </c>
      <c r="AZ53" s="9">
        <f t="shared" si="37"/>
        <v>790.52642900000001</v>
      </c>
      <c r="BA53" s="9">
        <f t="shared" si="38"/>
        <v>631.88269363631662</v>
      </c>
      <c r="BB53" s="14">
        <f t="shared" si="39"/>
        <v>1201.1512662240668</v>
      </c>
    </row>
    <row r="54" spans="2:54">
      <c r="B54" s="13">
        <f t="shared" si="40"/>
        <v>0.45325097922199742</v>
      </c>
      <c r="C54" s="9">
        <f t="shared" si="9"/>
        <v>153.80454833365172</v>
      </c>
      <c r="D54" s="9" t="e">
        <f t="shared" si="10"/>
        <v>#DIV/0!</v>
      </c>
      <c r="E54" s="9">
        <f t="shared" si="11"/>
        <v>0</v>
      </c>
      <c r="F54" s="9">
        <f t="shared" si="12"/>
        <v>0.10702692081745274</v>
      </c>
      <c r="G54" s="9">
        <f t="shared" si="13"/>
        <v>1</v>
      </c>
      <c r="H54" s="9">
        <v>0.52</v>
      </c>
      <c r="I54" s="9">
        <f t="shared" si="14"/>
        <v>775.61083600000006</v>
      </c>
      <c r="J54" s="9">
        <f t="shared" si="15"/>
        <v>501.52502312391289</v>
      </c>
      <c r="K54" s="14">
        <f t="shared" si="16"/>
        <v>2019.064536949842</v>
      </c>
      <c r="M54" s="13">
        <f t="shared" si="41"/>
        <v>0.46034939148523735</v>
      </c>
      <c r="N54" s="9">
        <f t="shared" si="17"/>
        <v>156.21329788320082</v>
      </c>
      <c r="O54" s="9">
        <f t="shared" si="18"/>
        <v>1990.0178948457192</v>
      </c>
      <c r="P54" s="9">
        <f t="shared" si="19"/>
        <v>4.0228018875376774</v>
      </c>
      <c r="Q54" s="9">
        <f t="shared" si="20"/>
        <v>0.15562760900127195</v>
      </c>
      <c r="R54" s="9">
        <f t="shared" si="21"/>
        <v>1</v>
      </c>
      <c r="S54" s="9">
        <f t="shared" si="0"/>
        <v>775.61083600000006</v>
      </c>
      <c r="T54" s="9">
        <f t="shared" si="1"/>
        <v>533.08038947711441</v>
      </c>
      <c r="U54" s="14">
        <f t="shared" si="2"/>
        <v>1814.590919421865</v>
      </c>
      <c r="W54" s="13">
        <f t="shared" si="42"/>
        <v>0.46633362984064625</v>
      </c>
      <c r="X54" s="9">
        <f t="shared" si="22"/>
        <v>158.24396768771939</v>
      </c>
      <c r="Y54" s="9">
        <f t="shared" si="23"/>
        <v>850.87167208807261</v>
      </c>
      <c r="Z54" s="9">
        <f t="shared" si="24"/>
        <v>6.15212432904229</v>
      </c>
      <c r="AA54" s="9">
        <f t="shared" si="3"/>
        <v>0.20221206153382013</v>
      </c>
      <c r="AB54" s="9">
        <f t="shared" si="25"/>
        <v>1</v>
      </c>
      <c r="AC54" s="9">
        <f t="shared" si="4"/>
        <v>775.61083600000006</v>
      </c>
      <c r="AD54" s="9">
        <f t="shared" si="5"/>
        <v>568.10008576702955</v>
      </c>
      <c r="AE54" s="14">
        <f t="shared" si="6"/>
        <v>1572.7591841830274</v>
      </c>
      <c r="AG54" s="13">
        <f t="shared" si="43"/>
        <v>0.47160584966941593</v>
      </c>
      <c r="AH54" s="9">
        <f t="shared" si="26"/>
        <v>160.03302370006719</v>
      </c>
      <c r="AI54" s="9">
        <f t="shared" si="27"/>
        <v>497.26845637757901</v>
      </c>
      <c r="AJ54" s="9">
        <f t="shared" si="28"/>
        <v>8.0475128813774912</v>
      </c>
      <c r="AK54" s="9">
        <f t="shared" si="7"/>
        <v>0.24714519707901167</v>
      </c>
      <c r="AL54" s="9">
        <f t="shared" si="29"/>
        <v>1</v>
      </c>
      <c r="AM54" s="9">
        <v>0.52</v>
      </c>
      <c r="AN54" s="9">
        <f t="shared" si="30"/>
        <v>775.61083600000006</v>
      </c>
      <c r="AO54" s="9">
        <f t="shared" si="31"/>
        <v>607.11957767627712</v>
      </c>
      <c r="AP54" s="14">
        <f t="shared" si="32"/>
        <v>1291.4614602646941</v>
      </c>
      <c r="AS54" s="13">
        <f t="shared" si="44"/>
        <v>0.47637230073463555</v>
      </c>
      <c r="AT54" s="9">
        <f t="shared" si="33"/>
        <v>161.65045396905174</v>
      </c>
      <c r="AU54" s="9">
        <f t="shared" si="34"/>
        <v>332.96214664118901</v>
      </c>
      <c r="AV54" s="9">
        <f t="shared" si="35"/>
        <v>9.8346680262004327</v>
      </c>
      <c r="AW54" s="9">
        <f t="shared" si="8"/>
        <v>0.2906690463622813</v>
      </c>
      <c r="AX54" s="9">
        <f t="shared" si="36"/>
        <v>1</v>
      </c>
      <c r="AY54" s="9">
        <v>0.52</v>
      </c>
      <c r="AZ54" s="9">
        <f t="shared" si="37"/>
        <v>775.61083600000006</v>
      </c>
      <c r="BA54" s="9">
        <f t="shared" si="38"/>
        <v>650.32815632858797</v>
      </c>
      <c r="BB54" s="14">
        <f t="shared" si="39"/>
        <v>969.97921544068879</v>
      </c>
    </row>
    <row r="55" spans="2:54">
      <c r="B55" s="13">
        <f t="shared" si="40"/>
        <v>0.46707226790456924</v>
      </c>
      <c r="C55" s="9">
        <f t="shared" si="9"/>
        <v>158.49461445741579</v>
      </c>
      <c r="D55" s="9" t="e">
        <f t="shared" si="10"/>
        <v>#DIV/0!</v>
      </c>
      <c r="E55" s="9">
        <f t="shared" si="11"/>
        <v>0</v>
      </c>
      <c r="F55" s="9">
        <f t="shared" si="12"/>
        <v>0.10078650114775961</v>
      </c>
      <c r="G55" s="9">
        <f t="shared" si="13"/>
        <v>1</v>
      </c>
      <c r="H55" s="9">
        <v>0.51</v>
      </c>
      <c r="I55" s="9">
        <f t="shared" si="14"/>
        <v>760.695243</v>
      </c>
      <c r="J55" s="9">
        <f t="shared" si="15"/>
        <v>530.93367815694444</v>
      </c>
      <c r="K55" s="14">
        <f t="shared" si="16"/>
        <v>1744.160135493066</v>
      </c>
      <c r="M55" s="13">
        <f t="shared" si="41"/>
        <v>0.47315662127306068</v>
      </c>
      <c r="N55" s="9">
        <f t="shared" si="17"/>
        <v>160.5592569284579</v>
      </c>
      <c r="O55" s="9">
        <f t="shared" si="18"/>
        <v>2102.2854218486077</v>
      </c>
      <c r="P55" s="9">
        <f t="shared" si="19"/>
        <v>3.9139141623147609</v>
      </c>
      <c r="Q55" s="9">
        <f t="shared" si="20"/>
        <v>0.14731668860275554</v>
      </c>
      <c r="R55" s="9">
        <f t="shared" si="21"/>
        <v>1</v>
      </c>
      <c r="S55" s="9">
        <f t="shared" si="0"/>
        <v>760.695243</v>
      </c>
      <c r="T55" s="9">
        <f t="shared" si="1"/>
        <v>559.87811634168406</v>
      </c>
      <c r="U55" s="14">
        <f t="shared" si="2"/>
        <v>1544.2960627414993</v>
      </c>
      <c r="W55" s="13">
        <f t="shared" si="42"/>
        <v>0.47828596843483967</v>
      </c>
      <c r="X55" s="9">
        <f t="shared" si="22"/>
        <v>162.29983104661662</v>
      </c>
      <c r="Y55" s="9">
        <f t="shared" si="23"/>
        <v>895.04706618281682</v>
      </c>
      <c r="Z55" s="9">
        <f t="shared" si="24"/>
        <v>5.9983830990937763</v>
      </c>
      <c r="AA55" s="9">
        <f t="shared" si="3"/>
        <v>0.19223180703495488</v>
      </c>
      <c r="AB55" s="9">
        <f t="shared" si="25"/>
        <v>1</v>
      </c>
      <c r="AC55" s="9">
        <f t="shared" si="4"/>
        <v>760.695243</v>
      </c>
      <c r="AD55" s="9">
        <f t="shared" si="5"/>
        <v>592.36042143722921</v>
      </c>
      <c r="AE55" s="14">
        <f t="shared" si="6"/>
        <v>1308.5384743807142</v>
      </c>
      <c r="AG55" s="13">
        <f t="shared" si="43"/>
        <v>0.48280501400235659</v>
      </c>
      <c r="AH55" s="9">
        <f t="shared" si="26"/>
        <v>163.83330762862906</v>
      </c>
      <c r="AI55" s="9">
        <f t="shared" si="27"/>
        <v>521.16601501940681</v>
      </c>
      <c r="AJ55" s="9">
        <f t="shared" si="28"/>
        <v>7.8608424520816538</v>
      </c>
      <c r="AK55" s="9">
        <f t="shared" si="7"/>
        <v>0.23581259543187269</v>
      </c>
      <c r="AL55" s="9">
        <f t="shared" si="29"/>
        <v>1</v>
      </c>
      <c r="AM55" s="9">
        <v>0.51</v>
      </c>
      <c r="AN55" s="9">
        <f t="shared" si="30"/>
        <v>760.695243</v>
      </c>
      <c r="AO55" s="9">
        <f t="shared" si="31"/>
        <v>628.88102585202284</v>
      </c>
      <c r="AP55" s="14">
        <f t="shared" si="32"/>
        <v>1034.3295202708705</v>
      </c>
      <c r="AS55" s="13">
        <f t="shared" si="44"/>
        <v>0.48689054348683058</v>
      </c>
      <c r="AT55" s="9">
        <f t="shared" si="33"/>
        <v>165.21967643061583</v>
      </c>
      <c r="AU55" s="9">
        <f t="shared" si="34"/>
        <v>347.82800050761205</v>
      </c>
      <c r="AV55" s="9">
        <f t="shared" si="35"/>
        <v>9.6222107766797809</v>
      </c>
      <c r="AW55" s="9">
        <f t="shared" si="8"/>
        <v>0.2782461144522333</v>
      </c>
      <c r="AX55" s="9">
        <f t="shared" si="36"/>
        <v>1</v>
      </c>
      <c r="AY55" s="9">
        <v>0.51</v>
      </c>
      <c r="AZ55" s="9">
        <f t="shared" si="37"/>
        <v>760.695243</v>
      </c>
      <c r="BA55" s="9">
        <f t="shared" si="38"/>
        <v>669.62529666721559</v>
      </c>
      <c r="BB55" s="14">
        <f t="shared" si="39"/>
        <v>720.66148752113099</v>
      </c>
    </row>
    <row r="56" spans="2:54">
      <c r="B56" s="13">
        <f t="shared" si="40"/>
        <v>0.48089355658714106</v>
      </c>
      <c r="C56" s="9">
        <f t="shared" si="9"/>
        <v>163.18468058117983</v>
      </c>
      <c r="D56" s="9" t="e">
        <f t="shared" si="10"/>
        <v>#DIV/0!</v>
      </c>
      <c r="E56" s="9">
        <f t="shared" si="11"/>
        <v>0</v>
      </c>
      <c r="F56" s="9">
        <f t="shared" si="12"/>
        <v>9.5076375412892641E-2</v>
      </c>
      <c r="G56" s="9">
        <f t="shared" si="13"/>
        <v>1</v>
      </c>
      <c r="H56" s="9">
        <v>0.505</v>
      </c>
      <c r="I56" s="9">
        <f t="shared" si="14"/>
        <v>753.23744650000003</v>
      </c>
      <c r="J56" s="9">
        <f t="shared" si="15"/>
        <v>561.31736637238396</v>
      </c>
      <c r="K56" s="14">
        <f t="shared" si="16"/>
        <v>1500.0103920119675</v>
      </c>
      <c r="M56" s="13">
        <f t="shared" si="41"/>
        <v>0.48596385106088402</v>
      </c>
      <c r="N56" s="9">
        <f t="shared" si="17"/>
        <v>164.90521597371495</v>
      </c>
      <c r="O56" s="9">
        <f t="shared" si="18"/>
        <v>2217.633456092768</v>
      </c>
      <c r="P56" s="9">
        <f t="shared" si="19"/>
        <v>3.8107657533597474</v>
      </c>
      <c r="Q56" s="9">
        <f t="shared" si="20"/>
        <v>0.13965415519580279</v>
      </c>
      <c r="R56" s="9">
        <f t="shared" si="21"/>
        <v>1</v>
      </c>
      <c r="S56" s="9">
        <f t="shared" si="0"/>
        <v>753.23744650000003</v>
      </c>
      <c r="T56" s="9">
        <f t="shared" si="1"/>
        <v>587.57915193731674</v>
      </c>
      <c r="U56" s="14">
        <f t="shared" si="2"/>
        <v>1308.4045463674433</v>
      </c>
      <c r="W56" s="13">
        <f t="shared" si="42"/>
        <v>0.49023830702903309</v>
      </c>
      <c r="X56" s="9">
        <f t="shared" si="22"/>
        <v>166.35569440551387</v>
      </c>
      <c r="Y56" s="9">
        <f t="shared" si="23"/>
        <v>940.34036904997356</v>
      </c>
      <c r="Z56" s="9">
        <f t="shared" si="24"/>
        <v>5.8521384976619863</v>
      </c>
      <c r="AA56" s="9">
        <f t="shared" si="3"/>
        <v>0.18297259224070808</v>
      </c>
      <c r="AB56" s="9">
        <f t="shared" si="25"/>
        <v>1</v>
      </c>
      <c r="AC56" s="9">
        <f t="shared" si="4"/>
        <v>753.23744650000003</v>
      </c>
      <c r="AD56" s="9">
        <f t="shared" si="5"/>
        <v>617.48353707900606</v>
      </c>
      <c r="AE56" s="14">
        <f t="shared" si="6"/>
        <v>1081.6443411495241</v>
      </c>
      <c r="AG56" s="13">
        <f t="shared" si="43"/>
        <v>0.49400417833529725</v>
      </c>
      <c r="AH56" s="9">
        <f t="shared" si="26"/>
        <v>167.63359155719093</v>
      </c>
      <c r="AI56" s="9">
        <f t="shared" si="27"/>
        <v>545.62440693875271</v>
      </c>
      <c r="AJ56" s="9">
        <f t="shared" si="28"/>
        <v>7.6826357277723965</v>
      </c>
      <c r="AK56" s="9">
        <f t="shared" si="7"/>
        <v>0.22524195965157426</v>
      </c>
      <c r="AL56" s="9">
        <f t="shared" si="29"/>
        <v>1</v>
      </c>
      <c r="AM56" s="9">
        <v>0.505</v>
      </c>
      <c r="AN56" s="9">
        <f t="shared" si="30"/>
        <v>753.23744650000003</v>
      </c>
      <c r="AO56" s="9">
        <f t="shared" si="31"/>
        <v>651.48158702113801</v>
      </c>
      <c r="AP56" s="14">
        <f t="shared" si="32"/>
        <v>816.98661735494704</v>
      </c>
      <c r="AS56" s="13">
        <f t="shared" si="44"/>
        <v>0.49740878623902562</v>
      </c>
      <c r="AT56" s="9">
        <f t="shared" si="33"/>
        <v>168.7888988921799</v>
      </c>
      <c r="AU56" s="9">
        <f t="shared" si="34"/>
        <v>363.01850648871721</v>
      </c>
      <c r="AV56" s="9">
        <f t="shared" si="35"/>
        <v>9.4187388003860821</v>
      </c>
      <c r="AW56" s="9">
        <f t="shared" si="8"/>
        <v>0.26660290841657269</v>
      </c>
      <c r="AX56" s="9">
        <f t="shared" si="36"/>
        <v>1</v>
      </c>
      <c r="AY56" s="9">
        <v>0.505</v>
      </c>
      <c r="AZ56" s="9">
        <f t="shared" si="37"/>
        <v>753.23744650000003</v>
      </c>
      <c r="BA56" s="9">
        <f t="shared" si="38"/>
        <v>689.74681395297659</v>
      </c>
      <c r="BB56" s="14">
        <f t="shared" si="39"/>
        <v>513.27250405100312</v>
      </c>
    </row>
    <row r="57" spans="2:54">
      <c r="B57" s="13">
        <f t="shared" si="40"/>
        <v>0.49471484526971288</v>
      </c>
      <c r="C57" s="9">
        <f t="shared" si="9"/>
        <v>167.87474670494387</v>
      </c>
      <c r="D57" s="9" t="e">
        <f t="shared" si="10"/>
        <v>#DIV/0!</v>
      </c>
      <c r="E57" s="9">
        <f t="shared" si="11"/>
        <v>0</v>
      </c>
      <c r="F57" s="9">
        <f t="shared" si="12"/>
        <v>8.9838118423264543E-2</v>
      </c>
      <c r="G57" s="9">
        <f t="shared" si="13"/>
        <v>1</v>
      </c>
      <c r="H57" s="9">
        <v>0.5</v>
      </c>
      <c r="I57" s="9">
        <f t="shared" si="14"/>
        <v>745.77965000000006</v>
      </c>
      <c r="J57" s="9">
        <f t="shared" si="15"/>
        <v>592.66862127230729</v>
      </c>
      <c r="K57" s="14">
        <f t="shared" si="16"/>
        <v>1231.080098731479</v>
      </c>
      <c r="M57" s="13">
        <f t="shared" si="41"/>
        <v>0.49877108084870736</v>
      </c>
      <c r="N57" s="9">
        <f t="shared" si="17"/>
        <v>169.25117501897202</v>
      </c>
      <c r="O57" s="9">
        <f t="shared" si="18"/>
        <v>2336.0619975782015</v>
      </c>
      <c r="P57" s="9">
        <f t="shared" si="19"/>
        <v>3.7129145455715995</v>
      </c>
      <c r="Q57" s="9">
        <f t="shared" si="20"/>
        <v>0.13257427549681988</v>
      </c>
      <c r="R57" s="9">
        <f t="shared" si="21"/>
        <v>1</v>
      </c>
      <c r="S57" s="9">
        <f t="shared" si="0"/>
        <v>745.77965000000006</v>
      </c>
      <c r="T57" s="9">
        <f t="shared" si="1"/>
        <v>616.17089560078057</v>
      </c>
      <c r="U57" s="14">
        <f t="shared" si="2"/>
        <v>1050.655879399834</v>
      </c>
      <c r="W57" s="13">
        <f t="shared" si="42"/>
        <v>0.50219064562322646</v>
      </c>
      <c r="X57" s="9">
        <f t="shared" si="22"/>
        <v>170.4115577644111</v>
      </c>
      <c r="Y57" s="9">
        <f t="shared" si="23"/>
        <v>986.75158068954204</v>
      </c>
      <c r="Z57" s="9">
        <f t="shared" si="24"/>
        <v>5.7128552564591057</v>
      </c>
      <c r="AA57" s="9">
        <f t="shared" si="3"/>
        <v>0.1743665967004833</v>
      </c>
      <c r="AB57" s="9">
        <f t="shared" si="25"/>
        <v>1</v>
      </c>
      <c r="AC57" s="9">
        <f t="shared" si="4"/>
        <v>745.77965000000006</v>
      </c>
      <c r="AD57" s="9">
        <f t="shared" si="5"/>
        <v>643.45209834540492</v>
      </c>
      <c r="AE57" s="14">
        <f t="shared" si="6"/>
        <v>835.19155697060171</v>
      </c>
      <c r="AG57" s="13">
        <f t="shared" si="43"/>
        <v>0.50520334266823785</v>
      </c>
      <c r="AH57" s="9">
        <f t="shared" si="26"/>
        <v>171.43387548575274</v>
      </c>
      <c r="AI57" s="9">
        <f t="shared" si="27"/>
        <v>570.64363213561614</v>
      </c>
      <c r="AJ57" s="9">
        <f t="shared" si="28"/>
        <v>7.5123298474291929</v>
      </c>
      <c r="AK57" s="9">
        <f t="shared" si="7"/>
        <v>0.21536648046465101</v>
      </c>
      <c r="AL57" s="9">
        <f t="shared" si="29"/>
        <v>1</v>
      </c>
      <c r="AM57" s="9">
        <v>0.5</v>
      </c>
      <c r="AN57" s="9">
        <f t="shared" si="30"/>
        <v>745.77965000000006</v>
      </c>
      <c r="AO57" s="9">
        <f t="shared" si="31"/>
        <v>674.89991631058058</v>
      </c>
      <c r="AP57" s="14">
        <f t="shared" si="32"/>
        <v>581.9868689663798</v>
      </c>
      <c r="AS57" s="13">
        <f t="shared" si="44"/>
        <v>0.50792702899122066</v>
      </c>
      <c r="AT57" s="9">
        <f t="shared" si="33"/>
        <v>172.35812135374397</v>
      </c>
      <c r="AU57" s="9">
        <f t="shared" si="34"/>
        <v>378.53366458450472</v>
      </c>
      <c r="AV57" s="9">
        <f t="shared" si="35"/>
        <v>9.2236938914377706</v>
      </c>
      <c r="AW57" s="9">
        <f t="shared" si="8"/>
        <v>0.25567551500383578</v>
      </c>
      <c r="AX57" s="9">
        <f t="shared" si="36"/>
        <v>1</v>
      </c>
      <c r="AY57" s="9">
        <v>0.5</v>
      </c>
      <c r="AZ57" s="9">
        <f t="shared" si="37"/>
        <v>745.77965000000006</v>
      </c>
      <c r="BA57" s="9">
        <f t="shared" si="38"/>
        <v>710.66820463717386</v>
      </c>
      <c r="BB57" s="14">
        <f t="shared" si="39"/>
        <v>289.85108151576475</v>
      </c>
    </row>
    <row r="58" spans="2:54">
      <c r="B58" s="13">
        <f t="shared" si="40"/>
        <v>0.5085361339522847</v>
      </c>
      <c r="C58" s="9">
        <f t="shared" si="9"/>
        <v>172.56481282870791</v>
      </c>
      <c r="D58" s="9" t="e">
        <f t="shared" si="10"/>
        <v>#DIV/0!</v>
      </c>
      <c r="E58" s="9">
        <f t="shared" si="11"/>
        <v>0</v>
      </c>
      <c r="F58" s="9">
        <f t="shared" si="12"/>
        <v>8.5021135089753869E-2</v>
      </c>
      <c r="G58" s="9">
        <f t="shared" si="13"/>
        <v>1</v>
      </c>
      <c r="H58" s="9">
        <v>0.497</v>
      </c>
      <c r="I58" s="9">
        <f t="shared" si="14"/>
        <v>741.30497209999999</v>
      </c>
      <c r="J58" s="9">
        <f t="shared" si="15"/>
        <v>624.98097701328993</v>
      </c>
      <c r="K58" s="14">
        <f t="shared" si="16"/>
        <v>961.42634823963328</v>
      </c>
      <c r="M58" s="13">
        <f t="shared" si="41"/>
        <v>0.5115783106365307</v>
      </c>
      <c r="N58" s="9">
        <f t="shared" si="17"/>
        <v>173.59713406422907</v>
      </c>
      <c r="O58" s="9">
        <f t="shared" si="18"/>
        <v>2457.5710463049068</v>
      </c>
      <c r="P58" s="9">
        <f t="shared" si="19"/>
        <v>3.6199626967949765</v>
      </c>
      <c r="Q58" s="9">
        <f t="shared" si="20"/>
        <v>0.12601943993042947</v>
      </c>
      <c r="R58" s="9">
        <f t="shared" si="21"/>
        <v>1</v>
      </c>
      <c r="S58" s="9">
        <f t="shared" si="0"/>
        <v>741.30497209999999</v>
      </c>
      <c r="T58" s="9">
        <f t="shared" si="1"/>
        <v>645.64230393337959</v>
      </c>
      <c r="U58" s="14">
        <f t="shared" si="2"/>
        <v>795.38886481323925</v>
      </c>
      <c r="W58" s="13">
        <f t="shared" si="42"/>
        <v>0.51414298421741988</v>
      </c>
      <c r="X58" s="9">
        <f t="shared" si="22"/>
        <v>174.46742112330833</v>
      </c>
      <c r="Y58" s="9">
        <f t="shared" si="23"/>
        <v>1034.2807011015227</v>
      </c>
      <c r="Z58" s="9">
        <f t="shared" si="24"/>
        <v>5.5800478809607332</v>
      </c>
      <c r="AA58" s="9">
        <f t="shared" si="3"/>
        <v>0.16635379034957848</v>
      </c>
      <c r="AB58" s="9">
        <f t="shared" si="25"/>
        <v>1</v>
      </c>
      <c r="AC58" s="9">
        <f t="shared" si="4"/>
        <v>741.30497209999999</v>
      </c>
      <c r="AD58" s="9">
        <f t="shared" si="5"/>
        <v>670.25076204775451</v>
      </c>
      <c r="AE58" s="14">
        <f t="shared" si="6"/>
        <v>593.74316473021054</v>
      </c>
      <c r="AG58" s="13">
        <f t="shared" si="43"/>
        <v>0.51640250700117851</v>
      </c>
      <c r="AH58" s="9">
        <f t="shared" si="26"/>
        <v>175.23415941431458</v>
      </c>
      <c r="AI58" s="9">
        <f t="shared" si="27"/>
        <v>596.22369060999779</v>
      </c>
      <c r="AJ58" s="9">
        <f t="shared" si="28"/>
        <v>7.3494107768515171</v>
      </c>
      <c r="AK58" s="9">
        <f t="shared" si="7"/>
        <v>0.20612651356888545</v>
      </c>
      <c r="AL58" s="9">
        <f t="shared" si="29"/>
        <v>1</v>
      </c>
      <c r="AM58" s="9">
        <v>0.497</v>
      </c>
      <c r="AN58" s="9">
        <f t="shared" si="30"/>
        <v>741.30497209999999</v>
      </c>
      <c r="AO58" s="9">
        <f t="shared" si="31"/>
        <v>699.1169579816426</v>
      </c>
      <c r="AP58" s="14">
        <f t="shared" si="32"/>
        <v>354.08075135494335</v>
      </c>
      <c r="AS58" s="13">
        <f t="shared" si="44"/>
        <v>0.5184452717434157</v>
      </c>
      <c r="AT58" s="9">
        <f t="shared" si="33"/>
        <v>175.92734381530806</v>
      </c>
      <c r="AU58" s="9">
        <f t="shared" si="34"/>
        <v>394.37347479497464</v>
      </c>
      <c r="AV58" s="9">
        <f t="shared" si="35"/>
        <v>9.036563143584992</v>
      </c>
      <c r="AW58" s="9">
        <f t="shared" si="8"/>
        <v>0.2454064378676761</v>
      </c>
      <c r="AX58" s="9">
        <f t="shared" si="36"/>
        <v>1</v>
      </c>
      <c r="AY58" s="9">
        <v>0.497</v>
      </c>
      <c r="AZ58" s="9">
        <f t="shared" si="37"/>
        <v>741.30497209999999</v>
      </c>
      <c r="BA58" s="9">
        <f t="shared" si="38"/>
        <v>732.36742533302424</v>
      </c>
      <c r="BB58" s="14">
        <f t="shared" si="39"/>
        <v>75.308871340265554</v>
      </c>
    </row>
    <row r="59" spans="2:54">
      <c r="B59" s="13">
        <f t="shared" si="40"/>
        <v>0.52235742263485652</v>
      </c>
      <c r="C59" s="9">
        <f t="shared" si="9"/>
        <v>177.25487895247196</v>
      </c>
      <c r="D59" s="9" t="e">
        <f t="shared" si="10"/>
        <v>#DIV/0!</v>
      </c>
      <c r="E59" s="9">
        <f t="shared" si="11"/>
        <v>0</v>
      </c>
      <c r="F59" s="9">
        <f t="shared" si="12"/>
        <v>8.058143410401003E-2</v>
      </c>
      <c r="G59" s="9">
        <f t="shared" si="13"/>
        <v>1</v>
      </c>
      <c r="H59" s="9">
        <v>0.495</v>
      </c>
      <c r="I59" s="9">
        <f t="shared" si="14"/>
        <v>738.32185349999997</v>
      </c>
      <c r="J59" s="9">
        <f t="shared" si="15"/>
        <v>658.24881168781553</v>
      </c>
      <c r="K59" s="14">
        <f t="shared" si="16"/>
        <v>679.79660391281959</v>
      </c>
      <c r="M59" s="13">
        <f t="shared" si="41"/>
        <v>0.52438554042435404</v>
      </c>
      <c r="N59" s="9">
        <f t="shared" si="17"/>
        <v>177.94309310948611</v>
      </c>
      <c r="O59" s="9">
        <f t="shared" si="18"/>
        <v>2582.1606022728838</v>
      </c>
      <c r="P59" s="9">
        <f t="shared" si="19"/>
        <v>3.5315512313611963</v>
      </c>
      <c r="Q59" s="9">
        <f t="shared" si="20"/>
        <v>0.11993898697547183</v>
      </c>
      <c r="R59" s="9">
        <f t="shared" si="21"/>
        <v>1</v>
      </c>
      <c r="S59" s="9">
        <f t="shared" si="0"/>
        <v>738.32185349999997</v>
      </c>
      <c r="T59" s="9">
        <f t="shared" si="1"/>
        <v>675.98366543536736</v>
      </c>
      <c r="U59" s="14">
        <f t="shared" si="2"/>
        <v>531.28771783156003</v>
      </c>
      <c r="W59" s="13">
        <f t="shared" si="42"/>
        <v>0.52609532281161331</v>
      </c>
      <c r="X59" s="9">
        <f t="shared" si="22"/>
        <v>178.52328448220555</v>
      </c>
      <c r="Y59" s="9">
        <f t="shared" si="23"/>
        <v>1082.9277302859157</v>
      </c>
      <c r="Z59" s="9">
        <f t="shared" si="24"/>
        <v>5.4532749963651854</v>
      </c>
      <c r="AA59" s="9">
        <f t="shared" si="3"/>
        <v>0.15888088383167659</v>
      </c>
      <c r="AB59" s="9">
        <f t="shared" si="25"/>
        <v>1</v>
      </c>
      <c r="AC59" s="9">
        <f t="shared" si="4"/>
        <v>738.32185349999997</v>
      </c>
      <c r="AD59" s="9">
        <f t="shared" si="5"/>
        <v>697.86590786676618</v>
      </c>
      <c r="AE59" s="14">
        <f t="shared" si="6"/>
        <v>345.91682909355126</v>
      </c>
      <c r="AG59" s="13">
        <f t="shared" si="43"/>
        <v>0.52760167133411917</v>
      </c>
      <c r="AH59" s="9">
        <f t="shared" si="26"/>
        <v>179.03444334287647</v>
      </c>
      <c r="AI59" s="9">
        <f t="shared" si="27"/>
        <v>622.36458236189776</v>
      </c>
      <c r="AJ59" s="9">
        <f t="shared" si="28"/>
        <v>7.1934081265336731</v>
      </c>
      <c r="AK59" s="9">
        <f t="shared" si="7"/>
        <v>0.19746867693886411</v>
      </c>
      <c r="AL59" s="9">
        <f t="shared" si="29"/>
        <v>1</v>
      </c>
      <c r="AM59" s="9">
        <v>0.495</v>
      </c>
      <c r="AN59" s="9">
        <f t="shared" si="30"/>
        <v>738.32185349999997</v>
      </c>
      <c r="AO59" s="9">
        <f t="shared" si="31"/>
        <v>724.11565702839437</v>
      </c>
      <c r="AP59" s="14">
        <f t="shared" si="32"/>
        <v>121.81727289468003</v>
      </c>
      <c r="AS59" s="13">
        <f t="shared" si="44"/>
        <v>0.52896351449561074</v>
      </c>
      <c r="AT59" s="9">
        <f t="shared" si="33"/>
        <v>179.49656627687213</v>
      </c>
      <c r="AU59" s="9">
        <f t="shared" si="34"/>
        <v>410.53793712012674</v>
      </c>
      <c r="AV59" s="9">
        <f t="shared" si="35"/>
        <v>8.8568744463779669</v>
      </c>
      <c r="AW59" s="9">
        <f t="shared" si="8"/>
        <v>0.23574383969930976</v>
      </c>
      <c r="AX59" s="9">
        <f t="shared" si="36"/>
        <v>1</v>
      </c>
      <c r="AY59" s="9">
        <v>0.495</v>
      </c>
      <c r="AZ59" s="9">
        <f t="shared" si="37"/>
        <v>738.32185349999997</v>
      </c>
      <c r="BA59" s="9">
        <f t="shared" si="38"/>
        <v>754.82460225862724</v>
      </c>
      <c r="BB59" s="14">
        <f t="shared" si="39"/>
        <v>-141.87533461231044</v>
      </c>
    </row>
    <row r="60" spans="2:54">
      <c r="B60" s="13">
        <f t="shared" si="40"/>
        <v>0.53617871131742834</v>
      </c>
      <c r="C60" s="9">
        <f t="shared" si="9"/>
        <v>181.944945076236</v>
      </c>
      <c r="D60" s="9" t="e">
        <f t="shared" si="10"/>
        <v>#DIV/0!</v>
      </c>
      <c r="E60" s="9">
        <f t="shared" si="11"/>
        <v>0</v>
      </c>
      <c r="F60" s="9">
        <f t="shared" si="12"/>
        <v>7.6480619978564007E-2</v>
      </c>
      <c r="G60" s="9">
        <f t="shared" si="13"/>
        <v>1</v>
      </c>
      <c r="H60" s="9">
        <v>0.48</v>
      </c>
      <c r="I60" s="9">
        <f t="shared" si="14"/>
        <v>715.94846399999994</v>
      </c>
      <c r="J60" s="9">
        <f t="shared" si="15"/>
        <v>692.46721851116479</v>
      </c>
      <c r="K60" s="14">
        <f t="shared" si="16"/>
        <v>204.62353778894027</v>
      </c>
      <c r="M60" s="13">
        <f t="shared" si="41"/>
        <v>0.53719277021217737</v>
      </c>
      <c r="N60" s="9">
        <f t="shared" si="17"/>
        <v>182.28905215474316</v>
      </c>
      <c r="O60" s="9">
        <f t="shared" si="18"/>
        <v>2709.830665482134</v>
      </c>
      <c r="P60" s="9">
        <f t="shared" si="19"/>
        <v>3.4473554070025609</v>
      </c>
      <c r="Q60" s="9">
        <f t="shared" si="20"/>
        <v>0.11428822132304037</v>
      </c>
      <c r="R60" s="9">
        <f t="shared" si="21"/>
        <v>1</v>
      </c>
      <c r="S60" s="9">
        <f t="shared" si="0"/>
        <v>715.94846399999994</v>
      </c>
      <c r="T60" s="9">
        <f t="shared" si="1"/>
        <v>707.18641229292393</v>
      </c>
      <c r="U60" s="14">
        <f t="shared" si="2"/>
        <v>76.499899448901999</v>
      </c>
      <c r="W60" s="13">
        <f t="shared" si="42"/>
        <v>0.53804766140580673</v>
      </c>
      <c r="X60" s="9">
        <f t="shared" si="22"/>
        <v>182.57914784110281</v>
      </c>
      <c r="Y60" s="9">
        <f t="shared" si="23"/>
        <v>1132.6926682427209</v>
      </c>
      <c r="Z60" s="9">
        <f t="shared" si="24"/>
        <v>5.3321344471552781</v>
      </c>
      <c r="AA60" s="9">
        <f t="shared" si="3"/>
        <v>0.15190044019671217</v>
      </c>
      <c r="AB60" s="9">
        <f t="shared" si="25"/>
        <v>1</v>
      </c>
      <c r="AC60" s="9">
        <f t="shared" si="4"/>
        <v>715.94846399999994</v>
      </c>
      <c r="AD60" s="9">
        <f t="shared" si="5"/>
        <v>726.28541130984695</v>
      </c>
      <c r="AE60" s="14">
        <f t="shared" si="6"/>
        <v>-90.393654381968616</v>
      </c>
      <c r="AG60" s="13">
        <f t="shared" si="43"/>
        <v>0.53880083566705983</v>
      </c>
      <c r="AH60" s="9">
        <f t="shared" si="26"/>
        <v>182.83472727143831</v>
      </c>
      <c r="AI60" s="9">
        <f t="shared" si="27"/>
        <v>649.06630739131549</v>
      </c>
      <c r="AJ60" s="9">
        <f t="shared" si="28"/>
        <v>7.043890615813365</v>
      </c>
      <c r="AK60" s="9">
        <f t="shared" si="7"/>
        <v>0.18934507808078077</v>
      </c>
      <c r="AL60" s="9">
        <f t="shared" si="29"/>
        <v>1</v>
      </c>
      <c r="AM60" s="9">
        <v>0.48399999999999999</v>
      </c>
      <c r="AN60" s="9">
        <f t="shared" si="30"/>
        <v>721.91470119999997</v>
      </c>
      <c r="AO60" s="9">
        <f t="shared" si="31"/>
        <v>749.88071229357217</v>
      </c>
      <c r="AP60" s="14">
        <f t="shared" si="32"/>
        <v>-244.89712105883922</v>
      </c>
      <c r="AS60" s="13">
        <f t="shared" si="44"/>
        <v>0.53948175724780578</v>
      </c>
      <c r="AT60" s="9">
        <f t="shared" si="33"/>
        <v>183.06578873843623</v>
      </c>
      <c r="AU60" s="9">
        <f t="shared" si="34"/>
        <v>427.02705155996125</v>
      </c>
      <c r="AV60" s="9">
        <f t="shared" si="35"/>
        <v>8.6841925082009084</v>
      </c>
      <c r="AW60" s="9">
        <f t="shared" si="8"/>
        <v>0.22664088676673172</v>
      </c>
      <c r="AX60" s="9">
        <f t="shared" si="36"/>
        <v>1</v>
      </c>
      <c r="AY60" s="9">
        <v>0.48</v>
      </c>
      <c r="AZ60" s="9">
        <f t="shared" si="37"/>
        <v>715.94846399999994</v>
      </c>
      <c r="BA60" s="9">
        <f t="shared" si="38"/>
        <v>778.0217799414238</v>
      </c>
      <c r="BB60" s="14">
        <f t="shared" si="39"/>
        <v>-544.26023250507239</v>
      </c>
    </row>
    <row r="61" spans="2:54">
      <c r="B61" s="13">
        <f t="shared" si="40"/>
        <v>0.55000000000000016</v>
      </c>
      <c r="C61" s="9">
        <f t="shared" si="9"/>
        <v>186.63501120000004</v>
      </c>
      <c r="D61" s="9" t="e">
        <f t="shared" si="10"/>
        <v>#DIV/0!</v>
      </c>
      <c r="E61" s="9">
        <f t="shared" si="11"/>
        <v>0</v>
      </c>
      <c r="F61" s="9">
        <f t="shared" si="12"/>
        <v>7.268506011538145E-2</v>
      </c>
      <c r="G61" s="9">
        <f t="shared" si="13"/>
        <v>1</v>
      </c>
      <c r="H61" s="9">
        <v>0.47</v>
      </c>
      <c r="I61" s="9">
        <f t="shared" si="14"/>
        <v>701.032871</v>
      </c>
      <c r="J61" s="9">
        <f t="shared" si="15"/>
        <v>727.63189937621621</v>
      </c>
      <c r="K61" s="14">
        <f t="shared" si="16"/>
        <v>-237.76797320268554</v>
      </c>
      <c r="M61" s="13">
        <f t="shared" si="41"/>
        <v>0.55000000000000071</v>
      </c>
      <c r="N61" s="9">
        <f t="shared" si="17"/>
        <v>186.63501120000024</v>
      </c>
      <c r="O61" s="9">
        <f t="shared" si="18"/>
        <v>2840.5812359326569</v>
      </c>
      <c r="P61" s="9">
        <f t="shared" si="19"/>
        <v>3.3670807290793303</v>
      </c>
      <c r="Q61" s="9">
        <f t="shared" si="20"/>
        <v>0.10902759017307194</v>
      </c>
      <c r="R61" s="9">
        <f t="shared" si="21"/>
        <v>1</v>
      </c>
      <c r="S61" s="9">
        <f t="shared" si="0"/>
        <v>701.032871</v>
      </c>
      <c r="T61" s="9">
        <f t="shared" si="1"/>
        <v>739.24296247931613</v>
      </c>
      <c r="U61" s="14">
        <f t="shared" si="2"/>
        <v>-341.55894262099349</v>
      </c>
      <c r="W61" s="13">
        <f t="shared" si="42"/>
        <v>0.55000000000000016</v>
      </c>
      <c r="X61" s="9">
        <f t="shared" si="22"/>
        <v>186.63501120000004</v>
      </c>
      <c r="Y61" s="9">
        <f t="shared" si="23"/>
        <v>1183.5755149719382</v>
      </c>
      <c r="Z61" s="9">
        <f t="shared" si="24"/>
        <v>5.2162590356240743</v>
      </c>
      <c r="AA61" s="9">
        <f t="shared" si="3"/>
        <v>0.1453701202307629</v>
      </c>
      <c r="AB61" s="9">
        <f t="shared" si="25"/>
        <v>1</v>
      </c>
      <c r="AC61" s="9">
        <f t="shared" si="4"/>
        <v>701.032871</v>
      </c>
      <c r="AD61" s="9">
        <f t="shared" si="5"/>
        <v>755.49845082365266</v>
      </c>
      <c r="AE61" s="14">
        <f t="shared" si="6"/>
        <v>-486.8662998065937</v>
      </c>
      <c r="AG61" s="13">
        <f t="shared" si="43"/>
        <v>0.55000000000000049</v>
      </c>
      <c r="AH61" s="9">
        <f t="shared" si="26"/>
        <v>186.63501120000015</v>
      </c>
      <c r="AI61" s="9">
        <f t="shared" si="27"/>
        <v>676.32886569825109</v>
      </c>
      <c r="AJ61" s="9">
        <f t="shared" si="28"/>
        <v>6.9004620911774515</v>
      </c>
      <c r="AK61" s="9">
        <f t="shared" si="7"/>
        <v>0.1817126502884534</v>
      </c>
      <c r="AL61" s="9">
        <f t="shared" si="29"/>
        <v>1</v>
      </c>
      <c r="AM61" s="9">
        <v>0.46</v>
      </c>
      <c r="AN61" s="9">
        <f t="shared" si="30"/>
        <v>686.11727799999994</v>
      </c>
      <c r="AO61" s="9">
        <f t="shared" si="31"/>
        <v>776.39836440923079</v>
      </c>
      <c r="AP61" s="14">
        <f t="shared" si="32"/>
        <v>-807.02011481191357</v>
      </c>
      <c r="AS61" s="13">
        <f t="shared" si="44"/>
        <v>0.55000000000000082</v>
      </c>
      <c r="AT61" s="9">
        <f t="shared" si="33"/>
        <v>186.63501120000026</v>
      </c>
      <c r="AU61" s="9">
        <f t="shared" si="34"/>
        <v>443.84081811447788</v>
      </c>
      <c r="AV61" s="9">
        <f t="shared" si="35"/>
        <v>8.5181153356408181</v>
      </c>
      <c r="AW61" s="9">
        <f t="shared" si="8"/>
        <v>0.2180551803461438</v>
      </c>
      <c r="AX61" s="9">
        <f t="shared" si="36"/>
        <v>1</v>
      </c>
      <c r="AY61" s="9">
        <v>0.47</v>
      </c>
      <c r="AZ61" s="9">
        <f t="shared" si="37"/>
        <v>701.032871</v>
      </c>
      <c r="BA61" s="9">
        <f t="shared" si="38"/>
        <v>801.94270323604849</v>
      </c>
      <c r="BB61" s="14">
        <f t="shared" si="39"/>
        <v>-902.03017747979072</v>
      </c>
    </row>
    <row r="62" spans="2:54">
      <c r="B62" s="13">
        <f t="shared" si="40"/>
        <v>0.56382128868257197</v>
      </c>
      <c r="C62" s="9">
        <f t="shared" si="9"/>
        <v>191.32507732376408</v>
      </c>
      <c r="D62" s="9" t="e">
        <f t="shared" si="10"/>
        <v>#DIV/0!</v>
      </c>
      <c r="E62" s="9">
        <f t="shared" si="11"/>
        <v>0</v>
      </c>
      <c r="F62" s="9">
        <f t="shared" si="12"/>
        <v>6.9165193010412018E-2</v>
      </c>
      <c r="G62" s="9">
        <f t="shared" si="13"/>
        <v>1</v>
      </c>
      <c r="H62" s="9">
        <v>0.46</v>
      </c>
      <c r="I62" s="9">
        <f t="shared" si="14"/>
        <v>686.11727799999994</v>
      </c>
      <c r="J62" s="9">
        <f t="shared" si="15"/>
        <v>763.73907644484598</v>
      </c>
      <c r="K62" s="14">
        <f t="shared" si="16"/>
        <v>-711.29550498447202</v>
      </c>
      <c r="M62" s="13">
        <f t="shared" si="41"/>
        <v>0.56280722978782405</v>
      </c>
      <c r="N62" s="9">
        <f t="shared" si="17"/>
        <v>190.98097024525728</v>
      </c>
      <c r="O62" s="9">
        <f t="shared" si="18"/>
        <v>2974.4123136244521</v>
      </c>
      <c r="P62" s="9">
        <f t="shared" si="19"/>
        <v>3.2904595090077122</v>
      </c>
      <c r="Q62" s="9">
        <f t="shared" si="20"/>
        <v>0.10412198921648451</v>
      </c>
      <c r="R62" s="9">
        <f t="shared" si="21"/>
        <v>1</v>
      </c>
      <c r="S62" s="9">
        <f t="shared" si="0"/>
        <v>686.11727799999994</v>
      </c>
      <c r="T62" s="9">
        <f t="shared" si="1"/>
        <v>772.14658671597158</v>
      </c>
      <c r="U62" s="14">
        <f t="shared" si="2"/>
        <v>-786.92074487542527</v>
      </c>
      <c r="W62" s="13">
        <f t="shared" si="42"/>
        <v>0.56195233859419358</v>
      </c>
      <c r="X62" s="9">
        <f t="shared" si="22"/>
        <v>190.69087455889729</v>
      </c>
      <c r="Y62" s="9">
        <f t="shared" si="23"/>
        <v>1235.576270473568</v>
      </c>
      <c r="Z62" s="9">
        <f t="shared" si="24"/>
        <v>5.1053128042323364</v>
      </c>
      <c r="AA62" s="9">
        <f t="shared" si="3"/>
        <v>0.13925203892731969</v>
      </c>
      <c r="AB62" s="9">
        <f t="shared" si="25"/>
        <v>1</v>
      </c>
      <c r="AC62" s="9">
        <f t="shared" si="4"/>
        <v>686.11727799999994</v>
      </c>
      <c r="AD62" s="9">
        <f t="shared" si="5"/>
        <v>785.49534331346172</v>
      </c>
      <c r="AE62" s="14">
        <f t="shared" si="6"/>
        <v>-907.64268955089551</v>
      </c>
      <c r="AG62" s="13">
        <f t="shared" si="43"/>
        <v>0.56119916433294115</v>
      </c>
      <c r="AH62" s="9">
        <f t="shared" si="26"/>
        <v>190.43529512856202</v>
      </c>
      <c r="AI62" s="9">
        <f t="shared" si="27"/>
        <v>704.15225728270502</v>
      </c>
      <c r="AJ62" s="9">
        <f t="shared" si="28"/>
        <v>6.762758021314518</v>
      </c>
      <c r="AK62" s="9">
        <f t="shared" si="7"/>
        <v>0.17453258067632871</v>
      </c>
      <c r="AL62" s="9">
        <f t="shared" si="29"/>
        <v>1</v>
      </c>
      <c r="AM62" s="9">
        <v>0.45</v>
      </c>
      <c r="AN62" s="9">
        <f t="shared" si="30"/>
        <v>671.201685</v>
      </c>
      <c r="AO62" s="9">
        <f t="shared" si="31"/>
        <v>803.65621305919433</v>
      </c>
      <c r="AP62" s="14">
        <f t="shared" si="32"/>
        <v>-1208.1162299589569</v>
      </c>
      <c r="AS62" s="13">
        <f t="shared" si="44"/>
        <v>0.56051824275219586</v>
      </c>
      <c r="AT62" s="9">
        <f t="shared" si="33"/>
        <v>190.20423366156433</v>
      </c>
      <c r="AU62" s="9">
        <f t="shared" si="34"/>
        <v>460.97923678367687</v>
      </c>
      <c r="AV62" s="9">
        <f t="shared" si="35"/>
        <v>8.3582711092485731</v>
      </c>
      <c r="AW62" s="9">
        <f t="shared" si="8"/>
        <v>0.20994826212606432</v>
      </c>
      <c r="AX62" s="9">
        <f t="shared" si="36"/>
        <v>1</v>
      </c>
      <c r="AY62" s="9">
        <v>0.46400000000000002</v>
      </c>
      <c r="AZ62" s="9">
        <f t="shared" si="37"/>
        <v>692.08351520000008</v>
      </c>
      <c r="BA62" s="9">
        <f t="shared" si="38"/>
        <v>826.57262770239527</v>
      </c>
      <c r="BB62" s="14">
        <f t="shared" si="39"/>
        <v>-1225.1852874371123</v>
      </c>
    </row>
    <row r="63" spans="2:54">
      <c r="B63" s="13">
        <f t="shared" si="40"/>
        <v>0.57764257736514379</v>
      </c>
      <c r="C63" s="9">
        <f t="shared" si="9"/>
        <v>196.01514344752812</v>
      </c>
      <c r="D63" s="9" t="e">
        <f t="shared" si="10"/>
        <v>#DIV/0!</v>
      </c>
      <c r="E63" s="9">
        <f t="shared" si="11"/>
        <v>0</v>
      </c>
      <c r="F63" s="9">
        <f t="shared" si="12"/>
        <v>6.5894950910153099E-2</v>
      </c>
      <c r="G63" s="9">
        <f t="shared" si="13"/>
        <v>1</v>
      </c>
      <c r="H63" s="9">
        <v>0.45500000000000002</v>
      </c>
      <c r="I63" s="9">
        <f t="shared" si="14"/>
        <v>678.65948149999997</v>
      </c>
      <c r="J63" s="9">
        <f t="shared" si="15"/>
        <v>800.78541836581996</v>
      </c>
      <c r="K63" s="14">
        <f t="shared" si="16"/>
        <v>-1146.5473606441685</v>
      </c>
      <c r="M63" s="13">
        <f t="shared" si="41"/>
        <v>0.57561445957564739</v>
      </c>
      <c r="N63" s="9">
        <f t="shared" si="17"/>
        <v>195.32692929051436</v>
      </c>
      <c r="O63" s="9">
        <f t="shared" si="18"/>
        <v>3111.3238985575204</v>
      </c>
      <c r="P63" s="9">
        <f t="shared" si="19"/>
        <v>3.2172478821308301</v>
      </c>
      <c r="Q63" s="9">
        <f t="shared" si="20"/>
        <v>9.9540175482266124E-2</v>
      </c>
      <c r="R63" s="9">
        <f t="shared" si="21"/>
        <v>1</v>
      </c>
      <c r="S63" s="9">
        <f t="shared" si="0"/>
        <v>678.65948149999997</v>
      </c>
      <c r="T63" s="9">
        <f t="shared" si="1"/>
        <v>805.89129591890514</v>
      </c>
      <c r="U63" s="14">
        <f t="shared" si="2"/>
        <v>-1190.2886956388936</v>
      </c>
      <c r="W63" s="13">
        <f t="shared" si="42"/>
        <v>0.573904677188387</v>
      </c>
      <c r="X63" s="9">
        <f t="shared" si="22"/>
        <v>194.74673791779452</v>
      </c>
      <c r="Y63" s="9">
        <f t="shared" si="23"/>
        <v>1288.6949347476093</v>
      </c>
      <c r="Z63" s="9">
        <f t="shared" si="24"/>
        <v>4.9989877825154876</v>
      </c>
      <c r="AA63" s="9">
        <f t="shared" si="3"/>
        <v>0.1335122147797958</v>
      </c>
      <c r="AB63" s="9">
        <f t="shared" si="25"/>
        <v>1</v>
      </c>
      <c r="AC63" s="9">
        <f t="shared" si="4"/>
        <v>678.65948149999997</v>
      </c>
      <c r="AD63" s="9">
        <f t="shared" si="5"/>
        <v>816.26740338688739</v>
      </c>
      <c r="AE63" s="14">
        <f t="shared" si="6"/>
        <v>-1283.5361179338854</v>
      </c>
      <c r="AG63" s="13">
        <f t="shared" si="43"/>
        <v>0.57239832866588181</v>
      </c>
      <c r="AH63" s="9">
        <f t="shared" si="26"/>
        <v>194.23557905712386</v>
      </c>
      <c r="AI63" s="9">
        <f t="shared" si="27"/>
        <v>732.5364821446766</v>
      </c>
      <c r="AJ63" s="9">
        <f t="shared" si="28"/>
        <v>6.6304424036202132</v>
      </c>
      <c r="AK63" s="9">
        <f t="shared" si="7"/>
        <v>0.16776981576781089</v>
      </c>
      <c r="AL63" s="9">
        <f t="shared" si="29"/>
        <v>1</v>
      </c>
      <c r="AM63" s="9">
        <v>0.437</v>
      </c>
      <c r="AN63" s="9">
        <f t="shared" si="30"/>
        <v>651.81141409999998</v>
      </c>
      <c r="AO63" s="9">
        <f t="shared" si="31"/>
        <v>831.64305901962996</v>
      </c>
      <c r="AP63" s="14">
        <f t="shared" si="32"/>
        <v>-1672.9746768856164</v>
      </c>
      <c r="AS63" s="13">
        <f t="shared" si="44"/>
        <v>0.5710364855043909</v>
      </c>
      <c r="AT63" s="9">
        <f t="shared" si="33"/>
        <v>193.77345612312843</v>
      </c>
      <c r="AU63" s="9">
        <f t="shared" si="34"/>
        <v>478.44230756755832</v>
      </c>
      <c r="AV63" s="9">
        <f t="shared" si="35"/>
        <v>8.2043154045827276</v>
      </c>
      <c r="AW63" s="9">
        <f t="shared" si="8"/>
        <v>0.20228518278615323</v>
      </c>
      <c r="AX63" s="9">
        <f t="shared" si="36"/>
        <v>1</v>
      </c>
      <c r="AY63" s="9">
        <v>0.45</v>
      </c>
      <c r="AZ63" s="9">
        <f t="shared" si="37"/>
        <v>671.201685</v>
      </c>
      <c r="BA63" s="9">
        <f t="shared" si="38"/>
        <v>851.89815420408422</v>
      </c>
      <c r="BB63" s="14">
        <f t="shared" si="39"/>
        <v>-1677.0206787230031</v>
      </c>
    </row>
    <row r="64" spans="2:54" ht="15.75" thickBot="1">
      <c r="B64" s="18">
        <f t="shared" si="40"/>
        <v>0.59146386604771561</v>
      </c>
      <c r="C64" s="15">
        <f t="shared" si="9"/>
        <v>200.70520957129216</v>
      </c>
      <c r="D64" s="15" t="e">
        <f t="shared" si="10"/>
        <v>#DIV/0!</v>
      </c>
      <c r="E64" s="15">
        <f t="shared" si="11"/>
        <v>0</v>
      </c>
      <c r="F64" s="15">
        <f t="shared" si="12"/>
        <v>6.285127578061829E-2</v>
      </c>
      <c r="G64" s="15">
        <f t="shared" si="13"/>
        <v>1</v>
      </c>
      <c r="H64" s="15">
        <v>0.42</v>
      </c>
      <c r="I64" s="15">
        <f t="shared" si="14"/>
        <v>626.45490599999994</v>
      </c>
      <c r="J64" s="15">
        <f t="shared" si="15"/>
        <v>838.76797841762823</v>
      </c>
      <c r="K64" s="16">
        <f t="shared" si="16"/>
        <v>-2040.938161882149</v>
      </c>
      <c r="M64" s="13">
        <f t="shared" si="41"/>
        <v>0.58842168936347072</v>
      </c>
      <c r="N64" s="15">
        <f t="shared" si="17"/>
        <v>199.6728883357714</v>
      </c>
      <c r="O64" s="9">
        <f t="shared" si="18"/>
        <v>3251.31599073186</v>
      </c>
      <c r="P64" s="9">
        <f t="shared" si="19"/>
        <v>3.14722321503297</v>
      </c>
      <c r="Q64" s="9">
        <f t="shared" si="20"/>
        <v>9.5254268649191232E-2</v>
      </c>
      <c r="R64" s="15">
        <f t="shared" si="21"/>
        <v>1</v>
      </c>
      <c r="S64" s="9">
        <f t="shared" si="0"/>
        <v>626.45490599999994</v>
      </c>
      <c r="T64" s="15">
        <f t="shared" si="1"/>
        <v>840.47174560326175</v>
      </c>
      <c r="U64" s="16">
        <f t="shared" si="2"/>
        <v>-2046.7345113740632</v>
      </c>
      <c r="W64" s="13">
        <f t="shared" si="42"/>
        <v>0.58585701578258043</v>
      </c>
      <c r="X64" s="15">
        <f t="shared" si="22"/>
        <v>198.80260127669177</v>
      </c>
      <c r="Y64" s="9">
        <f t="shared" si="23"/>
        <v>1342.9315077940635</v>
      </c>
      <c r="Z64" s="9">
        <f t="shared" si="24"/>
        <v>4.8970011321976639</v>
      </c>
      <c r="AA64" s="9">
        <f t="shared" si="3"/>
        <v>0.12812009690373752</v>
      </c>
      <c r="AB64" s="15">
        <f t="shared" si="25"/>
        <v>1</v>
      </c>
      <c r="AC64" s="9">
        <f t="shared" si="4"/>
        <v>626.45490599999994</v>
      </c>
      <c r="AD64" s="15">
        <f t="shared" si="5"/>
        <v>847.80682249022357</v>
      </c>
      <c r="AE64" s="16">
        <f t="shared" si="6"/>
        <v>-2107.6564168360969</v>
      </c>
      <c r="AG64" s="13">
        <f t="shared" si="43"/>
        <v>0.58359749299882246</v>
      </c>
      <c r="AH64" s="15">
        <f t="shared" si="26"/>
        <v>198.03586298568572</v>
      </c>
      <c r="AI64" s="9">
        <f t="shared" si="27"/>
        <v>761.4815402841665</v>
      </c>
      <c r="AJ64" s="9">
        <f t="shared" si="28"/>
        <v>6.5032050268853006</v>
      </c>
      <c r="AK64" s="9">
        <f t="shared" si="7"/>
        <v>0.16139263284931413</v>
      </c>
      <c r="AL64" s="15">
        <f t="shared" si="29"/>
        <v>1</v>
      </c>
      <c r="AM64" s="15">
        <v>0.42</v>
      </c>
      <c r="AN64" s="15">
        <f t="shared" si="30"/>
        <v>626.45490599999994</v>
      </c>
      <c r="AO64" s="15">
        <f t="shared" si="31"/>
        <v>860.34876721109686</v>
      </c>
      <c r="AP64" s="16">
        <f t="shared" si="32"/>
        <v>-2218.4882585203068</v>
      </c>
      <c r="AS64" s="13">
        <f t="shared" si="44"/>
        <v>0.58155472825658594</v>
      </c>
      <c r="AT64" s="15">
        <f t="shared" si="33"/>
        <v>197.34267858469249</v>
      </c>
      <c r="AU64" s="9">
        <f t="shared" si="34"/>
        <v>496.23003046612189</v>
      </c>
      <c r="AV64" s="9">
        <f t="shared" si="35"/>
        <v>8.0559287148215208</v>
      </c>
      <c r="AW64" s="9">
        <f t="shared" si="8"/>
        <v>0.19503412469419235</v>
      </c>
      <c r="AX64" s="15">
        <f t="shared" si="36"/>
        <v>1</v>
      </c>
      <c r="AY64" s="15">
        <v>0.44</v>
      </c>
      <c r="AZ64" s="15">
        <f t="shared" si="37"/>
        <v>656.28609200000005</v>
      </c>
      <c r="BA64" s="15">
        <f t="shared" si="38"/>
        <v>877.9070842551572</v>
      </c>
      <c r="BB64" s="16">
        <f t="shared" si="39"/>
        <v>-2094.7219304859523</v>
      </c>
    </row>
  </sheetData>
  <mergeCells count="7">
    <mergeCell ref="AS17:AU17"/>
    <mergeCell ref="A1:D2"/>
    <mergeCell ref="C8:E8"/>
    <mergeCell ref="B17:D17"/>
    <mergeCell ref="M17:O17"/>
    <mergeCell ref="W17:Y17"/>
    <mergeCell ref="AG17:AI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F4" zoomScale="90" zoomScaleNormal="90" workbookViewId="0">
      <selection activeCell="L6" sqref="L6"/>
    </sheetView>
  </sheetViews>
  <sheetFormatPr defaultRowHeight="15"/>
  <cols>
    <col min="12" max="12" width="49.42578125" customWidth="1"/>
    <col min="13" max="13" width="13.85546875" customWidth="1"/>
    <col min="15" max="15" width="21.42578125" customWidth="1"/>
  </cols>
  <sheetData>
    <row r="1" spans="1:15">
      <c r="A1" s="9" t="s">
        <v>69</v>
      </c>
      <c r="B1" s="9" t="s">
        <v>128</v>
      </c>
      <c r="C1" s="9" t="s">
        <v>129</v>
      </c>
      <c r="D1" s="9" t="s">
        <v>130</v>
      </c>
      <c r="F1" t="s">
        <v>131</v>
      </c>
      <c r="H1" t="s">
        <v>132</v>
      </c>
      <c r="I1">
        <v>1.49</v>
      </c>
    </row>
    <row r="2" spans="1:15">
      <c r="A2" s="9"/>
      <c r="B2" s="108" t="s">
        <v>138</v>
      </c>
      <c r="C2" s="108"/>
      <c r="D2" s="108"/>
    </row>
    <row r="3" spans="1:15">
      <c r="A3" s="9">
        <v>0</v>
      </c>
      <c r="B3" s="9">
        <f>$I$7+(0.15*$I$1-0.4*$I$1)*A3-$I$6*A3</f>
        <v>-0.04</v>
      </c>
      <c r="C3" s="9">
        <f>$I$7+(0.25*$I$1-0.4*$I$1)*A3-$I$6*A3</f>
        <v>-0.04</v>
      </c>
      <c r="D3" s="9">
        <f>$I$7+(0.35*$I$1-0.4*$I$1)*A3-$I$6*A3</f>
        <v>-0.04</v>
      </c>
      <c r="H3" t="s">
        <v>137</v>
      </c>
      <c r="I3">
        <v>1.1999999999999999E-3</v>
      </c>
    </row>
    <row r="4" spans="1:15">
      <c r="A4" s="9">
        <v>0.2</v>
      </c>
      <c r="B4" s="9">
        <f t="shared" ref="B4:B14" si="0">$I$7+(0.15*$I$1-0.4*$I$1)*A4-$I$6*A4</f>
        <v>-0.27015307176045433</v>
      </c>
      <c r="C4" s="9">
        <f t="shared" ref="C4:C14" si="1">$I$7+(0.25*$I$1-0.4*$I$1)*A4-$I$6*A4</f>
        <v>-0.24035307176045431</v>
      </c>
      <c r="D4" s="9">
        <f t="shared" ref="D4:D14" si="2">$I$7+(0.35*$I$1-0.4*$I$1)*A4-$I$6*A4</f>
        <v>-0.21055307176045432</v>
      </c>
      <c r="H4" t="s">
        <v>133</v>
      </c>
      <c r="I4">
        <v>5.36</v>
      </c>
    </row>
    <row r="5" spans="1:15">
      <c r="A5" s="9">
        <f>0.1+A4</f>
        <v>0.30000000000000004</v>
      </c>
      <c r="B5" s="9">
        <f t="shared" si="0"/>
        <v>-0.38522960764068148</v>
      </c>
      <c r="C5" s="9">
        <f t="shared" si="1"/>
        <v>-0.34052960764068152</v>
      </c>
      <c r="D5" s="9">
        <f t="shared" si="2"/>
        <v>-0.2958296076406815</v>
      </c>
      <c r="H5" t="s">
        <v>134</v>
      </c>
      <c r="I5">
        <v>5.625</v>
      </c>
    </row>
    <row r="6" spans="1:15">
      <c r="A6" s="9">
        <f t="shared" ref="A6:A14" si="3">0.1+A5</f>
        <v>0.4</v>
      </c>
      <c r="B6" s="9">
        <f t="shared" si="0"/>
        <v>-0.50030614352090863</v>
      </c>
      <c r="C6" s="9">
        <f t="shared" si="1"/>
        <v>-0.44070614352090864</v>
      </c>
      <c r="D6" s="9">
        <f t="shared" si="2"/>
        <v>-0.38110614352090866</v>
      </c>
      <c r="H6" t="s">
        <v>135</v>
      </c>
      <c r="I6">
        <f>$I$4*$I$5/($I$1*26)</f>
        <v>0.77826535880227155</v>
      </c>
    </row>
    <row r="7" spans="1:15">
      <c r="A7" s="9">
        <f t="shared" si="3"/>
        <v>0.5</v>
      </c>
      <c r="B7" s="9">
        <f t="shared" si="0"/>
        <v>-0.61538267940113578</v>
      </c>
      <c r="C7" s="9">
        <f t="shared" si="1"/>
        <v>-0.54088267940113577</v>
      </c>
      <c r="D7" s="9">
        <f t="shared" si="2"/>
        <v>-0.46638267940113576</v>
      </c>
      <c r="H7" t="s">
        <v>136</v>
      </c>
      <c r="I7">
        <v>-0.04</v>
      </c>
    </row>
    <row r="8" spans="1:15">
      <c r="A8" s="9">
        <f t="shared" si="3"/>
        <v>0.6</v>
      </c>
      <c r="B8" s="9">
        <f t="shared" si="0"/>
        <v>-0.73045921528136293</v>
      </c>
      <c r="C8" s="9">
        <f t="shared" si="1"/>
        <v>-0.64105921528136289</v>
      </c>
      <c r="D8" s="9">
        <f t="shared" si="2"/>
        <v>-0.55165921528136286</v>
      </c>
    </row>
    <row r="9" spans="1:15" ht="15.75" thickBot="1">
      <c r="A9" s="9">
        <f t="shared" si="3"/>
        <v>0.7</v>
      </c>
      <c r="B9" s="9">
        <f t="shared" si="0"/>
        <v>-0.84553575116158997</v>
      </c>
      <c r="C9" s="9">
        <f t="shared" si="1"/>
        <v>-0.74123575116159002</v>
      </c>
      <c r="D9" s="9">
        <f t="shared" si="2"/>
        <v>-0.63693575116159007</v>
      </c>
    </row>
    <row r="10" spans="1:15">
      <c r="A10" s="9">
        <f t="shared" si="3"/>
        <v>0.79999999999999993</v>
      </c>
      <c r="B10" s="9">
        <f t="shared" si="0"/>
        <v>-0.960612287041817</v>
      </c>
      <c r="C10" s="9">
        <f t="shared" si="1"/>
        <v>-0.84141228704181714</v>
      </c>
      <c r="D10" s="9">
        <f t="shared" si="2"/>
        <v>-0.72221228704181717</v>
      </c>
      <c r="L10" s="111" t="s">
        <v>148</v>
      </c>
      <c r="M10" s="112" t="s">
        <v>152</v>
      </c>
      <c r="N10" s="112" t="s">
        <v>153</v>
      </c>
      <c r="O10" s="113" t="s">
        <v>154</v>
      </c>
    </row>
    <row r="11" spans="1:15">
      <c r="A11" s="9">
        <f t="shared" si="3"/>
        <v>0.89999999999999991</v>
      </c>
      <c r="B11" s="9">
        <f t="shared" si="0"/>
        <v>-1.0756888229220443</v>
      </c>
      <c r="C11" s="9">
        <f t="shared" si="1"/>
        <v>-0.94158882292204427</v>
      </c>
      <c r="D11" s="9">
        <f t="shared" si="2"/>
        <v>-0.80748882292204427</v>
      </c>
      <c r="L11" s="13" t="s">
        <v>149</v>
      </c>
      <c r="M11" s="9">
        <v>2000</v>
      </c>
      <c r="N11" s="9">
        <v>2972</v>
      </c>
      <c r="O11" s="109">
        <f>(N11-M11)*100/M11</f>
        <v>48.6</v>
      </c>
    </row>
    <row r="12" spans="1:15">
      <c r="A12" s="9">
        <f t="shared" si="3"/>
        <v>0.99999999999999989</v>
      </c>
      <c r="B12" s="9">
        <f t="shared" si="0"/>
        <v>-1.1907653588022713</v>
      </c>
      <c r="C12" s="9">
        <f t="shared" si="1"/>
        <v>-1.0417653588022713</v>
      </c>
      <c r="D12" s="9">
        <f t="shared" si="2"/>
        <v>-0.89276535880227148</v>
      </c>
      <c r="L12" s="13" t="s">
        <v>150</v>
      </c>
      <c r="M12" s="9">
        <v>2000</v>
      </c>
      <c r="N12" s="9">
        <v>2211</v>
      </c>
      <c r="O12" s="109">
        <f>(N12-M12)*100/M12</f>
        <v>10.55</v>
      </c>
    </row>
    <row r="13" spans="1:15">
      <c r="A13" s="9">
        <f t="shared" si="3"/>
        <v>1.0999999999999999</v>
      </c>
      <c r="B13" s="9">
        <f t="shared" si="0"/>
        <v>-1.3058418946824983</v>
      </c>
      <c r="C13" s="9">
        <f t="shared" si="1"/>
        <v>-1.1419418946824984</v>
      </c>
      <c r="D13" s="9">
        <f t="shared" si="2"/>
        <v>-0.97804189468249858</v>
      </c>
      <c r="L13" s="13" t="s">
        <v>151</v>
      </c>
      <c r="M13" s="9">
        <v>1200</v>
      </c>
      <c r="N13" s="9">
        <v>1141</v>
      </c>
      <c r="O13" s="109">
        <f t="shared" ref="O12:O16" si="4">(N13-M13)*100/M13</f>
        <v>-4.916666666666667</v>
      </c>
    </row>
    <row r="14" spans="1:15">
      <c r="A14" s="9">
        <f t="shared" si="3"/>
        <v>1.2</v>
      </c>
      <c r="B14" s="9">
        <f t="shared" si="0"/>
        <v>-1.4209184305627258</v>
      </c>
      <c r="C14" s="9">
        <f t="shared" si="1"/>
        <v>-1.2421184305627258</v>
      </c>
      <c r="D14" s="9">
        <f t="shared" si="2"/>
        <v>-1.0633184305627259</v>
      </c>
      <c r="L14" s="13" t="s">
        <v>163</v>
      </c>
      <c r="M14" s="9">
        <v>100</v>
      </c>
      <c r="N14" s="9">
        <v>200</v>
      </c>
      <c r="O14" s="109">
        <f t="shared" si="4"/>
        <v>100</v>
      </c>
    </row>
    <row r="15" spans="1:15">
      <c r="A15" s="9"/>
      <c r="B15" s="9"/>
      <c r="C15" s="9"/>
      <c r="D15" s="9"/>
      <c r="L15" s="13" t="s">
        <v>155</v>
      </c>
      <c r="M15" s="9">
        <v>120</v>
      </c>
      <c r="N15" s="9">
        <v>160</v>
      </c>
      <c r="O15" s="109">
        <f t="shared" si="4"/>
        <v>33.333333333333336</v>
      </c>
    </row>
    <row r="16" spans="1:15" ht="15.75" thickBot="1">
      <c r="A16" s="9"/>
      <c r="B16" s="9"/>
      <c r="C16" s="9"/>
      <c r="D16" s="9"/>
      <c r="L16" s="18" t="s">
        <v>156</v>
      </c>
      <c r="M16" s="15">
        <v>3</v>
      </c>
      <c r="N16" s="15">
        <v>2.19</v>
      </c>
      <c r="O16" s="110">
        <f t="shared" si="4"/>
        <v>-27</v>
      </c>
    </row>
    <row r="18" spans="1:13">
      <c r="A18" s="9"/>
      <c r="B18" s="9"/>
      <c r="C18" s="9"/>
      <c r="D18" s="9"/>
    </row>
    <row r="19" spans="1:13">
      <c r="A19" s="9"/>
      <c r="B19" s="9"/>
      <c r="C19" s="9"/>
      <c r="D19" s="9"/>
    </row>
    <row r="20" spans="1:13">
      <c r="A20" s="9"/>
      <c r="B20" s="9"/>
      <c r="C20" s="9"/>
      <c r="D20" s="9"/>
    </row>
    <row r="21" spans="1:13">
      <c r="A21" s="9"/>
      <c r="B21" s="9"/>
      <c r="C21" s="9"/>
      <c r="D21" s="9"/>
      <c r="L21" s="115" t="s">
        <v>164</v>
      </c>
      <c r="M21" s="114">
        <v>1</v>
      </c>
    </row>
    <row r="22" spans="1:13">
      <c r="A22" s="9"/>
      <c r="B22" s="9"/>
      <c r="C22" s="9"/>
      <c r="D22" s="9"/>
      <c r="L22" s="115" t="s">
        <v>165</v>
      </c>
      <c r="M22" s="114">
        <v>0.4</v>
      </c>
    </row>
    <row r="23" spans="1:13">
      <c r="A23" s="9"/>
      <c r="B23" s="9"/>
      <c r="C23" s="9"/>
      <c r="D23" s="9"/>
      <c r="L23" s="115" t="s">
        <v>160</v>
      </c>
      <c r="M23" s="114">
        <v>1</v>
      </c>
    </row>
    <row r="24" spans="1:13">
      <c r="A24" s="9"/>
      <c r="B24" s="9"/>
      <c r="C24" s="9"/>
      <c r="D24" s="9"/>
      <c r="L24" s="115" t="s">
        <v>161</v>
      </c>
      <c r="M24" s="114">
        <v>0.2</v>
      </c>
    </row>
    <row r="25" spans="1:13">
      <c r="A25" s="9"/>
      <c r="B25" s="9"/>
      <c r="C25" s="9"/>
      <c r="D25" s="9"/>
      <c r="J25" t="s">
        <v>157</v>
      </c>
      <c r="K25" s="114">
        <v>0.6</v>
      </c>
      <c r="L25" s="115" t="s">
        <v>162</v>
      </c>
      <c r="M25" s="114">
        <v>0.7</v>
      </c>
    </row>
    <row r="26" spans="1:13">
      <c r="A26" s="9"/>
      <c r="B26" s="9"/>
      <c r="C26" s="9"/>
      <c r="D26" s="9"/>
      <c r="J26" t="s">
        <v>158</v>
      </c>
      <c r="K26" s="114">
        <v>0.35</v>
      </c>
    </row>
    <row r="27" spans="1:13">
      <c r="A27" s="9"/>
      <c r="B27" s="9"/>
      <c r="C27" s="9"/>
      <c r="D27" s="9"/>
      <c r="J27" t="s">
        <v>159</v>
      </c>
      <c r="K27" s="114">
        <v>0.15</v>
      </c>
    </row>
    <row r="28" spans="1:13">
      <c r="A28" s="9"/>
      <c r="B28" s="9"/>
      <c r="C28" s="9"/>
      <c r="D28" s="9"/>
    </row>
    <row r="29" spans="1:13">
      <c r="A29" s="9"/>
      <c r="B29" s="9"/>
      <c r="C29" s="9"/>
      <c r="D29" s="9"/>
      <c r="L29" t="s">
        <v>166</v>
      </c>
      <c r="M29" s="114">
        <v>0.9</v>
      </c>
    </row>
    <row r="30" spans="1:13">
      <c r="A30" s="9"/>
      <c r="B30" s="9"/>
      <c r="C30" s="9"/>
      <c r="D30" s="9"/>
      <c r="L30" t="s">
        <v>167</v>
      </c>
      <c r="M30" s="114">
        <v>1</v>
      </c>
    </row>
    <row r="31" spans="1:13">
      <c r="A31" s="9"/>
      <c r="B31" s="9"/>
      <c r="C31" s="9"/>
      <c r="D31" s="9"/>
      <c r="L31" t="s">
        <v>168</v>
      </c>
      <c r="M31" s="114">
        <v>0.7</v>
      </c>
    </row>
    <row r="32" spans="1:13">
      <c r="A32" s="9"/>
      <c r="B32" s="9"/>
      <c r="C32" s="9"/>
      <c r="D32" s="9"/>
      <c r="L32" t="s">
        <v>169</v>
      </c>
      <c r="M32" s="114">
        <v>0.87</v>
      </c>
    </row>
    <row r="33" spans="1:4">
      <c r="A33" s="9"/>
      <c r="B33" s="9"/>
      <c r="C33" s="9"/>
      <c r="D33" s="9"/>
    </row>
    <row r="34" spans="1:4">
      <c r="A34" s="9"/>
      <c r="B34" s="9"/>
      <c r="C34" s="9"/>
      <c r="D34" s="9"/>
    </row>
    <row r="35" spans="1:4">
      <c r="A35" s="9"/>
      <c r="B35" s="9"/>
      <c r="C35" s="9"/>
      <c r="D35" s="9"/>
    </row>
    <row r="36" spans="1:4">
      <c r="A36" s="9"/>
      <c r="B36" s="9"/>
      <c r="C36" s="9"/>
      <c r="D36" s="9"/>
    </row>
    <row r="37" spans="1:4">
      <c r="A37" s="9"/>
      <c r="B37" s="9"/>
      <c r="C37" s="9"/>
      <c r="D37" s="9"/>
    </row>
    <row r="38" spans="1:4">
      <c r="A38" s="9"/>
      <c r="B38" s="9"/>
      <c r="C38" s="9"/>
      <c r="D38" s="9"/>
    </row>
    <row r="39" spans="1:4">
      <c r="A39" s="9"/>
      <c r="B39" s="9"/>
      <c r="C39" s="9"/>
      <c r="D39" s="9"/>
    </row>
    <row r="40" spans="1:4">
      <c r="A40" s="9"/>
      <c r="B40" s="9"/>
      <c r="C40" s="9"/>
      <c r="D40" s="9"/>
    </row>
    <row r="41" spans="1:4">
      <c r="A41" s="9"/>
      <c r="B41" s="9"/>
      <c r="C41" s="9"/>
      <c r="D41" s="9"/>
    </row>
    <row r="42" spans="1:4">
      <c r="A42" s="9"/>
      <c r="B42" s="9"/>
      <c r="C42" s="9"/>
      <c r="D42" s="9"/>
    </row>
    <row r="43" spans="1:4">
      <c r="A43" s="9"/>
      <c r="B43" s="9"/>
      <c r="C43" s="9"/>
      <c r="D43" s="9"/>
    </row>
    <row r="44" spans="1:4">
      <c r="A44" s="9"/>
      <c r="B44" s="9"/>
      <c r="C44" s="9"/>
      <c r="D44" s="9"/>
    </row>
    <row r="45" spans="1:4">
      <c r="A45" s="9"/>
      <c r="B45" s="9"/>
      <c r="C45" s="9"/>
      <c r="D45" s="9"/>
    </row>
    <row r="46" spans="1:4">
      <c r="A46" s="9"/>
      <c r="B46" s="9"/>
      <c r="C46" s="9"/>
      <c r="D46" s="9"/>
    </row>
    <row r="47" spans="1:4">
      <c r="A47" s="9"/>
      <c r="B47" s="9"/>
      <c r="C47" s="9"/>
      <c r="D47" s="9"/>
    </row>
    <row r="48" spans="1:4">
      <c r="A48" s="9"/>
      <c r="B48" s="9"/>
      <c r="C48" s="9"/>
      <c r="D48" s="9"/>
    </row>
  </sheetData>
  <mergeCells count="1">
    <mergeCell ref="B2:D2"/>
  </mergeCells>
  <conditionalFormatting sqref="O11:O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{2B73F537-8B7D-472D-9690-0659503B8F91}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73F537-8B7D-472D-9690-0659503B8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O11:O16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University of the Witwatersrand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Wits CNS StudentLab</dc:creator>
  <cp:lastModifiedBy>reloef</cp:lastModifiedBy>
  <dcterms:created xsi:type="dcterms:W3CDTF">2018-03-01T21:00:38Z</dcterms:created>
  <dcterms:modified xsi:type="dcterms:W3CDTF">2022-09-12T22:57:50Z</dcterms:modified>
</cp:coreProperties>
</file>